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codeName="ЭтаКнига" defaultThemeVersion="153222"/>
  <mc:AlternateContent xmlns:mc="http://schemas.openxmlformats.org/markup-compatibility/2006">
    <mc:Choice Requires="x15">
      <x15ac:absPath xmlns:x15ac="http://schemas.microsoft.com/office/spreadsheetml/2010/11/ac" url="\\192.168.10.7\Public\2_Обменные документы\ЦВЕТОК\ОПЕРПЛАНЫ\архив\"/>
    </mc:Choice>
  </mc:AlternateContent>
  <bookViews>
    <workbookView xWindow="-105" yWindow="-45" windowWidth="23250" windowHeight="12510" firstSheet="2" activeTab="2"/>
  </bookViews>
  <sheets>
    <sheet name="Реестр ЗНОМ Логистический ОПТ" sheetId="18" state="hidden" r:id="rId1"/>
    <sheet name="Реестр ЗНОМ Логистический Цвето" sheetId="16" state="hidden" r:id="rId2"/>
    <sheet name="План 2024" sheetId="19" r:id="rId3"/>
    <sheet name="план 2024 старый" sheetId="13" r:id="rId4"/>
    <sheet name="Общий реестр ЗНОМ" sheetId="17" r:id="rId5"/>
    <sheet name="план2023" sheetId="15" r:id="rId6"/>
    <sheet name="план 2022" sheetId="9" r:id="rId7"/>
    <sheet name="план 2021" sheetId="2" r:id="rId8"/>
    <sheet name="Лист1" sheetId="14" r:id="rId9"/>
  </sheets>
  <definedNames>
    <definedName name="_xlnm._FilterDatabase" localSheetId="7" hidden="1">'план 2021'!$A$1:$U$1674</definedName>
    <definedName name="_xlnm._FilterDatabase" localSheetId="6" hidden="1">'план 2022'!#REF!</definedName>
    <definedName name="_xlnm._FilterDatabase" localSheetId="5" hidden="1">план2023!$A$1:$Y$1096</definedName>
    <definedName name="ExternalData_1" localSheetId="1" hidden="1">'Реестр ЗНОМ Логистический Цвето'!$A$1:$N$661</definedName>
    <definedName name="ExternalData_2" localSheetId="4" hidden="1">'Общий реестр ЗНОМ'!$A$1:$O$705</definedName>
    <definedName name="ExternalData_3" localSheetId="0" hidden="1">'Реестр ЗНОМ Логистический ОПТ'!$A$1:$N$45</definedName>
    <definedName name="ВстроеннаяВременнаяШкала_Фактическая_дата_готовности">#N/A</definedName>
    <definedName name="_xlnm.Print_Area" localSheetId="7">'план 2021'!$A$1:$W$896</definedName>
    <definedName name="_xlnm.Print_Area" localSheetId="6">'план 2022'!$A$1:$L$584</definedName>
    <definedName name="_xlnm.Print_Area" localSheetId="3">'план 2024 старый'!$A$1:$AA$859</definedName>
  </definedNames>
  <calcPr calcId="162913" refMode="R1C1"/>
</workbook>
</file>

<file path=xl/calcChain.xml><?xml version="1.0" encoding="utf-8"?>
<calcChain xmlns="http://schemas.openxmlformats.org/spreadsheetml/2006/main">
  <c r="N686" i="19" l="1"/>
  <c r="N990" i="19" l="1"/>
  <c r="N989" i="19"/>
  <c r="I1035" i="19" l="1"/>
  <c r="L1035" i="19" s="1"/>
  <c r="O1035" i="19" s="1"/>
  <c r="R1035" i="19"/>
  <c r="P1035" i="19" l="1"/>
  <c r="K1035" i="19"/>
  <c r="J1035" i="19"/>
  <c r="O989" i="19"/>
  <c r="H1035" i="19" l="1"/>
  <c r="I1034" i="19"/>
  <c r="J1034" i="19" s="1"/>
  <c r="K1034" i="19" l="1"/>
  <c r="L1034" i="19"/>
  <c r="I1027" i="19"/>
  <c r="L1027" i="19" s="1"/>
  <c r="O1027" i="19" s="1"/>
  <c r="I1028" i="19"/>
  <c r="K1028" i="19" s="1"/>
  <c r="I1029" i="19"/>
  <c r="K1029" i="19" s="1"/>
  <c r="I1030" i="19"/>
  <c r="J1030" i="19" s="1"/>
  <c r="I1031" i="19"/>
  <c r="O1031" i="19" s="1"/>
  <c r="I1032" i="19"/>
  <c r="O1032" i="19" s="1"/>
  <c r="I1033" i="19"/>
  <c r="K1033" i="19" s="1"/>
  <c r="I1036" i="19"/>
  <c r="K1036" i="19" s="1"/>
  <c r="I1037" i="19"/>
  <c r="O1037" i="19" s="1"/>
  <c r="I1038" i="19"/>
  <c r="K1038" i="19" s="1"/>
  <c r="L1029" i="19"/>
  <c r="O1029" i="19" s="1"/>
  <c r="R1027" i="19"/>
  <c r="R1028" i="19"/>
  <c r="R1029" i="19"/>
  <c r="R1030" i="19"/>
  <c r="R1031" i="19"/>
  <c r="R1032" i="19"/>
  <c r="R1033" i="19"/>
  <c r="R1036" i="19"/>
  <c r="R1037" i="19"/>
  <c r="R1038" i="19"/>
  <c r="L1033" i="19" l="1"/>
  <c r="O1033" i="19" s="1"/>
  <c r="P1033" i="19" s="1"/>
  <c r="J1029" i="19"/>
  <c r="P1032" i="19"/>
  <c r="P1037" i="19"/>
  <c r="P1031" i="19"/>
  <c r="O1034" i="19"/>
  <c r="P1034" i="19" s="1"/>
  <c r="L1028" i="19"/>
  <c r="O1028" i="19" s="1"/>
  <c r="P1028" i="19" s="1"/>
  <c r="J1038" i="19"/>
  <c r="H1034" i="19"/>
  <c r="O1038" i="19"/>
  <c r="P1038" i="19" s="1"/>
  <c r="J1028" i="19"/>
  <c r="J1036" i="19"/>
  <c r="J1033" i="19"/>
  <c r="K1032" i="19"/>
  <c r="H1032" i="19" s="1"/>
  <c r="J1032" i="19"/>
  <c r="O1036" i="19"/>
  <c r="P1036" i="19" s="1"/>
  <c r="H1033" i="19"/>
  <c r="L1030" i="19"/>
  <c r="O1030" i="19" s="1"/>
  <c r="P1030" i="19" s="1"/>
  <c r="K1030" i="19"/>
  <c r="P1029" i="19"/>
  <c r="P1027" i="19"/>
  <c r="J1037" i="19"/>
  <c r="J1031" i="19"/>
  <c r="J1027" i="19"/>
  <c r="K1037" i="19"/>
  <c r="H1037" i="19" s="1"/>
  <c r="K1031" i="19"/>
  <c r="H1031" i="19" s="1"/>
  <c r="K1027" i="19"/>
  <c r="H1038" i="19" l="1"/>
  <c r="H1036" i="19"/>
  <c r="N1005" i="19"/>
  <c r="M1005" i="19"/>
  <c r="O971" i="19" l="1"/>
  <c r="N986" i="19" l="1"/>
  <c r="I1026" i="19" l="1"/>
  <c r="L1026" i="19" s="1"/>
  <c r="O1026" i="19" s="1"/>
  <c r="R1026" i="19"/>
  <c r="J1026" i="19" l="1"/>
  <c r="K1026" i="19"/>
  <c r="I975" i="19"/>
  <c r="O975" i="19" s="1"/>
  <c r="P975" i="19" s="1"/>
  <c r="K975" i="19" l="1"/>
  <c r="J975" i="19"/>
  <c r="I983" i="19"/>
  <c r="L983" i="19" s="1"/>
  <c r="O983" i="19" s="1"/>
  <c r="I984" i="19"/>
  <c r="K984" i="19" s="1"/>
  <c r="I985" i="19"/>
  <c r="I986" i="19"/>
  <c r="J986" i="19" s="1"/>
  <c r="I987" i="19"/>
  <c r="K987" i="19" s="1"/>
  <c r="I988" i="19"/>
  <c r="L988" i="19" s="1"/>
  <c r="O988" i="19" s="1"/>
  <c r="I989" i="19"/>
  <c r="J989" i="19" s="1"/>
  <c r="I990" i="19"/>
  <c r="J990" i="19" s="1"/>
  <c r="I991" i="19"/>
  <c r="K991" i="19" s="1"/>
  <c r="I992" i="19"/>
  <c r="L992" i="19" s="1"/>
  <c r="O992" i="19" s="1"/>
  <c r="I993" i="19"/>
  <c r="L993" i="19" s="1"/>
  <c r="O993" i="19" s="1"/>
  <c r="I994" i="19"/>
  <c r="J994" i="19" s="1"/>
  <c r="I995" i="19"/>
  <c r="K995" i="19" s="1"/>
  <c r="I996" i="19"/>
  <c r="L996" i="19" s="1"/>
  <c r="O996" i="19" s="1"/>
  <c r="I997" i="19"/>
  <c r="J997" i="19" s="1"/>
  <c r="I998" i="19"/>
  <c r="J998" i="19" s="1"/>
  <c r="I999" i="19"/>
  <c r="K999" i="19" s="1"/>
  <c r="I1000" i="19"/>
  <c r="L1000" i="19" s="1"/>
  <c r="O1000" i="19" s="1"/>
  <c r="I1001" i="19"/>
  <c r="K1001" i="19" s="1"/>
  <c r="I1002" i="19"/>
  <c r="J1002" i="19" s="1"/>
  <c r="I1003" i="19"/>
  <c r="K1003" i="19" s="1"/>
  <c r="I1004" i="19"/>
  <c r="L1004" i="19" s="1"/>
  <c r="O1004" i="19" s="1"/>
  <c r="I1005" i="19"/>
  <c r="J1005" i="19" s="1"/>
  <c r="I1006" i="19"/>
  <c r="J1006" i="19" s="1"/>
  <c r="I1007" i="19"/>
  <c r="K1007" i="19" s="1"/>
  <c r="I1008" i="19"/>
  <c r="L1008" i="19" s="1"/>
  <c r="O1008" i="19" s="1"/>
  <c r="I1009" i="19"/>
  <c r="O1009" i="19" s="1"/>
  <c r="I1010" i="19"/>
  <c r="J1010" i="19" s="1"/>
  <c r="I1011" i="19"/>
  <c r="K1011" i="19" s="1"/>
  <c r="I1012" i="19"/>
  <c r="L1012" i="19" s="1"/>
  <c r="O1012" i="19" s="1"/>
  <c r="I1013" i="19"/>
  <c r="J1013" i="19" s="1"/>
  <c r="I1014" i="19"/>
  <c r="J1014" i="19" s="1"/>
  <c r="I1015" i="19"/>
  <c r="I1016" i="19"/>
  <c r="L1016" i="19" s="1"/>
  <c r="O1016" i="19" s="1"/>
  <c r="I1017" i="19"/>
  <c r="K1017" i="19" s="1"/>
  <c r="I1018" i="19"/>
  <c r="J1018" i="19" s="1"/>
  <c r="I1019" i="19"/>
  <c r="K1019" i="19" s="1"/>
  <c r="I1020" i="19"/>
  <c r="O1020" i="19" s="1"/>
  <c r="I1021" i="19"/>
  <c r="O1021" i="19" s="1"/>
  <c r="I1022" i="19"/>
  <c r="J1022" i="19" s="1"/>
  <c r="I1023" i="19"/>
  <c r="K1023" i="19" s="1"/>
  <c r="I1024" i="19"/>
  <c r="L1024" i="19" s="1"/>
  <c r="O1024" i="19" s="1"/>
  <c r="I1025" i="19"/>
  <c r="J1025" i="19" s="1"/>
  <c r="O985" i="19"/>
  <c r="R983" i="19"/>
  <c r="R984" i="19"/>
  <c r="R986" i="19"/>
  <c r="R987" i="19"/>
  <c r="R988" i="19"/>
  <c r="R989" i="19"/>
  <c r="R990" i="19"/>
  <c r="R991" i="19"/>
  <c r="R992" i="19"/>
  <c r="R993" i="19"/>
  <c r="R994" i="19"/>
  <c r="R995" i="19"/>
  <c r="R996" i="19"/>
  <c r="R997" i="19"/>
  <c r="R998" i="19"/>
  <c r="R999" i="19"/>
  <c r="R1000" i="19"/>
  <c r="R1001" i="19"/>
  <c r="R1002" i="19"/>
  <c r="R1003" i="19"/>
  <c r="R1004" i="19"/>
  <c r="R1005" i="19"/>
  <c r="R1006" i="19"/>
  <c r="R1007" i="19"/>
  <c r="R1008" i="19"/>
  <c r="R1009" i="19"/>
  <c r="R1010" i="19"/>
  <c r="R1011" i="19"/>
  <c r="R1012" i="19"/>
  <c r="R1013" i="19"/>
  <c r="R1014" i="19"/>
  <c r="R1015" i="19"/>
  <c r="R1016" i="19"/>
  <c r="R1017" i="19"/>
  <c r="R1018" i="19"/>
  <c r="R1019" i="19"/>
  <c r="R1020" i="19"/>
  <c r="R1021" i="19"/>
  <c r="R1022" i="19"/>
  <c r="R1023" i="19"/>
  <c r="R1024" i="19"/>
  <c r="R1025" i="19"/>
  <c r="K1015" i="19" l="1"/>
  <c r="J1015" i="19"/>
  <c r="J993" i="19"/>
  <c r="J983" i="19"/>
  <c r="J992" i="19"/>
  <c r="H975" i="19"/>
  <c r="K993" i="19"/>
  <c r="P989" i="19"/>
  <c r="K989" i="19"/>
  <c r="L995" i="19"/>
  <c r="O995" i="19" s="1"/>
  <c r="P995" i="19" s="1"/>
  <c r="O1001" i="19"/>
  <c r="P1001" i="19" s="1"/>
  <c r="K997" i="19"/>
  <c r="L1013" i="19"/>
  <c r="O1013" i="19" s="1"/>
  <c r="P1013" i="19" s="1"/>
  <c r="J1001" i="19"/>
  <c r="K1009" i="19"/>
  <c r="H1009" i="19" s="1"/>
  <c r="K1013" i="19"/>
  <c r="O1003" i="19"/>
  <c r="P1003" i="19" s="1"/>
  <c r="L987" i="19"/>
  <c r="O987" i="19" s="1"/>
  <c r="P987" i="19" s="1"/>
  <c r="L1015" i="19"/>
  <c r="J1017" i="19"/>
  <c r="L1017" i="19"/>
  <c r="O1017" i="19" s="1"/>
  <c r="P1017" i="19" s="1"/>
  <c r="J1009" i="19"/>
  <c r="L1025" i="19"/>
  <c r="O1025" i="19" s="1"/>
  <c r="P1025" i="19" s="1"/>
  <c r="L1005" i="19"/>
  <c r="O1005" i="19" s="1"/>
  <c r="P1005" i="19" s="1"/>
  <c r="K1025" i="19"/>
  <c r="K1005" i="19"/>
  <c r="L997" i="19"/>
  <c r="O997" i="19" s="1"/>
  <c r="P997" i="19" s="1"/>
  <c r="H985" i="19"/>
  <c r="L1019" i="19"/>
  <c r="O1019" i="19" s="1"/>
  <c r="P1019" i="19" s="1"/>
  <c r="J1016" i="19"/>
  <c r="K998" i="19"/>
  <c r="J1008" i="19"/>
  <c r="L1007" i="19"/>
  <c r="O1007" i="19" s="1"/>
  <c r="P1007" i="19" s="1"/>
  <c r="L999" i="19"/>
  <c r="O999" i="19" s="1"/>
  <c r="P999" i="19" s="1"/>
  <c r="L991" i="19"/>
  <c r="O991" i="19" s="1"/>
  <c r="P991" i="19" s="1"/>
  <c r="L1002" i="19"/>
  <c r="O1002" i="19" s="1"/>
  <c r="P1002" i="19" s="1"/>
  <c r="O1010" i="19"/>
  <c r="P1010" i="19" s="1"/>
  <c r="O990" i="19"/>
  <c r="P990" i="19" s="1"/>
  <c r="L986" i="19"/>
  <c r="O986" i="19" s="1"/>
  <c r="P986" i="19" s="1"/>
  <c r="K1006" i="19"/>
  <c r="K1014" i="19"/>
  <c r="L1022" i="19"/>
  <c r="O1022" i="19" s="1"/>
  <c r="P1022" i="19" s="1"/>
  <c r="K1022" i="19"/>
  <c r="K990" i="19"/>
  <c r="J1024" i="19"/>
  <c r="L1023" i="19"/>
  <c r="O1023" i="19" s="1"/>
  <c r="P1023" i="19" s="1"/>
  <c r="L1018" i="19"/>
  <c r="O1018" i="19" s="1"/>
  <c r="L1011" i="19"/>
  <c r="O1011" i="19" s="1"/>
  <c r="P1011" i="19" s="1"/>
  <c r="L1006" i="19"/>
  <c r="O1006" i="19" s="1"/>
  <c r="P1006" i="19" s="1"/>
  <c r="L994" i="19"/>
  <c r="O994" i="19" s="1"/>
  <c r="P994" i="19" s="1"/>
  <c r="K1018" i="19"/>
  <c r="K1010" i="19"/>
  <c r="K1002" i="19"/>
  <c r="K994" i="19"/>
  <c r="K986" i="19"/>
  <c r="J1000" i="19"/>
  <c r="L1014" i="19"/>
  <c r="O1014" i="19" s="1"/>
  <c r="P1014" i="19" s="1"/>
  <c r="L998" i="19"/>
  <c r="O998" i="19" s="1"/>
  <c r="P998" i="19" s="1"/>
  <c r="J1020" i="19"/>
  <c r="J1012" i="19"/>
  <c r="J1004" i="19"/>
  <c r="J996" i="19"/>
  <c r="J988" i="19"/>
  <c r="K1024" i="19"/>
  <c r="K1020" i="19"/>
  <c r="H1020" i="19" s="1"/>
  <c r="K1016" i="19"/>
  <c r="H1016" i="19" s="1"/>
  <c r="K1012" i="19"/>
  <c r="H1012" i="19" s="1"/>
  <c r="K1008" i="19"/>
  <c r="K1004" i="19"/>
  <c r="H1004" i="19" s="1"/>
  <c r="K1000" i="19"/>
  <c r="H1000" i="19" s="1"/>
  <c r="K996" i="19"/>
  <c r="K992" i="19"/>
  <c r="H992" i="19" s="1"/>
  <c r="K988" i="19"/>
  <c r="H988" i="19" s="1"/>
  <c r="K983" i="19"/>
  <c r="H983" i="19" s="1"/>
  <c r="J1023" i="19"/>
  <c r="J1019" i="19"/>
  <c r="J1011" i="19"/>
  <c r="J1007" i="19"/>
  <c r="J1003" i="19"/>
  <c r="J999" i="19"/>
  <c r="J995" i="19"/>
  <c r="J991" i="19"/>
  <c r="J987" i="19"/>
  <c r="P1020" i="19"/>
  <c r="P1012" i="19"/>
  <c r="P1004" i="19"/>
  <c r="P992" i="19"/>
  <c r="P1024" i="19"/>
  <c r="P1016" i="19"/>
  <c r="P1008" i="19"/>
  <c r="P1000" i="19"/>
  <c r="P996" i="19"/>
  <c r="P988" i="19"/>
  <c r="J984" i="19"/>
  <c r="L984" i="19"/>
  <c r="O984" i="19" s="1"/>
  <c r="P984" i="19" s="1"/>
  <c r="P1021" i="19"/>
  <c r="P1009" i="19"/>
  <c r="P993" i="19"/>
  <c r="P985" i="19"/>
  <c r="P983" i="19"/>
  <c r="I982" i="19"/>
  <c r="L982" i="19" s="1"/>
  <c r="O982" i="19" s="1"/>
  <c r="P982" i="19" s="1"/>
  <c r="I980" i="19"/>
  <c r="J980" i="19" s="1"/>
  <c r="I981" i="19"/>
  <c r="J981" i="19" s="1"/>
  <c r="H997" i="19" l="1"/>
  <c r="H1011" i="19"/>
  <c r="O1015" i="19"/>
  <c r="P1015" i="19" s="1"/>
  <c r="H1024" i="19"/>
  <c r="H1021" i="19"/>
  <c r="H1008" i="19"/>
  <c r="H1013" i="19"/>
  <c r="H1001" i="19"/>
  <c r="H989" i="19"/>
  <c r="H987" i="19"/>
  <c r="H1003" i="19"/>
  <c r="H1017" i="19"/>
  <c r="H1015" i="19"/>
  <c r="H1010" i="19"/>
  <c r="H1019" i="19"/>
  <c r="H1025" i="19"/>
  <c r="H1005" i="19"/>
  <c r="H1007" i="19"/>
  <c r="H999" i="19"/>
  <c r="H991" i="19"/>
  <c r="H1002" i="19"/>
  <c r="H1023" i="19"/>
  <c r="H990" i="19"/>
  <c r="H986" i="19"/>
  <c r="H1014" i="19"/>
  <c r="H1006" i="19"/>
  <c r="H1022" i="19"/>
  <c r="H984" i="19"/>
  <c r="K982" i="19"/>
  <c r="J982" i="19"/>
  <c r="K981" i="19"/>
  <c r="K980" i="19"/>
  <c r="L981" i="19"/>
  <c r="O981" i="19" s="1"/>
  <c r="P981" i="19" s="1"/>
  <c r="L980" i="19"/>
  <c r="O980" i="19" s="1"/>
  <c r="P980" i="19" s="1"/>
  <c r="I979" i="19"/>
  <c r="K979" i="19" s="1"/>
  <c r="H982" i="19" l="1"/>
  <c r="H980" i="19"/>
  <c r="H981" i="19"/>
  <c r="J979" i="19"/>
  <c r="L979" i="19"/>
  <c r="O979" i="19" s="1"/>
  <c r="P979" i="19" s="1"/>
  <c r="I978" i="19"/>
  <c r="L978" i="19" s="1"/>
  <c r="O978" i="19" s="1"/>
  <c r="P978" i="19" s="1"/>
  <c r="H979" i="19" l="1"/>
  <c r="K978" i="19"/>
  <c r="H978" i="19" s="1"/>
  <c r="J978" i="19"/>
  <c r="N666" i="19"/>
  <c r="I933" i="19" l="1"/>
  <c r="K933" i="19" s="1"/>
  <c r="R933" i="19"/>
  <c r="J933" i="19" l="1"/>
  <c r="L933" i="19"/>
  <c r="O933" i="19" s="1"/>
  <c r="P933" i="19" s="1"/>
  <c r="M871" i="19"/>
  <c r="H933" i="19" l="1"/>
  <c r="I924" i="19"/>
  <c r="I925" i="19"/>
  <c r="I926" i="19"/>
  <c r="J926" i="19" s="1"/>
  <c r="I927" i="19"/>
  <c r="J927" i="19" s="1"/>
  <c r="I928" i="19"/>
  <c r="O928" i="19" s="1"/>
  <c r="I929" i="19"/>
  <c r="J929" i="19" s="1"/>
  <c r="I930" i="19"/>
  <c r="J930" i="19" s="1"/>
  <c r="I931" i="19"/>
  <c r="J931" i="19" s="1"/>
  <c r="I932" i="19"/>
  <c r="K932" i="19" s="1"/>
  <c r="I934" i="19"/>
  <c r="K934" i="19" s="1"/>
  <c r="I935" i="19"/>
  <c r="J935" i="19" s="1"/>
  <c r="I936" i="19"/>
  <c r="J936" i="19" s="1"/>
  <c r="I937" i="19"/>
  <c r="L937" i="19" s="1"/>
  <c r="O937" i="19" s="1"/>
  <c r="I938" i="19"/>
  <c r="J938" i="19" s="1"/>
  <c r="I939" i="19"/>
  <c r="I940" i="19"/>
  <c r="J940" i="19" s="1"/>
  <c r="I941" i="19"/>
  <c r="K941" i="19" s="1"/>
  <c r="I942" i="19"/>
  <c r="K942" i="19" s="1"/>
  <c r="I943" i="19"/>
  <c r="J943" i="19" s="1"/>
  <c r="I944" i="19"/>
  <c r="J944" i="19" s="1"/>
  <c r="I945" i="19"/>
  <c r="J945" i="19" s="1"/>
  <c r="I946" i="19"/>
  <c r="K946" i="19" s="1"/>
  <c r="I947" i="19"/>
  <c r="J947" i="19" s="1"/>
  <c r="I948" i="19"/>
  <c r="J948" i="19" s="1"/>
  <c r="I949" i="19"/>
  <c r="K949" i="19" s="1"/>
  <c r="I950" i="19"/>
  <c r="L950" i="19" s="1"/>
  <c r="O950" i="19" s="1"/>
  <c r="I951" i="19"/>
  <c r="J951" i="19" s="1"/>
  <c r="I952" i="19"/>
  <c r="J952" i="19" s="1"/>
  <c r="I953" i="19"/>
  <c r="J953" i="19" s="1"/>
  <c r="I954" i="19"/>
  <c r="L954" i="19" s="1"/>
  <c r="O954" i="19" s="1"/>
  <c r="I955" i="19"/>
  <c r="J955" i="19" s="1"/>
  <c r="I956" i="19"/>
  <c r="J956" i="19" s="1"/>
  <c r="I957" i="19"/>
  <c r="K957" i="19" s="1"/>
  <c r="I958" i="19"/>
  <c r="K958" i="19" s="1"/>
  <c r="I959" i="19"/>
  <c r="J959" i="19" s="1"/>
  <c r="I960" i="19"/>
  <c r="J960" i="19" s="1"/>
  <c r="I961" i="19"/>
  <c r="L961" i="19" s="1"/>
  <c r="O961" i="19" s="1"/>
  <c r="I962" i="19"/>
  <c r="K962" i="19" s="1"/>
  <c r="I963" i="19"/>
  <c r="J963" i="19" s="1"/>
  <c r="I964" i="19"/>
  <c r="J964" i="19" s="1"/>
  <c r="I965" i="19"/>
  <c r="K965" i="19" s="1"/>
  <c r="I966" i="19"/>
  <c r="J966" i="19" s="1"/>
  <c r="I967" i="19"/>
  <c r="J967" i="19" s="1"/>
  <c r="I968" i="19"/>
  <c r="J968" i="19" s="1"/>
  <c r="I969" i="19"/>
  <c r="L969" i="19" s="1"/>
  <c r="O969" i="19" s="1"/>
  <c r="I970" i="19"/>
  <c r="O970" i="19" s="1"/>
  <c r="P970" i="19" s="1"/>
  <c r="I971" i="19"/>
  <c r="J971" i="19" s="1"/>
  <c r="I972" i="19"/>
  <c r="J972" i="19" s="1"/>
  <c r="I973" i="19"/>
  <c r="K973" i="19" s="1"/>
  <c r="I974" i="19"/>
  <c r="O974" i="19" s="1"/>
  <c r="P974" i="19" s="1"/>
  <c r="I976" i="19"/>
  <c r="J976" i="19" s="1"/>
  <c r="I977" i="19"/>
  <c r="J977" i="19" s="1"/>
  <c r="O926" i="19"/>
  <c r="R924" i="19"/>
  <c r="R925" i="19"/>
  <c r="R926" i="19"/>
  <c r="R927" i="19"/>
  <c r="R928" i="19"/>
  <c r="R929" i="19"/>
  <c r="R930" i="19"/>
  <c r="R931" i="19"/>
  <c r="R932" i="19"/>
  <c r="R934" i="19"/>
  <c r="R935" i="19"/>
  <c r="R936" i="19"/>
  <c r="R937" i="19"/>
  <c r="R938" i="19"/>
  <c r="R939" i="19"/>
  <c r="R940" i="19"/>
  <c r="R941" i="19"/>
  <c r="R942" i="19"/>
  <c r="R943" i="19"/>
  <c r="R944" i="19"/>
  <c r="R945" i="19"/>
  <c r="R946" i="19"/>
  <c r="R947" i="19"/>
  <c r="R948" i="19"/>
  <c r="R949" i="19"/>
  <c r="R952" i="19"/>
  <c r="R953" i="19"/>
  <c r="R954" i="19"/>
  <c r="R955" i="19"/>
  <c r="R956" i="19"/>
  <c r="R957" i="19"/>
  <c r="R958" i="19"/>
  <c r="R959" i="19"/>
  <c r="R960" i="19"/>
  <c r="R961" i="19"/>
  <c r="R962" i="19"/>
  <c r="R963" i="19"/>
  <c r="R964" i="19"/>
  <c r="R965" i="19"/>
  <c r="R966" i="19"/>
  <c r="R967" i="19"/>
  <c r="R968" i="19"/>
  <c r="R969" i="19"/>
  <c r="I923" i="19"/>
  <c r="R923" i="19"/>
  <c r="P969" i="19" l="1"/>
  <c r="J950" i="19"/>
  <c r="L953" i="19"/>
  <c r="O953" i="19" s="1"/>
  <c r="P953" i="19" s="1"/>
  <c r="K950" i="19"/>
  <c r="L929" i="19"/>
  <c r="O929" i="19" s="1"/>
  <c r="P929" i="19" s="1"/>
  <c r="J974" i="19"/>
  <c r="K966" i="19"/>
  <c r="O973" i="19"/>
  <c r="P973" i="19" s="1"/>
  <c r="K925" i="19"/>
  <c r="J925" i="19"/>
  <c r="L923" i="19"/>
  <c r="O923" i="19" s="1"/>
  <c r="P923" i="19" s="1"/>
  <c r="J923" i="19"/>
  <c r="K924" i="19"/>
  <c r="J924" i="19"/>
  <c r="K974" i="19"/>
  <c r="H974" i="19" s="1"/>
  <c r="K929" i="19"/>
  <c r="K954" i="19"/>
  <c r="J954" i="19"/>
  <c r="L941" i="19"/>
  <c r="O941" i="19" s="1"/>
  <c r="P941" i="19" s="1"/>
  <c r="J941" i="19"/>
  <c r="L966" i="19"/>
  <c r="O966" i="19" s="1"/>
  <c r="P966" i="19" s="1"/>
  <c r="J965" i="19"/>
  <c r="L965" i="19"/>
  <c r="O965" i="19" s="1"/>
  <c r="P965" i="19" s="1"/>
  <c r="J946" i="19"/>
  <c r="J942" i="19"/>
  <c r="L946" i="19"/>
  <c r="O946" i="19" s="1"/>
  <c r="P946" i="19" s="1"/>
  <c r="L945" i="19"/>
  <c r="O945" i="19" s="1"/>
  <c r="P945" i="19" s="1"/>
  <c r="K970" i="19"/>
  <c r="H970" i="19" s="1"/>
  <c r="L942" i="19"/>
  <c r="O942" i="19" s="1"/>
  <c r="P942" i="19" s="1"/>
  <c r="K928" i="19"/>
  <c r="J970" i="19"/>
  <c r="O939" i="19"/>
  <c r="P939" i="19" s="1"/>
  <c r="L938" i="19"/>
  <c r="O938" i="19" s="1"/>
  <c r="P938" i="19" s="1"/>
  <c r="J962" i="19"/>
  <c r="L934" i="19"/>
  <c r="O934" i="19" s="1"/>
  <c r="P934" i="19" s="1"/>
  <c r="J958" i="19"/>
  <c r="L932" i="19"/>
  <c r="O932" i="19" s="1"/>
  <c r="P932" i="19" s="1"/>
  <c r="J957" i="19"/>
  <c r="J934" i="19"/>
  <c r="K945" i="19"/>
  <c r="L958" i="19"/>
  <c r="O958" i="19" s="1"/>
  <c r="P958" i="19" s="1"/>
  <c r="L957" i="19"/>
  <c r="O957" i="19" s="1"/>
  <c r="P957" i="19" s="1"/>
  <c r="K938" i="19"/>
  <c r="J932" i="19"/>
  <c r="L962" i="19"/>
  <c r="O962" i="19" s="1"/>
  <c r="P962" i="19" s="1"/>
  <c r="K937" i="19"/>
  <c r="L959" i="19"/>
  <c r="O959" i="19" s="1"/>
  <c r="P959" i="19" s="1"/>
  <c r="L943" i="19"/>
  <c r="O943" i="19" s="1"/>
  <c r="P943" i="19" s="1"/>
  <c r="O976" i="19"/>
  <c r="P976" i="19" s="1"/>
  <c r="K961" i="19"/>
  <c r="K969" i="19"/>
  <c r="H969" i="19" s="1"/>
  <c r="J973" i="19"/>
  <c r="P971" i="19"/>
  <c r="L955" i="19"/>
  <c r="O955" i="19" s="1"/>
  <c r="P955" i="19" s="1"/>
  <c r="K953" i="19"/>
  <c r="J949" i="19"/>
  <c r="J969" i="19"/>
  <c r="J961" i="19"/>
  <c r="J937" i="19"/>
  <c r="J928" i="19"/>
  <c r="L949" i="19"/>
  <c r="O949" i="19" s="1"/>
  <c r="P949" i="19" s="1"/>
  <c r="O963" i="19"/>
  <c r="P963" i="19" s="1"/>
  <c r="L947" i="19"/>
  <c r="O947" i="19" s="1"/>
  <c r="P947" i="19" s="1"/>
  <c r="L930" i="19"/>
  <c r="O930" i="19" s="1"/>
  <c r="P930" i="19" s="1"/>
  <c r="K931" i="19"/>
  <c r="K964" i="19"/>
  <c r="H964" i="19" s="1"/>
  <c r="L967" i="19"/>
  <c r="O967" i="19" s="1"/>
  <c r="L951" i="19"/>
  <c r="O951" i="19" s="1"/>
  <c r="P951" i="19" s="1"/>
  <c r="O935" i="19"/>
  <c r="P935" i="19" s="1"/>
  <c r="O977" i="19"/>
  <c r="P977" i="19" s="1"/>
  <c r="O972" i="19"/>
  <c r="P972" i="19" s="1"/>
  <c r="L968" i="19"/>
  <c r="O964" i="19"/>
  <c r="P964" i="19" s="1"/>
  <c r="L960" i="19"/>
  <c r="O960" i="19" s="1"/>
  <c r="P960" i="19" s="1"/>
  <c r="L956" i="19"/>
  <c r="O956" i="19" s="1"/>
  <c r="P956" i="19" s="1"/>
  <c r="L952" i="19"/>
  <c r="O952" i="19" s="1"/>
  <c r="P952" i="19" s="1"/>
  <c r="L948" i="19"/>
  <c r="O948" i="19" s="1"/>
  <c r="P948" i="19" s="1"/>
  <c r="L944" i="19"/>
  <c r="O944" i="19" s="1"/>
  <c r="P944" i="19" s="1"/>
  <c r="L940" i="19"/>
  <c r="O940" i="19" s="1"/>
  <c r="P940" i="19" s="1"/>
  <c r="O936" i="19"/>
  <c r="P936" i="19" s="1"/>
  <c r="L931" i="19"/>
  <c r="O931" i="19" s="1"/>
  <c r="P931" i="19" s="1"/>
  <c r="L927" i="19"/>
  <c r="O927" i="19" s="1"/>
  <c r="P927" i="19" s="1"/>
  <c r="K968" i="19"/>
  <c r="K936" i="19"/>
  <c r="P926" i="19"/>
  <c r="K948" i="19"/>
  <c r="P954" i="19"/>
  <c r="K952" i="19"/>
  <c r="K927" i="19"/>
  <c r="P950" i="19"/>
  <c r="P961" i="19"/>
  <c r="P937" i="19"/>
  <c r="P928" i="19"/>
  <c r="K972" i="19"/>
  <c r="K956" i="19"/>
  <c r="K940" i="19"/>
  <c r="K977" i="19"/>
  <c r="K960" i="19"/>
  <c r="K944" i="19"/>
  <c r="K976" i="19"/>
  <c r="K971" i="19"/>
  <c r="K967" i="19"/>
  <c r="K963" i="19"/>
  <c r="H963" i="19" s="1"/>
  <c r="K959" i="19"/>
  <c r="K955" i="19"/>
  <c r="K951" i="19"/>
  <c r="K947" i="19"/>
  <c r="K943" i="19"/>
  <c r="K935" i="19"/>
  <c r="K930" i="19"/>
  <c r="K926" i="19"/>
  <c r="H926" i="19" s="1"/>
  <c r="K923" i="19"/>
  <c r="I922" i="19"/>
  <c r="J922" i="19" s="1"/>
  <c r="R922" i="19"/>
  <c r="H955" i="19" l="1"/>
  <c r="O968" i="19"/>
  <c r="P968" i="19" s="1"/>
  <c r="H973" i="19"/>
  <c r="H961" i="19"/>
  <c r="H956" i="19"/>
  <c r="H932" i="19"/>
  <c r="H954" i="19"/>
  <c r="H950" i="19"/>
  <c r="H937" i="19"/>
  <c r="H929" i="19"/>
  <c r="H976" i="19"/>
  <c r="H941" i="19"/>
  <c r="H971" i="19"/>
  <c r="H942" i="19"/>
  <c r="O924" i="19"/>
  <c r="P924" i="19" s="1"/>
  <c r="O925" i="19"/>
  <c r="P925" i="19" s="1"/>
  <c r="H966" i="19"/>
  <c r="H928" i="19"/>
  <c r="H938" i="19"/>
  <c r="H959" i="19"/>
  <c r="H946" i="19"/>
  <c r="H965" i="19"/>
  <c r="H945" i="19"/>
  <c r="H939" i="19"/>
  <c r="H943" i="19"/>
  <c r="H927" i="19"/>
  <c r="H934" i="19"/>
  <c r="H936" i="19"/>
  <c r="H957" i="19"/>
  <c r="H962" i="19"/>
  <c r="H958" i="19"/>
  <c r="H935" i="19"/>
  <c r="H947" i="19"/>
  <c r="H952" i="19"/>
  <c r="H951" i="19"/>
  <c r="H967" i="19"/>
  <c r="H960" i="19"/>
  <c r="H944" i="19"/>
  <c r="H930" i="19"/>
  <c r="H949" i="19"/>
  <c r="H977" i="19"/>
  <c r="H972" i="19"/>
  <c r="H940" i="19"/>
  <c r="H931" i="19"/>
  <c r="H925" i="19"/>
  <c r="H924" i="19"/>
  <c r="L922" i="19"/>
  <c r="K922" i="19"/>
  <c r="Q912" i="19"/>
  <c r="Q911" i="19"/>
  <c r="Q910" i="19"/>
  <c r="O922" i="19" l="1"/>
  <c r="P922" i="19" s="1"/>
  <c r="R911" i="19"/>
  <c r="I911" i="19"/>
  <c r="J911" i="19" l="1"/>
  <c r="L911" i="19"/>
  <c r="O911" i="19" s="1"/>
  <c r="P911" i="19" s="1"/>
  <c r="K911" i="19"/>
  <c r="M809" i="19"/>
  <c r="H911" i="19" l="1"/>
  <c r="AC666" i="19"/>
  <c r="Y666" i="19"/>
  <c r="X666" i="19"/>
  <c r="R897" i="19" l="1"/>
  <c r="R896" i="19"/>
  <c r="R895" i="19"/>
  <c r="H832" i="19" l="1"/>
  <c r="R846" i="19" l="1"/>
  <c r="O832" i="19" l="1"/>
  <c r="O833" i="19"/>
  <c r="I865" i="19" l="1"/>
  <c r="J865" i="19" s="1"/>
  <c r="R865" i="19"/>
  <c r="I868" i="19"/>
  <c r="L868" i="19" s="1"/>
  <c r="O868" i="19" s="1"/>
  <c r="R868" i="19"/>
  <c r="I866" i="19"/>
  <c r="J866" i="19" s="1"/>
  <c r="I867" i="19"/>
  <c r="J867" i="19" s="1"/>
  <c r="R866" i="19"/>
  <c r="R867" i="19"/>
  <c r="I869" i="19"/>
  <c r="L869" i="19" s="1"/>
  <c r="O869" i="19" s="1"/>
  <c r="R869" i="19"/>
  <c r="I870" i="19"/>
  <c r="J870" i="19" s="1"/>
  <c r="I871" i="19"/>
  <c r="J871" i="19" s="1"/>
  <c r="I872" i="19"/>
  <c r="K872" i="19" s="1"/>
  <c r="I873" i="19"/>
  <c r="L873" i="19" s="1"/>
  <c r="O873" i="19" s="1"/>
  <c r="I874" i="19"/>
  <c r="L874" i="19" s="1"/>
  <c r="O874" i="19" s="1"/>
  <c r="I875" i="19"/>
  <c r="J875" i="19" s="1"/>
  <c r="I876" i="19"/>
  <c r="L876" i="19" s="1"/>
  <c r="O876" i="19" s="1"/>
  <c r="I877" i="19"/>
  <c r="J877" i="19" s="1"/>
  <c r="I878" i="19"/>
  <c r="J878" i="19" s="1"/>
  <c r="I879" i="19"/>
  <c r="J879" i="19" s="1"/>
  <c r="I880" i="19"/>
  <c r="K880" i="19" s="1"/>
  <c r="I881" i="19"/>
  <c r="J881" i="19" s="1"/>
  <c r="I882" i="19"/>
  <c r="K882" i="19" s="1"/>
  <c r="I883" i="19"/>
  <c r="J883" i="19" s="1"/>
  <c r="I884" i="19"/>
  <c r="J884" i="19" s="1"/>
  <c r="I885" i="19"/>
  <c r="J885" i="19" s="1"/>
  <c r="I886" i="19"/>
  <c r="J886" i="19" s="1"/>
  <c r="I887" i="19"/>
  <c r="J887" i="19" s="1"/>
  <c r="I888" i="19"/>
  <c r="J888" i="19" s="1"/>
  <c r="I889" i="19"/>
  <c r="J889" i="19" s="1"/>
  <c r="I890" i="19"/>
  <c r="J890" i="19" s="1"/>
  <c r="I891" i="19"/>
  <c r="J891" i="19" s="1"/>
  <c r="I892" i="19"/>
  <c r="L892" i="19" s="1"/>
  <c r="O892" i="19" s="1"/>
  <c r="I893" i="19"/>
  <c r="J893" i="19" s="1"/>
  <c r="I894" i="19"/>
  <c r="J894" i="19" s="1"/>
  <c r="I895" i="19"/>
  <c r="J895" i="19" s="1"/>
  <c r="R870" i="19"/>
  <c r="R871" i="19"/>
  <c r="R872" i="19"/>
  <c r="R873" i="19"/>
  <c r="R874" i="19"/>
  <c r="R875" i="19"/>
  <c r="R876" i="19"/>
  <c r="R877" i="19"/>
  <c r="R878" i="19"/>
  <c r="R879" i="19"/>
  <c r="R880" i="19"/>
  <c r="R881" i="19"/>
  <c r="R882" i="19"/>
  <c r="R883" i="19"/>
  <c r="R884" i="19"/>
  <c r="R885" i="19"/>
  <c r="R886" i="19"/>
  <c r="R887" i="19"/>
  <c r="R888" i="19"/>
  <c r="R889" i="19"/>
  <c r="R890" i="19"/>
  <c r="R891" i="19"/>
  <c r="R892" i="19"/>
  <c r="R893" i="19"/>
  <c r="R894" i="19"/>
  <c r="I896" i="19"/>
  <c r="I897" i="19"/>
  <c r="I898" i="19"/>
  <c r="J898" i="19" s="1"/>
  <c r="I899" i="19"/>
  <c r="J899" i="19" s="1"/>
  <c r="I900" i="19"/>
  <c r="L900" i="19" s="1"/>
  <c r="O900" i="19" s="1"/>
  <c r="I901" i="19"/>
  <c r="J901" i="19" s="1"/>
  <c r="I902" i="19"/>
  <c r="J902" i="19" s="1"/>
  <c r="I903" i="19"/>
  <c r="J903" i="19" s="1"/>
  <c r="I904" i="19"/>
  <c r="J904" i="19" s="1"/>
  <c r="I905" i="19"/>
  <c r="K905" i="19" s="1"/>
  <c r="I906" i="19"/>
  <c r="J906" i="19" s="1"/>
  <c r="I907" i="19"/>
  <c r="J907" i="19" s="1"/>
  <c r="I908" i="19"/>
  <c r="K908" i="19" s="1"/>
  <c r="R898" i="19"/>
  <c r="R899" i="19"/>
  <c r="R900" i="19"/>
  <c r="R901" i="19"/>
  <c r="R902" i="19"/>
  <c r="R903" i="19"/>
  <c r="R904" i="19"/>
  <c r="R905" i="19"/>
  <c r="R906" i="19"/>
  <c r="R907" i="19"/>
  <c r="R908" i="19"/>
  <c r="J872" i="19" l="1"/>
  <c r="J873" i="19"/>
  <c r="K889" i="19"/>
  <c r="K888" i="19"/>
  <c r="K876" i="19"/>
  <c r="J880" i="19"/>
  <c r="L866" i="19"/>
  <c r="O866" i="19" s="1"/>
  <c r="P866" i="19" s="1"/>
  <c r="K877" i="19"/>
  <c r="K894" i="19"/>
  <c r="L890" i="19"/>
  <c r="O890" i="19" s="1"/>
  <c r="P890" i="19" s="1"/>
  <c r="K873" i="19"/>
  <c r="H873" i="19" s="1"/>
  <c r="K881" i="19"/>
  <c r="K870" i="19"/>
  <c r="K885" i="19"/>
  <c r="K893" i="19"/>
  <c r="K886" i="19"/>
  <c r="L886" i="19"/>
  <c r="O886" i="19" s="1"/>
  <c r="P886" i="19" s="1"/>
  <c r="L882" i="19"/>
  <c r="O882" i="19" s="1"/>
  <c r="P882" i="19" s="1"/>
  <c r="K890" i="19"/>
  <c r="L894" i="19"/>
  <c r="O894" i="19" s="1"/>
  <c r="P894" i="19" s="1"/>
  <c r="L878" i="19"/>
  <c r="O878" i="19" s="1"/>
  <c r="P878" i="19" s="1"/>
  <c r="K878" i="19"/>
  <c r="K874" i="19"/>
  <c r="J874" i="19"/>
  <c r="K866" i="19"/>
  <c r="K865" i="19"/>
  <c r="L865" i="19"/>
  <c r="O865" i="19" s="1"/>
  <c r="L908" i="19"/>
  <c r="O908" i="19" s="1"/>
  <c r="P908" i="19" s="1"/>
  <c r="L888" i="19"/>
  <c r="O888" i="19" s="1"/>
  <c r="P888" i="19" s="1"/>
  <c r="L880" i="19"/>
  <c r="O880" i="19" s="1"/>
  <c r="P880" i="19" s="1"/>
  <c r="K892" i="19"/>
  <c r="J892" i="19"/>
  <c r="J876" i="19"/>
  <c r="K868" i="19"/>
  <c r="L872" i="19"/>
  <c r="O872" i="19" s="1"/>
  <c r="P872" i="19" s="1"/>
  <c r="J868" i="19"/>
  <c r="L884" i="19"/>
  <c r="O884" i="19" s="1"/>
  <c r="P884" i="19" s="1"/>
  <c r="K884" i="19"/>
  <c r="P868" i="19"/>
  <c r="L905" i="19"/>
  <c r="O905" i="19" s="1"/>
  <c r="P905" i="19" s="1"/>
  <c r="J905" i="19"/>
  <c r="K867" i="19"/>
  <c r="L901" i="19"/>
  <c r="O901" i="19" s="1"/>
  <c r="P901" i="19" s="1"/>
  <c r="J882" i="19"/>
  <c r="K900" i="19"/>
  <c r="P873" i="19"/>
  <c r="L867" i="19"/>
  <c r="O867" i="19" s="1"/>
  <c r="P867" i="19" s="1"/>
  <c r="P876" i="19"/>
  <c r="K895" i="19"/>
  <c r="K891" i="19"/>
  <c r="K887" i="19"/>
  <c r="K883" i="19"/>
  <c r="K879" i="19"/>
  <c r="K875" i="19"/>
  <c r="K871" i="19"/>
  <c r="J869" i="19"/>
  <c r="L903" i="19"/>
  <c r="O903" i="19" s="1"/>
  <c r="P903" i="19" s="1"/>
  <c r="K901" i="19"/>
  <c r="P892" i="19"/>
  <c r="K869" i="19"/>
  <c r="P900" i="19"/>
  <c r="L889" i="19"/>
  <c r="O889" i="19" s="1"/>
  <c r="P889" i="19" s="1"/>
  <c r="P869" i="19"/>
  <c r="L893" i="19"/>
  <c r="O893" i="19" s="1"/>
  <c r="P893" i="19" s="1"/>
  <c r="L877" i="19"/>
  <c r="O877" i="19" s="1"/>
  <c r="P877" i="19" s="1"/>
  <c r="L904" i="19"/>
  <c r="O904" i="19" s="1"/>
  <c r="P904" i="19" s="1"/>
  <c r="L881" i="19"/>
  <c r="O881" i="19" s="1"/>
  <c r="P881" i="19" s="1"/>
  <c r="J900" i="19"/>
  <c r="J908" i="19"/>
  <c r="L885" i="19"/>
  <c r="O885" i="19" s="1"/>
  <c r="P885" i="19" s="1"/>
  <c r="P874" i="19"/>
  <c r="L870" i="19"/>
  <c r="O870" i="19" s="1"/>
  <c r="P870" i="19" s="1"/>
  <c r="L907" i="19"/>
  <c r="O907" i="19" s="1"/>
  <c r="P907" i="19" s="1"/>
  <c r="K904" i="19"/>
  <c r="K899" i="19"/>
  <c r="K903" i="19"/>
  <c r="L895" i="19"/>
  <c r="O895" i="19" s="1"/>
  <c r="P895" i="19" s="1"/>
  <c r="L891" i="19"/>
  <c r="O891" i="19" s="1"/>
  <c r="P891" i="19" s="1"/>
  <c r="L887" i="19"/>
  <c r="O887" i="19" s="1"/>
  <c r="P887" i="19" s="1"/>
  <c r="L883" i="19"/>
  <c r="O883" i="19" s="1"/>
  <c r="P883" i="19" s="1"/>
  <c r="L879" i="19"/>
  <c r="O879" i="19" s="1"/>
  <c r="P879" i="19" s="1"/>
  <c r="L875" i="19"/>
  <c r="O875" i="19" s="1"/>
  <c r="L871" i="19"/>
  <c r="O871" i="19" s="1"/>
  <c r="P871" i="19" s="1"/>
  <c r="L899" i="19"/>
  <c r="O899" i="19" s="1"/>
  <c r="P899" i="19" s="1"/>
  <c r="K907" i="19"/>
  <c r="L906" i="19"/>
  <c r="O906" i="19" s="1"/>
  <c r="P906" i="19" s="1"/>
  <c r="L902" i="19"/>
  <c r="O902" i="19" s="1"/>
  <c r="P902" i="19" s="1"/>
  <c r="L898" i="19"/>
  <c r="O898" i="19" s="1"/>
  <c r="P898" i="19" s="1"/>
  <c r="K906" i="19"/>
  <c r="K902" i="19"/>
  <c r="K898" i="19"/>
  <c r="I849" i="19"/>
  <c r="J849" i="19" s="1"/>
  <c r="I850" i="19"/>
  <c r="J850" i="19" s="1"/>
  <c r="I851" i="19"/>
  <c r="L851" i="19" s="1"/>
  <c r="O851" i="19" s="1"/>
  <c r="I852" i="19"/>
  <c r="J852" i="19" s="1"/>
  <c r="I853" i="19"/>
  <c r="J853" i="19" s="1"/>
  <c r="I854" i="19"/>
  <c r="J854" i="19" s="1"/>
  <c r="I855" i="19"/>
  <c r="J855" i="19" s="1"/>
  <c r="I856" i="19"/>
  <c r="K856" i="19" s="1"/>
  <c r="I857" i="19"/>
  <c r="J857" i="19" s="1"/>
  <c r="I858" i="19"/>
  <c r="J858" i="19" s="1"/>
  <c r="I859" i="19"/>
  <c r="J859" i="19" s="1"/>
  <c r="I860" i="19"/>
  <c r="J860" i="19" s="1"/>
  <c r="I861" i="19"/>
  <c r="K861" i="19" s="1"/>
  <c r="I862" i="19"/>
  <c r="J862" i="19" s="1"/>
  <c r="R849" i="19"/>
  <c r="R850" i="19"/>
  <c r="R851" i="19"/>
  <c r="R852" i="19"/>
  <c r="R853" i="19"/>
  <c r="R854" i="19"/>
  <c r="R855" i="19"/>
  <c r="R856" i="19"/>
  <c r="R857" i="19"/>
  <c r="R858" i="19"/>
  <c r="R859" i="19"/>
  <c r="R860" i="19"/>
  <c r="R861" i="19"/>
  <c r="R862" i="19"/>
  <c r="I848" i="19"/>
  <c r="J848" i="19" s="1"/>
  <c r="I863" i="19"/>
  <c r="L863" i="19" s="1"/>
  <c r="O863" i="19" s="1"/>
  <c r="I864" i="19"/>
  <c r="L864" i="19" s="1"/>
  <c r="O864" i="19" s="1"/>
  <c r="I909" i="19"/>
  <c r="J909" i="19" s="1"/>
  <c r="I910" i="19"/>
  <c r="I912" i="19"/>
  <c r="I913" i="19"/>
  <c r="K913" i="19" s="1"/>
  <c r="R848" i="19"/>
  <c r="R863" i="19"/>
  <c r="R864" i="19"/>
  <c r="R909" i="19"/>
  <c r="R910" i="19"/>
  <c r="R912" i="19"/>
  <c r="R913" i="19"/>
  <c r="I914" i="19"/>
  <c r="K914" i="19" s="1"/>
  <c r="I915" i="19"/>
  <c r="K915" i="19" s="1"/>
  <c r="I916" i="19"/>
  <c r="L916" i="19" s="1"/>
  <c r="O916" i="19" s="1"/>
  <c r="I917" i="19"/>
  <c r="J917" i="19" s="1"/>
  <c r="R914" i="19"/>
  <c r="R915" i="19"/>
  <c r="R916" i="19"/>
  <c r="R917" i="19"/>
  <c r="H905" i="19" l="1"/>
  <c r="H881" i="19"/>
  <c r="P916" i="19"/>
  <c r="L910" i="19"/>
  <c r="O910" i="19" s="1"/>
  <c r="P910" i="19" s="1"/>
  <c r="J910" i="19"/>
  <c r="K910" i="19"/>
  <c r="K912" i="19"/>
  <c r="J912" i="19"/>
  <c r="L912" i="19"/>
  <c r="O912" i="19" s="1"/>
  <c r="P912" i="19" s="1"/>
  <c r="J913" i="19"/>
  <c r="H899" i="19"/>
  <c r="K909" i="19"/>
  <c r="L909" i="19"/>
  <c r="O909" i="19" s="1"/>
  <c r="P909" i="19" s="1"/>
  <c r="K863" i="19"/>
  <c r="J863" i="19"/>
  <c r="L913" i="19"/>
  <c r="O913" i="19" s="1"/>
  <c r="P913" i="19" s="1"/>
  <c r="O897" i="19"/>
  <c r="O896" i="19"/>
  <c r="L848" i="19"/>
  <c r="O848" i="19" s="1"/>
  <c r="K864" i="19"/>
  <c r="J864" i="19"/>
  <c r="K848" i="19"/>
  <c r="J851" i="19"/>
  <c r="H869" i="19"/>
  <c r="H900" i="19"/>
  <c r="H894" i="19"/>
  <c r="H876" i="19"/>
  <c r="J915" i="19"/>
  <c r="J914" i="19"/>
  <c r="J916" i="19"/>
  <c r="H892" i="19"/>
  <c r="H874" i="19"/>
  <c r="H868" i="19"/>
  <c r="H866" i="19"/>
  <c r="H890" i="19"/>
  <c r="H882" i="19"/>
  <c r="H901" i="19"/>
  <c r="H907" i="19"/>
  <c r="H884" i="19"/>
  <c r="H903" i="19"/>
  <c r="H908" i="19"/>
  <c r="H886" i="19"/>
  <c r="H888" i="19"/>
  <c r="H889" i="19"/>
  <c r="H878" i="19"/>
  <c r="H880" i="19"/>
  <c r="H865" i="19"/>
  <c r="H872" i="19"/>
  <c r="H897" i="19"/>
  <c r="L859" i="19"/>
  <c r="O859" i="19" s="1"/>
  <c r="H885" i="19"/>
  <c r="H893" i="19"/>
  <c r="H867" i="19"/>
  <c r="K854" i="19"/>
  <c r="K850" i="19"/>
  <c r="L853" i="19"/>
  <c r="O853" i="19" s="1"/>
  <c r="J861" i="19"/>
  <c r="H904" i="19"/>
  <c r="L915" i="19"/>
  <c r="O915" i="19" s="1"/>
  <c r="P915" i="19" s="1"/>
  <c r="K858" i="19"/>
  <c r="H877" i="19"/>
  <c r="H870" i="19"/>
  <c r="H883" i="19"/>
  <c r="L861" i="19"/>
  <c r="O861" i="19" s="1"/>
  <c r="L849" i="19"/>
  <c r="O849" i="19" s="1"/>
  <c r="K853" i="19"/>
  <c r="H871" i="19"/>
  <c r="H887" i="19"/>
  <c r="H902" i="19"/>
  <c r="H896" i="19"/>
  <c r="H875" i="19"/>
  <c r="H891" i="19"/>
  <c r="L914" i="19"/>
  <c r="O914" i="19" s="1"/>
  <c r="P914" i="19" s="1"/>
  <c r="L857" i="19"/>
  <c r="O857" i="19" s="1"/>
  <c r="K857" i="19"/>
  <c r="K849" i="19"/>
  <c r="H906" i="19"/>
  <c r="H879" i="19"/>
  <c r="H895" i="19"/>
  <c r="K859" i="19"/>
  <c r="K851" i="19"/>
  <c r="H898" i="19"/>
  <c r="L856" i="19"/>
  <c r="O856" i="19" s="1"/>
  <c r="K855" i="19"/>
  <c r="L855" i="19"/>
  <c r="O855" i="19" s="1"/>
  <c r="L860" i="19"/>
  <c r="O860" i="19" s="1"/>
  <c r="K862" i="19"/>
  <c r="J856" i="19"/>
  <c r="K860" i="19"/>
  <c r="K852" i="19"/>
  <c r="L852" i="19"/>
  <c r="O852" i="19" s="1"/>
  <c r="K916" i="19"/>
  <c r="L862" i="19"/>
  <c r="O862" i="19" s="1"/>
  <c r="L858" i="19"/>
  <c r="O858" i="19" s="1"/>
  <c r="L854" i="19"/>
  <c r="O854" i="19" s="1"/>
  <c r="L850" i="19"/>
  <c r="O850" i="19" s="1"/>
  <c r="L917" i="19"/>
  <c r="O917" i="19" s="1"/>
  <c r="P917" i="19" s="1"/>
  <c r="K917" i="19"/>
  <c r="I845" i="19"/>
  <c r="J845" i="19" s="1"/>
  <c r="R845" i="19"/>
  <c r="I846" i="19"/>
  <c r="J846" i="19" s="1"/>
  <c r="H916" i="19" l="1"/>
  <c r="H912" i="19"/>
  <c r="H910" i="19"/>
  <c r="H909" i="19"/>
  <c r="H913" i="19"/>
  <c r="H914" i="19"/>
  <c r="H915" i="19"/>
  <c r="H917" i="19"/>
  <c r="L845" i="19"/>
  <c r="O845" i="19" s="1"/>
  <c r="P845" i="19" s="1"/>
  <c r="K845" i="19"/>
  <c r="L846" i="19"/>
  <c r="O846" i="19" s="1"/>
  <c r="P846" i="19" s="1"/>
  <c r="K846" i="19"/>
  <c r="R649" i="19"/>
  <c r="O649" i="19"/>
  <c r="I649" i="19"/>
  <c r="H845" i="19" l="1"/>
  <c r="H846" i="19"/>
  <c r="P649" i="19"/>
  <c r="I835" i="19"/>
  <c r="O835" i="19" s="1"/>
  <c r="R835" i="19"/>
  <c r="P835" i="19" l="1"/>
  <c r="H835" i="19"/>
  <c r="U166" i="19"/>
  <c r="U165" i="19"/>
  <c r="U164" i="19"/>
  <c r="U129" i="19"/>
  <c r="U128" i="19"/>
  <c r="U127" i="19"/>
  <c r="U126" i="19"/>
  <c r="H656" i="19" l="1"/>
  <c r="H719" i="19"/>
  <c r="H763" i="19"/>
  <c r="H764" i="19"/>
  <c r="R827" i="19" l="1"/>
  <c r="O469" i="19"/>
  <c r="O656" i="19"/>
  <c r="O717" i="19"/>
  <c r="O719" i="19"/>
  <c r="O763" i="19"/>
  <c r="O764" i="19"/>
  <c r="M391" i="19" l="1"/>
  <c r="R133" i="19"/>
  <c r="N143" i="19" l="1"/>
  <c r="R2" i="19" l="1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R185" i="19"/>
  <c r="R186" i="19"/>
  <c r="R187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225" i="19"/>
  <c r="R226" i="19"/>
  <c r="R227" i="19"/>
  <c r="R228" i="19"/>
  <c r="R229" i="19"/>
  <c r="R230" i="19"/>
  <c r="R231" i="19"/>
  <c r="R232" i="19"/>
  <c r="R233" i="19"/>
  <c r="R234" i="19"/>
  <c r="R235" i="19"/>
  <c r="R236" i="19"/>
  <c r="R237" i="19"/>
  <c r="R238" i="19"/>
  <c r="R239" i="19"/>
  <c r="R240" i="19"/>
  <c r="R241" i="19"/>
  <c r="R242" i="19"/>
  <c r="R243" i="19"/>
  <c r="R244" i="19"/>
  <c r="R245" i="19"/>
  <c r="R246" i="19"/>
  <c r="R247" i="19"/>
  <c r="R248" i="19"/>
  <c r="R249" i="19"/>
  <c r="R250" i="19"/>
  <c r="R251" i="19"/>
  <c r="R252" i="19"/>
  <c r="R253" i="19"/>
  <c r="R254" i="19"/>
  <c r="R255" i="19"/>
  <c r="R256" i="19"/>
  <c r="R257" i="19"/>
  <c r="R258" i="19"/>
  <c r="R259" i="19"/>
  <c r="R260" i="19"/>
  <c r="R261" i="19"/>
  <c r="R262" i="19"/>
  <c r="R263" i="19"/>
  <c r="R264" i="19"/>
  <c r="R265" i="19"/>
  <c r="R266" i="19"/>
  <c r="R267" i="19"/>
  <c r="R268" i="19"/>
  <c r="R269" i="19"/>
  <c r="R270" i="19"/>
  <c r="R271" i="19"/>
  <c r="R272" i="19"/>
  <c r="R273" i="19"/>
  <c r="R274" i="19"/>
  <c r="R275" i="19"/>
  <c r="R276" i="19"/>
  <c r="R277" i="19"/>
  <c r="R278" i="19"/>
  <c r="R279" i="19"/>
  <c r="R280" i="19"/>
  <c r="R281" i="19"/>
  <c r="R282" i="19"/>
  <c r="R283" i="19"/>
  <c r="R284" i="19"/>
  <c r="R285" i="19"/>
  <c r="R286" i="19"/>
  <c r="R287" i="19"/>
  <c r="R288" i="19"/>
  <c r="R289" i="19"/>
  <c r="R290" i="19"/>
  <c r="R291" i="19"/>
  <c r="R292" i="19"/>
  <c r="R293" i="19"/>
  <c r="R294" i="19"/>
  <c r="R295" i="19"/>
  <c r="R296" i="19"/>
  <c r="R297" i="19"/>
  <c r="R298" i="19"/>
  <c r="R299" i="19"/>
  <c r="R300" i="19"/>
  <c r="R301" i="19"/>
  <c r="R302" i="19"/>
  <c r="R303" i="19"/>
  <c r="R304" i="19"/>
  <c r="R305" i="19"/>
  <c r="R306" i="19"/>
  <c r="R307" i="19"/>
  <c r="R308" i="19"/>
  <c r="R309" i="19"/>
  <c r="R310" i="19"/>
  <c r="R311" i="19"/>
  <c r="R312" i="19"/>
  <c r="R313" i="19"/>
  <c r="R314" i="19"/>
  <c r="R315" i="19"/>
  <c r="R316" i="19"/>
  <c r="R317" i="19"/>
  <c r="R318" i="19"/>
  <c r="R319" i="19"/>
  <c r="R320" i="19"/>
  <c r="R321" i="19"/>
  <c r="R322" i="19"/>
  <c r="R323" i="19"/>
  <c r="R324" i="19"/>
  <c r="R325" i="19"/>
  <c r="R326" i="19"/>
  <c r="R327" i="19"/>
  <c r="R328" i="19"/>
  <c r="R329" i="19"/>
  <c r="R330" i="19"/>
  <c r="R331" i="19"/>
  <c r="R332" i="19"/>
  <c r="R333" i="19"/>
  <c r="R334" i="19"/>
  <c r="R335" i="19"/>
  <c r="R336" i="19"/>
  <c r="R337" i="19"/>
  <c r="R338" i="19"/>
  <c r="R339" i="19"/>
  <c r="R340" i="19"/>
  <c r="R341" i="19"/>
  <c r="R342" i="19"/>
  <c r="R343" i="19"/>
  <c r="R344" i="19"/>
  <c r="R345" i="19"/>
  <c r="R346" i="19"/>
  <c r="R347" i="19"/>
  <c r="R348" i="19"/>
  <c r="R349" i="19"/>
  <c r="R350" i="19"/>
  <c r="R351" i="19"/>
  <c r="R352" i="19"/>
  <c r="R353" i="19"/>
  <c r="R354" i="19"/>
  <c r="R355" i="19"/>
  <c r="R356" i="19"/>
  <c r="R357" i="19"/>
  <c r="R358" i="19"/>
  <c r="R359" i="19"/>
  <c r="R360" i="19"/>
  <c r="R361" i="19"/>
  <c r="R362" i="19"/>
  <c r="R363" i="19"/>
  <c r="R364" i="19"/>
  <c r="R365" i="19"/>
  <c r="R366" i="19"/>
  <c r="R367" i="19"/>
  <c r="R368" i="19"/>
  <c r="R369" i="19"/>
  <c r="R370" i="19"/>
  <c r="R371" i="19"/>
  <c r="R372" i="19"/>
  <c r="R373" i="19"/>
  <c r="R374" i="19"/>
  <c r="R375" i="19"/>
  <c r="R376" i="19"/>
  <c r="R377" i="19"/>
  <c r="R378" i="19"/>
  <c r="R379" i="19"/>
  <c r="R380" i="19"/>
  <c r="R381" i="19"/>
  <c r="R382" i="19"/>
  <c r="R383" i="19"/>
  <c r="R384" i="19"/>
  <c r="R385" i="19"/>
  <c r="R386" i="19"/>
  <c r="R387" i="19"/>
  <c r="R388" i="19"/>
  <c r="R389" i="19"/>
  <c r="R390" i="19"/>
  <c r="R391" i="19"/>
  <c r="R392" i="19"/>
  <c r="R393" i="19"/>
  <c r="R394" i="19"/>
  <c r="R395" i="19"/>
  <c r="R396" i="19"/>
  <c r="R397" i="19"/>
  <c r="R398" i="19"/>
  <c r="R399" i="19"/>
  <c r="R400" i="19"/>
  <c r="R401" i="19"/>
  <c r="R402" i="19"/>
  <c r="R403" i="19"/>
  <c r="R404" i="19"/>
  <c r="R405" i="19"/>
  <c r="R406" i="19"/>
  <c r="R407" i="19"/>
  <c r="R408" i="19"/>
  <c r="R409" i="19"/>
  <c r="R410" i="19"/>
  <c r="R411" i="19"/>
  <c r="R412" i="19"/>
  <c r="R413" i="19"/>
  <c r="R414" i="19"/>
  <c r="R415" i="19"/>
  <c r="R416" i="19"/>
  <c r="R417" i="19"/>
  <c r="R418" i="19"/>
  <c r="R419" i="19"/>
  <c r="R420" i="19"/>
  <c r="R421" i="19"/>
  <c r="R422" i="19"/>
  <c r="R423" i="19"/>
  <c r="R424" i="19"/>
  <c r="R425" i="19"/>
  <c r="R426" i="19"/>
  <c r="R427" i="19"/>
  <c r="R428" i="19"/>
  <c r="R429" i="19"/>
  <c r="R430" i="19"/>
  <c r="R431" i="19"/>
  <c r="R432" i="19"/>
  <c r="R433" i="19"/>
  <c r="R434" i="19"/>
  <c r="R435" i="19"/>
  <c r="R436" i="19"/>
  <c r="R437" i="19"/>
  <c r="R438" i="19"/>
  <c r="R439" i="19"/>
  <c r="R440" i="19"/>
  <c r="R441" i="19"/>
  <c r="R442" i="19"/>
  <c r="R443" i="19"/>
  <c r="R444" i="19"/>
  <c r="R445" i="19"/>
  <c r="R446" i="19"/>
  <c r="R447" i="19"/>
  <c r="R448" i="19"/>
  <c r="R449" i="19"/>
  <c r="R450" i="19"/>
  <c r="R451" i="19"/>
  <c r="R452" i="19"/>
  <c r="R453" i="19"/>
  <c r="R454" i="19"/>
  <c r="R455" i="19"/>
  <c r="R456" i="19"/>
  <c r="R457" i="19"/>
  <c r="R458" i="19"/>
  <c r="R459" i="19"/>
  <c r="R460" i="19"/>
  <c r="R461" i="19"/>
  <c r="R462" i="19"/>
  <c r="R463" i="19"/>
  <c r="R464" i="19"/>
  <c r="R465" i="19"/>
  <c r="R466" i="19"/>
  <c r="R467" i="19"/>
  <c r="R468" i="19"/>
  <c r="R469" i="19"/>
  <c r="R470" i="19"/>
  <c r="R471" i="19"/>
  <c r="R472" i="19"/>
  <c r="R473" i="19"/>
  <c r="R474" i="19"/>
  <c r="R475" i="19"/>
  <c r="R476" i="19"/>
  <c r="R477" i="19"/>
  <c r="R478" i="19"/>
  <c r="R479" i="19"/>
  <c r="R480" i="19"/>
  <c r="R481" i="19"/>
  <c r="R482" i="19"/>
  <c r="R483" i="19"/>
  <c r="R484" i="19"/>
  <c r="R485" i="19"/>
  <c r="R486" i="19"/>
  <c r="R487" i="19"/>
  <c r="R488" i="19"/>
  <c r="R489" i="19"/>
  <c r="R490" i="19"/>
  <c r="R491" i="19"/>
  <c r="R492" i="19"/>
  <c r="R493" i="19"/>
  <c r="R494" i="19"/>
  <c r="R495" i="19"/>
  <c r="R496" i="19"/>
  <c r="R497" i="19"/>
  <c r="R498" i="19"/>
  <c r="R499" i="19"/>
  <c r="R500" i="19"/>
  <c r="R501" i="19"/>
  <c r="R502" i="19"/>
  <c r="R503" i="19"/>
  <c r="R504" i="19"/>
  <c r="R505" i="19"/>
  <c r="R506" i="19"/>
  <c r="R507" i="19"/>
  <c r="R508" i="19"/>
  <c r="R509" i="19"/>
  <c r="R510" i="19"/>
  <c r="R511" i="19"/>
  <c r="R512" i="19"/>
  <c r="R513" i="19"/>
  <c r="R514" i="19"/>
  <c r="R515" i="19"/>
  <c r="R516" i="19"/>
  <c r="R517" i="19"/>
  <c r="R518" i="19"/>
  <c r="R519" i="19"/>
  <c r="R520" i="19"/>
  <c r="R521" i="19"/>
  <c r="R522" i="19"/>
  <c r="R523" i="19"/>
  <c r="R524" i="19"/>
  <c r="R525" i="19"/>
  <c r="R526" i="19"/>
  <c r="R527" i="19"/>
  <c r="R528" i="19"/>
  <c r="R529" i="19"/>
  <c r="R530" i="19"/>
  <c r="R531" i="19"/>
  <c r="R532" i="19"/>
  <c r="R533" i="19"/>
  <c r="R534" i="19"/>
  <c r="R535" i="19"/>
  <c r="R536" i="19"/>
  <c r="R537" i="19"/>
  <c r="R538" i="19"/>
  <c r="R539" i="19"/>
  <c r="R540" i="19"/>
  <c r="R541" i="19"/>
  <c r="R542" i="19"/>
  <c r="R543" i="19"/>
  <c r="R544" i="19"/>
  <c r="R545" i="19"/>
  <c r="R546" i="19"/>
  <c r="R547" i="19"/>
  <c r="R548" i="19"/>
  <c r="R549" i="19"/>
  <c r="R550" i="19"/>
  <c r="R551" i="19"/>
  <c r="R552" i="19"/>
  <c r="R553" i="19"/>
  <c r="R554" i="19"/>
  <c r="R555" i="19"/>
  <c r="R556" i="19"/>
  <c r="R557" i="19"/>
  <c r="R558" i="19"/>
  <c r="R559" i="19"/>
  <c r="R560" i="19"/>
  <c r="R561" i="19"/>
  <c r="R562" i="19"/>
  <c r="R563" i="19"/>
  <c r="R564" i="19"/>
  <c r="R565" i="19"/>
  <c r="R566" i="19"/>
  <c r="R567" i="19"/>
  <c r="R568" i="19"/>
  <c r="R569" i="19"/>
  <c r="R570" i="19"/>
  <c r="R571" i="19"/>
  <c r="R572" i="19"/>
  <c r="R573" i="19"/>
  <c r="R574" i="19"/>
  <c r="R575" i="19"/>
  <c r="R576" i="19"/>
  <c r="R577" i="19"/>
  <c r="R578" i="19"/>
  <c r="R579" i="19"/>
  <c r="R580" i="19"/>
  <c r="R581" i="19"/>
  <c r="R582" i="19"/>
  <c r="R583" i="19"/>
  <c r="R584" i="19"/>
  <c r="R585" i="19"/>
  <c r="R586" i="19"/>
  <c r="R587" i="19"/>
  <c r="R588" i="19"/>
  <c r="R589" i="19"/>
  <c r="R590" i="19"/>
  <c r="R591" i="19"/>
  <c r="R592" i="19"/>
  <c r="R593" i="19"/>
  <c r="R594" i="19"/>
  <c r="R595" i="19"/>
  <c r="R596" i="19"/>
  <c r="R597" i="19"/>
  <c r="R598" i="19"/>
  <c r="R599" i="19"/>
  <c r="R600" i="19"/>
  <c r="R601" i="19"/>
  <c r="R602" i="19"/>
  <c r="R603" i="19"/>
  <c r="R604" i="19"/>
  <c r="R605" i="19"/>
  <c r="R606" i="19"/>
  <c r="R607" i="19"/>
  <c r="R608" i="19"/>
  <c r="R609" i="19"/>
  <c r="R610" i="19"/>
  <c r="R611" i="19"/>
  <c r="R612" i="19"/>
  <c r="R613" i="19"/>
  <c r="R614" i="19"/>
  <c r="R615" i="19"/>
  <c r="R616" i="19"/>
  <c r="R617" i="19"/>
  <c r="R618" i="19"/>
  <c r="R619" i="19"/>
  <c r="R620" i="19"/>
  <c r="R621" i="19"/>
  <c r="R622" i="19"/>
  <c r="R623" i="19"/>
  <c r="R624" i="19"/>
  <c r="R625" i="19"/>
  <c r="R626" i="19"/>
  <c r="R627" i="19"/>
  <c r="R628" i="19"/>
  <c r="R629" i="19"/>
  <c r="R630" i="19"/>
  <c r="R631" i="19"/>
  <c r="R632" i="19"/>
  <c r="R633" i="19"/>
  <c r="R634" i="19"/>
  <c r="R635" i="19"/>
  <c r="R636" i="19"/>
  <c r="R637" i="19"/>
  <c r="R638" i="19"/>
  <c r="R639" i="19"/>
  <c r="R640" i="19"/>
  <c r="R641" i="19"/>
  <c r="R642" i="19"/>
  <c r="R643" i="19"/>
  <c r="R644" i="19"/>
  <c r="R645" i="19"/>
  <c r="R646" i="19"/>
  <c r="R647" i="19"/>
  <c r="R648" i="19"/>
  <c r="R650" i="19"/>
  <c r="R651" i="19"/>
  <c r="R652" i="19"/>
  <c r="R653" i="19"/>
  <c r="R654" i="19"/>
  <c r="R655" i="19"/>
  <c r="R656" i="19"/>
  <c r="R657" i="19"/>
  <c r="R658" i="19"/>
  <c r="R659" i="19"/>
  <c r="R660" i="19"/>
  <c r="R661" i="19"/>
  <c r="R662" i="19"/>
  <c r="R663" i="19"/>
  <c r="R664" i="19"/>
  <c r="R665" i="19"/>
  <c r="R666" i="19"/>
  <c r="R667" i="19"/>
  <c r="R669" i="19"/>
  <c r="R671" i="19"/>
  <c r="R672" i="19"/>
  <c r="R673" i="19"/>
  <c r="R674" i="19"/>
  <c r="R675" i="19"/>
  <c r="R676" i="19"/>
  <c r="R677" i="19"/>
  <c r="R678" i="19"/>
  <c r="R679" i="19"/>
  <c r="R680" i="19"/>
  <c r="R681" i="19"/>
  <c r="R682" i="19"/>
  <c r="R683" i="19"/>
  <c r="R684" i="19"/>
  <c r="R685" i="19"/>
  <c r="R686" i="19"/>
  <c r="R687" i="19"/>
  <c r="R688" i="19"/>
  <c r="R689" i="19"/>
  <c r="R690" i="19"/>
  <c r="R691" i="19"/>
  <c r="R692" i="19"/>
  <c r="R693" i="19"/>
  <c r="R694" i="19"/>
  <c r="R695" i="19"/>
  <c r="R696" i="19"/>
  <c r="R697" i="19"/>
  <c r="R698" i="19"/>
  <c r="R699" i="19"/>
  <c r="R700" i="19"/>
  <c r="R701" i="19"/>
  <c r="R702" i="19"/>
  <c r="R703" i="19"/>
  <c r="R704" i="19"/>
  <c r="R705" i="19"/>
  <c r="R706" i="19"/>
  <c r="R707" i="19"/>
  <c r="R708" i="19"/>
  <c r="R709" i="19"/>
  <c r="R710" i="19"/>
  <c r="R711" i="19"/>
  <c r="R712" i="19"/>
  <c r="R713" i="19"/>
  <c r="R714" i="19"/>
  <c r="R715" i="19"/>
  <c r="R716" i="19"/>
  <c r="R717" i="19"/>
  <c r="R718" i="19"/>
  <c r="R719" i="19"/>
  <c r="R720" i="19"/>
  <c r="R721" i="19"/>
  <c r="R722" i="19"/>
  <c r="R723" i="19"/>
  <c r="R724" i="19"/>
  <c r="R725" i="19"/>
  <c r="R726" i="19"/>
  <c r="R727" i="19"/>
  <c r="R728" i="19"/>
  <c r="R729" i="19"/>
  <c r="R730" i="19"/>
  <c r="R731" i="19"/>
  <c r="R732" i="19"/>
  <c r="R733" i="19"/>
  <c r="R734" i="19"/>
  <c r="R735" i="19"/>
  <c r="R736" i="19"/>
  <c r="R737" i="19"/>
  <c r="R738" i="19"/>
  <c r="R739" i="19"/>
  <c r="R740" i="19"/>
  <c r="R741" i="19"/>
  <c r="R742" i="19"/>
  <c r="R743" i="19"/>
  <c r="R744" i="19"/>
  <c r="R745" i="19"/>
  <c r="R746" i="19"/>
  <c r="R747" i="19"/>
  <c r="R748" i="19"/>
  <c r="R749" i="19"/>
  <c r="R750" i="19"/>
  <c r="R751" i="19"/>
  <c r="R752" i="19"/>
  <c r="R753" i="19"/>
  <c r="R754" i="19"/>
  <c r="R755" i="19"/>
  <c r="R756" i="19"/>
  <c r="R757" i="19"/>
  <c r="R758" i="19"/>
  <c r="R759" i="19"/>
  <c r="R760" i="19"/>
  <c r="R761" i="19"/>
  <c r="R762" i="19"/>
  <c r="R763" i="19"/>
  <c r="R764" i="19"/>
  <c r="R765" i="19"/>
  <c r="R766" i="19"/>
  <c r="R767" i="19"/>
  <c r="R768" i="19"/>
  <c r="R769" i="19"/>
  <c r="R770" i="19"/>
  <c r="R771" i="19"/>
  <c r="R772" i="19"/>
  <c r="R773" i="19"/>
  <c r="R774" i="19"/>
  <c r="R775" i="19"/>
  <c r="R776" i="19"/>
  <c r="R777" i="19"/>
  <c r="R778" i="19"/>
  <c r="R779" i="19"/>
  <c r="R780" i="19"/>
  <c r="R781" i="19"/>
  <c r="R782" i="19"/>
  <c r="R783" i="19"/>
  <c r="R784" i="19"/>
  <c r="R785" i="19"/>
  <c r="R786" i="19"/>
  <c r="R787" i="19"/>
  <c r="R788" i="19"/>
  <c r="R789" i="19"/>
  <c r="R790" i="19"/>
  <c r="R791" i="19"/>
  <c r="R792" i="19"/>
  <c r="R793" i="19"/>
  <c r="R794" i="19"/>
  <c r="R795" i="19"/>
  <c r="R796" i="19"/>
  <c r="R797" i="19"/>
  <c r="R798" i="19"/>
  <c r="R799" i="19"/>
  <c r="R800" i="19"/>
  <c r="R801" i="19"/>
  <c r="R802" i="19"/>
  <c r="R803" i="19"/>
  <c r="R804" i="19"/>
  <c r="R805" i="19"/>
  <c r="R806" i="19"/>
  <c r="R807" i="19"/>
  <c r="R808" i="19"/>
  <c r="R809" i="19"/>
  <c r="R810" i="19"/>
  <c r="R811" i="19"/>
  <c r="R812" i="19"/>
  <c r="R813" i="19"/>
  <c r="R814" i="19"/>
  <c r="R815" i="19"/>
  <c r="R816" i="19"/>
  <c r="R817" i="19"/>
  <c r="R818" i="19"/>
  <c r="R819" i="19"/>
  <c r="R820" i="19"/>
  <c r="R821" i="19"/>
  <c r="R822" i="19"/>
  <c r="R823" i="19"/>
  <c r="R824" i="19"/>
  <c r="R825" i="19"/>
  <c r="R826" i="19"/>
  <c r="R828" i="19"/>
  <c r="R829" i="19"/>
  <c r="R830" i="19"/>
  <c r="R831" i="19"/>
  <c r="R832" i="19"/>
  <c r="R833" i="19"/>
  <c r="R834" i="19"/>
  <c r="R836" i="19"/>
  <c r="R837" i="19"/>
  <c r="R838" i="19"/>
  <c r="R839" i="19"/>
  <c r="R840" i="19"/>
  <c r="R841" i="19"/>
  <c r="R842" i="19"/>
  <c r="R843" i="19"/>
  <c r="R844" i="19"/>
  <c r="R847" i="19"/>
  <c r="R918" i="19"/>
  <c r="R919" i="19"/>
  <c r="R920" i="19"/>
  <c r="R921" i="19"/>
  <c r="I827" i="19" l="1"/>
  <c r="I828" i="19"/>
  <c r="I829" i="19"/>
  <c r="I830" i="19"/>
  <c r="I831" i="19"/>
  <c r="I832" i="19"/>
  <c r="I833" i="19"/>
  <c r="I834" i="19"/>
  <c r="I836" i="19"/>
  <c r="I837" i="19"/>
  <c r="I838" i="19"/>
  <c r="I839" i="19"/>
  <c r="I840" i="19"/>
  <c r="I841" i="19"/>
  <c r="I842" i="19"/>
  <c r="I843" i="19"/>
  <c r="I844" i="19"/>
  <c r="I847" i="19"/>
  <c r="I918" i="19"/>
  <c r="I919" i="19"/>
  <c r="J919" i="19" s="1"/>
  <c r="I920" i="19"/>
  <c r="J920" i="19" s="1"/>
  <c r="I921" i="19"/>
  <c r="J921" i="19" s="1"/>
  <c r="I820" i="19"/>
  <c r="I821" i="19"/>
  <c r="I822" i="19"/>
  <c r="I823" i="19"/>
  <c r="I824" i="19"/>
  <c r="I825" i="19"/>
  <c r="I826" i="19"/>
  <c r="I814" i="19"/>
  <c r="I815" i="19"/>
  <c r="I816" i="19"/>
  <c r="I817" i="19"/>
  <c r="J815" i="19" l="1"/>
  <c r="K815" i="19"/>
  <c r="J820" i="19"/>
  <c r="K820" i="19"/>
  <c r="J842" i="19"/>
  <c r="K842" i="19"/>
  <c r="J814" i="19"/>
  <c r="K814" i="19"/>
  <c r="K921" i="19"/>
  <c r="J841" i="19"/>
  <c r="K841" i="19"/>
  <c r="J829" i="19"/>
  <c r="K829" i="19"/>
  <c r="L826" i="19"/>
  <c r="O826" i="19" s="1"/>
  <c r="P826" i="19" s="1"/>
  <c r="J826" i="19"/>
  <c r="K826" i="19"/>
  <c r="J822" i="19"/>
  <c r="K822" i="19"/>
  <c r="L920" i="19"/>
  <c r="K920" i="19"/>
  <c r="L844" i="19"/>
  <c r="O844" i="19" s="1"/>
  <c r="P844" i="19" s="1"/>
  <c r="K844" i="19"/>
  <c r="J844" i="19"/>
  <c r="L840" i="19"/>
  <c r="O840" i="19" s="1"/>
  <c r="P840" i="19" s="1"/>
  <c r="J840" i="19"/>
  <c r="K840" i="19"/>
  <c r="L837" i="19"/>
  <c r="O837" i="19" s="1"/>
  <c r="P837" i="19" s="1"/>
  <c r="J837" i="19"/>
  <c r="K837" i="19"/>
  <c r="P832" i="19"/>
  <c r="O828" i="19"/>
  <c r="P828" i="19" s="1"/>
  <c r="J824" i="19"/>
  <c r="K824" i="19"/>
  <c r="J918" i="19"/>
  <c r="K918" i="19"/>
  <c r="J830" i="19"/>
  <c r="K830" i="19"/>
  <c r="J823" i="19"/>
  <c r="K823" i="19"/>
  <c r="J847" i="19"/>
  <c r="K847" i="19"/>
  <c r="J817" i="19"/>
  <c r="K817" i="19"/>
  <c r="J816" i="19"/>
  <c r="K816" i="19"/>
  <c r="J825" i="19"/>
  <c r="K825" i="19"/>
  <c r="J821" i="19"/>
  <c r="K821" i="19"/>
  <c r="K919" i="19"/>
  <c r="L843" i="19"/>
  <c r="K843" i="19"/>
  <c r="J843" i="19"/>
  <c r="J839" i="19"/>
  <c r="K839" i="19"/>
  <c r="L836" i="19"/>
  <c r="J836" i="19"/>
  <c r="K836" i="19"/>
  <c r="J831" i="19"/>
  <c r="K831" i="19"/>
  <c r="L827" i="19"/>
  <c r="O827" i="19" s="1"/>
  <c r="P827" i="19" s="1"/>
  <c r="K827" i="19"/>
  <c r="J827" i="19"/>
  <c r="L815" i="19"/>
  <c r="L820" i="19"/>
  <c r="L830" i="19"/>
  <c r="L823" i="19"/>
  <c r="L921" i="19"/>
  <c r="L847" i="19"/>
  <c r="L841" i="19"/>
  <c r="L829" i="19"/>
  <c r="L817" i="19"/>
  <c r="L824" i="19"/>
  <c r="L918" i="19"/>
  <c r="O918" i="19" s="1"/>
  <c r="P918" i="19" s="1"/>
  <c r="L842" i="19"/>
  <c r="L814" i="19"/>
  <c r="L822" i="19"/>
  <c r="L816" i="19"/>
  <c r="L825" i="19"/>
  <c r="L821" i="19"/>
  <c r="L919" i="19"/>
  <c r="L839" i="19"/>
  <c r="L831" i="19"/>
  <c r="O920" i="19" l="1"/>
  <c r="P920" i="19" s="1"/>
  <c r="O921" i="19"/>
  <c r="P921" i="19" s="1"/>
  <c r="O919" i="19"/>
  <c r="P919" i="19" s="1"/>
  <c r="H839" i="19"/>
  <c r="H820" i="19"/>
  <c r="H830" i="19"/>
  <c r="H821" i="19"/>
  <c r="H829" i="19"/>
  <c r="H814" i="19"/>
  <c r="H843" i="19"/>
  <c r="H826" i="19"/>
  <c r="H844" i="19"/>
  <c r="H831" i="19"/>
  <c r="H816" i="19"/>
  <c r="H823" i="19"/>
  <c r="H834" i="19"/>
  <c r="H918" i="19"/>
  <c r="H828" i="19"/>
  <c r="H840" i="19"/>
  <c r="H838" i="19"/>
  <c r="H842" i="19"/>
  <c r="H815" i="19"/>
  <c r="H836" i="19"/>
  <c r="H825" i="19"/>
  <c r="H817" i="19"/>
  <c r="H847" i="19"/>
  <c r="H824" i="19"/>
  <c r="H837" i="19"/>
  <c r="H822" i="19"/>
  <c r="O821" i="19"/>
  <c r="P821" i="19" s="1"/>
  <c r="O831" i="19"/>
  <c r="P831" i="19" s="1"/>
  <c r="O814" i="19"/>
  <c r="P814" i="19" s="1"/>
  <c r="O838" i="19"/>
  <c r="P838" i="19" s="1"/>
  <c r="O815" i="19"/>
  <c r="P815" i="19" s="1"/>
  <c r="O836" i="19"/>
  <c r="P836" i="19" s="1"/>
  <c r="O816" i="19"/>
  <c r="P816" i="19" s="1"/>
  <c r="O834" i="19"/>
  <c r="P834" i="19" s="1"/>
  <c r="O817" i="19"/>
  <c r="P817" i="19" s="1"/>
  <c r="O841" i="19"/>
  <c r="P841" i="19" s="1"/>
  <c r="O830" i="19"/>
  <c r="P830" i="19" s="1"/>
  <c r="O843" i="19"/>
  <c r="P843" i="19" s="1"/>
  <c r="O822" i="19"/>
  <c r="P822" i="19" s="1"/>
  <c r="P833" i="19"/>
  <c r="O820" i="19"/>
  <c r="P820" i="19" s="1"/>
  <c r="O825" i="19"/>
  <c r="P825" i="19" s="1"/>
  <c r="O824" i="19"/>
  <c r="P824" i="19" s="1"/>
  <c r="O823" i="19"/>
  <c r="P823" i="19" s="1"/>
  <c r="O839" i="19"/>
  <c r="P839" i="19" s="1"/>
  <c r="O842" i="19"/>
  <c r="P842" i="19" s="1"/>
  <c r="O829" i="19"/>
  <c r="P829" i="19" s="1"/>
  <c r="O847" i="19"/>
  <c r="P847" i="19" s="1"/>
  <c r="I810" i="19"/>
  <c r="I811" i="19"/>
  <c r="K811" i="19" l="1"/>
  <c r="J811" i="19"/>
  <c r="K810" i="19"/>
  <c r="J810" i="19"/>
  <c r="L811" i="19"/>
  <c r="L810" i="19"/>
  <c r="N507" i="19"/>
  <c r="H810" i="19" l="1"/>
  <c r="H811" i="19"/>
  <c r="O810" i="19"/>
  <c r="P810" i="19" s="1"/>
  <c r="O811" i="19"/>
  <c r="P811" i="19" s="1"/>
  <c r="I2" i="19"/>
  <c r="I3" i="19"/>
  <c r="I4" i="19"/>
  <c r="I5" i="19"/>
  <c r="I6" i="19"/>
  <c r="I7" i="19"/>
  <c r="I8" i="19"/>
  <c r="I9" i="19"/>
  <c r="I10" i="19"/>
  <c r="I11" i="19"/>
  <c r="I12" i="19"/>
  <c r="I13" i="19"/>
  <c r="I14" i="19"/>
  <c r="I15" i="19"/>
  <c r="I16" i="19"/>
  <c r="I17" i="19"/>
  <c r="I18" i="19"/>
  <c r="I19" i="19"/>
  <c r="I20" i="19"/>
  <c r="I21" i="19"/>
  <c r="I22" i="19"/>
  <c r="I23" i="19"/>
  <c r="I24" i="19"/>
  <c r="I25" i="19"/>
  <c r="I26" i="19"/>
  <c r="I27" i="19"/>
  <c r="I28" i="19"/>
  <c r="I29" i="19"/>
  <c r="I30" i="19"/>
  <c r="I31" i="19"/>
  <c r="I32" i="19"/>
  <c r="I33" i="19"/>
  <c r="I34" i="19"/>
  <c r="I35" i="19"/>
  <c r="I36" i="19"/>
  <c r="I37" i="19"/>
  <c r="I38" i="19"/>
  <c r="I39" i="19"/>
  <c r="I40" i="19"/>
  <c r="I41" i="19"/>
  <c r="I42" i="19"/>
  <c r="I43" i="19"/>
  <c r="I44" i="19"/>
  <c r="I45" i="19"/>
  <c r="I46" i="19"/>
  <c r="I47" i="19"/>
  <c r="I48" i="19"/>
  <c r="I49" i="19"/>
  <c r="I50" i="19"/>
  <c r="I51" i="19"/>
  <c r="I52" i="19"/>
  <c r="I53" i="19"/>
  <c r="I54" i="19"/>
  <c r="I55" i="19"/>
  <c r="I56" i="19"/>
  <c r="I57" i="19"/>
  <c r="I58" i="19"/>
  <c r="I59" i="19"/>
  <c r="I60" i="19"/>
  <c r="I61" i="19"/>
  <c r="I62" i="19"/>
  <c r="I63" i="19"/>
  <c r="I64" i="19"/>
  <c r="I65" i="19"/>
  <c r="I66" i="19"/>
  <c r="I67" i="19"/>
  <c r="I68" i="19"/>
  <c r="I69" i="19"/>
  <c r="I70" i="19"/>
  <c r="I71" i="19"/>
  <c r="I72" i="19"/>
  <c r="I73" i="19"/>
  <c r="I74" i="19"/>
  <c r="I75" i="19"/>
  <c r="I76" i="19"/>
  <c r="I77" i="19"/>
  <c r="I78" i="19"/>
  <c r="I79" i="19"/>
  <c r="I80" i="19"/>
  <c r="I81" i="19"/>
  <c r="I82" i="19"/>
  <c r="I83" i="19"/>
  <c r="I84" i="19"/>
  <c r="I85" i="19"/>
  <c r="I86" i="19"/>
  <c r="I87" i="19"/>
  <c r="I88" i="19"/>
  <c r="I89" i="19"/>
  <c r="I90" i="19"/>
  <c r="I91" i="19"/>
  <c r="I92" i="19"/>
  <c r="I93" i="19"/>
  <c r="I94" i="19"/>
  <c r="I95" i="19"/>
  <c r="I96" i="19"/>
  <c r="I97" i="19"/>
  <c r="I98" i="19"/>
  <c r="I99" i="19"/>
  <c r="I100" i="19"/>
  <c r="I101" i="19"/>
  <c r="I102" i="19"/>
  <c r="I103" i="19"/>
  <c r="I104" i="19"/>
  <c r="I105" i="19"/>
  <c r="I106" i="19"/>
  <c r="I107" i="19"/>
  <c r="I108" i="19"/>
  <c r="I109" i="19"/>
  <c r="I110" i="19"/>
  <c r="I111" i="19"/>
  <c r="I112" i="19"/>
  <c r="I113" i="19"/>
  <c r="I114" i="19"/>
  <c r="I115" i="19"/>
  <c r="I116" i="19"/>
  <c r="I117" i="19"/>
  <c r="I118" i="19"/>
  <c r="I119" i="19"/>
  <c r="I120" i="19"/>
  <c r="I121" i="19"/>
  <c r="I122" i="19"/>
  <c r="I123" i="19"/>
  <c r="I124" i="19"/>
  <c r="I125" i="19"/>
  <c r="I126" i="19"/>
  <c r="I127" i="19"/>
  <c r="I128" i="19"/>
  <c r="I129" i="19"/>
  <c r="I130" i="19"/>
  <c r="I131" i="19"/>
  <c r="I132" i="19"/>
  <c r="I133" i="19"/>
  <c r="I134" i="19"/>
  <c r="I135" i="19"/>
  <c r="I136" i="19"/>
  <c r="I137" i="19"/>
  <c r="I138" i="19"/>
  <c r="I139" i="19"/>
  <c r="I140" i="19"/>
  <c r="I141" i="19"/>
  <c r="I142" i="19"/>
  <c r="I143" i="19"/>
  <c r="I144" i="19"/>
  <c r="I145" i="19"/>
  <c r="I146" i="19"/>
  <c r="I147" i="19"/>
  <c r="I148" i="19"/>
  <c r="I149" i="19"/>
  <c r="I150" i="19"/>
  <c r="I151" i="19"/>
  <c r="I152" i="19"/>
  <c r="I153" i="19"/>
  <c r="I154" i="19"/>
  <c r="I155" i="19"/>
  <c r="I156" i="19"/>
  <c r="I157" i="19"/>
  <c r="I158" i="19"/>
  <c r="I159" i="19"/>
  <c r="I160" i="19"/>
  <c r="I161" i="19"/>
  <c r="I162" i="19"/>
  <c r="I163" i="19"/>
  <c r="I164" i="19"/>
  <c r="I165" i="19"/>
  <c r="I166" i="19"/>
  <c r="I167" i="19"/>
  <c r="I168" i="19"/>
  <c r="I169" i="19"/>
  <c r="I170" i="19"/>
  <c r="I171" i="19"/>
  <c r="I172" i="19"/>
  <c r="I173" i="19"/>
  <c r="I174" i="19"/>
  <c r="I175" i="19"/>
  <c r="I176" i="19"/>
  <c r="I177" i="19"/>
  <c r="I178" i="19"/>
  <c r="I179" i="19"/>
  <c r="I180" i="19"/>
  <c r="I181" i="19"/>
  <c r="I182" i="19"/>
  <c r="I183" i="19"/>
  <c r="I184" i="19"/>
  <c r="I185" i="19"/>
  <c r="I186" i="19"/>
  <c r="I187" i="19"/>
  <c r="I188" i="19"/>
  <c r="I189" i="19"/>
  <c r="I190" i="19"/>
  <c r="I191" i="19"/>
  <c r="I192" i="19"/>
  <c r="I193" i="19"/>
  <c r="I194" i="19"/>
  <c r="I195" i="19"/>
  <c r="I196" i="19"/>
  <c r="I197" i="19"/>
  <c r="I198" i="19"/>
  <c r="I199" i="19"/>
  <c r="I200" i="19"/>
  <c r="I201" i="19"/>
  <c r="I202" i="19"/>
  <c r="I203" i="19"/>
  <c r="I204" i="19"/>
  <c r="I205" i="19"/>
  <c r="I206" i="19"/>
  <c r="I207" i="19"/>
  <c r="I208" i="19"/>
  <c r="I209" i="19"/>
  <c r="I210" i="19"/>
  <c r="I211" i="19"/>
  <c r="I212" i="19"/>
  <c r="I213" i="19"/>
  <c r="I214" i="19"/>
  <c r="I215" i="19"/>
  <c r="I216" i="19"/>
  <c r="I217" i="19"/>
  <c r="I218" i="19"/>
  <c r="I219" i="19"/>
  <c r="I220" i="19"/>
  <c r="I221" i="19"/>
  <c r="I222" i="19"/>
  <c r="I223" i="19"/>
  <c r="I224" i="19"/>
  <c r="I225" i="19"/>
  <c r="I226" i="19"/>
  <c r="I227" i="19"/>
  <c r="I228" i="19"/>
  <c r="I229" i="19"/>
  <c r="I230" i="19"/>
  <c r="I231" i="19"/>
  <c r="I232" i="19"/>
  <c r="I233" i="19"/>
  <c r="I234" i="19"/>
  <c r="I235" i="19"/>
  <c r="I236" i="19"/>
  <c r="I237" i="19"/>
  <c r="I238" i="19"/>
  <c r="I239" i="19"/>
  <c r="I240" i="19"/>
  <c r="I241" i="19"/>
  <c r="I242" i="19"/>
  <c r="I243" i="19"/>
  <c r="I244" i="19"/>
  <c r="I245" i="19"/>
  <c r="I246" i="19"/>
  <c r="I247" i="19"/>
  <c r="I248" i="19"/>
  <c r="I249" i="19"/>
  <c r="I250" i="19"/>
  <c r="I251" i="19"/>
  <c r="I252" i="19"/>
  <c r="I253" i="19"/>
  <c r="I254" i="19"/>
  <c r="I255" i="19"/>
  <c r="I256" i="19"/>
  <c r="I257" i="19"/>
  <c r="I258" i="19"/>
  <c r="I259" i="19"/>
  <c r="I260" i="19"/>
  <c r="I261" i="19"/>
  <c r="I262" i="19"/>
  <c r="I263" i="19"/>
  <c r="I264" i="19"/>
  <c r="I265" i="19"/>
  <c r="I266" i="19"/>
  <c r="I267" i="19"/>
  <c r="I268" i="19"/>
  <c r="I269" i="19"/>
  <c r="I270" i="19"/>
  <c r="I271" i="19"/>
  <c r="I272" i="19"/>
  <c r="I273" i="19"/>
  <c r="I274" i="19"/>
  <c r="I275" i="19"/>
  <c r="I276" i="19"/>
  <c r="I277" i="19"/>
  <c r="I278" i="19"/>
  <c r="I279" i="19"/>
  <c r="I280" i="19"/>
  <c r="I281" i="19"/>
  <c r="I282" i="19"/>
  <c r="I283" i="19"/>
  <c r="I284" i="19"/>
  <c r="I285" i="19"/>
  <c r="I286" i="19"/>
  <c r="I287" i="19"/>
  <c r="I288" i="19"/>
  <c r="I289" i="19"/>
  <c r="I290" i="19"/>
  <c r="I291" i="19"/>
  <c r="I292" i="19"/>
  <c r="I293" i="19"/>
  <c r="I294" i="19"/>
  <c r="I295" i="19"/>
  <c r="I296" i="19"/>
  <c r="I297" i="19"/>
  <c r="I298" i="19"/>
  <c r="I299" i="19"/>
  <c r="I300" i="19"/>
  <c r="I301" i="19"/>
  <c r="I302" i="19"/>
  <c r="I303" i="19"/>
  <c r="I304" i="19"/>
  <c r="I305" i="19"/>
  <c r="I306" i="19"/>
  <c r="I307" i="19"/>
  <c r="I308" i="19"/>
  <c r="I309" i="19"/>
  <c r="I310" i="19"/>
  <c r="I311" i="19"/>
  <c r="I312" i="19"/>
  <c r="I313" i="19"/>
  <c r="I314" i="19"/>
  <c r="I315" i="19"/>
  <c r="I316" i="19"/>
  <c r="I317" i="19"/>
  <c r="I318" i="19"/>
  <c r="I319" i="19"/>
  <c r="I320" i="19"/>
  <c r="I321" i="19"/>
  <c r="I322" i="19"/>
  <c r="I323" i="19"/>
  <c r="I324" i="19"/>
  <c r="I325" i="19"/>
  <c r="I326" i="19"/>
  <c r="I327" i="19"/>
  <c r="I328" i="19"/>
  <c r="I329" i="19"/>
  <c r="I330" i="19"/>
  <c r="I331" i="19"/>
  <c r="I332" i="19"/>
  <c r="I333" i="19"/>
  <c r="I334" i="19"/>
  <c r="I335" i="19"/>
  <c r="I336" i="19"/>
  <c r="I337" i="19"/>
  <c r="I338" i="19"/>
  <c r="I339" i="19"/>
  <c r="I340" i="19"/>
  <c r="I341" i="19"/>
  <c r="I342" i="19"/>
  <c r="I343" i="19"/>
  <c r="I344" i="19"/>
  <c r="I345" i="19"/>
  <c r="I346" i="19"/>
  <c r="I347" i="19"/>
  <c r="I348" i="19"/>
  <c r="I349" i="19"/>
  <c r="I350" i="19"/>
  <c r="I351" i="19"/>
  <c r="I352" i="19"/>
  <c r="I353" i="19"/>
  <c r="I354" i="19"/>
  <c r="I355" i="19"/>
  <c r="I356" i="19"/>
  <c r="I357" i="19"/>
  <c r="I358" i="19"/>
  <c r="I359" i="19"/>
  <c r="I360" i="19"/>
  <c r="I361" i="19"/>
  <c r="I362" i="19"/>
  <c r="I363" i="19"/>
  <c r="I364" i="19"/>
  <c r="I365" i="19"/>
  <c r="I366" i="19"/>
  <c r="I367" i="19"/>
  <c r="I368" i="19"/>
  <c r="I369" i="19"/>
  <c r="I370" i="19"/>
  <c r="I371" i="19"/>
  <c r="I372" i="19"/>
  <c r="I373" i="19"/>
  <c r="I374" i="19"/>
  <c r="I375" i="19"/>
  <c r="I376" i="19"/>
  <c r="I377" i="19"/>
  <c r="I378" i="19"/>
  <c r="I379" i="19"/>
  <c r="I380" i="19"/>
  <c r="I381" i="19"/>
  <c r="I382" i="19"/>
  <c r="I383" i="19"/>
  <c r="I384" i="19"/>
  <c r="I385" i="19"/>
  <c r="I386" i="19"/>
  <c r="I387" i="19"/>
  <c r="I388" i="19"/>
  <c r="I389" i="19"/>
  <c r="I390" i="19"/>
  <c r="I391" i="19"/>
  <c r="I392" i="19"/>
  <c r="I393" i="19"/>
  <c r="I394" i="19"/>
  <c r="I395" i="19"/>
  <c r="I396" i="19"/>
  <c r="I397" i="19"/>
  <c r="I398" i="19"/>
  <c r="I399" i="19"/>
  <c r="I400" i="19"/>
  <c r="I401" i="19"/>
  <c r="I402" i="19"/>
  <c r="I403" i="19"/>
  <c r="I404" i="19"/>
  <c r="I405" i="19"/>
  <c r="I406" i="19"/>
  <c r="I407" i="19"/>
  <c r="I408" i="19"/>
  <c r="I409" i="19"/>
  <c r="I410" i="19"/>
  <c r="I411" i="19"/>
  <c r="I412" i="19"/>
  <c r="I413" i="19"/>
  <c r="I414" i="19"/>
  <c r="I415" i="19"/>
  <c r="I416" i="19"/>
  <c r="I417" i="19"/>
  <c r="I418" i="19"/>
  <c r="I419" i="19"/>
  <c r="I420" i="19"/>
  <c r="I421" i="19"/>
  <c r="I422" i="19"/>
  <c r="I423" i="19"/>
  <c r="I424" i="19"/>
  <c r="I425" i="19"/>
  <c r="I426" i="19"/>
  <c r="I427" i="19"/>
  <c r="I428" i="19"/>
  <c r="I429" i="19"/>
  <c r="I430" i="19"/>
  <c r="I431" i="19"/>
  <c r="I432" i="19"/>
  <c r="I433" i="19"/>
  <c r="I434" i="19"/>
  <c r="I435" i="19"/>
  <c r="I436" i="19"/>
  <c r="I437" i="19"/>
  <c r="I438" i="19"/>
  <c r="I439" i="19"/>
  <c r="I440" i="19"/>
  <c r="I441" i="19"/>
  <c r="I442" i="19"/>
  <c r="I443" i="19"/>
  <c r="I444" i="19"/>
  <c r="I445" i="19"/>
  <c r="I446" i="19"/>
  <c r="I447" i="19"/>
  <c r="I448" i="19"/>
  <c r="I449" i="19"/>
  <c r="I450" i="19"/>
  <c r="I451" i="19"/>
  <c r="I452" i="19"/>
  <c r="I453" i="19"/>
  <c r="I454" i="19"/>
  <c r="I455" i="19"/>
  <c r="I456" i="19"/>
  <c r="I457" i="19"/>
  <c r="I458" i="19"/>
  <c r="I459" i="19"/>
  <c r="I460" i="19"/>
  <c r="I461" i="19"/>
  <c r="I462" i="19"/>
  <c r="I463" i="19"/>
  <c r="I464" i="19"/>
  <c r="I465" i="19"/>
  <c r="I466" i="19"/>
  <c r="I467" i="19"/>
  <c r="I468" i="19"/>
  <c r="I469" i="19"/>
  <c r="I470" i="19"/>
  <c r="I471" i="19"/>
  <c r="I472" i="19"/>
  <c r="I473" i="19"/>
  <c r="I474" i="19"/>
  <c r="I475" i="19"/>
  <c r="I476" i="19"/>
  <c r="I477" i="19"/>
  <c r="I478" i="19"/>
  <c r="I479" i="19"/>
  <c r="I480" i="19"/>
  <c r="I481" i="19"/>
  <c r="I482" i="19"/>
  <c r="I483" i="19"/>
  <c r="I484" i="19"/>
  <c r="I485" i="19"/>
  <c r="I486" i="19"/>
  <c r="I487" i="19"/>
  <c r="I488" i="19"/>
  <c r="I489" i="19"/>
  <c r="I490" i="19"/>
  <c r="I491" i="19"/>
  <c r="I492" i="19"/>
  <c r="I493" i="19"/>
  <c r="I494" i="19"/>
  <c r="I495" i="19"/>
  <c r="I496" i="19"/>
  <c r="I497" i="19"/>
  <c r="I498" i="19"/>
  <c r="I499" i="19"/>
  <c r="I500" i="19"/>
  <c r="I501" i="19"/>
  <c r="I502" i="19"/>
  <c r="I503" i="19"/>
  <c r="I504" i="19"/>
  <c r="I505" i="19"/>
  <c r="I506" i="19"/>
  <c r="I507" i="19"/>
  <c r="I508" i="19"/>
  <c r="I509" i="19"/>
  <c r="I510" i="19"/>
  <c r="I511" i="19"/>
  <c r="I512" i="19"/>
  <c r="I513" i="19"/>
  <c r="I514" i="19"/>
  <c r="I515" i="19"/>
  <c r="I516" i="19"/>
  <c r="I517" i="19"/>
  <c r="I518" i="19"/>
  <c r="I519" i="19"/>
  <c r="I520" i="19"/>
  <c r="I521" i="19"/>
  <c r="I522" i="19"/>
  <c r="I523" i="19"/>
  <c r="I524" i="19"/>
  <c r="I525" i="19"/>
  <c r="I526" i="19"/>
  <c r="I527" i="19"/>
  <c r="I528" i="19"/>
  <c r="I529" i="19"/>
  <c r="I530" i="19"/>
  <c r="I531" i="19"/>
  <c r="I532" i="19"/>
  <c r="I533" i="19"/>
  <c r="I534" i="19"/>
  <c r="I535" i="19"/>
  <c r="I536" i="19"/>
  <c r="I537" i="19"/>
  <c r="I538" i="19"/>
  <c r="I539" i="19"/>
  <c r="I540" i="19"/>
  <c r="I541" i="19"/>
  <c r="I542" i="19"/>
  <c r="I543" i="19"/>
  <c r="I544" i="19"/>
  <c r="I545" i="19"/>
  <c r="I546" i="19"/>
  <c r="I547" i="19"/>
  <c r="I548" i="19"/>
  <c r="I549" i="19"/>
  <c r="I550" i="19"/>
  <c r="I551" i="19"/>
  <c r="I552" i="19"/>
  <c r="I553" i="19"/>
  <c r="I554" i="19"/>
  <c r="I555" i="19"/>
  <c r="I556" i="19"/>
  <c r="I557" i="19"/>
  <c r="I558" i="19"/>
  <c r="I559" i="19"/>
  <c r="I560" i="19"/>
  <c r="I561" i="19"/>
  <c r="I562" i="19"/>
  <c r="I563" i="19"/>
  <c r="I564" i="19"/>
  <c r="I565" i="19"/>
  <c r="I566" i="19"/>
  <c r="I567" i="19"/>
  <c r="I568" i="19"/>
  <c r="I569" i="19"/>
  <c r="I570" i="19"/>
  <c r="I571" i="19"/>
  <c r="I572" i="19"/>
  <c r="I573" i="19"/>
  <c r="I574" i="19"/>
  <c r="I575" i="19"/>
  <c r="I576" i="19"/>
  <c r="I577" i="19"/>
  <c r="I578" i="19"/>
  <c r="I579" i="19"/>
  <c r="I580" i="19"/>
  <c r="I581" i="19"/>
  <c r="I582" i="19"/>
  <c r="I583" i="19"/>
  <c r="I584" i="19"/>
  <c r="I585" i="19"/>
  <c r="I586" i="19"/>
  <c r="I587" i="19"/>
  <c r="I588" i="19"/>
  <c r="I589" i="19"/>
  <c r="I590" i="19"/>
  <c r="I591" i="19"/>
  <c r="I592" i="19"/>
  <c r="I593" i="19"/>
  <c r="I594" i="19"/>
  <c r="I595" i="19"/>
  <c r="I596" i="19"/>
  <c r="I597" i="19"/>
  <c r="I598" i="19"/>
  <c r="I599" i="19"/>
  <c r="I600" i="19"/>
  <c r="I601" i="19"/>
  <c r="I602" i="19"/>
  <c r="I603" i="19"/>
  <c r="I604" i="19"/>
  <c r="I605" i="19"/>
  <c r="I606" i="19"/>
  <c r="I607" i="19"/>
  <c r="I608" i="19"/>
  <c r="I609" i="19"/>
  <c r="I610" i="19"/>
  <c r="I611" i="19"/>
  <c r="I612" i="19"/>
  <c r="I613" i="19"/>
  <c r="I614" i="19"/>
  <c r="I615" i="19"/>
  <c r="I616" i="19"/>
  <c r="I617" i="19"/>
  <c r="I618" i="19"/>
  <c r="I619" i="19"/>
  <c r="I620" i="19"/>
  <c r="I621" i="19"/>
  <c r="I622" i="19"/>
  <c r="I623" i="19"/>
  <c r="I624" i="19"/>
  <c r="I625" i="19"/>
  <c r="I626" i="19"/>
  <c r="I627" i="19"/>
  <c r="I628" i="19"/>
  <c r="I629" i="19"/>
  <c r="I630" i="19"/>
  <c r="I631" i="19"/>
  <c r="I632" i="19"/>
  <c r="I633" i="19"/>
  <c r="I634" i="19"/>
  <c r="I635" i="19"/>
  <c r="I636" i="19"/>
  <c r="I637" i="19"/>
  <c r="I638" i="19"/>
  <c r="I639" i="19"/>
  <c r="I640" i="19"/>
  <c r="I641" i="19"/>
  <c r="I642" i="19"/>
  <c r="I643" i="19"/>
  <c r="I644" i="19"/>
  <c r="I645" i="19"/>
  <c r="I646" i="19"/>
  <c r="I647" i="19"/>
  <c r="I648" i="19"/>
  <c r="I650" i="19"/>
  <c r="I651" i="19"/>
  <c r="I652" i="19"/>
  <c r="I653" i="19"/>
  <c r="I654" i="19"/>
  <c r="I655" i="19"/>
  <c r="I656" i="19"/>
  <c r="P656" i="19" s="1"/>
  <c r="I657" i="19"/>
  <c r="I658" i="19"/>
  <c r="I659" i="19"/>
  <c r="I660" i="19"/>
  <c r="I661" i="19"/>
  <c r="I662" i="19"/>
  <c r="I663" i="19"/>
  <c r="I664" i="19"/>
  <c r="I665" i="19"/>
  <c r="I666" i="19"/>
  <c r="I667" i="19"/>
  <c r="I668" i="19"/>
  <c r="I669" i="19"/>
  <c r="I670" i="19"/>
  <c r="I671" i="19"/>
  <c r="I672" i="19"/>
  <c r="I673" i="19"/>
  <c r="I674" i="19"/>
  <c r="I675" i="19"/>
  <c r="I676" i="19"/>
  <c r="I677" i="19"/>
  <c r="I678" i="19"/>
  <c r="I679" i="19"/>
  <c r="I680" i="19"/>
  <c r="I681" i="19"/>
  <c r="I682" i="19"/>
  <c r="I683" i="19"/>
  <c r="I684" i="19"/>
  <c r="I685" i="19"/>
  <c r="I686" i="19"/>
  <c r="J686" i="19" s="1"/>
  <c r="I687" i="19"/>
  <c r="I688" i="19"/>
  <c r="I689" i="19"/>
  <c r="I690" i="19"/>
  <c r="I691" i="19"/>
  <c r="I692" i="19"/>
  <c r="I693" i="19"/>
  <c r="I694" i="19"/>
  <c r="I695" i="19"/>
  <c r="I696" i="19"/>
  <c r="I697" i="19"/>
  <c r="I698" i="19"/>
  <c r="I699" i="19"/>
  <c r="I700" i="19"/>
  <c r="I701" i="19"/>
  <c r="I702" i="19"/>
  <c r="I703" i="19"/>
  <c r="I704" i="19"/>
  <c r="I705" i="19"/>
  <c r="I706" i="19"/>
  <c r="I707" i="19"/>
  <c r="I708" i="19"/>
  <c r="I709" i="19"/>
  <c r="I710" i="19"/>
  <c r="I711" i="19"/>
  <c r="I712" i="19"/>
  <c r="I713" i="19"/>
  <c r="I714" i="19"/>
  <c r="I715" i="19"/>
  <c r="I716" i="19"/>
  <c r="I717" i="19"/>
  <c r="I718" i="19"/>
  <c r="I719" i="19"/>
  <c r="P719" i="19" s="1"/>
  <c r="I720" i="19"/>
  <c r="I721" i="19"/>
  <c r="I722" i="19"/>
  <c r="I723" i="19"/>
  <c r="I724" i="19"/>
  <c r="I725" i="19"/>
  <c r="I726" i="19"/>
  <c r="I727" i="19"/>
  <c r="I728" i="19"/>
  <c r="I729" i="19"/>
  <c r="I730" i="19"/>
  <c r="I731" i="19"/>
  <c r="I732" i="19"/>
  <c r="I733" i="19"/>
  <c r="I734" i="19"/>
  <c r="I735" i="19"/>
  <c r="I736" i="19"/>
  <c r="I737" i="19"/>
  <c r="I738" i="19"/>
  <c r="I739" i="19"/>
  <c r="I740" i="19"/>
  <c r="I741" i="19"/>
  <c r="I742" i="19"/>
  <c r="I743" i="19"/>
  <c r="I744" i="19"/>
  <c r="I745" i="19"/>
  <c r="I746" i="19"/>
  <c r="I747" i="19"/>
  <c r="I748" i="19"/>
  <c r="I749" i="19"/>
  <c r="I750" i="19"/>
  <c r="I751" i="19"/>
  <c r="I752" i="19"/>
  <c r="I753" i="19"/>
  <c r="I754" i="19"/>
  <c r="I755" i="19"/>
  <c r="I756" i="19"/>
  <c r="I757" i="19"/>
  <c r="I758" i="19"/>
  <c r="I759" i="19"/>
  <c r="I760" i="19"/>
  <c r="I761" i="19"/>
  <c r="I763" i="19"/>
  <c r="I764" i="19"/>
  <c r="I765" i="19"/>
  <c r="I766" i="19"/>
  <c r="I767" i="19"/>
  <c r="I768" i="19"/>
  <c r="I769" i="19"/>
  <c r="I770" i="19"/>
  <c r="I771" i="19"/>
  <c r="I772" i="19"/>
  <c r="I773" i="19"/>
  <c r="I774" i="19"/>
  <c r="I775" i="19"/>
  <c r="I776" i="19"/>
  <c r="I777" i="19"/>
  <c r="I778" i="19"/>
  <c r="I779" i="19"/>
  <c r="I780" i="19"/>
  <c r="I781" i="19"/>
  <c r="I782" i="19"/>
  <c r="I783" i="19"/>
  <c r="I784" i="19"/>
  <c r="I785" i="19"/>
  <c r="I786" i="19"/>
  <c r="I787" i="19"/>
  <c r="I788" i="19"/>
  <c r="I789" i="19"/>
  <c r="I790" i="19"/>
  <c r="I791" i="19"/>
  <c r="I792" i="19"/>
  <c r="I793" i="19"/>
  <c r="I794" i="19"/>
  <c r="I795" i="19"/>
  <c r="I796" i="19"/>
  <c r="I797" i="19"/>
  <c r="I798" i="19"/>
  <c r="I799" i="19"/>
  <c r="I800" i="19"/>
  <c r="I801" i="19"/>
  <c r="J801" i="19" s="1"/>
  <c r="I802" i="19"/>
  <c r="I803" i="19"/>
  <c r="I804" i="19"/>
  <c r="I805" i="19"/>
  <c r="I806" i="19"/>
  <c r="I807" i="19"/>
  <c r="I808" i="19"/>
  <c r="I809" i="19"/>
  <c r="I812" i="19"/>
  <c r="I813" i="19"/>
  <c r="I762" i="19"/>
  <c r="I818" i="19"/>
  <c r="I819" i="19"/>
  <c r="N766" i="19"/>
  <c r="N751" i="19"/>
  <c r="N699" i="19"/>
  <c r="N689" i="19"/>
  <c r="N680" i="19"/>
  <c r="T670" i="19"/>
  <c r="N669" i="19"/>
  <c r="T668" i="19"/>
  <c r="R668" i="19" s="1"/>
  <c r="N650" i="19"/>
  <c r="N648" i="19"/>
  <c r="N622" i="19"/>
  <c r="N603" i="19"/>
  <c r="N556" i="19"/>
  <c r="N555" i="19"/>
  <c r="N548" i="19"/>
  <c r="N527" i="19"/>
  <c r="N526" i="19"/>
  <c r="N501" i="19"/>
  <c r="N494" i="19"/>
  <c r="AC488" i="19"/>
  <c r="AC481" i="19"/>
  <c r="N451" i="19"/>
  <c r="N436" i="19"/>
  <c r="N434" i="19"/>
  <c r="N433" i="19"/>
  <c r="N426" i="19"/>
  <c r="N416" i="19"/>
  <c r="N399" i="19"/>
  <c r="N374" i="19"/>
  <c r="N373" i="19"/>
  <c r="N313" i="19"/>
  <c r="N293" i="19"/>
  <c r="AC289" i="19"/>
  <c r="AC288" i="19"/>
  <c r="N272" i="19"/>
  <c r="N271" i="19"/>
  <c r="N251" i="19"/>
  <c r="N233" i="19"/>
  <c r="N227" i="19"/>
  <c r="N224" i="19"/>
  <c r="N223" i="19"/>
  <c r="N222" i="19"/>
  <c r="N221" i="19"/>
  <c r="AA206" i="19"/>
  <c r="Y206" i="19"/>
  <c r="X206" i="19"/>
  <c r="AB206" i="19" s="1"/>
  <c r="N161" i="19"/>
  <c r="N138" i="19"/>
  <c r="AA95" i="19"/>
  <c r="AC95" i="19" s="1"/>
  <c r="AA94" i="19"/>
  <c r="AC94" i="19" s="1"/>
  <c r="N94" i="19"/>
  <c r="N81" i="19"/>
  <c r="N67" i="19"/>
  <c r="N54" i="19"/>
  <c r="N52" i="19"/>
  <c r="N30" i="19"/>
  <c r="N4" i="19"/>
  <c r="L657" i="13"/>
  <c r="L808" i="19" l="1"/>
  <c r="O808" i="19" s="1"/>
  <c r="J808" i="19"/>
  <c r="K808" i="19"/>
  <c r="L800" i="19"/>
  <c r="O800" i="19" s="1"/>
  <c r="P800" i="19" s="1"/>
  <c r="J800" i="19"/>
  <c r="K800" i="19"/>
  <c r="L792" i="19"/>
  <c r="O792" i="19" s="1"/>
  <c r="P792" i="19" s="1"/>
  <c r="J792" i="19"/>
  <c r="K792" i="19"/>
  <c r="L784" i="19"/>
  <c r="O784" i="19" s="1"/>
  <c r="P784" i="19" s="1"/>
  <c r="J784" i="19"/>
  <c r="K784" i="19"/>
  <c r="L766" i="19"/>
  <c r="O766" i="19" s="1"/>
  <c r="P766" i="19" s="1"/>
  <c r="J766" i="19"/>
  <c r="K766" i="19"/>
  <c r="L761" i="19"/>
  <c r="J761" i="19"/>
  <c r="K761" i="19"/>
  <c r="L753" i="19"/>
  <c r="J753" i="19"/>
  <c r="K753" i="19"/>
  <c r="L741" i="19"/>
  <c r="J741" i="19"/>
  <c r="K741" i="19"/>
  <c r="L733" i="19"/>
  <c r="J733" i="19"/>
  <c r="K733" i="19"/>
  <c r="L721" i="19"/>
  <c r="J721" i="19"/>
  <c r="K721" i="19"/>
  <c r="L713" i="19"/>
  <c r="K713" i="19"/>
  <c r="J713" i="19"/>
  <c r="L705" i="19"/>
  <c r="J705" i="19"/>
  <c r="K705" i="19"/>
  <c r="L697" i="19"/>
  <c r="K697" i="19"/>
  <c r="J697" i="19"/>
  <c r="L689" i="19"/>
  <c r="J689" i="19"/>
  <c r="K689" i="19"/>
  <c r="L681" i="19"/>
  <c r="K681" i="19"/>
  <c r="J681" i="19"/>
  <c r="L673" i="19"/>
  <c r="J673" i="19"/>
  <c r="K673" i="19"/>
  <c r="L665" i="19"/>
  <c r="K665" i="19"/>
  <c r="J665" i="19"/>
  <c r="L657" i="19"/>
  <c r="J657" i="19"/>
  <c r="K657" i="19"/>
  <c r="L648" i="19"/>
  <c r="K648" i="19"/>
  <c r="J648" i="19"/>
  <c r="L640" i="19"/>
  <c r="J640" i="19"/>
  <c r="K640" i="19"/>
  <c r="L632" i="19"/>
  <c r="K632" i="19"/>
  <c r="J632" i="19"/>
  <c r="L624" i="19"/>
  <c r="J624" i="19"/>
  <c r="K624" i="19"/>
  <c r="L616" i="19"/>
  <c r="K616" i="19"/>
  <c r="J616" i="19"/>
  <c r="L608" i="19"/>
  <c r="J608" i="19"/>
  <c r="K608" i="19"/>
  <c r="L596" i="19"/>
  <c r="J596" i="19"/>
  <c r="K596" i="19"/>
  <c r="L588" i="19"/>
  <c r="J588" i="19"/>
  <c r="K588" i="19"/>
  <c r="L580" i="19"/>
  <c r="J580" i="19"/>
  <c r="K580" i="19"/>
  <c r="L572" i="19"/>
  <c r="J572" i="19"/>
  <c r="K572" i="19"/>
  <c r="L564" i="19"/>
  <c r="J564" i="19"/>
  <c r="K564" i="19"/>
  <c r="L556" i="19"/>
  <c r="K556" i="19"/>
  <c r="J556" i="19"/>
  <c r="L544" i="19"/>
  <c r="J544" i="19"/>
  <c r="K544" i="19"/>
  <c r="L536" i="19"/>
  <c r="J536" i="19"/>
  <c r="K536" i="19"/>
  <c r="L528" i="19"/>
  <c r="J528" i="19"/>
  <c r="K528" i="19"/>
  <c r="L520" i="19"/>
  <c r="J520" i="19"/>
  <c r="K520" i="19"/>
  <c r="L512" i="19"/>
  <c r="J512" i="19"/>
  <c r="K512" i="19"/>
  <c r="L504" i="19"/>
  <c r="J504" i="19"/>
  <c r="K504" i="19"/>
  <c r="L496" i="19"/>
  <c r="J496" i="19"/>
  <c r="K496" i="19"/>
  <c r="L488" i="19"/>
  <c r="J488" i="19"/>
  <c r="K488" i="19"/>
  <c r="L480" i="19"/>
  <c r="J480" i="19"/>
  <c r="K480" i="19"/>
  <c r="L472" i="19"/>
  <c r="J472" i="19"/>
  <c r="K472" i="19"/>
  <c r="L464" i="19"/>
  <c r="J464" i="19"/>
  <c r="K464" i="19"/>
  <c r="L456" i="19"/>
  <c r="J456" i="19"/>
  <c r="K456" i="19"/>
  <c r="L448" i="19"/>
  <c r="J448" i="19"/>
  <c r="K448" i="19"/>
  <c r="L440" i="19"/>
  <c r="J440" i="19"/>
  <c r="K440" i="19"/>
  <c r="L432" i="19"/>
  <c r="J432" i="19"/>
  <c r="K432" i="19"/>
  <c r="L424" i="19"/>
  <c r="J424" i="19"/>
  <c r="K424" i="19"/>
  <c r="L416" i="19"/>
  <c r="J416" i="19"/>
  <c r="K416" i="19"/>
  <c r="L408" i="19"/>
  <c r="J408" i="19"/>
  <c r="K408" i="19"/>
  <c r="L400" i="19"/>
  <c r="J400" i="19"/>
  <c r="K400" i="19"/>
  <c r="L392" i="19"/>
  <c r="J392" i="19"/>
  <c r="K392" i="19"/>
  <c r="L384" i="19"/>
  <c r="J384" i="19"/>
  <c r="K384" i="19"/>
  <c r="L376" i="19"/>
  <c r="J376" i="19"/>
  <c r="K376" i="19"/>
  <c r="L368" i="19"/>
  <c r="J368" i="19"/>
  <c r="K368" i="19"/>
  <c r="L360" i="19"/>
  <c r="J360" i="19"/>
  <c r="K360" i="19"/>
  <c r="L352" i="19"/>
  <c r="J352" i="19"/>
  <c r="K352" i="19"/>
  <c r="L344" i="19"/>
  <c r="J344" i="19"/>
  <c r="K344" i="19"/>
  <c r="L336" i="19"/>
  <c r="J336" i="19"/>
  <c r="K336" i="19"/>
  <c r="L332" i="19"/>
  <c r="J332" i="19"/>
  <c r="K332" i="19"/>
  <c r="L324" i="19"/>
  <c r="J324" i="19"/>
  <c r="K324" i="19"/>
  <c r="L316" i="19"/>
  <c r="J316" i="19"/>
  <c r="K316" i="19"/>
  <c r="L308" i="19"/>
  <c r="J308" i="19"/>
  <c r="K308" i="19"/>
  <c r="L296" i="19"/>
  <c r="J296" i="19"/>
  <c r="K296" i="19"/>
  <c r="L288" i="19"/>
  <c r="J288" i="19"/>
  <c r="K288" i="19"/>
  <c r="L284" i="19"/>
  <c r="J284" i="19"/>
  <c r="K284" i="19"/>
  <c r="L276" i="19"/>
  <c r="J276" i="19"/>
  <c r="K276" i="19"/>
  <c r="L268" i="19"/>
  <c r="J268" i="19"/>
  <c r="K268" i="19"/>
  <c r="L260" i="19"/>
  <c r="J260" i="19"/>
  <c r="K260" i="19"/>
  <c r="L252" i="19"/>
  <c r="K252" i="19"/>
  <c r="J252" i="19"/>
  <c r="L244" i="19"/>
  <c r="J244" i="19"/>
  <c r="K244" i="19"/>
  <c r="L236" i="19"/>
  <c r="J236" i="19"/>
  <c r="K236" i="19"/>
  <c r="L228" i="19"/>
  <c r="J228" i="19"/>
  <c r="K228" i="19"/>
  <c r="L220" i="19"/>
  <c r="J220" i="19"/>
  <c r="K220" i="19"/>
  <c r="L212" i="19"/>
  <c r="J212" i="19"/>
  <c r="K212" i="19"/>
  <c r="L204" i="19"/>
  <c r="J204" i="19"/>
  <c r="K204" i="19"/>
  <c r="L196" i="19"/>
  <c r="J196" i="19"/>
  <c r="K196" i="19"/>
  <c r="L188" i="19"/>
  <c r="K188" i="19"/>
  <c r="J188" i="19"/>
  <c r="L180" i="19"/>
  <c r="J180" i="19"/>
  <c r="K180" i="19"/>
  <c r="L172" i="19"/>
  <c r="J172" i="19"/>
  <c r="K172" i="19"/>
  <c r="L164" i="19"/>
  <c r="J164" i="19"/>
  <c r="K164" i="19"/>
  <c r="L156" i="19"/>
  <c r="J156" i="19"/>
  <c r="K156" i="19"/>
  <c r="L148" i="19"/>
  <c r="J148" i="19"/>
  <c r="K148" i="19"/>
  <c r="L136" i="19"/>
  <c r="J136" i="19"/>
  <c r="K136" i="19"/>
  <c r="L128" i="19"/>
  <c r="K128" i="19"/>
  <c r="J128" i="19"/>
  <c r="L116" i="19"/>
  <c r="J116" i="19"/>
  <c r="K116" i="19"/>
  <c r="L108" i="19"/>
  <c r="J108" i="19"/>
  <c r="K108" i="19"/>
  <c r="L100" i="19"/>
  <c r="J100" i="19"/>
  <c r="K100" i="19"/>
  <c r="L92" i="19"/>
  <c r="J92" i="19"/>
  <c r="K92" i="19"/>
  <c r="L84" i="19"/>
  <c r="J84" i="19"/>
  <c r="K84" i="19"/>
  <c r="L76" i="19"/>
  <c r="J76" i="19"/>
  <c r="K76" i="19"/>
  <c r="L68" i="19"/>
  <c r="J68" i="19"/>
  <c r="K68" i="19"/>
  <c r="L60" i="19"/>
  <c r="K60" i="19"/>
  <c r="J60" i="19"/>
  <c r="L52" i="19"/>
  <c r="J52" i="19"/>
  <c r="K52" i="19"/>
  <c r="L44" i="19"/>
  <c r="J44" i="19"/>
  <c r="K44" i="19"/>
  <c r="L36" i="19"/>
  <c r="J36" i="19"/>
  <c r="K36" i="19"/>
  <c r="L28" i="19"/>
  <c r="J28" i="19"/>
  <c r="K28" i="19"/>
  <c r="L20" i="19"/>
  <c r="J20" i="19"/>
  <c r="K20" i="19"/>
  <c r="L12" i="19"/>
  <c r="J12" i="19"/>
  <c r="K12" i="19"/>
  <c r="L8" i="19"/>
  <c r="O8" i="19" s="1"/>
  <c r="P8" i="19" s="1"/>
  <c r="J8" i="19"/>
  <c r="K8" i="19"/>
  <c r="L4" i="19"/>
  <c r="O4" i="19" s="1"/>
  <c r="P4" i="19" s="1"/>
  <c r="J4" i="19"/>
  <c r="K4" i="19"/>
  <c r="J813" i="19"/>
  <c r="K813" i="19"/>
  <c r="L803" i="19"/>
  <c r="J803" i="19"/>
  <c r="K803" i="19"/>
  <c r="L795" i="19"/>
  <c r="K795" i="19"/>
  <c r="J795" i="19"/>
  <c r="L787" i="19"/>
  <c r="J787" i="19"/>
  <c r="K787" i="19"/>
  <c r="L779" i="19"/>
  <c r="K779" i="19"/>
  <c r="J779" i="19"/>
  <c r="L773" i="19"/>
  <c r="J773" i="19"/>
  <c r="K773" i="19"/>
  <c r="L769" i="19"/>
  <c r="J769" i="19"/>
  <c r="K769" i="19"/>
  <c r="L760" i="19"/>
  <c r="J760" i="19"/>
  <c r="K760" i="19"/>
  <c r="L756" i="19"/>
  <c r="J756" i="19"/>
  <c r="K756" i="19"/>
  <c r="L752" i="19"/>
  <c r="J752" i="19"/>
  <c r="K752" i="19"/>
  <c r="L748" i="19"/>
  <c r="J748" i="19"/>
  <c r="K748" i="19"/>
  <c r="L744" i="19"/>
  <c r="J744" i="19"/>
  <c r="K744" i="19"/>
  <c r="L740" i="19"/>
  <c r="J740" i="19"/>
  <c r="K740" i="19"/>
  <c r="L736" i="19"/>
  <c r="J736" i="19"/>
  <c r="K736" i="19"/>
  <c r="L732" i="19"/>
  <c r="J732" i="19"/>
  <c r="K732" i="19"/>
  <c r="L724" i="19"/>
  <c r="J724" i="19"/>
  <c r="K724" i="19"/>
  <c r="L716" i="19"/>
  <c r="J716" i="19"/>
  <c r="K716" i="19"/>
  <c r="L708" i="19"/>
  <c r="J708" i="19"/>
  <c r="K708" i="19"/>
  <c r="L700" i="19"/>
  <c r="J700" i="19"/>
  <c r="K700" i="19"/>
  <c r="L692" i="19"/>
  <c r="J692" i="19"/>
  <c r="K692" i="19"/>
  <c r="L684" i="19"/>
  <c r="J684" i="19"/>
  <c r="K684" i="19"/>
  <c r="L680" i="19"/>
  <c r="J680" i="19"/>
  <c r="K680" i="19"/>
  <c r="L672" i="19"/>
  <c r="J672" i="19"/>
  <c r="K672" i="19"/>
  <c r="L664" i="19"/>
  <c r="J664" i="19"/>
  <c r="K664" i="19"/>
  <c r="L660" i="19"/>
  <c r="J660" i="19"/>
  <c r="K660" i="19"/>
  <c r="L652" i="19"/>
  <c r="J652" i="19"/>
  <c r="K652" i="19"/>
  <c r="L643" i="19"/>
  <c r="J643" i="19"/>
  <c r="K643" i="19"/>
  <c r="L635" i="19"/>
  <c r="J635" i="19"/>
  <c r="K635" i="19"/>
  <c r="L627" i="19"/>
  <c r="J627" i="19"/>
  <c r="K627" i="19"/>
  <c r="L619" i="19"/>
  <c r="J619" i="19"/>
  <c r="K619" i="19"/>
  <c r="L611" i="19"/>
  <c r="J611" i="19"/>
  <c r="K611" i="19"/>
  <c r="L603" i="19"/>
  <c r="J603" i="19"/>
  <c r="K603" i="19"/>
  <c r="L595" i="19"/>
  <c r="J595" i="19"/>
  <c r="K595" i="19"/>
  <c r="L587" i="19"/>
  <c r="J587" i="19"/>
  <c r="K587" i="19"/>
  <c r="L575" i="19"/>
  <c r="J575" i="19"/>
  <c r="K575" i="19"/>
  <c r="L567" i="19"/>
  <c r="J567" i="19"/>
  <c r="K567" i="19"/>
  <c r="L559" i="19"/>
  <c r="J559" i="19"/>
  <c r="K559" i="19"/>
  <c r="L551" i="19"/>
  <c r="J551" i="19"/>
  <c r="K551" i="19"/>
  <c r="L543" i="19"/>
  <c r="J543" i="19"/>
  <c r="K543" i="19"/>
  <c r="L535" i="19"/>
  <c r="J535" i="19"/>
  <c r="K535" i="19"/>
  <c r="L527" i="19"/>
  <c r="J527" i="19"/>
  <c r="K527" i="19"/>
  <c r="L523" i="19"/>
  <c r="J523" i="19"/>
  <c r="K523" i="19"/>
  <c r="L515" i="19"/>
  <c r="J515" i="19"/>
  <c r="K515" i="19"/>
  <c r="L507" i="19"/>
  <c r="J507" i="19"/>
  <c r="K507" i="19"/>
  <c r="L499" i="19"/>
  <c r="J499" i="19"/>
  <c r="K499" i="19"/>
  <c r="L495" i="19"/>
  <c r="J495" i="19"/>
  <c r="K495" i="19"/>
  <c r="L487" i="19"/>
  <c r="J487" i="19"/>
  <c r="K487" i="19"/>
  <c r="L479" i="19"/>
  <c r="J479" i="19"/>
  <c r="K479" i="19"/>
  <c r="L471" i="19"/>
  <c r="J471" i="19"/>
  <c r="K471" i="19"/>
  <c r="L463" i="19"/>
  <c r="J463" i="19"/>
  <c r="K463" i="19"/>
  <c r="L459" i="19"/>
  <c r="J459" i="19"/>
  <c r="K459" i="19"/>
  <c r="L451" i="19"/>
  <c r="J451" i="19"/>
  <c r="K451" i="19"/>
  <c r="L447" i="19"/>
  <c r="J447" i="19"/>
  <c r="K447" i="19"/>
  <c r="L443" i="19"/>
  <c r="J443" i="19"/>
  <c r="K443" i="19"/>
  <c r="L439" i="19"/>
  <c r="J439" i="19"/>
  <c r="K439" i="19"/>
  <c r="L435" i="19"/>
  <c r="J435" i="19"/>
  <c r="K435" i="19"/>
  <c r="L431" i="19"/>
  <c r="J431" i="19"/>
  <c r="K431" i="19"/>
  <c r="L423" i="19"/>
  <c r="J423" i="19"/>
  <c r="K423" i="19"/>
  <c r="L415" i="19"/>
  <c r="J415" i="19"/>
  <c r="K415" i="19"/>
  <c r="L407" i="19"/>
  <c r="J407" i="19"/>
  <c r="K407" i="19"/>
  <c r="L399" i="19"/>
  <c r="J399" i="19"/>
  <c r="K399" i="19"/>
  <c r="L395" i="19"/>
  <c r="J395" i="19"/>
  <c r="K395" i="19"/>
  <c r="L387" i="19"/>
  <c r="J387" i="19"/>
  <c r="K387" i="19"/>
  <c r="L383" i="19"/>
  <c r="J383" i="19"/>
  <c r="K383" i="19"/>
  <c r="L375" i="19"/>
  <c r="J375" i="19"/>
  <c r="K375" i="19"/>
  <c r="L367" i="19"/>
  <c r="J367" i="19"/>
  <c r="K367" i="19"/>
  <c r="L359" i="19"/>
  <c r="J359" i="19"/>
  <c r="K359" i="19"/>
  <c r="L351" i="19"/>
  <c r="J351" i="19"/>
  <c r="K351" i="19"/>
  <c r="L347" i="19"/>
  <c r="J347" i="19"/>
  <c r="K347" i="19"/>
  <c r="L339" i="19"/>
  <c r="J339" i="19"/>
  <c r="K339" i="19"/>
  <c r="L331" i="19"/>
  <c r="K331" i="19"/>
  <c r="J331" i="19"/>
  <c r="L323" i="19"/>
  <c r="J323" i="19"/>
  <c r="K323" i="19"/>
  <c r="L315" i="19"/>
  <c r="J315" i="19"/>
  <c r="K315" i="19"/>
  <c r="L307" i="19"/>
  <c r="J307" i="19"/>
  <c r="K307" i="19"/>
  <c r="L299" i="19"/>
  <c r="J299" i="19"/>
  <c r="K299" i="19"/>
  <c r="L291" i="19"/>
  <c r="J291" i="19"/>
  <c r="K291" i="19"/>
  <c r="L283" i="19"/>
  <c r="J283" i="19"/>
  <c r="K283" i="19"/>
  <c r="L275" i="19"/>
  <c r="J275" i="19"/>
  <c r="K275" i="19"/>
  <c r="L263" i="19"/>
  <c r="J263" i="19"/>
  <c r="K263" i="19"/>
  <c r="L255" i="19"/>
  <c r="J255" i="19"/>
  <c r="K255" i="19"/>
  <c r="L247" i="19"/>
  <c r="J247" i="19"/>
  <c r="K247" i="19"/>
  <c r="L239" i="19"/>
  <c r="J239" i="19"/>
  <c r="K239" i="19"/>
  <c r="L227" i="19"/>
  <c r="J227" i="19"/>
  <c r="K227" i="19"/>
  <c r="L219" i="19"/>
  <c r="J219" i="19"/>
  <c r="K219" i="19"/>
  <c r="L211" i="19"/>
  <c r="J211" i="19"/>
  <c r="K211" i="19"/>
  <c r="L203" i="19"/>
  <c r="J203" i="19"/>
  <c r="K203" i="19"/>
  <c r="L195" i="19"/>
  <c r="J195" i="19"/>
  <c r="K195" i="19"/>
  <c r="L187" i="19"/>
  <c r="J187" i="19"/>
  <c r="K187" i="19"/>
  <c r="L179" i="19"/>
  <c r="J179" i="19"/>
  <c r="K179" i="19"/>
  <c r="L171" i="19"/>
  <c r="J171" i="19"/>
  <c r="K171" i="19"/>
  <c r="L163" i="19"/>
  <c r="J163" i="19"/>
  <c r="K163" i="19"/>
  <c r="L155" i="19"/>
  <c r="J155" i="19"/>
  <c r="K155" i="19"/>
  <c r="L147" i="19"/>
  <c r="J147" i="19"/>
  <c r="K147" i="19"/>
  <c r="L135" i="19"/>
  <c r="J135" i="19"/>
  <c r="K135" i="19"/>
  <c r="L127" i="19"/>
  <c r="J127" i="19"/>
  <c r="K127" i="19"/>
  <c r="L119" i="19"/>
  <c r="J119" i="19"/>
  <c r="K119" i="19"/>
  <c r="L115" i="19"/>
  <c r="J115" i="19"/>
  <c r="K115" i="19"/>
  <c r="L107" i="19"/>
  <c r="J107" i="19"/>
  <c r="K107" i="19"/>
  <c r="L95" i="19"/>
  <c r="J95" i="19"/>
  <c r="K95" i="19"/>
  <c r="L87" i="19"/>
  <c r="J87" i="19"/>
  <c r="K87" i="19"/>
  <c r="L79" i="19"/>
  <c r="J79" i="19"/>
  <c r="K79" i="19"/>
  <c r="L71" i="19"/>
  <c r="J71" i="19"/>
  <c r="K71" i="19"/>
  <c r="L63" i="19"/>
  <c r="J63" i="19"/>
  <c r="K63" i="19"/>
  <c r="L55" i="19"/>
  <c r="J55" i="19"/>
  <c r="K55" i="19"/>
  <c r="L47" i="19"/>
  <c r="J47" i="19"/>
  <c r="K47" i="19"/>
  <c r="L39" i="19"/>
  <c r="J39" i="19"/>
  <c r="K39" i="19"/>
  <c r="L31" i="19"/>
  <c r="J31" i="19"/>
  <c r="K31" i="19"/>
  <c r="L19" i="19"/>
  <c r="J19" i="19"/>
  <c r="K19" i="19"/>
  <c r="L15" i="19"/>
  <c r="J15" i="19"/>
  <c r="K15" i="19"/>
  <c r="L11" i="19"/>
  <c r="J11" i="19"/>
  <c r="K11" i="19"/>
  <c r="L7" i="19"/>
  <c r="J7" i="19"/>
  <c r="K7" i="19"/>
  <c r="L3" i="19"/>
  <c r="J3" i="19"/>
  <c r="K3" i="19"/>
  <c r="J819" i="19"/>
  <c r="K819" i="19"/>
  <c r="J812" i="19"/>
  <c r="K812" i="19"/>
  <c r="L806" i="19"/>
  <c r="J806" i="19"/>
  <c r="K806" i="19"/>
  <c r="L802" i="19"/>
  <c r="J802" i="19"/>
  <c r="K802" i="19"/>
  <c r="L798" i="19"/>
  <c r="J798" i="19"/>
  <c r="K798" i="19"/>
  <c r="L794" i="19"/>
  <c r="K794" i="19"/>
  <c r="J794" i="19"/>
  <c r="L790" i="19"/>
  <c r="J790" i="19"/>
  <c r="K790" i="19"/>
  <c r="L786" i="19"/>
  <c r="J786" i="19"/>
  <c r="K786" i="19"/>
  <c r="L782" i="19"/>
  <c r="J782" i="19"/>
  <c r="K782" i="19"/>
  <c r="L778" i="19"/>
  <c r="O778" i="19" s="1"/>
  <c r="K778" i="19"/>
  <c r="J778" i="19"/>
  <c r="L776" i="19"/>
  <c r="J776" i="19"/>
  <c r="K776" i="19"/>
  <c r="L772" i="19"/>
  <c r="J772" i="19"/>
  <c r="K772" i="19"/>
  <c r="L768" i="19"/>
  <c r="J768" i="19"/>
  <c r="K768" i="19"/>
  <c r="L759" i="19"/>
  <c r="J759" i="19"/>
  <c r="K759" i="19"/>
  <c r="L755" i="19"/>
  <c r="J755" i="19"/>
  <c r="K755" i="19"/>
  <c r="L751" i="19"/>
  <c r="J751" i="19"/>
  <c r="K751" i="19"/>
  <c r="L747" i="19"/>
  <c r="K747" i="19"/>
  <c r="J747" i="19"/>
  <c r="L743" i="19"/>
  <c r="J743" i="19"/>
  <c r="K743" i="19"/>
  <c r="L739" i="19"/>
  <c r="J739" i="19"/>
  <c r="K739" i="19"/>
  <c r="L735" i="19"/>
  <c r="J735" i="19"/>
  <c r="K735" i="19"/>
  <c r="L731" i="19"/>
  <c r="K731" i="19"/>
  <c r="J731" i="19"/>
  <c r="L727" i="19"/>
  <c r="J727" i="19"/>
  <c r="K727" i="19"/>
  <c r="L723" i="19"/>
  <c r="J723" i="19"/>
  <c r="K723" i="19"/>
  <c r="L715" i="19"/>
  <c r="J715" i="19"/>
  <c r="K715" i="19"/>
  <c r="L711" i="19"/>
  <c r="J711" i="19"/>
  <c r="K711" i="19"/>
  <c r="L707" i="19"/>
  <c r="J707" i="19"/>
  <c r="K707" i="19"/>
  <c r="L703" i="19"/>
  <c r="J703" i="19"/>
  <c r="K703" i="19"/>
  <c r="L699" i="19"/>
  <c r="J699" i="19"/>
  <c r="K699" i="19"/>
  <c r="L695" i="19"/>
  <c r="J695" i="19"/>
  <c r="K695" i="19"/>
  <c r="L691" i="19"/>
  <c r="J691" i="19"/>
  <c r="K691" i="19"/>
  <c r="L687" i="19"/>
  <c r="J687" i="19"/>
  <c r="K687" i="19"/>
  <c r="L683" i="19"/>
  <c r="J683" i="19"/>
  <c r="K683" i="19"/>
  <c r="L679" i="19"/>
  <c r="J679" i="19"/>
  <c r="K679" i="19"/>
  <c r="L675" i="19"/>
  <c r="J675" i="19"/>
  <c r="K675" i="19"/>
  <c r="L671" i="19"/>
  <c r="J671" i="19"/>
  <c r="K671" i="19"/>
  <c r="L667" i="19"/>
  <c r="J667" i="19"/>
  <c r="K667" i="19"/>
  <c r="L663" i="19"/>
  <c r="J663" i="19"/>
  <c r="K663" i="19"/>
  <c r="L659" i="19"/>
  <c r="J659" i="19"/>
  <c r="K659" i="19"/>
  <c r="L655" i="19"/>
  <c r="J655" i="19"/>
  <c r="K655" i="19"/>
  <c r="L651" i="19"/>
  <c r="J651" i="19"/>
  <c r="K651" i="19"/>
  <c r="L646" i="19"/>
  <c r="J646" i="19"/>
  <c r="K646" i="19"/>
  <c r="L642" i="19"/>
  <c r="J642" i="19"/>
  <c r="K642" i="19"/>
  <c r="L638" i="19"/>
  <c r="J638" i="19"/>
  <c r="K638" i="19"/>
  <c r="L634" i="19"/>
  <c r="J634" i="19"/>
  <c r="K634" i="19"/>
  <c r="L630" i="19"/>
  <c r="J630" i="19"/>
  <c r="K630" i="19"/>
  <c r="L626" i="19"/>
  <c r="J626" i="19"/>
  <c r="K626" i="19"/>
  <c r="L622" i="19"/>
  <c r="J622" i="19"/>
  <c r="K622" i="19"/>
  <c r="L618" i="19"/>
  <c r="J618" i="19"/>
  <c r="K618" i="19"/>
  <c r="L614" i="19"/>
  <c r="J614" i="19"/>
  <c r="K614" i="19"/>
  <c r="L610" i="19"/>
  <c r="J610" i="19"/>
  <c r="K610" i="19"/>
  <c r="L606" i="19"/>
  <c r="J606" i="19"/>
  <c r="K606" i="19"/>
  <c r="L602" i="19"/>
  <c r="J602" i="19"/>
  <c r="K602" i="19"/>
  <c r="L598" i="19"/>
  <c r="J598" i="19"/>
  <c r="K598" i="19"/>
  <c r="L594" i="19"/>
  <c r="J594" i="19"/>
  <c r="K594" i="19"/>
  <c r="L590" i="19"/>
  <c r="J590" i="19"/>
  <c r="K590" i="19"/>
  <c r="L586" i="19"/>
  <c r="J586" i="19"/>
  <c r="K586" i="19"/>
  <c r="L582" i="19"/>
  <c r="J582" i="19"/>
  <c r="K582" i="19"/>
  <c r="L578" i="19"/>
  <c r="J578" i="19"/>
  <c r="K578" i="19"/>
  <c r="L574" i="19"/>
  <c r="J574" i="19"/>
  <c r="K574" i="19"/>
  <c r="L570" i="19"/>
  <c r="J570" i="19"/>
  <c r="K570" i="19"/>
  <c r="L566" i="19"/>
  <c r="J566" i="19"/>
  <c r="K566" i="19"/>
  <c r="L562" i="19"/>
  <c r="J562" i="19"/>
  <c r="K562" i="19"/>
  <c r="L558" i="19"/>
  <c r="J558" i="19"/>
  <c r="K558" i="19"/>
  <c r="L554" i="19"/>
  <c r="J554" i="19"/>
  <c r="K554" i="19"/>
  <c r="L550" i="19"/>
  <c r="J550" i="19"/>
  <c r="K550" i="19"/>
  <c r="L546" i="19"/>
  <c r="J546" i="19"/>
  <c r="K546" i="19"/>
  <c r="L542" i="19"/>
  <c r="J542" i="19"/>
  <c r="K542" i="19"/>
  <c r="L538" i="19"/>
  <c r="J538" i="19"/>
  <c r="K538" i="19"/>
  <c r="L534" i="19"/>
  <c r="J534" i="19"/>
  <c r="K534" i="19"/>
  <c r="L530" i="19"/>
  <c r="J530" i="19"/>
  <c r="K530" i="19"/>
  <c r="L526" i="19"/>
  <c r="J526" i="19"/>
  <c r="K526" i="19"/>
  <c r="L522" i="19"/>
  <c r="J522" i="19"/>
  <c r="K522" i="19"/>
  <c r="L518" i="19"/>
  <c r="J518" i="19"/>
  <c r="K518" i="19"/>
  <c r="L514" i="19"/>
  <c r="J514" i="19"/>
  <c r="K514" i="19"/>
  <c r="L510" i="19"/>
  <c r="J510" i="19"/>
  <c r="K510" i="19"/>
  <c r="L506" i="19"/>
  <c r="J506" i="19"/>
  <c r="K506" i="19"/>
  <c r="L502" i="19"/>
  <c r="J502" i="19"/>
  <c r="K502" i="19"/>
  <c r="L498" i="19"/>
  <c r="J498" i="19"/>
  <c r="K498" i="19"/>
  <c r="L494" i="19"/>
  <c r="J494" i="19"/>
  <c r="K494" i="19"/>
  <c r="L490" i="19"/>
  <c r="J490" i="19"/>
  <c r="K490" i="19"/>
  <c r="L486" i="19"/>
  <c r="J486" i="19"/>
  <c r="K486" i="19"/>
  <c r="L482" i="19"/>
  <c r="J482" i="19"/>
  <c r="K482" i="19"/>
  <c r="L478" i="19"/>
  <c r="J478" i="19"/>
  <c r="K478" i="19"/>
  <c r="L474" i="19"/>
  <c r="J474" i="19"/>
  <c r="K474" i="19"/>
  <c r="L470" i="19"/>
  <c r="J470" i="19"/>
  <c r="K470" i="19"/>
  <c r="L466" i="19"/>
  <c r="J466" i="19"/>
  <c r="K466" i="19"/>
  <c r="L462" i="19"/>
  <c r="J462" i="19"/>
  <c r="K462" i="19"/>
  <c r="L458" i="19"/>
  <c r="J458" i="19"/>
  <c r="K458" i="19"/>
  <c r="L454" i="19"/>
  <c r="J454" i="19"/>
  <c r="K454" i="19"/>
  <c r="L450" i="19"/>
  <c r="J450" i="19"/>
  <c r="K450" i="19"/>
  <c r="L446" i="19"/>
  <c r="J446" i="19"/>
  <c r="K446" i="19"/>
  <c r="L442" i="19"/>
  <c r="J442" i="19"/>
  <c r="K442" i="19"/>
  <c r="L438" i="19"/>
  <c r="J438" i="19"/>
  <c r="K438" i="19"/>
  <c r="L434" i="19"/>
  <c r="J434" i="19"/>
  <c r="K434" i="19"/>
  <c r="L430" i="19"/>
  <c r="J430" i="19"/>
  <c r="K430" i="19"/>
  <c r="L426" i="19"/>
  <c r="J426" i="19"/>
  <c r="K426" i="19"/>
  <c r="L422" i="19"/>
  <c r="J422" i="19"/>
  <c r="K422" i="19"/>
  <c r="L418" i="19"/>
  <c r="J418" i="19"/>
  <c r="K418" i="19"/>
  <c r="L414" i="19"/>
  <c r="J414" i="19"/>
  <c r="K414" i="19"/>
  <c r="L410" i="19"/>
  <c r="J410" i="19"/>
  <c r="K410" i="19"/>
  <c r="L406" i="19"/>
  <c r="J406" i="19"/>
  <c r="K406" i="19"/>
  <c r="L402" i="19"/>
  <c r="J402" i="19"/>
  <c r="K402" i="19"/>
  <c r="L398" i="19"/>
  <c r="J398" i="19"/>
  <c r="K398" i="19"/>
  <c r="L394" i="19"/>
  <c r="J394" i="19"/>
  <c r="K394" i="19"/>
  <c r="L390" i="19"/>
  <c r="J390" i="19"/>
  <c r="K390" i="19"/>
  <c r="L386" i="19"/>
  <c r="J386" i="19"/>
  <c r="K386" i="19"/>
  <c r="L382" i="19"/>
  <c r="J382" i="19"/>
  <c r="K382" i="19"/>
  <c r="L378" i="19"/>
  <c r="J378" i="19"/>
  <c r="K378" i="19"/>
  <c r="L374" i="19"/>
  <c r="J374" i="19"/>
  <c r="K374" i="19"/>
  <c r="L370" i="19"/>
  <c r="J370" i="19"/>
  <c r="K370" i="19"/>
  <c r="L366" i="19"/>
  <c r="J366" i="19"/>
  <c r="K366" i="19"/>
  <c r="L362" i="19"/>
  <c r="J362" i="19"/>
  <c r="K362" i="19"/>
  <c r="L358" i="19"/>
  <c r="J358" i="19"/>
  <c r="K358" i="19"/>
  <c r="L354" i="19"/>
  <c r="J354" i="19"/>
  <c r="K354" i="19"/>
  <c r="L350" i="19"/>
  <c r="J350" i="19"/>
  <c r="K350" i="19"/>
  <c r="L346" i="19"/>
  <c r="J346" i="19"/>
  <c r="K346" i="19"/>
  <c r="L342" i="19"/>
  <c r="J342" i="19"/>
  <c r="K342" i="19"/>
  <c r="L338" i="19"/>
  <c r="J338" i="19"/>
  <c r="K338" i="19"/>
  <c r="L334" i="19"/>
  <c r="J334" i="19"/>
  <c r="K334" i="19"/>
  <c r="L330" i="19"/>
  <c r="K330" i="19"/>
  <c r="J330" i="19"/>
  <c r="L326" i="19"/>
  <c r="J326" i="19"/>
  <c r="K326" i="19"/>
  <c r="L322" i="19"/>
  <c r="J322" i="19"/>
  <c r="K322" i="19"/>
  <c r="L318" i="19"/>
  <c r="J318" i="19"/>
  <c r="K318" i="19"/>
  <c r="L314" i="19"/>
  <c r="J314" i="19"/>
  <c r="K314" i="19"/>
  <c r="L310" i="19"/>
  <c r="J310" i="19"/>
  <c r="K310" i="19"/>
  <c r="L306" i="19"/>
  <c r="J306" i="19"/>
  <c r="K306" i="19"/>
  <c r="L302" i="19"/>
  <c r="J302" i="19"/>
  <c r="K302" i="19"/>
  <c r="L298" i="19"/>
  <c r="J298" i="19"/>
  <c r="K298" i="19"/>
  <c r="L294" i="19"/>
  <c r="J294" i="19"/>
  <c r="K294" i="19"/>
  <c r="L290" i="19"/>
  <c r="J290" i="19"/>
  <c r="K290" i="19"/>
  <c r="L286" i="19"/>
  <c r="J286" i="19"/>
  <c r="K286" i="19"/>
  <c r="L282" i="19"/>
  <c r="J282" i="19"/>
  <c r="K282" i="19"/>
  <c r="L278" i="19"/>
  <c r="J278" i="19"/>
  <c r="K278" i="19"/>
  <c r="L274" i="19"/>
  <c r="J274" i="19"/>
  <c r="K274" i="19"/>
  <c r="L270" i="19"/>
  <c r="J270" i="19"/>
  <c r="K270" i="19"/>
  <c r="L266" i="19"/>
  <c r="J266" i="19"/>
  <c r="K266" i="19"/>
  <c r="L262" i="19"/>
  <c r="J262" i="19"/>
  <c r="K262" i="19"/>
  <c r="L258" i="19"/>
  <c r="J258" i="19"/>
  <c r="K258" i="19"/>
  <c r="L254" i="19"/>
  <c r="J254" i="19"/>
  <c r="K254" i="19"/>
  <c r="L250" i="19"/>
  <c r="J250" i="19"/>
  <c r="K250" i="19"/>
  <c r="L246" i="19"/>
  <c r="J246" i="19"/>
  <c r="K246" i="19"/>
  <c r="L242" i="19"/>
  <c r="J242" i="19"/>
  <c r="K242" i="19"/>
  <c r="L238" i="19"/>
  <c r="J238" i="19"/>
  <c r="K238" i="19"/>
  <c r="L234" i="19"/>
  <c r="J234" i="19"/>
  <c r="K234" i="19"/>
  <c r="L230" i="19"/>
  <c r="J230" i="19"/>
  <c r="K230" i="19"/>
  <c r="L226" i="19"/>
  <c r="J226" i="19"/>
  <c r="K226" i="19"/>
  <c r="L222" i="19"/>
  <c r="J222" i="19"/>
  <c r="K222" i="19"/>
  <c r="L218" i="19"/>
  <c r="J218" i="19"/>
  <c r="K218" i="19"/>
  <c r="L214" i="19"/>
  <c r="J214" i="19"/>
  <c r="K214" i="19"/>
  <c r="L210" i="19"/>
  <c r="J210" i="19"/>
  <c r="K210" i="19"/>
  <c r="L206" i="19"/>
  <c r="J206" i="19"/>
  <c r="K206" i="19"/>
  <c r="L202" i="19"/>
  <c r="J202" i="19"/>
  <c r="K202" i="19"/>
  <c r="L198" i="19"/>
  <c r="J198" i="19"/>
  <c r="K198" i="19"/>
  <c r="L194" i="19"/>
  <c r="J194" i="19"/>
  <c r="K194" i="19"/>
  <c r="L190" i="19"/>
  <c r="J190" i="19"/>
  <c r="K190" i="19"/>
  <c r="L186" i="19"/>
  <c r="J186" i="19"/>
  <c r="K186" i="19"/>
  <c r="L182" i="19"/>
  <c r="J182" i="19"/>
  <c r="K182" i="19"/>
  <c r="L178" i="19"/>
  <c r="J178" i="19"/>
  <c r="K178" i="19"/>
  <c r="L174" i="19"/>
  <c r="J174" i="19"/>
  <c r="K174" i="19"/>
  <c r="L170" i="19"/>
  <c r="J170" i="19"/>
  <c r="K170" i="19"/>
  <c r="L166" i="19"/>
  <c r="J166" i="19"/>
  <c r="K166" i="19"/>
  <c r="L162" i="19"/>
  <c r="J162" i="19"/>
  <c r="K162" i="19"/>
  <c r="L158" i="19"/>
  <c r="J158" i="19"/>
  <c r="K158" i="19"/>
  <c r="L154" i="19"/>
  <c r="J154" i="19"/>
  <c r="K154" i="19"/>
  <c r="L150" i="19"/>
  <c r="J150" i="19"/>
  <c r="K150" i="19"/>
  <c r="L146" i="19"/>
  <c r="J146" i="19"/>
  <c r="K146" i="19"/>
  <c r="L142" i="19"/>
  <c r="J142" i="19"/>
  <c r="K142" i="19"/>
  <c r="L138" i="19"/>
  <c r="J138" i="19"/>
  <c r="K138" i="19"/>
  <c r="L134" i="19"/>
  <c r="J134" i="19"/>
  <c r="K134" i="19"/>
  <c r="L130" i="19"/>
  <c r="J130" i="19"/>
  <c r="K130" i="19"/>
  <c r="L126" i="19"/>
  <c r="J126" i="19"/>
  <c r="K126" i="19"/>
  <c r="L122" i="19"/>
  <c r="J122" i="19"/>
  <c r="K122" i="19"/>
  <c r="L118" i="19"/>
  <c r="J118" i="19"/>
  <c r="K118" i="19"/>
  <c r="L114" i="19"/>
  <c r="J114" i="19"/>
  <c r="K114" i="19"/>
  <c r="L110" i="19"/>
  <c r="J110" i="19"/>
  <c r="K110" i="19"/>
  <c r="L106" i="19"/>
  <c r="J106" i="19"/>
  <c r="K106" i="19"/>
  <c r="L102" i="19"/>
  <c r="J102" i="19"/>
  <c r="K102" i="19"/>
  <c r="L98" i="19"/>
  <c r="J98" i="19"/>
  <c r="K98" i="19"/>
  <c r="L94" i="19"/>
  <c r="J94" i="19"/>
  <c r="K94" i="19"/>
  <c r="L90" i="19"/>
  <c r="O90" i="19" s="1"/>
  <c r="P90" i="19" s="1"/>
  <c r="J90" i="19"/>
  <c r="K90" i="19"/>
  <c r="L86" i="19"/>
  <c r="J86" i="19"/>
  <c r="K86" i="19"/>
  <c r="L82" i="19"/>
  <c r="J82" i="19"/>
  <c r="K82" i="19"/>
  <c r="L78" i="19"/>
  <c r="J78" i="19"/>
  <c r="K78" i="19"/>
  <c r="L74" i="19"/>
  <c r="J74" i="19"/>
  <c r="K74" i="19"/>
  <c r="L70" i="19"/>
  <c r="J70" i="19"/>
  <c r="K70" i="19"/>
  <c r="L66" i="19"/>
  <c r="J66" i="19"/>
  <c r="K66" i="19"/>
  <c r="L62" i="19"/>
  <c r="J62" i="19"/>
  <c r="K62" i="19"/>
  <c r="L58" i="19"/>
  <c r="J58" i="19"/>
  <c r="K58" i="19"/>
  <c r="L54" i="19"/>
  <c r="J54" i="19"/>
  <c r="K54" i="19"/>
  <c r="L50" i="19"/>
  <c r="J50" i="19"/>
  <c r="K50" i="19"/>
  <c r="L46" i="19"/>
  <c r="J46" i="19"/>
  <c r="K46" i="19"/>
  <c r="L42" i="19"/>
  <c r="J42" i="19"/>
  <c r="K42" i="19"/>
  <c r="L38" i="19"/>
  <c r="J38" i="19"/>
  <c r="K38" i="19"/>
  <c r="L34" i="19"/>
  <c r="J34" i="19"/>
  <c r="K34" i="19"/>
  <c r="L30" i="19"/>
  <c r="J30" i="19"/>
  <c r="K30" i="19"/>
  <c r="L26" i="19"/>
  <c r="J26" i="19"/>
  <c r="K26" i="19"/>
  <c r="L22" i="19"/>
  <c r="J22" i="19"/>
  <c r="K22" i="19"/>
  <c r="L18" i="19"/>
  <c r="J18" i="19"/>
  <c r="K18" i="19"/>
  <c r="L14" i="19"/>
  <c r="J14" i="19"/>
  <c r="K14" i="19"/>
  <c r="L10" i="19"/>
  <c r="J10" i="19"/>
  <c r="K10" i="19"/>
  <c r="L6" i="19"/>
  <c r="J6" i="19"/>
  <c r="K6" i="19"/>
  <c r="L2" i="19"/>
  <c r="J2" i="19"/>
  <c r="K2" i="19"/>
  <c r="L762" i="19"/>
  <c r="O762" i="19" s="1"/>
  <c r="P762" i="19" s="1"/>
  <c r="K762" i="19"/>
  <c r="J762" i="19"/>
  <c r="L804" i="19"/>
  <c r="O804" i="19" s="1"/>
  <c r="P804" i="19" s="1"/>
  <c r="J804" i="19"/>
  <c r="K804" i="19"/>
  <c r="L796" i="19"/>
  <c r="O796" i="19" s="1"/>
  <c r="P796" i="19" s="1"/>
  <c r="J796" i="19"/>
  <c r="K796" i="19"/>
  <c r="L788" i="19"/>
  <c r="O788" i="19" s="1"/>
  <c r="P788" i="19" s="1"/>
  <c r="J788" i="19"/>
  <c r="K788" i="19"/>
  <c r="L780" i="19"/>
  <c r="O780" i="19" s="1"/>
  <c r="P780" i="19" s="1"/>
  <c r="J780" i="19"/>
  <c r="K780" i="19"/>
  <c r="L774" i="19"/>
  <c r="O774" i="19" s="1"/>
  <c r="P774" i="19" s="1"/>
  <c r="J774" i="19"/>
  <c r="K774" i="19"/>
  <c r="L770" i="19"/>
  <c r="O770" i="19" s="1"/>
  <c r="P770" i="19" s="1"/>
  <c r="J770" i="19"/>
  <c r="K770" i="19"/>
  <c r="L757" i="19"/>
  <c r="J757" i="19"/>
  <c r="K757" i="19"/>
  <c r="L749" i="19"/>
  <c r="J749" i="19"/>
  <c r="K749" i="19"/>
  <c r="L745" i="19"/>
  <c r="J745" i="19"/>
  <c r="K745" i="19"/>
  <c r="L737" i="19"/>
  <c r="J737" i="19"/>
  <c r="K737" i="19"/>
  <c r="L729" i="19"/>
  <c r="J729" i="19"/>
  <c r="K729" i="19"/>
  <c r="L725" i="19"/>
  <c r="J725" i="19"/>
  <c r="K725" i="19"/>
  <c r="P717" i="19"/>
  <c r="J717" i="19"/>
  <c r="K717" i="19"/>
  <c r="H717" i="19" s="1"/>
  <c r="L709" i="19"/>
  <c r="J709" i="19"/>
  <c r="K709" i="19"/>
  <c r="L701" i="19"/>
  <c r="J701" i="19"/>
  <c r="K701" i="19"/>
  <c r="L693" i="19"/>
  <c r="J693" i="19"/>
  <c r="K693" i="19"/>
  <c r="L685" i="19"/>
  <c r="J685" i="19"/>
  <c r="K685" i="19"/>
  <c r="L677" i="19"/>
  <c r="J677" i="19"/>
  <c r="K677" i="19"/>
  <c r="L669" i="19"/>
  <c r="J669" i="19"/>
  <c r="K669" i="19"/>
  <c r="L661" i="19"/>
  <c r="J661" i="19"/>
  <c r="K661" i="19"/>
  <c r="L653" i="19"/>
  <c r="J653" i="19"/>
  <c r="K653" i="19"/>
  <c r="L644" i="19"/>
  <c r="J644" i="19"/>
  <c r="K644" i="19"/>
  <c r="L636" i="19"/>
  <c r="J636" i="19"/>
  <c r="K636" i="19"/>
  <c r="L628" i="19"/>
  <c r="J628" i="19"/>
  <c r="K628" i="19"/>
  <c r="L620" i="19"/>
  <c r="J620" i="19"/>
  <c r="K620" i="19"/>
  <c r="L612" i="19"/>
  <c r="J612" i="19"/>
  <c r="K612" i="19"/>
  <c r="L604" i="19"/>
  <c r="J604" i="19"/>
  <c r="K604" i="19"/>
  <c r="L600" i="19"/>
  <c r="K600" i="19"/>
  <c r="J600" i="19"/>
  <c r="L592" i="19"/>
  <c r="J592" i="19"/>
  <c r="K592" i="19"/>
  <c r="L584" i="19"/>
  <c r="K584" i="19"/>
  <c r="J584" i="19"/>
  <c r="L576" i="19"/>
  <c r="J576" i="19"/>
  <c r="K576" i="19"/>
  <c r="L568" i="19"/>
  <c r="J568" i="19"/>
  <c r="K568" i="19"/>
  <c r="L560" i="19"/>
  <c r="J560" i="19"/>
  <c r="K560" i="19"/>
  <c r="L552" i="19"/>
  <c r="J552" i="19"/>
  <c r="K552" i="19"/>
  <c r="L548" i="19"/>
  <c r="J548" i="19"/>
  <c r="K548" i="19"/>
  <c r="L540" i="19"/>
  <c r="O540" i="19" s="1"/>
  <c r="P540" i="19" s="1"/>
  <c r="J540" i="19"/>
  <c r="K540" i="19"/>
  <c r="L532" i="19"/>
  <c r="J532" i="19"/>
  <c r="K532" i="19"/>
  <c r="L524" i="19"/>
  <c r="K524" i="19"/>
  <c r="J524" i="19"/>
  <c r="L516" i="19"/>
  <c r="J516" i="19"/>
  <c r="K516" i="19"/>
  <c r="L508" i="19"/>
  <c r="J508" i="19"/>
  <c r="K508" i="19"/>
  <c r="L500" i="19"/>
  <c r="J500" i="19"/>
  <c r="K500" i="19"/>
  <c r="L492" i="19"/>
  <c r="K492" i="19"/>
  <c r="J492" i="19"/>
  <c r="L484" i="19"/>
  <c r="J484" i="19"/>
  <c r="K484" i="19"/>
  <c r="L476" i="19"/>
  <c r="J476" i="19"/>
  <c r="K476" i="19"/>
  <c r="L468" i="19"/>
  <c r="J468" i="19"/>
  <c r="K468" i="19"/>
  <c r="L460" i="19"/>
  <c r="K460" i="19"/>
  <c r="J460" i="19"/>
  <c r="L452" i="19"/>
  <c r="J452" i="19"/>
  <c r="K452" i="19"/>
  <c r="L444" i="19"/>
  <c r="J444" i="19"/>
  <c r="K444" i="19"/>
  <c r="L436" i="19"/>
  <c r="J436" i="19"/>
  <c r="K436" i="19"/>
  <c r="L428" i="19"/>
  <c r="K428" i="19"/>
  <c r="J428" i="19"/>
  <c r="L420" i="19"/>
  <c r="J420" i="19"/>
  <c r="K420" i="19"/>
  <c r="L412" i="19"/>
  <c r="J412" i="19"/>
  <c r="K412" i="19"/>
  <c r="L404" i="19"/>
  <c r="J404" i="19"/>
  <c r="K404" i="19"/>
  <c r="L396" i="19"/>
  <c r="K396" i="19"/>
  <c r="J396" i="19"/>
  <c r="L388" i="19"/>
  <c r="J388" i="19"/>
  <c r="K388" i="19"/>
  <c r="L380" i="19"/>
  <c r="J380" i="19"/>
  <c r="K380" i="19"/>
  <c r="L372" i="19"/>
  <c r="J372" i="19"/>
  <c r="K372" i="19"/>
  <c r="L364" i="19"/>
  <c r="K364" i="19"/>
  <c r="J364" i="19"/>
  <c r="L356" i="19"/>
  <c r="J356" i="19"/>
  <c r="K356" i="19"/>
  <c r="L348" i="19"/>
  <c r="J348" i="19"/>
  <c r="K348" i="19"/>
  <c r="L340" i="19"/>
  <c r="J340" i="19"/>
  <c r="K340" i="19"/>
  <c r="L328" i="19"/>
  <c r="J328" i="19"/>
  <c r="K328" i="19"/>
  <c r="L320" i="19"/>
  <c r="J320" i="19"/>
  <c r="K320" i="19"/>
  <c r="L312" i="19"/>
  <c r="J312" i="19"/>
  <c r="K312" i="19"/>
  <c r="L304" i="19"/>
  <c r="J304" i="19"/>
  <c r="K304" i="19"/>
  <c r="L300" i="19"/>
  <c r="J300" i="19"/>
  <c r="K300" i="19"/>
  <c r="L292" i="19"/>
  <c r="J292" i="19"/>
  <c r="K292" i="19"/>
  <c r="L280" i="19"/>
  <c r="J280" i="19"/>
  <c r="K280" i="19"/>
  <c r="L272" i="19"/>
  <c r="J272" i="19"/>
  <c r="K272" i="19"/>
  <c r="L264" i="19"/>
  <c r="J264" i="19"/>
  <c r="K264" i="19"/>
  <c r="L256" i="19"/>
  <c r="K256" i="19"/>
  <c r="J256" i="19"/>
  <c r="L248" i="19"/>
  <c r="J248" i="19"/>
  <c r="K248" i="19"/>
  <c r="L240" i="19"/>
  <c r="J240" i="19"/>
  <c r="K240" i="19"/>
  <c r="L232" i="19"/>
  <c r="J232" i="19"/>
  <c r="K232" i="19"/>
  <c r="L224" i="19"/>
  <c r="K224" i="19"/>
  <c r="J224" i="19"/>
  <c r="L216" i="19"/>
  <c r="J216" i="19"/>
  <c r="K216" i="19"/>
  <c r="L208" i="19"/>
  <c r="J208" i="19"/>
  <c r="K208" i="19"/>
  <c r="L200" i="19"/>
  <c r="J200" i="19"/>
  <c r="K200" i="19"/>
  <c r="L192" i="19"/>
  <c r="K192" i="19"/>
  <c r="J192" i="19"/>
  <c r="L184" i="19"/>
  <c r="J184" i="19"/>
  <c r="K184" i="19"/>
  <c r="L176" i="19"/>
  <c r="J176" i="19"/>
  <c r="K176" i="19"/>
  <c r="L168" i="19"/>
  <c r="J168" i="19"/>
  <c r="K168" i="19"/>
  <c r="L160" i="19"/>
  <c r="K160" i="19"/>
  <c r="J160" i="19"/>
  <c r="L152" i="19"/>
  <c r="J152" i="19"/>
  <c r="K152" i="19"/>
  <c r="L144" i="19"/>
  <c r="J144" i="19"/>
  <c r="K144" i="19"/>
  <c r="L140" i="19"/>
  <c r="J140" i="19"/>
  <c r="K140" i="19"/>
  <c r="L120" i="19"/>
  <c r="J120" i="19"/>
  <c r="K120" i="19"/>
  <c r="L112" i="19"/>
  <c r="J112" i="19"/>
  <c r="K112" i="19"/>
  <c r="L104" i="19"/>
  <c r="J104" i="19"/>
  <c r="K104" i="19"/>
  <c r="L96" i="19"/>
  <c r="K96" i="19"/>
  <c r="J96" i="19"/>
  <c r="L88" i="19"/>
  <c r="J88" i="19"/>
  <c r="K88" i="19"/>
  <c r="J80" i="19"/>
  <c r="K80" i="19"/>
  <c r="L72" i="19"/>
  <c r="J72" i="19"/>
  <c r="K72" i="19"/>
  <c r="L64" i="19"/>
  <c r="K64" i="19"/>
  <c r="J64" i="19"/>
  <c r="L56" i="19"/>
  <c r="J56" i="19"/>
  <c r="K56" i="19"/>
  <c r="L48" i="19"/>
  <c r="J48" i="19"/>
  <c r="K48" i="19"/>
  <c r="L40" i="19"/>
  <c r="J40" i="19"/>
  <c r="K40" i="19"/>
  <c r="L32" i="19"/>
  <c r="K32" i="19"/>
  <c r="J32" i="19"/>
  <c r="L24" i="19"/>
  <c r="J24" i="19"/>
  <c r="K24" i="19"/>
  <c r="L16" i="19"/>
  <c r="K16" i="19"/>
  <c r="J16" i="19"/>
  <c r="L807" i="19"/>
  <c r="J807" i="19"/>
  <c r="K807" i="19"/>
  <c r="L799" i="19"/>
  <c r="J799" i="19"/>
  <c r="K799" i="19"/>
  <c r="L791" i="19"/>
  <c r="J791" i="19"/>
  <c r="K791" i="19"/>
  <c r="L783" i="19"/>
  <c r="J783" i="19"/>
  <c r="K783" i="19"/>
  <c r="L765" i="19"/>
  <c r="K765" i="19"/>
  <c r="J765" i="19"/>
  <c r="L728" i="19"/>
  <c r="J728" i="19"/>
  <c r="K728" i="19"/>
  <c r="L720" i="19"/>
  <c r="J720" i="19"/>
  <c r="K720" i="19"/>
  <c r="L712" i="19"/>
  <c r="J712" i="19"/>
  <c r="K712" i="19"/>
  <c r="L704" i="19"/>
  <c r="J704" i="19"/>
  <c r="K704" i="19"/>
  <c r="L696" i="19"/>
  <c r="J696" i="19"/>
  <c r="K696" i="19"/>
  <c r="L688" i="19"/>
  <c r="J688" i="19"/>
  <c r="K688" i="19"/>
  <c r="L676" i="19"/>
  <c r="J676" i="19"/>
  <c r="K676" i="19"/>
  <c r="J668" i="19"/>
  <c r="K668" i="19"/>
  <c r="L647" i="19"/>
  <c r="K647" i="19"/>
  <c r="J647" i="19"/>
  <c r="L639" i="19"/>
  <c r="J639" i="19"/>
  <c r="K639" i="19"/>
  <c r="L631" i="19"/>
  <c r="K631" i="19"/>
  <c r="J631" i="19"/>
  <c r="L623" i="19"/>
  <c r="J623" i="19"/>
  <c r="K623" i="19"/>
  <c r="L615" i="19"/>
  <c r="K615" i="19"/>
  <c r="J615" i="19"/>
  <c r="L607" i="19"/>
  <c r="J607" i="19"/>
  <c r="K607" i="19"/>
  <c r="L599" i="19"/>
  <c r="K599" i="19"/>
  <c r="J599" i="19"/>
  <c r="L591" i="19"/>
  <c r="J591" i="19"/>
  <c r="K591" i="19"/>
  <c r="L583" i="19"/>
  <c r="K583" i="19"/>
  <c r="J583" i="19"/>
  <c r="L579" i="19"/>
  <c r="J579" i="19"/>
  <c r="K579" i="19"/>
  <c r="L571" i="19"/>
  <c r="J571" i="19"/>
  <c r="K571" i="19"/>
  <c r="L563" i="19"/>
  <c r="J563" i="19"/>
  <c r="K563" i="19"/>
  <c r="L555" i="19"/>
  <c r="J555" i="19"/>
  <c r="K555" i="19"/>
  <c r="L547" i="19"/>
  <c r="J547" i="19"/>
  <c r="K547" i="19"/>
  <c r="L539" i="19"/>
  <c r="J539" i="19"/>
  <c r="K539" i="19"/>
  <c r="L531" i="19"/>
  <c r="J531" i="19"/>
  <c r="K531" i="19"/>
  <c r="L519" i="19"/>
  <c r="J519" i="19"/>
  <c r="K519" i="19"/>
  <c r="L511" i="19"/>
  <c r="J511" i="19"/>
  <c r="K511" i="19"/>
  <c r="L503" i="19"/>
  <c r="J503" i="19"/>
  <c r="K503" i="19"/>
  <c r="L491" i="19"/>
  <c r="J491" i="19"/>
  <c r="K491" i="19"/>
  <c r="L483" i="19"/>
  <c r="J483" i="19"/>
  <c r="K483" i="19"/>
  <c r="L475" i="19"/>
  <c r="J475" i="19"/>
  <c r="K475" i="19"/>
  <c r="L467" i="19"/>
  <c r="J467" i="19"/>
  <c r="K467" i="19"/>
  <c r="L455" i="19"/>
  <c r="J455" i="19"/>
  <c r="K455" i="19"/>
  <c r="L427" i="19"/>
  <c r="J427" i="19"/>
  <c r="K427" i="19"/>
  <c r="L419" i="19"/>
  <c r="J419" i="19"/>
  <c r="K419" i="19"/>
  <c r="L411" i="19"/>
  <c r="J411" i="19"/>
  <c r="K411" i="19"/>
  <c r="L403" i="19"/>
  <c r="J403" i="19"/>
  <c r="K403" i="19"/>
  <c r="L391" i="19"/>
  <c r="J391" i="19"/>
  <c r="K391" i="19"/>
  <c r="L379" i="19"/>
  <c r="J379" i="19"/>
  <c r="K379" i="19"/>
  <c r="L371" i="19"/>
  <c r="J371" i="19"/>
  <c r="K371" i="19"/>
  <c r="L363" i="19"/>
  <c r="J363" i="19"/>
  <c r="K363" i="19"/>
  <c r="L355" i="19"/>
  <c r="J355" i="19"/>
  <c r="K355" i="19"/>
  <c r="L343" i="19"/>
  <c r="J343" i="19"/>
  <c r="K343" i="19"/>
  <c r="L335" i="19"/>
  <c r="J335" i="19"/>
  <c r="K335" i="19"/>
  <c r="L327" i="19"/>
  <c r="J327" i="19"/>
  <c r="K327" i="19"/>
  <c r="L319" i="19"/>
  <c r="J319" i="19"/>
  <c r="K319" i="19"/>
  <c r="L311" i="19"/>
  <c r="J311" i="19"/>
  <c r="K311" i="19"/>
  <c r="L303" i="19"/>
  <c r="J303" i="19"/>
  <c r="K303" i="19"/>
  <c r="L295" i="19"/>
  <c r="J295" i="19"/>
  <c r="K295" i="19"/>
  <c r="L287" i="19"/>
  <c r="J287" i="19"/>
  <c r="K287" i="19"/>
  <c r="L279" i="19"/>
  <c r="J279" i="19"/>
  <c r="K279" i="19"/>
  <c r="L271" i="19"/>
  <c r="J271" i="19"/>
  <c r="K271" i="19"/>
  <c r="L267" i="19"/>
  <c r="J267" i="19"/>
  <c r="K267" i="19"/>
  <c r="L259" i="19"/>
  <c r="J259" i="19"/>
  <c r="K259" i="19"/>
  <c r="L251" i="19"/>
  <c r="J251" i="19"/>
  <c r="K251" i="19"/>
  <c r="L243" i="19"/>
  <c r="J243" i="19"/>
  <c r="K243" i="19"/>
  <c r="L235" i="19"/>
  <c r="J235" i="19"/>
  <c r="K235" i="19"/>
  <c r="L231" i="19"/>
  <c r="O231" i="19" s="1"/>
  <c r="P231" i="19" s="1"/>
  <c r="J231" i="19"/>
  <c r="K231" i="19"/>
  <c r="L223" i="19"/>
  <c r="J223" i="19"/>
  <c r="K223" i="19"/>
  <c r="L215" i="19"/>
  <c r="J215" i="19"/>
  <c r="K215" i="19"/>
  <c r="L207" i="19"/>
  <c r="J207" i="19"/>
  <c r="K207" i="19"/>
  <c r="L199" i="19"/>
  <c r="J199" i="19"/>
  <c r="K199" i="19"/>
  <c r="L191" i="19"/>
  <c r="J191" i="19"/>
  <c r="K191" i="19"/>
  <c r="L183" i="19"/>
  <c r="J183" i="19"/>
  <c r="K183" i="19"/>
  <c r="L175" i="19"/>
  <c r="J175" i="19"/>
  <c r="K175" i="19"/>
  <c r="L167" i="19"/>
  <c r="J167" i="19"/>
  <c r="K167" i="19"/>
  <c r="L159" i="19"/>
  <c r="J159" i="19"/>
  <c r="K159" i="19"/>
  <c r="L151" i="19"/>
  <c r="J151" i="19"/>
  <c r="K151" i="19"/>
  <c r="L143" i="19"/>
  <c r="J143" i="19"/>
  <c r="K143" i="19"/>
  <c r="L139" i="19"/>
  <c r="J139" i="19"/>
  <c r="K139" i="19"/>
  <c r="L131" i="19"/>
  <c r="J131" i="19"/>
  <c r="K131" i="19"/>
  <c r="L123" i="19"/>
  <c r="J123" i="19"/>
  <c r="K123" i="19"/>
  <c r="L111" i="19"/>
  <c r="J111" i="19"/>
  <c r="K111" i="19"/>
  <c r="L103" i="19"/>
  <c r="J103" i="19"/>
  <c r="K103" i="19"/>
  <c r="J99" i="19"/>
  <c r="K99" i="19"/>
  <c r="L91" i="19"/>
  <c r="J91" i="19"/>
  <c r="K91" i="19"/>
  <c r="L83" i="19"/>
  <c r="J83" i="19"/>
  <c r="K83" i="19"/>
  <c r="L75" i="19"/>
  <c r="J75" i="19"/>
  <c r="K75" i="19"/>
  <c r="L67" i="19"/>
  <c r="J67" i="19"/>
  <c r="K67" i="19"/>
  <c r="L59" i="19"/>
  <c r="J59" i="19"/>
  <c r="K59" i="19"/>
  <c r="L51" i="19"/>
  <c r="J51" i="19"/>
  <c r="K51" i="19"/>
  <c r="L43" i="19"/>
  <c r="J43" i="19"/>
  <c r="K43" i="19"/>
  <c r="L35" i="19"/>
  <c r="J35" i="19"/>
  <c r="K35" i="19"/>
  <c r="L27" i="19"/>
  <c r="J27" i="19"/>
  <c r="K27" i="19"/>
  <c r="L23" i="19"/>
  <c r="J23" i="19"/>
  <c r="K23" i="19"/>
  <c r="L809" i="19"/>
  <c r="J809" i="19"/>
  <c r="K809" i="19"/>
  <c r="L805" i="19"/>
  <c r="J805" i="19"/>
  <c r="K805" i="19"/>
  <c r="L801" i="19"/>
  <c r="K801" i="19"/>
  <c r="L797" i="19"/>
  <c r="J797" i="19"/>
  <c r="K797" i="19"/>
  <c r="L793" i="19"/>
  <c r="J793" i="19"/>
  <c r="K793" i="19"/>
  <c r="L789" i="19"/>
  <c r="J789" i="19"/>
  <c r="K789" i="19"/>
  <c r="L785" i="19"/>
  <c r="J785" i="19"/>
  <c r="K785" i="19"/>
  <c r="L781" i="19"/>
  <c r="J781" i="19"/>
  <c r="K781" i="19"/>
  <c r="L777" i="19"/>
  <c r="J777" i="19"/>
  <c r="K777" i="19"/>
  <c r="L775" i="19"/>
  <c r="J775" i="19"/>
  <c r="K775" i="19"/>
  <c r="L771" i="19"/>
  <c r="J771" i="19"/>
  <c r="K771" i="19"/>
  <c r="L767" i="19"/>
  <c r="J767" i="19"/>
  <c r="K767" i="19"/>
  <c r="L758" i="19"/>
  <c r="O758" i="19" s="1"/>
  <c r="P758" i="19" s="1"/>
  <c r="J758" i="19"/>
  <c r="K758" i="19"/>
  <c r="L754" i="19"/>
  <c r="O754" i="19" s="1"/>
  <c r="P754" i="19" s="1"/>
  <c r="J754" i="19"/>
  <c r="K754" i="19"/>
  <c r="L750" i="19"/>
  <c r="O750" i="19" s="1"/>
  <c r="P750" i="19" s="1"/>
  <c r="J750" i="19"/>
  <c r="K750" i="19"/>
  <c r="L746" i="19"/>
  <c r="O746" i="19" s="1"/>
  <c r="P746" i="19" s="1"/>
  <c r="K746" i="19"/>
  <c r="J746" i="19"/>
  <c r="L742" i="19"/>
  <c r="O742" i="19" s="1"/>
  <c r="P742" i="19" s="1"/>
  <c r="J742" i="19"/>
  <c r="K742" i="19"/>
  <c r="L738" i="19"/>
  <c r="O738" i="19" s="1"/>
  <c r="P738" i="19" s="1"/>
  <c r="J738" i="19"/>
  <c r="K738" i="19"/>
  <c r="L734" i="19"/>
  <c r="O734" i="19" s="1"/>
  <c r="P734" i="19" s="1"/>
  <c r="J734" i="19"/>
  <c r="K734" i="19"/>
  <c r="L730" i="19"/>
  <c r="O730" i="19" s="1"/>
  <c r="P730" i="19" s="1"/>
  <c r="K730" i="19"/>
  <c r="J730" i="19"/>
  <c r="L726" i="19"/>
  <c r="O726" i="19" s="1"/>
  <c r="P726" i="19" s="1"/>
  <c r="J726" i="19"/>
  <c r="K726" i="19"/>
  <c r="L722" i="19"/>
  <c r="O722" i="19" s="1"/>
  <c r="P722" i="19" s="1"/>
  <c r="J722" i="19"/>
  <c r="K722" i="19"/>
  <c r="L718" i="19"/>
  <c r="O718" i="19" s="1"/>
  <c r="P718" i="19" s="1"/>
  <c r="J718" i="19"/>
  <c r="K718" i="19"/>
  <c r="L714" i="19"/>
  <c r="O714" i="19" s="1"/>
  <c r="P714" i="19" s="1"/>
  <c r="K714" i="19"/>
  <c r="J714" i="19"/>
  <c r="L710" i="19"/>
  <c r="O710" i="19" s="1"/>
  <c r="P710" i="19" s="1"/>
  <c r="J710" i="19"/>
  <c r="K710" i="19"/>
  <c r="L706" i="19"/>
  <c r="O706" i="19" s="1"/>
  <c r="P706" i="19" s="1"/>
  <c r="J706" i="19"/>
  <c r="K706" i="19"/>
  <c r="L702" i="19"/>
  <c r="O702" i="19" s="1"/>
  <c r="P702" i="19" s="1"/>
  <c r="J702" i="19"/>
  <c r="K702" i="19"/>
  <c r="L698" i="19"/>
  <c r="O698" i="19" s="1"/>
  <c r="P698" i="19" s="1"/>
  <c r="K698" i="19"/>
  <c r="J698" i="19"/>
  <c r="L694" i="19"/>
  <c r="O694" i="19" s="1"/>
  <c r="P694" i="19" s="1"/>
  <c r="J694" i="19"/>
  <c r="K694" i="19"/>
  <c r="L690" i="19"/>
  <c r="O690" i="19" s="1"/>
  <c r="P690" i="19" s="1"/>
  <c r="J690" i="19"/>
  <c r="K690" i="19"/>
  <c r="L686" i="19"/>
  <c r="O686" i="19" s="1"/>
  <c r="P686" i="19" s="1"/>
  <c r="K686" i="19"/>
  <c r="L682" i="19"/>
  <c r="O682" i="19" s="1"/>
  <c r="P682" i="19" s="1"/>
  <c r="K682" i="19"/>
  <c r="J682" i="19"/>
  <c r="L678" i="19"/>
  <c r="O678" i="19" s="1"/>
  <c r="P678" i="19" s="1"/>
  <c r="J678" i="19"/>
  <c r="K678" i="19"/>
  <c r="L674" i="19"/>
  <c r="O674" i="19" s="1"/>
  <c r="P674" i="19" s="1"/>
  <c r="J674" i="19"/>
  <c r="K674" i="19"/>
  <c r="J670" i="19"/>
  <c r="K670" i="19"/>
  <c r="L666" i="19"/>
  <c r="O666" i="19" s="1"/>
  <c r="P666" i="19" s="1"/>
  <c r="K666" i="19"/>
  <c r="J666" i="19"/>
  <c r="L662" i="19"/>
  <c r="O662" i="19" s="1"/>
  <c r="P662" i="19" s="1"/>
  <c r="J662" i="19"/>
  <c r="K662" i="19"/>
  <c r="L658" i="19"/>
  <c r="O658" i="19" s="1"/>
  <c r="P658" i="19" s="1"/>
  <c r="J658" i="19"/>
  <c r="K658" i="19"/>
  <c r="L654" i="19"/>
  <c r="O654" i="19" s="1"/>
  <c r="P654" i="19" s="1"/>
  <c r="J654" i="19"/>
  <c r="K654" i="19"/>
  <c r="L650" i="19"/>
  <c r="O650" i="19" s="1"/>
  <c r="P650" i="19" s="1"/>
  <c r="J650" i="19"/>
  <c r="K650" i="19"/>
  <c r="L645" i="19"/>
  <c r="O645" i="19" s="1"/>
  <c r="P645" i="19" s="1"/>
  <c r="J645" i="19"/>
  <c r="K645" i="19"/>
  <c r="L641" i="19"/>
  <c r="O641" i="19" s="1"/>
  <c r="P641" i="19" s="1"/>
  <c r="J641" i="19"/>
  <c r="K641" i="19"/>
  <c r="L637" i="19"/>
  <c r="O637" i="19" s="1"/>
  <c r="P637" i="19" s="1"/>
  <c r="J637" i="19"/>
  <c r="K637" i="19"/>
  <c r="L633" i="19"/>
  <c r="O633" i="19" s="1"/>
  <c r="P633" i="19" s="1"/>
  <c r="J633" i="19"/>
  <c r="K633" i="19"/>
  <c r="L629" i="19"/>
  <c r="O629" i="19" s="1"/>
  <c r="P629" i="19" s="1"/>
  <c r="J629" i="19"/>
  <c r="K629" i="19"/>
  <c r="L625" i="19"/>
  <c r="O625" i="19" s="1"/>
  <c r="P625" i="19" s="1"/>
  <c r="J625" i="19"/>
  <c r="K625" i="19"/>
  <c r="L621" i="19"/>
  <c r="O621" i="19" s="1"/>
  <c r="P621" i="19" s="1"/>
  <c r="J621" i="19"/>
  <c r="K621" i="19"/>
  <c r="L617" i="19"/>
  <c r="O617" i="19" s="1"/>
  <c r="P617" i="19" s="1"/>
  <c r="J617" i="19"/>
  <c r="K617" i="19"/>
  <c r="L613" i="19"/>
  <c r="O613" i="19" s="1"/>
  <c r="P613" i="19" s="1"/>
  <c r="J613" i="19"/>
  <c r="K613" i="19"/>
  <c r="L609" i="19"/>
  <c r="O609" i="19" s="1"/>
  <c r="P609" i="19" s="1"/>
  <c r="J609" i="19"/>
  <c r="K609" i="19"/>
  <c r="L605" i="19"/>
  <c r="O605" i="19" s="1"/>
  <c r="P605" i="19" s="1"/>
  <c r="J605" i="19"/>
  <c r="K605" i="19"/>
  <c r="L601" i="19"/>
  <c r="O601" i="19" s="1"/>
  <c r="P601" i="19" s="1"/>
  <c r="J601" i="19"/>
  <c r="K601" i="19"/>
  <c r="L597" i="19"/>
  <c r="O597" i="19" s="1"/>
  <c r="P597" i="19" s="1"/>
  <c r="J597" i="19"/>
  <c r="K597" i="19"/>
  <c r="L593" i="19"/>
  <c r="O593" i="19" s="1"/>
  <c r="P593" i="19" s="1"/>
  <c r="J593" i="19"/>
  <c r="K593" i="19"/>
  <c r="L589" i="19"/>
  <c r="O589" i="19" s="1"/>
  <c r="P589" i="19" s="1"/>
  <c r="J589" i="19"/>
  <c r="K589" i="19"/>
  <c r="L585" i="19"/>
  <c r="O585" i="19" s="1"/>
  <c r="P585" i="19" s="1"/>
  <c r="J585" i="19"/>
  <c r="K585" i="19"/>
  <c r="L581" i="19"/>
  <c r="O581" i="19" s="1"/>
  <c r="P581" i="19" s="1"/>
  <c r="J581" i="19"/>
  <c r="K581" i="19"/>
  <c r="L577" i="19"/>
  <c r="O577" i="19" s="1"/>
  <c r="P577" i="19" s="1"/>
  <c r="J577" i="19"/>
  <c r="K577" i="19"/>
  <c r="L573" i="19"/>
  <c r="O573" i="19" s="1"/>
  <c r="P573" i="19" s="1"/>
  <c r="J573" i="19"/>
  <c r="K573" i="19"/>
  <c r="L569" i="19"/>
  <c r="O569" i="19" s="1"/>
  <c r="P569" i="19" s="1"/>
  <c r="J569" i="19"/>
  <c r="K569" i="19"/>
  <c r="L565" i="19"/>
  <c r="O565" i="19" s="1"/>
  <c r="P565" i="19" s="1"/>
  <c r="J565" i="19"/>
  <c r="K565" i="19"/>
  <c r="L561" i="19"/>
  <c r="O561" i="19" s="1"/>
  <c r="P561" i="19" s="1"/>
  <c r="J561" i="19"/>
  <c r="K561" i="19"/>
  <c r="L557" i="19"/>
  <c r="O557" i="19" s="1"/>
  <c r="P557" i="19" s="1"/>
  <c r="K557" i="19"/>
  <c r="J557" i="19"/>
  <c r="L553" i="19"/>
  <c r="O553" i="19" s="1"/>
  <c r="P553" i="19" s="1"/>
  <c r="J553" i="19"/>
  <c r="K553" i="19"/>
  <c r="L549" i="19"/>
  <c r="O549" i="19" s="1"/>
  <c r="P549" i="19" s="1"/>
  <c r="J549" i="19"/>
  <c r="K549" i="19"/>
  <c r="L545" i="19"/>
  <c r="O545" i="19" s="1"/>
  <c r="P545" i="19" s="1"/>
  <c r="J545" i="19"/>
  <c r="K545" i="19"/>
  <c r="L541" i="19"/>
  <c r="O541" i="19" s="1"/>
  <c r="P541" i="19" s="1"/>
  <c r="J541" i="19"/>
  <c r="K541" i="19"/>
  <c r="L537" i="19"/>
  <c r="O537" i="19" s="1"/>
  <c r="P537" i="19" s="1"/>
  <c r="J537" i="19"/>
  <c r="K537" i="19"/>
  <c r="L533" i="19"/>
  <c r="O533" i="19" s="1"/>
  <c r="P533" i="19" s="1"/>
  <c r="J533" i="19"/>
  <c r="K533" i="19"/>
  <c r="L529" i="19"/>
  <c r="O529" i="19" s="1"/>
  <c r="P529" i="19" s="1"/>
  <c r="J529" i="19"/>
  <c r="K529" i="19"/>
  <c r="L525" i="19"/>
  <c r="O525" i="19" s="1"/>
  <c r="P525" i="19" s="1"/>
  <c r="K525" i="19"/>
  <c r="J525" i="19"/>
  <c r="L521" i="19"/>
  <c r="O521" i="19" s="1"/>
  <c r="P521" i="19" s="1"/>
  <c r="J521" i="19"/>
  <c r="K521" i="19"/>
  <c r="L517" i="19"/>
  <c r="O517" i="19" s="1"/>
  <c r="P517" i="19" s="1"/>
  <c r="K517" i="19"/>
  <c r="J517" i="19"/>
  <c r="L513" i="19"/>
  <c r="O513" i="19" s="1"/>
  <c r="P513" i="19" s="1"/>
  <c r="J513" i="19"/>
  <c r="K513" i="19"/>
  <c r="L509" i="19"/>
  <c r="O509" i="19" s="1"/>
  <c r="P509" i="19" s="1"/>
  <c r="K509" i="19"/>
  <c r="J509" i="19"/>
  <c r="L505" i="19"/>
  <c r="O505" i="19" s="1"/>
  <c r="P505" i="19" s="1"/>
  <c r="J505" i="19"/>
  <c r="K505" i="19"/>
  <c r="L501" i="19"/>
  <c r="O501" i="19" s="1"/>
  <c r="P501" i="19" s="1"/>
  <c r="K501" i="19"/>
  <c r="J501" i="19"/>
  <c r="L497" i="19"/>
  <c r="O497" i="19" s="1"/>
  <c r="P497" i="19" s="1"/>
  <c r="J497" i="19"/>
  <c r="K497" i="19"/>
  <c r="L493" i="19"/>
  <c r="O493" i="19" s="1"/>
  <c r="P493" i="19" s="1"/>
  <c r="K493" i="19"/>
  <c r="J493" i="19"/>
  <c r="L489" i="19"/>
  <c r="O489" i="19" s="1"/>
  <c r="P489" i="19" s="1"/>
  <c r="J489" i="19"/>
  <c r="K489" i="19"/>
  <c r="L485" i="19"/>
  <c r="O485" i="19" s="1"/>
  <c r="P485" i="19" s="1"/>
  <c r="K485" i="19"/>
  <c r="J485" i="19"/>
  <c r="L481" i="19"/>
  <c r="O481" i="19" s="1"/>
  <c r="P481" i="19" s="1"/>
  <c r="J481" i="19"/>
  <c r="K481" i="19"/>
  <c r="L477" i="19"/>
  <c r="O477" i="19" s="1"/>
  <c r="P477" i="19" s="1"/>
  <c r="K477" i="19"/>
  <c r="J477" i="19"/>
  <c r="L473" i="19"/>
  <c r="O473" i="19" s="1"/>
  <c r="P473" i="19" s="1"/>
  <c r="J473" i="19"/>
  <c r="K473" i="19"/>
  <c r="K469" i="19"/>
  <c r="H469" i="19" s="1"/>
  <c r="J469" i="19"/>
  <c r="L465" i="19"/>
  <c r="O465" i="19" s="1"/>
  <c r="P465" i="19" s="1"/>
  <c r="J465" i="19"/>
  <c r="K465" i="19"/>
  <c r="L461" i="19"/>
  <c r="O461" i="19" s="1"/>
  <c r="P461" i="19" s="1"/>
  <c r="K461" i="19"/>
  <c r="J461" i="19"/>
  <c r="L457" i="19"/>
  <c r="O457" i="19" s="1"/>
  <c r="P457" i="19" s="1"/>
  <c r="J457" i="19"/>
  <c r="K457" i="19"/>
  <c r="L453" i="19"/>
  <c r="O453" i="19" s="1"/>
  <c r="P453" i="19" s="1"/>
  <c r="K453" i="19"/>
  <c r="J453" i="19"/>
  <c r="L449" i="19"/>
  <c r="O449" i="19" s="1"/>
  <c r="P449" i="19" s="1"/>
  <c r="J449" i="19"/>
  <c r="K449" i="19"/>
  <c r="L445" i="19"/>
  <c r="O445" i="19" s="1"/>
  <c r="P445" i="19" s="1"/>
  <c r="K445" i="19"/>
  <c r="J445" i="19"/>
  <c r="L441" i="19"/>
  <c r="O441" i="19" s="1"/>
  <c r="P441" i="19" s="1"/>
  <c r="J441" i="19"/>
  <c r="K441" i="19"/>
  <c r="L437" i="19"/>
  <c r="O437" i="19" s="1"/>
  <c r="P437" i="19" s="1"/>
  <c r="K437" i="19"/>
  <c r="J437" i="19"/>
  <c r="L433" i="19"/>
  <c r="O433" i="19" s="1"/>
  <c r="P433" i="19" s="1"/>
  <c r="J433" i="19"/>
  <c r="K433" i="19"/>
  <c r="L429" i="19"/>
  <c r="O429" i="19" s="1"/>
  <c r="P429" i="19" s="1"/>
  <c r="K429" i="19"/>
  <c r="J429" i="19"/>
  <c r="L425" i="19"/>
  <c r="O425" i="19" s="1"/>
  <c r="P425" i="19" s="1"/>
  <c r="J425" i="19"/>
  <c r="K425" i="19"/>
  <c r="L421" i="19"/>
  <c r="O421" i="19" s="1"/>
  <c r="P421" i="19" s="1"/>
  <c r="K421" i="19"/>
  <c r="J421" i="19"/>
  <c r="L417" i="19"/>
  <c r="O417" i="19" s="1"/>
  <c r="P417" i="19" s="1"/>
  <c r="J417" i="19"/>
  <c r="K417" i="19"/>
  <c r="L413" i="19"/>
  <c r="O413" i="19" s="1"/>
  <c r="P413" i="19" s="1"/>
  <c r="K413" i="19"/>
  <c r="J413" i="19"/>
  <c r="L409" i="19"/>
  <c r="O409" i="19" s="1"/>
  <c r="P409" i="19" s="1"/>
  <c r="J409" i="19"/>
  <c r="K409" i="19"/>
  <c r="L405" i="19"/>
  <c r="O405" i="19" s="1"/>
  <c r="P405" i="19" s="1"/>
  <c r="K405" i="19"/>
  <c r="J405" i="19"/>
  <c r="L401" i="19"/>
  <c r="O401" i="19" s="1"/>
  <c r="P401" i="19" s="1"/>
  <c r="J401" i="19"/>
  <c r="K401" i="19"/>
  <c r="L397" i="19"/>
  <c r="O397" i="19" s="1"/>
  <c r="P397" i="19" s="1"/>
  <c r="K397" i="19"/>
  <c r="J397" i="19"/>
  <c r="L393" i="19"/>
  <c r="O393" i="19" s="1"/>
  <c r="P393" i="19" s="1"/>
  <c r="J393" i="19"/>
  <c r="K393" i="19"/>
  <c r="L389" i="19"/>
  <c r="O389" i="19" s="1"/>
  <c r="P389" i="19" s="1"/>
  <c r="K389" i="19"/>
  <c r="J389" i="19"/>
  <c r="L385" i="19"/>
  <c r="O385" i="19" s="1"/>
  <c r="P385" i="19" s="1"/>
  <c r="J385" i="19"/>
  <c r="K385" i="19"/>
  <c r="L381" i="19"/>
  <c r="O381" i="19" s="1"/>
  <c r="P381" i="19" s="1"/>
  <c r="K381" i="19"/>
  <c r="J381" i="19"/>
  <c r="L377" i="19"/>
  <c r="O377" i="19" s="1"/>
  <c r="P377" i="19" s="1"/>
  <c r="J377" i="19"/>
  <c r="K377" i="19"/>
  <c r="L373" i="19"/>
  <c r="O373" i="19" s="1"/>
  <c r="P373" i="19" s="1"/>
  <c r="K373" i="19"/>
  <c r="J373" i="19"/>
  <c r="L369" i="19"/>
  <c r="O369" i="19" s="1"/>
  <c r="P369" i="19" s="1"/>
  <c r="J369" i="19"/>
  <c r="K369" i="19"/>
  <c r="L365" i="19"/>
  <c r="O365" i="19" s="1"/>
  <c r="P365" i="19" s="1"/>
  <c r="K365" i="19"/>
  <c r="J365" i="19"/>
  <c r="L361" i="19"/>
  <c r="O361" i="19" s="1"/>
  <c r="P361" i="19" s="1"/>
  <c r="J361" i="19"/>
  <c r="K361" i="19"/>
  <c r="L357" i="19"/>
  <c r="O357" i="19" s="1"/>
  <c r="P357" i="19" s="1"/>
  <c r="K357" i="19"/>
  <c r="J357" i="19"/>
  <c r="L353" i="19"/>
  <c r="O353" i="19" s="1"/>
  <c r="P353" i="19" s="1"/>
  <c r="J353" i="19"/>
  <c r="K353" i="19"/>
  <c r="L349" i="19"/>
  <c r="O349" i="19" s="1"/>
  <c r="P349" i="19" s="1"/>
  <c r="K349" i="19"/>
  <c r="J349" i="19"/>
  <c r="L345" i="19"/>
  <c r="O345" i="19" s="1"/>
  <c r="P345" i="19" s="1"/>
  <c r="J345" i="19"/>
  <c r="K345" i="19"/>
  <c r="L341" i="19"/>
  <c r="O341" i="19" s="1"/>
  <c r="P341" i="19" s="1"/>
  <c r="K341" i="19"/>
  <c r="J341" i="19"/>
  <c r="L337" i="19"/>
  <c r="O337" i="19" s="1"/>
  <c r="P337" i="19" s="1"/>
  <c r="J337" i="19"/>
  <c r="K337" i="19"/>
  <c r="L333" i="19"/>
  <c r="O333" i="19" s="1"/>
  <c r="P333" i="19" s="1"/>
  <c r="J333" i="19"/>
  <c r="K333" i="19"/>
  <c r="L329" i="19"/>
  <c r="O329" i="19" s="1"/>
  <c r="P329" i="19" s="1"/>
  <c r="J329" i="19"/>
  <c r="K329" i="19"/>
  <c r="L325" i="19"/>
  <c r="O325" i="19" s="1"/>
  <c r="P325" i="19" s="1"/>
  <c r="J325" i="19"/>
  <c r="K325" i="19"/>
  <c r="L321" i="19"/>
  <c r="O321" i="19" s="1"/>
  <c r="P321" i="19" s="1"/>
  <c r="J321" i="19"/>
  <c r="K321" i="19"/>
  <c r="L317" i="19"/>
  <c r="O317" i="19" s="1"/>
  <c r="P317" i="19" s="1"/>
  <c r="J317" i="19"/>
  <c r="K317" i="19"/>
  <c r="L313" i="19"/>
  <c r="O313" i="19" s="1"/>
  <c r="P313" i="19" s="1"/>
  <c r="J313" i="19"/>
  <c r="K313" i="19"/>
  <c r="L309" i="19"/>
  <c r="O309" i="19" s="1"/>
  <c r="P309" i="19" s="1"/>
  <c r="J309" i="19"/>
  <c r="K309" i="19"/>
  <c r="L305" i="19"/>
  <c r="O305" i="19" s="1"/>
  <c r="P305" i="19" s="1"/>
  <c r="J305" i="19"/>
  <c r="K305" i="19"/>
  <c r="L301" i="19"/>
  <c r="O301" i="19" s="1"/>
  <c r="P301" i="19" s="1"/>
  <c r="J301" i="19"/>
  <c r="K301" i="19"/>
  <c r="L297" i="19"/>
  <c r="O297" i="19" s="1"/>
  <c r="P297" i="19" s="1"/>
  <c r="J297" i="19"/>
  <c r="K297" i="19"/>
  <c r="L293" i="19"/>
  <c r="O293" i="19" s="1"/>
  <c r="P293" i="19" s="1"/>
  <c r="J293" i="19"/>
  <c r="K293" i="19"/>
  <c r="L289" i="19"/>
  <c r="O289" i="19" s="1"/>
  <c r="P289" i="19" s="1"/>
  <c r="J289" i="19"/>
  <c r="K289" i="19"/>
  <c r="L285" i="19"/>
  <c r="O285" i="19" s="1"/>
  <c r="P285" i="19" s="1"/>
  <c r="J285" i="19"/>
  <c r="K285" i="19"/>
  <c r="L281" i="19"/>
  <c r="O281" i="19" s="1"/>
  <c r="P281" i="19" s="1"/>
  <c r="J281" i="19"/>
  <c r="K281" i="19"/>
  <c r="L277" i="19"/>
  <c r="O277" i="19" s="1"/>
  <c r="P277" i="19" s="1"/>
  <c r="J277" i="19"/>
  <c r="K277" i="19"/>
  <c r="L273" i="19"/>
  <c r="O273" i="19" s="1"/>
  <c r="P273" i="19" s="1"/>
  <c r="J273" i="19"/>
  <c r="K273" i="19"/>
  <c r="L269" i="19"/>
  <c r="O269" i="19" s="1"/>
  <c r="P269" i="19" s="1"/>
  <c r="J269" i="19"/>
  <c r="K269" i="19"/>
  <c r="L265" i="19"/>
  <c r="O265" i="19" s="1"/>
  <c r="P265" i="19" s="1"/>
  <c r="J265" i="19"/>
  <c r="K265" i="19"/>
  <c r="L261" i="19"/>
  <c r="O261" i="19" s="1"/>
  <c r="P261" i="19" s="1"/>
  <c r="J261" i="19"/>
  <c r="K261" i="19"/>
  <c r="L257" i="19"/>
  <c r="O257" i="19" s="1"/>
  <c r="P257" i="19" s="1"/>
  <c r="J257" i="19"/>
  <c r="K257" i="19"/>
  <c r="L253" i="19"/>
  <c r="O253" i="19" s="1"/>
  <c r="P253" i="19" s="1"/>
  <c r="J253" i="19"/>
  <c r="K253" i="19"/>
  <c r="L249" i="19"/>
  <c r="O249" i="19" s="1"/>
  <c r="P249" i="19" s="1"/>
  <c r="J249" i="19"/>
  <c r="K249" i="19"/>
  <c r="L245" i="19"/>
  <c r="O245" i="19" s="1"/>
  <c r="P245" i="19" s="1"/>
  <c r="J245" i="19"/>
  <c r="K245" i="19"/>
  <c r="L241" i="19"/>
  <c r="O241" i="19" s="1"/>
  <c r="P241" i="19" s="1"/>
  <c r="J241" i="19"/>
  <c r="K241" i="19"/>
  <c r="L237" i="19"/>
  <c r="O237" i="19" s="1"/>
  <c r="P237" i="19" s="1"/>
  <c r="J237" i="19"/>
  <c r="K237" i="19"/>
  <c r="L233" i="19"/>
  <c r="O233" i="19" s="1"/>
  <c r="P233" i="19" s="1"/>
  <c r="J233" i="19"/>
  <c r="K233" i="19"/>
  <c r="L229" i="19"/>
  <c r="O229" i="19" s="1"/>
  <c r="P229" i="19" s="1"/>
  <c r="J229" i="19"/>
  <c r="K229" i="19"/>
  <c r="L225" i="19"/>
  <c r="O225" i="19" s="1"/>
  <c r="P225" i="19" s="1"/>
  <c r="J225" i="19"/>
  <c r="K225" i="19"/>
  <c r="L221" i="19"/>
  <c r="O221" i="19" s="1"/>
  <c r="P221" i="19" s="1"/>
  <c r="J221" i="19"/>
  <c r="K221" i="19"/>
  <c r="L217" i="19"/>
  <c r="O217" i="19" s="1"/>
  <c r="P217" i="19" s="1"/>
  <c r="J217" i="19"/>
  <c r="K217" i="19"/>
  <c r="L213" i="19"/>
  <c r="O213" i="19" s="1"/>
  <c r="P213" i="19" s="1"/>
  <c r="J213" i="19"/>
  <c r="K213" i="19"/>
  <c r="L209" i="19"/>
  <c r="O209" i="19" s="1"/>
  <c r="P209" i="19" s="1"/>
  <c r="J209" i="19"/>
  <c r="K209" i="19"/>
  <c r="L205" i="19"/>
  <c r="O205" i="19" s="1"/>
  <c r="P205" i="19" s="1"/>
  <c r="J205" i="19"/>
  <c r="K205" i="19"/>
  <c r="L201" i="19"/>
  <c r="O201" i="19" s="1"/>
  <c r="P201" i="19" s="1"/>
  <c r="J201" i="19"/>
  <c r="K201" i="19"/>
  <c r="L197" i="19"/>
  <c r="O197" i="19" s="1"/>
  <c r="P197" i="19" s="1"/>
  <c r="J197" i="19"/>
  <c r="K197" i="19"/>
  <c r="L193" i="19"/>
  <c r="O193" i="19" s="1"/>
  <c r="P193" i="19" s="1"/>
  <c r="J193" i="19"/>
  <c r="K193" i="19"/>
  <c r="L189" i="19"/>
  <c r="O189" i="19" s="1"/>
  <c r="P189" i="19" s="1"/>
  <c r="J189" i="19"/>
  <c r="K189" i="19"/>
  <c r="L185" i="19"/>
  <c r="O185" i="19" s="1"/>
  <c r="P185" i="19" s="1"/>
  <c r="J185" i="19"/>
  <c r="K185" i="19"/>
  <c r="L181" i="19"/>
  <c r="O181" i="19" s="1"/>
  <c r="P181" i="19" s="1"/>
  <c r="J181" i="19"/>
  <c r="K181" i="19"/>
  <c r="L177" i="19"/>
  <c r="O177" i="19" s="1"/>
  <c r="P177" i="19" s="1"/>
  <c r="J177" i="19"/>
  <c r="K177" i="19"/>
  <c r="L173" i="19"/>
  <c r="O173" i="19" s="1"/>
  <c r="P173" i="19" s="1"/>
  <c r="J173" i="19"/>
  <c r="K173" i="19"/>
  <c r="L169" i="19"/>
  <c r="O169" i="19" s="1"/>
  <c r="P169" i="19" s="1"/>
  <c r="J169" i="19"/>
  <c r="K169" i="19"/>
  <c r="L165" i="19"/>
  <c r="O165" i="19" s="1"/>
  <c r="P165" i="19" s="1"/>
  <c r="J165" i="19"/>
  <c r="K165" i="19"/>
  <c r="L161" i="19"/>
  <c r="O161" i="19" s="1"/>
  <c r="P161" i="19" s="1"/>
  <c r="J161" i="19"/>
  <c r="K161" i="19"/>
  <c r="L157" i="19"/>
  <c r="O157" i="19" s="1"/>
  <c r="P157" i="19" s="1"/>
  <c r="J157" i="19"/>
  <c r="K157" i="19"/>
  <c r="L153" i="19"/>
  <c r="O153" i="19" s="1"/>
  <c r="P153" i="19" s="1"/>
  <c r="J153" i="19"/>
  <c r="K153" i="19"/>
  <c r="L149" i="19"/>
  <c r="O149" i="19" s="1"/>
  <c r="P149" i="19" s="1"/>
  <c r="J149" i="19"/>
  <c r="K149" i="19"/>
  <c r="L145" i="19"/>
  <c r="O145" i="19" s="1"/>
  <c r="P145" i="19" s="1"/>
  <c r="J145" i="19"/>
  <c r="K145" i="19"/>
  <c r="L141" i="19"/>
  <c r="O141" i="19" s="1"/>
  <c r="P141" i="19" s="1"/>
  <c r="J141" i="19"/>
  <c r="K141" i="19"/>
  <c r="L137" i="19"/>
  <c r="O137" i="19" s="1"/>
  <c r="P137" i="19" s="1"/>
  <c r="J137" i="19"/>
  <c r="K137" i="19"/>
  <c r="L133" i="19"/>
  <c r="O133" i="19" s="1"/>
  <c r="P133" i="19" s="1"/>
  <c r="J133" i="19"/>
  <c r="K133" i="19"/>
  <c r="L129" i="19"/>
  <c r="O129" i="19" s="1"/>
  <c r="P129" i="19" s="1"/>
  <c r="J129" i="19"/>
  <c r="K129" i="19"/>
  <c r="L125" i="19"/>
  <c r="O125" i="19" s="1"/>
  <c r="P125" i="19" s="1"/>
  <c r="J125" i="19"/>
  <c r="K125" i="19"/>
  <c r="L121" i="19"/>
  <c r="O121" i="19" s="1"/>
  <c r="P121" i="19" s="1"/>
  <c r="J121" i="19"/>
  <c r="K121" i="19"/>
  <c r="L117" i="19"/>
  <c r="O117" i="19" s="1"/>
  <c r="P117" i="19" s="1"/>
  <c r="J117" i="19"/>
  <c r="K117" i="19"/>
  <c r="L113" i="19"/>
  <c r="O113" i="19" s="1"/>
  <c r="P113" i="19" s="1"/>
  <c r="J113" i="19"/>
  <c r="K113" i="19"/>
  <c r="L109" i="19"/>
  <c r="O109" i="19" s="1"/>
  <c r="P109" i="19" s="1"/>
  <c r="J109" i="19"/>
  <c r="K109" i="19"/>
  <c r="L105" i="19"/>
  <c r="O105" i="19" s="1"/>
  <c r="P105" i="19" s="1"/>
  <c r="J105" i="19"/>
  <c r="K105" i="19"/>
  <c r="L101" i="19"/>
  <c r="O101" i="19" s="1"/>
  <c r="P101" i="19" s="1"/>
  <c r="J101" i="19"/>
  <c r="K101" i="19"/>
  <c r="L97" i="19"/>
  <c r="O97" i="19" s="1"/>
  <c r="P97" i="19" s="1"/>
  <c r="J97" i="19"/>
  <c r="K97" i="19"/>
  <c r="L93" i="19"/>
  <c r="O93" i="19" s="1"/>
  <c r="P93" i="19" s="1"/>
  <c r="J93" i="19"/>
  <c r="K93" i="19"/>
  <c r="L89" i="19"/>
  <c r="O89" i="19" s="1"/>
  <c r="P89" i="19" s="1"/>
  <c r="J89" i="19"/>
  <c r="K89" i="19"/>
  <c r="L85" i="19"/>
  <c r="O85" i="19" s="1"/>
  <c r="P85" i="19" s="1"/>
  <c r="J85" i="19"/>
  <c r="K85" i="19"/>
  <c r="L81" i="19"/>
  <c r="O81" i="19" s="1"/>
  <c r="X81" i="19" s="1"/>
  <c r="J81" i="19"/>
  <c r="K81" i="19"/>
  <c r="L77" i="19"/>
  <c r="O77" i="19" s="1"/>
  <c r="P77" i="19" s="1"/>
  <c r="J77" i="19"/>
  <c r="K77" i="19"/>
  <c r="L73" i="19"/>
  <c r="O73" i="19" s="1"/>
  <c r="P73" i="19" s="1"/>
  <c r="J73" i="19"/>
  <c r="K73" i="19"/>
  <c r="L69" i="19"/>
  <c r="O69" i="19" s="1"/>
  <c r="P69" i="19" s="1"/>
  <c r="J69" i="19"/>
  <c r="K69" i="19"/>
  <c r="L65" i="19"/>
  <c r="O65" i="19" s="1"/>
  <c r="P65" i="19" s="1"/>
  <c r="J65" i="19"/>
  <c r="K65" i="19"/>
  <c r="L61" i="19"/>
  <c r="O61" i="19" s="1"/>
  <c r="P61" i="19" s="1"/>
  <c r="J61" i="19"/>
  <c r="K61" i="19"/>
  <c r="L57" i="19"/>
  <c r="O57" i="19" s="1"/>
  <c r="P57" i="19" s="1"/>
  <c r="J57" i="19"/>
  <c r="K57" i="19"/>
  <c r="L53" i="19"/>
  <c r="O53" i="19" s="1"/>
  <c r="P53" i="19" s="1"/>
  <c r="J53" i="19"/>
  <c r="K53" i="19"/>
  <c r="L49" i="19"/>
  <c r="O49" i="19" s="1"/>
  <c r="P49" i="19" s="1"/>
  <c r="J49" i="19"/>
  <c r="K49" i="19"/>
  <c r="L45" i="19"/>
  <c r="O45" i="19" s="1"/>
  <c r="P45" i="19" s="1"/>
  <c r="J45" i="19"/>
  <c r="K45" i="19"/>
  <c r="L41" i="19"/>
  <c r="O41" i="19" s="1"/>
  <c r="P41" i="19" s="1"/>
  <c r="J41" i="19"/>
  <c r="K41" i="19"/>
  <c r="L37" i="19"/>
  <c r="O37" i="19" s="1"/>
  <c r="P37" i="19" s="1"/>
  <c r="J37" i="19"/>
  <c r="K37" i="19"/>
  <c r="L33" i="19"/>
  <c r="O33" i="19" s="1"/>
  <c r="P33" i="19" s="1"/>
  <c r="J33" i="19"/>
  <c r="K33" i="19"/>
  <c r="L29" i="19"/>
  <c r="O29" i="19" s="1"/>
  <c r="P29" i="19" s="1"/>
  <c r="J29" i="19"/>
  <c r="K29" i="19"/>
  <c r="L25" i="19"/>
  <c r="O25" i="19" s="1"/>
  <c r="P25" i="19" s="1"/>
  <c r="J25" i="19"/>
  <c r="K25" i="19"/>
  <c r="L21" i="19"/>
  <c r="O21" i="19" s="1"/>
  <c r="P21" i="19" s="1"/>
  <c r="J21" i="19"/>
  <c r="K21" i="19"/>
  <c r="L17" i="19"/>
  <c r="O17" i="19" s="1"/>
  <c r="P17" i="19" s="1"/>
  <c r="J17" i="19"/>
  <c r="K17" i="19"/>
  <c r="L13" i="19"/>
  <c r="O13" i="19" s="1"/>
  <c r="P13" i="19" s="1"/>
  <c r="J13" i="19"/>
  <c r="K13" i="19"/>
  <c r="L9" i="19"/>
  <c r="O9" i="19" s="1"/>
  <c r="P9" i="19" s="1"/>
  <c r="J9" i="19"/>
  <c r="K9" i="19"/>
  <c r="L5" i="19"/>
  <c r="O5" i="19" s="1"/>
  <c r="P5" i="19" s="1"/>
  <c r="J5" i="19"/>
  <c r="K5" i="19"/>
  <c r="X670" i="19"/>
  <c r="R670" i="19"/>
  <c r="P808" i="19"/>
  <c r="P763" i="19"/>
  <c r="L670" i="19"/>
  <c r="O670" i="19" s="1"/>
  <c r="P469" i="19"/>
  <c r="L80" i="19"/>
  <c r="L813" i="19"/>
  <c r="L668" i="19"/>
  <c r="L99" i="19"/>
  <c r="L819" i="19"/>
  <c r="L812" i="19"/>
  <c r="O812" i="19" s="1"/>
  <c r="P764" i="19"/>
  <c r="M823" i="13"/>
  <c r="N823" i="13"/>
  <c r="H666" i="19" l="1"/>
  <c r="H538" i="19"/>
  <c r="H819" i="19"/>
  <c r="H330" i="19"/>
  <c r="H598" i="19"/>
  <c r="H129" i="19"/>
  <c r="H127" i="19"/>
  <c r="H128" i="19"/>
  <c r="H126" i="19"/>
  <c r="H488" i="19"/>
  <c r="H520" i="19"/>
  <c r="H588" i="19"/>
  <c r="H624" i="19"/>
  <c r="H657" i="19"/>
  <c r="H689" i="19"/>
  <c r="H721" i="19"/>
  <c r="H761" i="19"/>
  <c r="H792" i="19"/>
  <c r="H138" i="19"/>
  <c r="H154" i="19"/>
  <c r="H170" i="19"/>
  <c r="H186" i="19"/>
  <c r="H202" i="19"/>
  <c r="H218" i="19"/>
  <c r="H234" i="19"/>
  <c r="H250" i="19"/>
  <c r="H266" i="19"/>
  <c r="H282" i="19"/>
  <c r="H298" i="19"/>
  <c r="H314" i="19"/>
  <c r="H346" i="19"/>
  <c r="H362" i="19"/>
  <c r="H378" i="19"/>
  <c r="H394" i="19"/>
  <c r="H410" i="19"/>
  <c r="H426" i="19"/>
  <c r="H442" i="19"/>
  <c r="H458" i="19"/>
  <c r="H474" i="19"/>
  <c r="H490" i="19"/>
  <c r="H506" i="19"/>
  <c r="H522" i="19"/>
  <c r="H554" i="19"/>
  <c r="H570" i="19"/>
  <c r="H586" i="19"/>
  <c r="H602" i="19"/>
  <c r="H618" i="19"/>
  <c r="H634" i="19"/>
  <c r="H651" i="19"/>
  <c r="H683" i="19"/>
  <c r="H699" i="19"/>
  <c r="H715" i="19"/>
  <c r="H735" i="19"/>
  <c r="H751" i="19"/>
  <c r="H772" i="19"/>
  <c r="H786" i="19"/>
  <c r="H802" i="19"/>
  <c r="H11" i="19"/>
  <c r="H71" i="19"/>
  <c r="H107" i="19"/>
  <c r="H135" i="19"/>
  <c r="H171" i="19"/>
  <c r="H203" i="19"/>
  <c r="H239" i="19"/>
  <c r="H275" i="19"/>
  <c r="H307" i="19"/>
  <c r="H339" i="19"/>
  <c r="H367" i="19"/>
  <c r="H395" i="19"/>
  <c r="H423" i="19"/>
  <c r="H443" i="19"/>
  <c r="H463" i="19"/>
  <c r="H495" i="19"/>
  <c r="H523" i="19"/>
  <c r="H551" i="19"/>
  <c r="H587" i="19"/>
  <c r="H619" i="19"/>
  <c r="H652" i="19"/>
  <c r="H680" i="19"/>
  <c r="H708" i="19"/>
  <c r="H736" i="19"/>
  <c r="H752" i="19"/>
  <c r="H773" i="19"/>
  <c r="H803" i="19"/>
  <c r="H68" i="19"/>
  <c r="H136" i="19"/>
  <c r="H172" i="19"/>
  <c r="H204" i="19"/>
  <c r="H236" i="19"/>
  <c r="H268" i="19"/>
  <c r="H296" i="19"/>
  <c r="H332" i="19"/>
  <c r="H360" i="19"/>
  <c r="H392" i="19"/>
  <c r="H424" i="19"/>
  <c r="H456" i="19"/>
  <c r="H525" i="19"/>
  <c r="H13" i="19"/>
  <c r="H29" i="19"/>
  <c r="H45" i="19"/>
  <c r="H61" i="19"/>
  <c r="H77" i="19"/>
  <c r="H93" i="19"/>
  <c r="H109" i="19"/>
  <c r="H141" i="19"/>
  <c r="H173" i="19"/>
  <c r="H205" i="19"/>
  <c r="H221" i="19"/>
  <c r="H237" i="19"/>
  <c r="H269" i="19"/>
  <c r="H365" i="19"/>
  <c r="H381" i="19"/>
  <c r="H397" i="19"/>
  <c r="H413" i="19"/>
  <c r="H429" i="19"/>
  <c r="H445" i="19"/>
  <c r="H461" i="19"/>
  <c r="H599" i="19"/>
  <c r="H631" i="19"/>
  <c r="H765" i="19"/>
  <c r="H32" i="19"/>
  <c r="H64" i="19"/>
  <c r="H157" i="19"/>
  <c r="H189" i="19"/>
  <c r="H253" i="19"/>
  <c r="H285" i="19"/>
  <c r="H301" i="19"/>
  <c r="H317" i="19"/>
  <c r="H333" i="19"/>
  <c r="H215" i="19"/>
  <c r="H243" i="19"/>
  <c r="H271" i="19"/>
  <c r="H303" i="19"/>
  <c r="H335" i="19"/>
  <c r="H371" i="19"/>
  <c r="H411" i="19"/>
  <c r="H467" i="19"/>
  <c r="H503" i="19"/>
  <c r="H571" i="19"/>
  <c r="H799" i="19"/>
  <c r="H88" i="19"/>
  <c r="H120" i="19"/>
  <c r="H144" i="19"/>
  <c r="H208" i="19"/>
  <c r="H240" i="19"/>
  <c r="H272" i="19"/>
  <c r="H304" i="19"/>
  <c r="H340" i="19"/>
  <c r="H372" i="19"/>
  <c r="H404" i="19"/>
  <c r="H436" i="19"/>
  <c r="H468" i="19"/>
  <c r="H500" i="19"/>
  <c r="H532" i="19"/>
  <c r="H560" i="19"/>
  <c r="H592" i="19"/>
  <c r="H620" i="19"/>
  <c r="H653" i="19"/>
  <c r="H745" i="19"/>
  <c r="H774" i="19"/>
  <c r="H804" i="19"/>
  <c r="H10" i="19"/>
  <c r="H26" i="19"/>
  <c r="H42" i="19"/>
  <c r="H58" i="19"/>
  <c r="H74" i="19"/>
  <c r="H90" i="19"/>
  <c r="H106" i="19"/>
  <c r="H96" i="19"/>
  <c r="H166" i="19"/>
  <c r="H182" i="19"/>
  <c r="H198" i="19"/>
  <c r="H214" i="19"/>
  <c r="H230" i="19"/>
  <c r="H246" i="19"/>
  <c r="H262" i="19"/>
  <c r="H278" i="19"/>
  <c r="H294" i="19"/>
  <c r="H310" i="19"/>
  <c r="H326" i="19"/>
  <c r="H342" i="19"/>
  <c r="H358" i="19"/>
  <c r="H374" i="19"/>
  <c r="H390" i="19"/>
  <c r="H406" i="19"/>
  <c r="H422" i="19"/>
  <c r="H438" i="19"/>
  <c r="H454" i="19"/>
  <c r="H470" i="19"/>
  <c r="H486" i="19"/>
  <c r="H502" i="19"/>
  <c r="H518" i="19"/>
  <c r="H534" i="19"/>
  <c r="H550" i="19"/>
  <c r="H566" i="19"/>
  <c r="H582" i="19"/>
  <c r="H614" i="19"/>
  <c r="H630" i="19"/>
  <c r="H646" i="19"/>
  <c r="H679" i="19"/>
  <c r="H695" i="19"/>
  <c r="H711" i="19"/>
  <c r="H768" i="19"/>
  <c r="H782" i="19"/>
  <c r="H798" i="19"/>
  <c r="H31" i="19"/>
  <c r="H25" i="19"/>
  <c r="H57" i="19"/>
  <c r="H73" i="19"/>
  <c r="H89" i="19"/>
  <c r="H105" i="19"/>
  <c r="H121" i="19"/>
  <c r="H153" i="19"/>
  <c r="H169" i="19"/>
  <c r="H185" i="19"/>
  <c r="H201" i="19"/>
  <c r="H217" i="19"/>
  <c r="H233" i="19"/>
  <c r="H249" i="19"/>
  <c r="H265" i="19"/>
  <c r="H281" i="19"/>
  <c r="H297" i="19"/>
  <c r="H313" i="19"/>
  <c r="H329" i="19"/>
  <c r="H345" i="19"/>
  <c r="H361" i="19"/>
  <c r="H377" i="19"/>
  <c r="H393" i="19"/>
  <c r="H409" i="19"/>
  <c r="H425" i="19"/>
  <c r="H441" i="19"/>
  <c r="H457" i="19"/>
  <c r="H533" i="19"/>
  <c r="H549" i="19"/>
  <c r="H565" i="19"/>
  <c r="H581" i="19"/>
  <c r="H597" i="19"/>
  <c r="H613" i="19"/>
  <c r="H629" i="19"/>
  <c r="H645" i="19"/>
  <c r="H674" i="19"/>
  <c r="H690" i="19"/>
  <c r="H706" i="19"/>
  <c r="H722" i="19"/>
  <c r="H738" i="19"/>
  <c r="H754" i="19"/>
  <c r="H775" i="19"/>
  <c r="H789" i="19"/>
  <c r="H805" i="19"/>
  <c r="H59" i="19"/>
  <c r="H111" i="19"/>
  <c r="H143" i="19"/>
  <c r="H175" i="19"/>
  <c r="H207" i="19"/>
  <c r="H235" i="19"/>
  <c r="H267" i="19"/>
  <c r="H295" i="19"/>
  <c r="H327" i="19"/>
  <c r="H363" i="19"/>
  <c r="H455" i="19"/>
  <c r="H491" i="19"/>
  <c r="H531" i="19"/>
  <c r="H563" i="19"/>
  <c r="H591" i="19"/>
  <c r="H623" i="19"/>
  <c r="H696" i="19"/>
  <c r="H728" i="19"/>
  <c r="H791" i="19"/>
  <c r="H24" i="19"/>
  <c r="H56" i="19"/>
  <c r="H112" i="19"/>
  <c r="H140" i="19"/>
  <c r="H168" i="19"/>
  <c r="H200" i="19"/>
  <c r="H232" i="19"/>
  <c r="H264" i="19"/>
  <c r="H300" i="19"/>
  <c r="H328" i="19"/>
  <c r="H552" i="19"/>
  <c r="H612" i="19"/>
  <c r="H644" i="19"/>
  <c r="H677" i="19"/>
  <c r="H709" i="19"/>
  <c r="H737" i="19"/>
  <c r="H770" i="19"/>
  <c r="H796" i="19"/>
  <c r="H6" i="19"/>
  <c r="H22" i="19"/>
  <c r="H54" i="19"/>
  <c r="H70" i="19"/>
  <c r="H86" i="19"/>
  <c r="H102" i="19"/>
  <c r="H118" i="19"/>
  <c r="H134" i="19"/>
  <c r="H150" i="19"/>
  <c r="H7" i="19"/>
  <c r="H95" i="19"/>
  <c r="H163" i="19"/>
  <c r="H195" i="19"/>
  <c r="H227" i="19"/>
  <c r="H263" i="19"/>
  <c r="H299" i="19"/>
  <c r="H359" i="19"/>
  <c r="H387" i="19"/>
  <c r="H415" i="19"/>
  <c r="H439" i="19"/>
  <c r="H459" i="19"/>
  <c r="H487" i="19"/>
  <c r="H515" i="19"/>
  <c r="H543" i="19"/>
  <c r="H575" i="19"/>
  <c r="H611" i="19"/>
  <c r="H643" i="19"/>
  <c r="H672" i="19"/>
  <c r="H700" i="19"/>
  <c r="H732" i="19"/>
  <c r="H748" i="19"/>
  <c r="H769" i="19"/>
  <c r="H4" i="19"/>
  <c r="H28" i="19"/>
  <c r="H92" i="19"/>
  <c r="H164" i="19"/>
  <c r="H196" i="19"/>
  <c r="H228" i="19"/>
  <c r="H260" i="19"/>
  <c r="H288" i="19"/>
  <c r="H324" i="19"/>
  <c r="H352" i="19"/>
  <c r="H384" i="19"/>
  <c r="H448" i="19"/>
  <c r="H480" i="19"/>
  <c r="H512" i="19"/>
  <c r="H544" i="19"/>
  <c r="H556" i="19"/>
  <c r="H580" i="19"/>
  <c r="H753" i="19"/>
  <c r="H784" i="19"/>
  <c r="H473" i="19"/>
  <c r="H505" i="19"/>
  <c r="H521" i="19"/>
  <c r="H537" i="19"/>
  <c r="H553" i="19"/>
  <c r="H569" i="19"/>
  <c r="H585" i="19"/>
  <c r="H601" i="19"/>
  <c r="H617" i="19"/>
  <c r="H633" i="19"/>
  <c r="H650" i="19"/>
  <c r="H678" i="19"/>
  <c r="H694" i="19"/>
  <c r="H726" i="19"/>
  <c r="H742" i="19"/>
  <c r="H758" i="19"/>
  <c r="H777" i="19"/>
  <c r="H793" i="19"/>
  <c r="H809" i="19"/>
  <c r="H67" i="19"/>
  <c r="H123" i="19"/>
  <c r="H151" i="19"/>
  <c r="H183" i="19"/>
  <c r="H341" i="19"/>
  <c r="H357" i="19"/>
  <c r="H373" i="19"/>
  <c r="H389" i="19"/>
  <c r="H405" i="19"/>
  <c r="H421" i="19"/>
  <c r="H437" i="19"/>
  <c r="H453" i="19"/>
  <c r="H583" i="19"/>
  <c r="H615" i="19"/>
  <c r="H16" i="19"/>
  <c r="H5" i="19"/>
  <c r="H21" i="19"/>
  <c r="H53" i="19"/>
  <c r="H85" i="19"/>
  <c r="H101" i="19"/>
  <c r="H117" i="19"/>
  <c r="H133" i="19"/>
  <c r="H149" i="19"/>
  <c r="H165" i="19"/>
  <c r="H181" i="19"/>
  <c r="H197" i="19"/>
  <c r="H213" i="19"/>
  <c r="H229" i="19"/>
  <c r="H245" i="19"/>
  <c r="H261" i="19"/>
  <c r="H277" i="19"/>
  <c r="H293" i="19"/>
  <c r="H309" i="19"/>
  <c r="H325" i="19"/>
  <c r="H485" i="19"/>
  <c r="H497" i="19"/>
  <c r="H501" i="19"/>
  <c r="H513" i="19"/>
  <c r="H517" i="19"/>
  <c r="H529" i="19"/>
  <c r="H545" i="19"/>
  <c r="H561" i="19"/>
  <c r="H577" i="19"/>
  <c r="H593" i="19"/>
  <c r="H17" i="19"/>
  <c r="H33" i="19"/>
  <c r="H49" i="19"/>
  <c r="H65" i="19"/>
  <c r="H81" i="19"/>
  <c r="H97" i="19"/>
  <c r="H113" i="19"/>
  <c r="H145" i="19"/>
  <c r="H161" i="19"/>
  <c r="H177" i="19"/>
  <c r="H193" i="19"/>
  <c r="H209" i="19"/>
  <c r="H225" i="19"/>
  <c r="H241" i="19"/>
  <c r="H273" i="19"/>
  <c r="H289" i="19"/>
  <c r="H305" i="19"/>
  <c r="H321" i="19"/>
  <c r="H337" i="19"/>
  <c r="H353" i="19"/>
  <c r="H369" i="19"/>
  <c r="H385" i="19"/>
  <c r="H417" i="19"/>
  <c r="H449" i="19"/>
  <c r="H465" i="19"/>
  <c r="H541" i="19"/>
  <c r="H573" i="19"/>
  <c r="H589" i="19"/>
  <c r="H605" i="19"/>
  <c r="H637" i="19"/>
  <c r="H654" i="19"/>
  <c r="H670" i="19"/>
  <c r="H125" i="19"/>
  <c r="H477" i="19"/>
  <c r="H493" i="19"/>
  <c r="H509" i="19"/>
  <c r="H557" i="19"/>
  <c r="H682" i="19"/>
  <c r="H698" i="19"/>
  <c r="H714" i="19"/>
  <c r="H730" i="19"/>
  <c r="H609" i="19"/>
  <c r="H625" i="19"/>
  <c r="H641" i="19"/>
  <c r="H658" i="19"/>
  <c r="H686" i="19"/>
  <c r="H702" i="19"/>
  <c r="H718" i="19"/>
  <c r="H734" i="19"/>
  <c r="H750" i="19"/>
  <c r="H771" i="19"/>
  <c r="H785" i="19"/>
  <c r="H801" i="19"/>
  <c r="H23" i="19"/>
  <c r="H83" i="19"/>
  <c r="H103" i="19"/>
  <c r="H139" i="19"/>
  <c r="H167" i="19"/>
  <c r="H199" i="19"/>
  <c r="H231" i="19"/>
  <c r="H287" i="19"/>
  <c r="H355" i="19"/>
  <c r="H391" i="19"/>
  <c r="H427" i="19"/>
  <c r="H483" i="19"/>
  <c r="H519" i="19"/>
  <c r="H555" i="19"/>
  <c r="H720" i="19"/>
  <c r="H783" i="19"/>
  <c r="H48" i="19"/>
  <c r="H80" i="19"/>
  <c r="H104" i="19"/>
  <c r="H132" i="19"/>
  <c r="H292" i="19"/>
  <c r="H320" i="19"/>
  <c r="H356" i="19"/>
  <c r="H364" i="19"/>
  <c r="H388" i="19"/>
  <c r="H396" i="19"/>
  <c r="H420" i="19"/>
  <c r="H428" i="19"/>
  <c r="H452" i="19"/>
  <c r="H460" i="19"/>
  <c r="H484" i="19"/>
  <c r="H492" i="19"/>
  <c r="H516" i="19"/>
  <c r="H524" i="19"/>
  <c r="H548" i="19"/>
  <c r="H576" i="19"/>
  <c r="H584" i="19"/>
  <c r="H604" i="19"/>
  <c r="H636" i="19"/>
  <c r="H669" i="19"/>
  <c r="H701" i="19"/>
  <c r="H729" i="19"/>
  <c r="H757" i="19"/>
  <c r="H788" i="19"/>
  <c r="H2" i="19"/>
  <c r="H18" i="19"/>
  <c r="H50" i="19"/>
  <c r="H66" i="19"/>
  <c r="H82" i="19"/>
  <c r="H98" i="19"/>
  <c r="H114" i="19"/>
  <c r="H130" i="19"/>
  <c r="H146" i="19"/>
  <c r="H162" i="19"/>
  <c r="H178" i="19"/>
  <c r="H194" i="19"/>
  <c r="H210" i="19"/>
  <c r="H242" i="19"/>
  <c r="H274" i="19"/>
  <c r="H290" i="19"/>
  <c r="H306" i="19"/>
  <c r="H322" i="19"/>
  <c r="H338" i="19"/>
  <c r="H354" i="19"/>
  <c r="H370" i="19"/>
  <c r="H386" i="19"/>
  <c r="H418" i="19"/>
  <c r="H434" i="19"/>
  <c r="H450" i="19"/>
  <c r="H466" i="19"/>
  <c r="H482" i="19"/>
  <c r="H498" i="19"/>
  <c r="H514" i="19"/>
  <c r="H530" i="19"/>
  <c r="H546" i="19"/>
  <c r="H562" i="19"/>
  <c r="H578" i="19"/>
  <c r="H594" i="19"/>
  <c r="H610" i="19"/>
  <c r="H626" i="19"/>
  <c r="H642" i="19"/>
  <c r="H659" i="19"/>
  <c r="H675" i="19"/>
  <c r="H691" i="19"/>
  <c r="H707" i="19"/>
  <c r="H727" i="19"/>
  <c r="H731" i="19"/>
  <c r="H743" i="19"/>
  <c r="H747" i="19"/>
  <c r="H759" i="19"/>
  <c r="H812" i="19"/>
  <c r="H19" i="19"/>
  <c r="H55" i="19"/>
  <c r="H87" i="19"/>
  <c r="H119" i="19"/>
  <c r="H155" i="19"/>
  <c r="H187" i="19"/>
  <c r="H219" i="19"/>
  <c r="H255" i="19"/>
  <c r="H291" i="19"/>
  <c r="H323" i="19"/>
  <c r="H331" i="19"/>
  <c r="H351" i="19"/>
  <c r="H383" i="19"/>
  <c r="H407" i="19"/>
  <c r="H435" i="19"/>
  <c r="H451" i="19"/>
  <c r="H479" i="19"/>
  <c r="H507" i="19"/>
  <c r="H535" i="19"/>
  <c r="H567" i="19"/>
  <c r="H603" i="19"/>
  <c r="H635" i="19"/>
  <c r="H692" i="19"/>
  <c r="H724" i="19"/>
  <c r="H744" i="19"/>
  <c r="H760" i="19"/>
  <c r="H787" i="19"/>
  <c r="H795" i="19"/>
  <c r="H20" i="19"/>
  <c r="H52" i="19"/>
  <c r="H60" i="19"/>
  <c r="H84" i="19"/>
  <c r="H116" i="19"/>
  <c r="H156" i="19"/>
  <c r="H220" i="19"/>
  <c r="H284" i="19"/>
  <c r="H316" i="19"/>
  <c r="H344" i="19"/>
  <c r="H376" i="19"/>
  <c r="H408" i="19"/>
  <c r="H440" i="19"/>
  <c r="H472" i="19"/>
  <c r="H504" i="19"/>
  <c r="H536" i="19"/>
  <c r="H572" i="19"/>
  <c r="H608" i="19"/>
  <c r="H616" i="19"/>
  <c r="H640" i="19"/>
  <c r="H673" i="19"/>
  <c r="H681" i="19"/>
  <c r="H705" i="19"/>
  <c r="H713" i="19"/>
  <c r="H741" i="19"/>
  <c r="H808" i="19"/>
  <c r="H767" i="19"/>
  <c r="H781" i="19"/>
  <c r="H797" i="19"/>
  <c r="H818" i="19"/>
  <c r="H43" i="19"/>
  <c r="H75" i="19"/>
  <c r="H131" i="19"/>
  <c r="H159" i="19"/>
  <c r="H191" i="19"/>
  <c r="H223" i="19"/>
  <c r="H251" i="19"/>
  <c r="H279" i="19"/>
  <c r="H343" i="19"/>
  <c r="H379" i="19"/>
  <c r="H419" i="19"/>
  <c r="H475" i="19"/>
  <c r="H511" i="19"/>
  <c r="H547" i="19"/>
  <c r="H579" i="19"/>
  <c r="H607" i="19"/>
  <c r="H639" i="19"/>
  <c r="H647" i="19"/>
  <c r="H676" i="19"/>
  <c r="H807" i="19"/>
  <c r="H72" i="19"/>
  <c r="H152" i="19"/>
  <c r="H160" i="19"/>
  <c r="H184" i="19"/>
  <c r="H192" i="19"/>
  <c r="H216" i="19"/>
  <c r="H224" i="19"/>
  <c r="H248" i="19"/>
  <c r="H256" i="19"/>
  <c r="H280" i="19"/>
  <c r="H312" i="19"/>
  <c r="H380" i="19"/>
  <c r="H412" i="19"/>
  <c r="H444" i="19"/>
  <c r="H476" i="19"/>
  <c r="H508" i="19"/>
  <c r="H540" i="19"/>
  <c r="H568" i="19"/>
  <c r="H628" i="19"/>
  <c r="H693" i="19"/>
  <c r="H725" i="19"/>
  <c r="H749" i="19"/>
  <c r="H780" i="19"/>
  <c r="H14" i="19"/>
  <c r="H30" i="19"/>
  <c r="H46" i="19"/>
  <c r="H78" i="19"/>
  <c r="H94" i="19"/>
  <c r="H110" i="19"/>
  <c r="H142" i="19"/>
  <c r="H158" i="19"/>
  <c r="H174" i="19"/>
  <c r="H190" i="19"/>
  <c r="H222" i="19"/>
  <c r="H238" i="19"/>
  <c r="H254" i="19"/>
  <c r="H270" i="19"/>
  <c r="H286" i="19"/>
  <c r="H302" i="19"/>
  <c r="H318" i="19"/>
  <c r="H334" i="19"/>
  <c r="H350" i="19"/>
  <c r="H366" i="19"/>
  <c r="H382" i="19"/>
  <c r="H398" i="19"/>
  <c r="H414" i="19"/>
  <c r="H430" i="19"/>
  <c r="H446" i="19"/>
  <c r="H462" i="19"/>
  <c r="H478" i="19"/>
  <c r="H494" i="19"/>
  <c r="H510" i="19"/>
  <c r="H526" i="19"/>
  <c r="H542" i="19"/>
  <c r="H558" i="19"/>
  <c r="H574" i="19"/>
  <c r="H590" i="19"/>
  <c r="H606" i="19"/>
  <c r="H622" i="19"/>
  <c r="H638" i="19"/>
  <c r="H655" i="19"/>
  <c r="H671" i="19"/>
  <c r="H687" i="19"/>
  <c r="H703" i="19"/>
  <c r="H723" i="19"/>
  <c r="H739" i="19"/>
  <c r="H755" i="19"/>
  <c r="H776" i="19"/>
  <c r="H778" i="19"/>
  <c r="H790" i="19"/>
  <c r="H794" i="19"/>
  <c r="H806" i="19"/>
  <c r="H15" i="19"/>
  <c r="H47" i="19"/>
  <c r="H79" i="19"/>
  <c r="H115" i="19"/>
  <c r="H147" i="19"/>
  <c r="H179" i="19"/>
  <c r="H211" i="19"/>
  <c r="H247" i="19"/>
  <c r="H283" i="19"/>
  <c r="H315" i="19"/>
  <c r="H347" i="19"/>
  <c r="H375" i="19"/>
  <c r="H399" i="19"/>
  <c r="H431" i="19"/>
  <c r="H447" i="19"/>
  <c r="H471" i="19"/>
  <c r="H527" i="19"/>
  <c r="H559" i="19"/>
  <c r="H595" i="19"/>
  <c r="H627" i="19"/>
  <c r="H684" i="19"/>
  <c r="H716" i="19"/>
  <c r="H740" i="19"/>
  <c r="H756" i="19"/>
  <c r="H813" i="19"/>
  <c r="H12" i="19"/>
  <c r="H44" i="19"/>
  <c r="H76" i="19"/>
  <c r="H108" i="19"/>
  <c r="H148" i="19"/>
  <c r="H180" i="19"/>
  <c r="H188" i="19"/>
  <c r="H212" i="19"/>
  <c r="H244" i="19"/>
  <c r="H252" i="19"/>
  <c r="H276" i="19"/>
  <c r="H308" i="19"/>
  <c r="H336" i="19"/>
  <c r="H368" i="19"/>
  <c r="H400" i="19"/>
  <c r="H432" i="19"/>
  <c r="H464" i="19"/>
  <c r="H496" i="19"/>
  <c r="H528" i="19"/>
  <c r="H564" i="19"/>
  <c r="H596" i="19"/>
  <c r="H733" i="19"/>
  <c r="H766" i="19"/>
  <c r="H800" i="19"/>
  <c r="H746" i="19"/>
  <c r="H99" i="19"/>
  <c r="H704" i="19"/>
  <c r="H124" i="19"/>
  <c r="H600" i="19"/>
  <c r="H685" i="19"/>
  <c r="H762" i="19"/>
  <c r="H122" i="19"/>
  <c r="H779" i="19"/>
  <c r="H632" i="19"/>
  <c r="H697" i="19"/>
  <c r="P81" i="19"/>
  <c r="Y81" i="19"/>
  <c r="O668" i="19"/>
  <c r="P668" i="19" s="1"/>
  <c r="O75" i="19"/>
  <c r="P75" i="19" s="1"/>
  <c r="O131" i="19"/>
  <c r="P131" i="19" s="1"/>
  <c r="O159" i="19"/>
  <c r="P159" i="19" s="1"/>
  <c r="O223" i="19"/>
  <c r="P223" i="19" s="1"/>
  <c r="O311" i="19"/>
  <c r="P311" i="19" s="1"/>
  <c r="O419" i="19"/>
  <c r="P419" i="19" s="1"/>
  <c r="O547" i="19"/>
  <c r="P547" i="19" s="1"/>
  <c r="O579" i="19"/>
  <c r="P579" i="19" s="1"/>
  <c r="O607" i="19"/>
  <c r="P607" i="19" s="1"/>
  <c r="O639" i="19"/>
  <c r="P639" i="19" s="1"/>
  <c r="O676" i="19"/>
  <c r="P676" i="19" s="1"/>
  <c r="O712" i="19"/>
  <c r="P712" i="19" s="1"/>
  <c r="O807" i="19"/>
  <c r="P807" i="19" s="1"/>
  <c r="O40" i="19"/>
  <c r="P40" i="19" s="1"/>
  <c r="O72" i="19"/>
  <c r="P72" i="19" s="1"/>
  <c r="O96" i="19"/>
  <c r="P96" i="19" s="1"/>
  <c r="O124" i="19"/>
  <c r="P124" i="19" s="1"/>
  <c r="O152" i="19"/>
  <c r="P152" i="19" s="1"/>
  <c r="O184" i="19"/>
  <c r="P184" i="19" s="1"/>
  <c r="O216" i="19"/>
  <c r="P216" i="19" s="1"/>
  <c r="O248" i="19"/>
  <c r="P248" i="19" s="1"/>
  <c r="O280" i="19"/>
  <c r="P280" i="19" s="1"/>
  <c r="O312" i="19"/>
  <c r="P312" i="19" s="1"/>
  <c r="O348" i="19"/>
  <c r="P348" i="19" s="1"/>
  <c r="O380" i="19"/>
  <c r="P380" i="19" s="1"/>
  <c r="O412" i="19"/>
  <c r="P412" i="19" s="1"/>
  <c r="O444" i="19"/>
  <c r="P444" i="19" s="1"/>
  <c r="O476" i="19"/>
  <c r="P476" i="19" s="1"/>
  <c r="O508" i="19"/>
  <c r="P508" i="19" s="1"/>
  <c r="O568" i="19"/>
  <c r="P568" i="19" s="1"/>
  <c r="O600" i="19"/>
  <c r="P600" i="19" s="1"/>
  <c r="O628" i="19"/>
  <c r="P628" i="19" s="1"/>
  <c r="O661" i="19"/>
  <c r="P661" i="19" s="1"/>
  <c r="O693" i="19"/>
  <c r="P693" i="19" s="1"/>
  <c r="O725" i="19"/>
  <c r="P725" i="19" s="1"/>
  <c r="O749" i="19"/>
  <c r="P749" i="19" s="1"/>
  <c r="O14" i="19"/>
  <c r="P14" i="19" s="1"/>
  <c r="O30" i="19"/>
  <c r="P30" i="19" s="1"/>
  <c r="O46" i="19"/>
  <c r="P46" i="19" s="1"/>
  <c r="O62" i="19"/>
  <c r="P62" i="19" s="1"/>
  <c r="O78" i="19"/>
  <c r="P78" i="19" s="1"/>
  <c r="O94" i="19"/>
  <c r="P94" i="19" s="1"/>
  <c r="O110" i="19"/>
  <c r="P110" i="19" s="1"/>
  <c r="O126" i="19"/>
  <c r="P126" i="19" s="1"/>
  <c r="O142" i="19"/>
  <c r="P142" i="19" s="1"/>
  <c r="O158" i="19"/>
  <c r="P158" i="19" s="1"/>
  <c r="O174" i="19"/>
  <c r="P174" i="19" s="1"/>
  <c r="O190" i="19"/>
  <c r="P190" i="19" s="1"/>
  <c r="O206" i="19"/>
  <c r="P206" i="19" s="1"/>
  <c r="O222" i="19"/>
  <c r="P222" i="19" s="1"/>
  <c r="O238" i="19"/>
  <c r="P238" i="19" s="1"/>
  <c r="O254" i="19"/>
  <c r="P254" i="19" s="1"/>
  <c r="O270" i="19"/>
  <c r="P270" i="19" s="1"/>
  <c r="O286" i="19"/>
  <c r="P286" i="19" s="1"/>
  <c r="O302" i="19"/>
  <c r="P302" i="19" s="1"/>
  <c r="O318" i="19"/>
  <c r="P318" i="19" s="1"/>
  <c r="O334" i="19"/>
  <c r="P334" i="19" s="1"/>
  <c r="O350" i="19"/>
  <c r="P350" i="19" s="1"/>
  <c r="O366" i="19"/>
  <c r="P366" i="19" s="1"/>
  <c r="O382" i="19"/>
  <c r="P382" i="19" s="1"/>
  <c r="O398" i="19"/>
  <c r="P398" i="19" s="1"/>
  <c r="O414" i="19"/>
  <c r="P414" i="19" s="1"/>
  <c r="O430" i="19"/>
  <c r="P430" i="19" s="1"/>
  <c r="O446" i="19"/>
  <c r="P446" i="19" s="1"/>
  <c r="O462" i="19"/>
  <c r="P462" i="19" s="1"/>
  <c r="O478" i="19"/>
  <c r="P478" i="19" s="1"/>
  <c r="O494" i="19"/>
  <c r="P494" i="19" s="1"/>
  <c r="O510" i="19"/>
  <c r="P510" i="19" s="1"/>
  <c r="O526" i="19"/>
  <c r="P526" i="19" s="1"/>
  <c r="O542" i="19"/>
  <c r="P542" i="19" s="1"/>
  <c r="O558" i="19"/>
  <c r="P558" i="19" s="1"/>
  <c r="O574" i="19"/>
  <c r="P574" i="19" s="1"/>
  <c r="O590" i="19"/>
  <c r="P590" i="19" s="1"/>
  <c r="O606" i="19"/>
  <c r="P606" i="19" s="1"/>
  <c r="O622" i="19"/>
  <c r="P622" i="19" s="1"/>
  <c r="O638" i="19"/>
  <c r="P638" i="19" s="1"/>
  <c r="O655" i="19"/>
  <c r="P655" i="19" s="1"/>
  <c r="O671" i="19"/>
  <c r="P671" i="19" s="1"/>
  <c r="O687" i="19"/>
  <c r="P687" i="19" s="1"/>
  <c r="O703" i="19"/>
  <c r="P703" i="19" s="1"/>
  <c r="O723" i="19"/>
  <c r="P723" i="19" s="1"/>
  <c r="O739" i="19"/>
  <c r="P739" i="19" s="1"/>
  <c r="O755" i="19"/>
  <c r="P755" i="19" s="1"/>
  <c r="O776" i="19"/>
  <c r="P776" i="19" s="1"/>
  <c r="O790" i="19"/>
  <c r="P790" i="19" s="1"/>
  <c r="O806" i="19"/>
  <c r="P806" i="19" s="1"/>
  <c r="O15" i="19"/>
  <c r="P15" i="19" s="1"/>
  <c r="O47" i="19"/>
  <c r="P47" i="19" s="1"/>
  <c r="O79" i="19"/>
  <c r="P79" i="19" s="1"/>
  <c r="O115" i="19"/>
  <c r="P115" i="19" s="1"/>
  <c r="O147" i="19"/>
  <c r="P147" i="19" s="1"/>
  <c r="O179" i="19"/>
  <c r="P179" i="19" s="1"/>
  <c r="O211" i="19"/>
  <c r="P211" i="19" s="1"/>
  <c r="O247" i="19"/>
  <c r="P247" i="19" s="1"/>
  <c r="O283" i="19"/>
  <c r="P283" i="19" s="1"/>
  <c r="O315" i="19"/>
  <c r="P315" i="19" s="1"/>
  <c r="O347" i="19"/>
  <c r="P347" i="19" s="1"/>
  <c r="O375" i="19"/>
  <c r="P375" i="19" s="1"/>
  <c r="O399" i="19"/>
  <c r="P399" i="19" s="1"/>
  <c r="O431" i="19"/>
  <c r="P431" i="19" s="1"/>
  <c r="O447" i="19"/>
  <c r="P447" i="19" s="1"/>
  <c r="O471" i="19"/>
  <c r="P471" i="19" s="1"/>
  <c r="O499" i="19"/>
  <c r="P499" i="19" s="1"/>
  <c r="O527" i="19"/>
  <c r="P527" i="19" s="1"/>
  <c r="O818" i="19"/>
  <c r="P818" i="19" s="1"/>
  <c r="O191" i="19"/>
  <c r="P191" i="19" s="1"/>
  <c r="O251" i="19"/>
  <c r="P251" i="19" s="1"/>
  <c r="O343" i="19"/>
  <c r="P343" i="19" s="1"/>
  <c r="O475" i="19"/>
  <c r="P475" i="19" s="1"/>
  <c r="O777" i="19"/>
  <c r="P777" i="19" s="1"/>
  <c r="O793" i="19"/>
  <c r="P793" i="19" s="1"/>
  <c r="O809" i="19"/>
  <c r="P809" i="19" s="1"/>
  <c r="O35" i="19"/>
  <c r="P35" i="19" s="1"/>
  <c r="O67" i="19"/>
  <c r="P67" i="19" s="1"/>
  <c r="O123" i="19"/>
  <c r="P123" i="19" s="1"/>
  <c r="O151" i="19"/>
  <c r="P151" i="19" s="1"/>
  <c r="O183" i="19"/>
  <c r="P183" i="19" s="1"/>
  <c r="O215" i="19"/>
  <c r="P215" i="19" s="1"/>
  <c r="O243" i="19"/>
  <c r="P243" i="19" s="1"/>
  <c r="O271" i="19"/>
  <c r="P271" i="19" s="1"/>
  <c r="O303" i="19"/>
  <c r="P303" i="19" s="1"/>
  <c r="O335" i="19"/>
  <c r="P335" i="19" s="1"/>
  <c r="O371" i="19"/>
  <c r="P371" i="19" s="1"/>
  <c r="O411" i="19"/>
  <c r="P411" i="19" s="1"/>
  <c r="O467" i="19"/>
  <c r="P467" i="19" s="1"/>
  <c r="O503" i="19"/>
  <c r="P503" i="19" s="1"/>
  <c r="O539" i="19"/>
  <c r="P539" i="19" s="1"/>
  <c r="O571" i="19"/>
  <c r="P571" i="19" s="1"/>
  <c r="O599" i="19"/>
  <c r="P599" i="19" s="1"/>
  <c r="O631" i="19"/>
  <c r="P631" i="19" s="1"/>
  <c r="O704" i="19"/>
  <c r="P704" i="19" s="1"/>
  <c r="O765" i="19"/>
  <c r="P765" i="19" s="1"/>
  <c r="O799" i="19"/>
  <c r="P799" i="19" s="1"/>
  <c r="O32" i="19"/>
  <c r="P32" i="19" s="1"/>
  <c r="O64" i="19"/>
  <c r="P64" i="19" s="1"/>
  <c r="O88" i="19"/>
  <c r="P88" i="19" s="1"/>
  <c r="O120" i="19"/>
  <c r="P120" i="19" s="1"/>
  <c r="O144" i="19"/>
  <c r="P144" i="19" s="1"/>
  <c r="O176" i="19"/>
  <c r="P176" i="19" s="1"/>
  <c r="O208" i="19"/>
  <c r="P208" i="19" s="1"/>
  <c r="O240" i="19"/>
  <c r="P240" i="19" s="1"/>
  <c r="O272" i="19"/>
  <c r="P272" i="19" s="1"/>
  <c r="O304" i="19"/>
  <c r="P304" i="19" s="1"/>
  <c r="O340" i="19"/>
  <c r="P340" i="19" s="1"/>
  <c r="O372" i="19"/>
  <c r="P372" i="19" s="1"/>
  <c r="O404" i="19"/>
  <c r="P404" i="19" s="1"/>
  <c r="O436" i="19"/>
  <c r="P436" i="19" s="1"/>
  <c r="O468" i="19"/>
  <c r="P468" i="19" s="1"/>
  <c r="O500" i="19"/>
  <c r="P500" i="19" s="1"/>
  <c r="O532" i="19"/>
  <c r="P532" i="19" s="1"/>
  <c r="O819" i="19"/>
  <c r="P819" i="19" s="1"/>
  <c r="O781" i="19"/>
  <c r="P781" i="19" s="1"/>
  <c r="O797" i="19"/>
  <c r="P797" i="19" s="1"/>
  <c r="O379" i="19"/>
  <c r="P379" i="19" s="1"/>
  <c r="O813" i="19"/>
  <c r="P813" i="19" s="1"/>
  <c r="O80" i="19"/>
  <c r="P80" i="19" s="1"/>
  <c r="O775" i="19"/>
  <c r="P775" i="19" s="1"/>
  <c r="O789" i="19"/>
  <c r="P789" i="19" s="1"/>
  <c r="O805" i="19"/>
  <c r="P805" i="19" s="1"/>
  <c r="O27" i="19"/>
  <c r="P27" i="19" s="1"/>
  <c r="O59" i="19"/>
  <c r="P59" i="19" s="1"/>
  <c r="O91" i="19"/>
  <c r="P91" i="19" s="1"/>
  <c r="O111" i="19"/>
  <c r="P111" i="19" s="1"/>
  <c r="O143" i="19"/>
  <c r="P143" i="19" s="1"/>
  <c r="O175" i="19"/>
  <c r="P175" i="19" s="1"/>
  <c r="O207" i="19"/>
  <c r="P207" i="19" s="1"/>
  <c r="O235" i="19"/>
  <c r="P235" i="19" s="1"/>
  <c r="O267" i="19"/>
  <c r="P267" i="19" s="1"/>
  <c r="O295" i="19"/>
  <c r="P295" i="19" s="1"/>
  <c r="O327" i="19"/>
  <c r="P327" i="19" s="1"/>
  <c r="O363" i="19"/>
  <c r="P363" i="19" s="1"/>
  <c r="O403" i="19"/>
  <c r="P403" i="19" s="1"/>
  <c r="O455" i="19"/>
  <c r="P455" i="19" s="1"/>
  <c r="O491" i="19"/>
  <c r="P491" i="19" s="1"/>
  <c r="O531" i="19"/>
  <c r="P531" i="19" s="1"/>
  <c r="O563" i="19"/>
  <c r="P563" i="19" s="1"/>
  <c r="O591" i="19"/>
  <c r="P591" i="19" s="1"/>
  <c r="O623" i="19"/>
  <c r="P623" i="19" s="1"/>
  <c r="O696" i="19"/>
  <c r="P696" i="19" s="1"/>
  <c r="O728" i="19"/>
  <c r="P728" i="19" s="1"/>
  <c r="O791" i="19"/>
  <c r="P791" i="19" s="1"/>
  <c r="O24" i="19"/>
  <c r="P24" i="19" s="1"/>
  <c r="O56" i="19"/>
  <c r="P56" i="19" s="1"/>
  <c r="O112" i="19"/>
  <c r="P112" i="19" s="1"/>
  <c r="O140" i="19"/>
  <c r="P140" i="19" s="1"/>
  <c r="O168" i="19"/>
  <c r="P168" i="19" s="1"/>
  <c r="O200" i="19"/>
  <c r="P200" i="19" s="1"/>
  <c r="O232" i="19"/>
  <c r="P232" i="19" s="1"/>
  <c r="O264" i="19"/>
  <c r="P264" i="19" s="1"/>
  <c r="O300" i="19"/>
  <c r="P300" i="19" s="1"/>
  <c r="O328" i="19"/>
  <c r="P328" i="19" s="1"/>
  <c r="O364" i="19"/>
  <c r="P364" i="19" s="1"/>
  <c r="O396" i="19"/>
  <c r="P396" i="19" s="1"/>
  <c r="O428" i="19"/>
  <c r="P428" i="19" s="1"/>
  <c r="O460" i="19"/>
  <c r="P460" i="19" s="1"/>
  <c r="O492" i="19"/>
  <c r="P492" i="19" s="1"/>
  <c r="O524" i="19"/>
  <c r="P524" i="19" s="1"/>
  <c r="O552" i="19"/>
  <c r="P552" i="19" s="1"/>
  <c r="O584" i="19"/>
  <c r="P584" i="19" s="1"/>
  <c r="O612" i="19"/>
  <c r="P612" i="19" s="1"/>
  <c r="O644" i="19"/>
  <c r="P644" i="19" s="1"/>
  <c r="O677" i="19"/>
  <c r="P677" i="19" s="1"/>
  <c r="O709" i="19"/>
  <c r="P709" i="19" s="1"/>
  <c r="O737" i="19"/>
  <c r="P737" i="19" s="1"/>
  <c r="O767" i="19"/>
  <c r="P767" i="19" s="1"/>
  <c r="O43" i="19"/>
  <c r="P43" i="19" s="1"/>
  <c r="O279" i="19"/>
  <c r="P279" i="19" s="1"/>
  <c r="O511" i="19"/>
  <c r="P511" i="19" s="1"/>
  <c r="O99" i="19"/>
  <c r="P99" i="19" s="1"/>
  <c r="O771" i="19"/>
  <c r="P771" i="19" s="1"/>
  <c r="O785" i="19"/>
  <c r="P785" i="19" s="1"/>
  <c r="O801" i="19"/>
  <c r="P801" i="19" s="1"/>
  <c r="O23" i="19"/>
  <c r="P23" i="19" s="1"/>
  <c r="O51" i="19"/>
  <c r="P51" i="19" s="1"/>
  <c r="O83" i="19"/>
  <c r="P83" i="19" s="1"/>
  <c r="O103" i="19"/>
  <c r="P103" i="19" s="1"/>
  <c r="O139" i="19"/>
  <c r="P139" i="19" s="1"/>
  <c r="O167" i="19"/>
  <c r="P167" i="19" s="1"/>
  <c r="O199" i="19"/>
  <c r="P199" i="19" s="1"/>
  <c r="O259" i="19"/>
  <c r="P259" i="19" s="1"/>
  <c r="O287" i="19"/>
  <c r="P287" i="19" s="1"/>
  <c r="O319" i="19"/>
  <c r="P319" i="19" s="1"/>
  <c r="O355" i="19"/>
  <c r="P355" i="19" s="1"/>
  <c r="O391" i="19"/>
  <c r="P391" i="19" s="1"/>
  <c r="O427" i="19"/>
  <c r="P427" i="19" s="1"/>
  <c r="O483" i="19"/>
  <c r="P483" i="19" s="1"/>
  <c r="O519" i="19"/>
  <c r="P519" i="19" s="1"/>
  <c r="O555" i="19"/>
  <c r="P555" i="19" s="1"/>
  <c r="O583" i="19"/>
  <c r="P583" i="19" s="1"/>
  <c r="O615" i="19"/>
  <c r="P615" i="19" s="1"/>
  <c r="O647" i="19"/>
  <c r="P647" i="19" s="1"/>
  <c r="O688" i="19"/>
  <c r="P688" i="19" s="1"/>
  <c r="O720" i="19"/>
  <c r="P720" i="19" s="1"/>
  <c r="O783" i="19"/>
  <c r="P783" i="19" s="1"/>
  <c r="O16" i="19"/>
  <c r="P16" i="19" s="1"/>
  <c r="O48" i="19"/>
  <c r="P48" i="19" s="1"/>
  <c r="O104" i="19"/>
  <c r="P104" i="19" s="1"/>
  <c r="O132" i="19"/>
  <c r="P132" i="19" s="1"/>
  <c r="O160" i="19"/>
  <c r="P160" i="19" s="1"/>
  <c r="O192" i="19"/>
  <c r="P192" i="19" s="1"/>
  <c r="O224" i="19"/>
  <c r="P224" i="19" s="1"/>
  <c r="O256" i="19"/>
  <c r="P256" i="19" s="1"/>
  <c r="O292" i="19"/>
  <c r="P292" i="19" s="1"/>
  <c r="O320" i="19"/>
  <c r="P320" i="19" s="1"/>
  <c r="O356" i="19"/>
  <c r="P356" i="19" s="1"/>
  <c r="O388" i="19"/>
  <c r="P388" i="19" s="1"/>
  <c r="O420" i="19"/>
  <c r="P420" i="19" s="1"/>
  <c r="O452" i="19"/>
  <c r="P452" i="19" s="1"/>
  <c r="O484" i="19"/>
  <c r="P484" i="19" s="1"/>
  <c r="O516" i="19"/>
  <c r="P516" i="19" s="1"/>
  <c r="O548" i="19"/>
  <c r="P548" i="19" s="1"/>
  <c r="O576" i="19"/>
  <c r="P576" i="19" s="1"/>
  <c r="O604" i="19"/>
  <c r="P604" i="19" s="1"/>
  <c r="O636" i="19"/>
  <c r="P636" i="19" s="1"/>
  <c r="O669" i="19"/>
  <c r="P669" i="19" s="1"/>
  <c r="O701" i="19"/>
  <c r="P701" i="19" s="1"/>
  <c r="O729" i="19"/>
  <c r="P729" i="19" s="1"/>
  <c r="O757" i="19"/>
  <c r="P757" i="19" s="1"/>
  <c r="O559" i="19"/>
  <c r="P559" i="19" s="1"/>
  <c r="O595" i="19"/>
  <c r="P595" i="19" s="1"/>
  <c r="O627" i="19"/>
  <c r="P627" i="19" s="1"/>
  <c r="O660" i="19"/>
  <c r="P660" i="19" s="1"/>
  <c r="O684" i="19"/>
  <c r="P684" i="19" s="1"/>
  <c r="O716" i="19"/>
  <c r="P716" i="19" s="1"/>
  <c r="O740" i="19"/>
  <c r="P740" i="19" s="1"/>
  <c r="O756" i="19"/>
  <c r="P756" i="19" s="1"/>
  <c r="O779" i="19"/>
  <c r="P779" i="19" s="1"/>
  <c r="O12" i="19"/>
  <c r="P12" i="19" s="1"/>
  <c r="O44" i="19"/>
  <c r="P44" i="19" s="1"/>
  <c r="O76" i="19"/>
  <c r="P76" i="19" s="1"/>
  <c r="O108" i="19"/>
  <c r="P108" i="19" s="1"/>
  <c r="O148" i="19"/>
  <c r="P148" i="19" s="1"/>
  <c r="O180" i="19"/>
  <c r="P180" i="19" s="1"/>
  <c r="O212" i="19"/>
  <c r="P212" i="19" s="1"/>
  <c r="O244" i="19"/>
  <c r="P244" i="19" s="1"/>
  <c r="O276" i="19"/>
  <c r="P276" i="19" s="1"/>
  <c r="O308" i="19"/>
  <c r="P308" i="19" s="1"/>
  <c r="O336" i="19"/>
  <c r="P336" i="19" s="1"/>
  <c r="O368" i="19"/>
  <c r="P368" i="19" s="1"/>
  <c r="O400" i="19"/>
  <c r="P400" i="19" s="1"/>
  <c r="O432" i="19"/>
  <c r="P432" i="19" s="1"/>
  <c r="O464" i="19"/>
  <c r="P464" i="19" s="1"/>
  <c r="O496" i="19"/>
  <c r="P496" i="19" s="1"/>
  <c r="O528" i="19"/>
  <c r="P528" i="19" s="1"/>
  <c r="O564" i="19"/>
  <c r="P564" i="19" s="1"/>
  <c r="O596" i="19"/>
  <c r="P596" i="19" s="1"/>
  <c r="O632" i="19"/>
  <c r="P632" i="19" s="1"/>
  <c r="O665" i="19"/>
  <c r="P665" i="19" s="1"/>
  <c r="O697" i="19"/>
  <c r="P697" i="19" s="1"/>
  <c r="O733" i="19"/>
  <c r="P733" i="19" s="1"/>
  <c r="O560" i="19"/>
  <c r="P560" i="19" s="1"/>
  <c r="O592" i="19"/>
  <c r="P592" i="19" s="1"/>
  <c r="O620" i="19"/>
  <c r="P620" i="19" s="1"/>
  <c r="O653" i="19"/>
  <c r="P653" i="19" s="1"/>
  <c r="O685" i="19"/>
  <c r="P685" i="19" s="1"/>
  <c r="O745" i="19"/>
  <c r="P745" i="19" s="1"/>
  <c r="O10" i="19"/>
  <c r="P10" i="19" s="1"/>
  <c r="O26" i="19"/>
  <c r="P26" i="19" s="1"/>
  <c r="O42" i="19"/>
  <c r="P42" i="19" s="1"/>
  <c r="O58" i="19"/>
  <c r="P58" i="19" s="1"/>
  <c r="O74" i="19"/>
  <c r="P74" i="19" s="1"/>
  <c r="O106" i="19"/>
  <c r="P106" i="19" s="1"/>
  <c r="O122" i="19"/>
  <c r="P122" i="19" s="1"/>
  <c r="O138" i="19"/>
  <c r="P138" i="19" s="1"/>
  <c r="O154" i="19"/>
  <c r="P154" i="19" s="1"/>
  <c r="O170" i="19"/>
  <c r="P170" i="19" s="1"/>
  <c r="O186" i="19"/>
  <c r="P186" i="19" s="1"/>
  <c r="O202" i="19"/>
  <c r="P202" i="19" s="1"/>
  <c r="O218" i="19"/>
  <c r="P218" i="19" s="1"/>
  <c r="O234" i="19"/>
  <c r="P234" i="19" s="1"/>
  <c r="O250" i="19"/>
  <c r="P250" i="19" s="1"/>
  <c r="O266" i="19"/>
  <c r="P266" i="19" s="1"/>
  <c r="O282" i="19"/>
  <c r="P282" i="19" s="1"/>
  <c r="O298" i="19"/>
  <c r="P298" i="19" s="1"/>
  <c r="O314" i="19"/>
  <c r="P314" i="19" s="1"/>
  <c r="O330" i="19"/>
  <c r="P330" i="19" s="1"/>
  <c r="O346" i="19"/>
  <c r="P346" i="19" s="1"/>
  <c r="O362" i="19"/>
  <c r="P362" i="19" s="1"/>
  <c r="O378" i="19"/>
  <c r="P378" i="19" s="1"/>
  <c r="O394" i="19"/>
  <c r="P394" i="19" s="1"/>
  <c r="O410" i="19"/>
  <c r="P410" i="19" s="1"/>
  <c r="O426" i="19"/>
  <c r="P426" i="19" s="1"/>
  <c r="O442" i="19"/>
  <c r="P442" i="19" s="1"/>
  <c r="O458" i="19"/>
  <c r="P458" i="19" s="1"/>
  <c r="O474" i="19"/>
  <c r="P474" i="19" s="1"/>
  <c r="O490" i="19"/>
  <c r="P490" i="19" s="1"/>
  <c r="O506" i="19"/>
  <c r="P506" i="19" s="1"/>
  <c r="O522" i="19"/>
  <c r="P522" i="19" s="1"/>
  <c r="O538" i="19"/>
  <c r="P538" i="19" s="1"/>
  <c r="O554" i="19"/>
  <c r="P554" i="19" s="1"/>
  <c r="O570" i="19"/>
  <c r="P570" i="19" s="1"/>
  <c r="O586" i="19"/>
  <c r="P586" i="19" s="1"/>
  <c r="O602" i="19"/>
  <c r="P602" i="19" s="1"/>
  <c r="O618" i="19"/>
  <c r="P618" i="19" s="1"/>
  <c r="O634" i="19"/>
  <c r="P634" i="19" s="1"/>
  <c r="O651" i="19"/>
  <c r="P651" i="19" s="1"/>
  <c r="O667" i="19"/>
  <c r="P667" i="19" s="1"/>
  <c r="O683" i="19"/>
  <c r="P683" i="19" s="1"/>
  <c r="O699" i="19"/>
  <c r="P699" i="19" s="1"/>
  <c r="O715" i="19"/>
  <c r="P715" i="19" s="1"/>
  <c r="O735" i="19"/>
  <c r="P735" i="19" s="1"/>
  <c r="O751" i="19"/>
  <c r="P751" i="19" s="1"/>
  <c r="O772" i="19"/>
  <c r="P772" i="19" s="1"/>
  <c r="O786" i="19"/>
  <c r="P786" i="19" s="1"/>
  <c r="O802" i="19"/>
  <c r="P802" i="19" s="1"/>
  <c r="O11" i="19"/>
  <c r="P11" i="19" s="1"/>
  <c r="O39" i="19"/>
  <c r="P39" i="19" s="1"/>
  <c r="O71" i="19"/>
  <c r="P71" i="19" s="1"/>
  <c r="O107" i="19"/>
  <c r="P107" i="19" s="1"/>
  <c r="O135" i="19"/>
  <c r="P135" i="19" s="1"/>
  <c r="O171" i="19"/>
  <c r="P171" i="19" s="1"/>
  <c r="O203" i="19"/>
  <c r="P203" i="19" s="1"/>
  <c r="O239" i="19"/>
  <c r="P239" i="19" s="1"/>
  <c r="O275" i="19"/>
  <c r="P275" i="19" s="1"/>
  <c r="O307" i="19"/>
  <c r="P307" i="19" s="1"/>
  <c r="O339" i="19"/>
  <c r="P339" i="19" s="1"/>
  <c r="O367" i="19"/>
  <c r="P367" i="19" s="1"/>
  <c r="O395" i="19"/>
  <c r="P395" i="19" s="1"/>
  <c r="O423" i="19"/>
  <c r="P423" i="19" s="1"/>
  <c r="O443" i="19"/>
  <c r="P443" i="19" s="1"/>
  <c r="O463" i="19"/>
  <c r="P463" i="19" s="1"/>
  <c r="O495" i="19"/>
  <c r="P495" i="19" s="1"/>
  <c r="O523" i="19"/>
  <c r="P523" i="19" s="1"/>
  <c r="O551" i="19"/>
  <c r="P551" i="19" s="1"/>
  <c r="O587" i="19"/>
  <c r="P587" i="19" s="1"/>
  <c r="O619" i="19"/>
  <c r="P619" i="19" s="1"/>
  <c r="O652" i="19"/>
  <c r="P652" i="19" s="1"/>
  <c r="O680" i="19"/>
  <c r="P680" i="19" s="1"/>
  <c r="O708" i="19"/>
  <c r="P708" i="19" s="1"/>
  <c r="O736" i="19"/>
  <c r="P736" i="19" s="1"/>
  <c r="O752" i="19"/>
  <c r="P752" i="19" s="1"/>
  <c r="O773" i="19"/>
  <c r="P773" i="19" s="1"/>
  <c r="O803" i="19"/>
  <c r="P803" i="19" s="1"/>
  <c r="O36" i="19"/>
  <c r="P36" i="19" s="1"/>
  <c r="O68" i="19"/>
  <c r="P68" i="19" s="1"/>
  <c r="O100" i="19"/>
  <c r="P100" i="19" s="1"/>
  <c r="O136" i="19"/>
  <c r="P136" i="19" s="1"/>
  <c r="O172" i="19"/>
  <c r="P172" i="19" s="1"/>
  <c r="O204" i="19"/>
  <c r="P204" i="19" s="1"/>
  <c r="O236" i="19"/>
  <c r="P236" i="19" s="1"/>
  <c r="O268" i="19"/>
  <c r="P268" i="19" s="1"/>
  <c r="O296" i="19"/>
  <c r="P296" i="19" s="1"/>
  <c r="O332" i="19"/>
  <c r="P332" i="19" s="1"/>
  <c r="O360" i="19"/>
  <c r="P360" i="19" s="1"/>
  <c r="O392" i="19"/>
  <c r="P392" i="19" s="1"/>
  <c r="O424" i="19"/>
  <c r="P424" i="19" s="1"/>
  <c r="O456" i="19"/>
  <c r="P456" i="19" s="1"/>
  <c r="O488" i="19"/>
  <c r="P488" i="19" s="1"/>
  <c r="O520" i="19"/>
  <c r="P520" i="19" s="1"/>
  <c r="O556" i="19"/>
  <c r="P556" i="19" s="1"/>
  <c r="O588" i="19"/>
  <c r="P588" i="19" s="1"/>
  <c r="O624" i="19"/>
  <c r="P624" i="19" s="1"/>
  <c r="O657" i="19"/>
  <c r="P657" i="19" s="1"/>
  <c r="O689" i="19"/>
  <c r="P689" i="19" s="1"/>
  <c r="O721" i="19"/>
  <c r="P721" i="19" s="1"/>
  <c r="O761" i="19"/>
  <c r="P761" i="19" s="1"/>
  <c r="O6" i="19"/>
  <c r="P6" i="19" s="1"/>
  <c r="O22" i="19"/>
  <c r="P22" i="19" s="1"/>
  <c r="O38" i="19"/>
  <c r="P38" i="19" s="1"/>
  <c r="O54" i="19"/>
  <c r="P54" i="19" s="1"/>
  <c r="O70" i="19"/>
  <c r="P70" i="19" s="1"/>
  <c r="O86" i="19"/>
  <c r="P86" i="19" s="1"/>
  <c r="O102" i="19"/>
  <c r="P102" i="19" s="1"/>
  <c r="O118" i="19"/>
  <c r="P118" i="19" s="1"/>
  <c r="O134" i="19"/>
  <c r="P134" i="19" s="1"/>
  <c r="O150" i="19"/>
  <c r="P150" i="19" s="1"/>
  <c r="O166" i="19"/>
  <c r="P166" i="19" s="1"/>
  <c r="O182" i="19"/>
  <c r="P182" i="19" s="1"/>
  <c r="O198" i="19"/>
  <c r="P198" i="19" s="1"/>
  <c r="O214" i="19"/>
  <c r="P214" i="19" s="1"/>
  <c r="O230" i="19"/>
  <c r="P230" i="19" s="1"/>
  <c r="O246" i="19"/>
  <c r="P246" i="19" s="1"/>
  <c r="O262" i="19"/>
  <c r="P262" i="19" s="1"/>
  <c r="O278" i="19"/>
  <c r="P278" i="19" s="1"/>
  <c r="O294" i="19"/>
  <c r="P294" i="19" s="1"/>
  <c r="O310" i="19"/>
  <c r="P310" i="19" s="1"/>
  <c r="O326" i="19"/>
  <c r="P326" i="19" s="1"/>
  <c r="O342" i="19"/>
  <c r="P342" i="19" s="1"/>
  <c r="O358" i="19"/>
  <c r="P358" i="19" s="1"/>
  <c r="O374" i="19"/>
  <c r="P374" i="19" s="1"/>
  <c r="O390" i="19"/>
  <c r="P390" i="19" s="1"/>
  <c r="O406" i="19"/>
  <c r="P406" i="19" s="1"/>
  <c r="O422" i="19"/>
  <c r="P422" i="19" s="1"/>
  <c r="O438" i="19"/>
  <c r="P438" i="19" s="1"/>
  <c r="O454" i="19"/>
  <c r="P454" i="19" s="1"/>
  <c r="O470" i="19"/>
  <c r="P470" i="19" s="1"/>
  <c r="O486" i="19"/>
  <c r="P486" i="19" s="1"/>
  <c r="O502" i="19"/>
  <c r="P502" i="19" s="1"/>
  <c r="O518" i="19"/>
  <c r="P518" i="19" s="1"/>
  <c r="O534" i="19"/>
  <c r="P534" i="19" s="1"/>
  <c r="O550" i="19"/>
  <c r="P550" i="19" s="1"/>
  <c r="O566" i="19"/>
  <c r="P566" i="19" s="1"/>
  <c r="O582" i="19"/>
  <c r="P582" i="19" s="1"/>
  <c r="O598" i="19"/>
  <c r="P598" i="19" s="1"/>
  <c r="O614" i="19"/>
  <c r="P614" i="19" s="1"/>
  <c r="O630" i="19"/>
  <c r="P630" i="19" s="1"/>
  <c r="O646" i="19"/>
  <c r="P646" i="19" s="1"/>
  <c r="O663" i="19"/>
  <c r="P663" i="19" s="1"/>
  <c r="O679" i="19"/>
  <c r="P679" i="19" s="1"/>
  <c r="O695" i="19"/>
  <c r="P695" i="19" s="1"/>
  <c r="O711" i="19"/>
  <c r="P711" i="19" s="1"/>
  <c r="O731" i="19"/>
  <c r="P731" i="19" s="1"/>
  <c r="O747" i="19"/>
  <c r="P747" i="19" s="1"/>
  <c r="O768" i="19"/>
  <c r="P768" i="19" s="1"/>
  <c r="O782" i="19"/>
  <c r="P782" i="19" s="1"/>
  <c r="O798" i="19"/>
  <c r="P798" i="19" s="1"/>
  <c r="O7" i="19"/>
  <c r="P7" i="19" s="1"/>
  <c r="O31" i="19"/>
  <c r="P31" i="19" s="1"/>
  <c r="O63" i="19"/>
  <c r="P63" i="19" s="1"/>
  <c r="O95" i="19"/>
  <c r="P95" i="19" s="1"/>
  <c r="O127" i="19"/>
  <c r="P127" i="19" s="1"/>
  <c r="O163" i="19"/>
  <c r="P163" i="19" s="1"/>
  <c r="O195" i="19"/>
  <c r="P195" i="19" s="1"/>
  <c r="O227" i="19"/>
  <c r="P227" i="19" s="1"/>
  <c r="O263" i="19"/>
  <c r="P263" i="19" s="1"/>
  <c r="O299" i="19"/>
  <c r="P299" i="19" s="1"/>
  <c r="O331" i="19"/>
  <c r="P331" i="19" s="1"/>
  <c r="O359" i="19"/>
  <c r="P359" i="19" s="1"/>
  <c r="O387" i="19"/>
  <c r="P387" i="19" s="1"/>
  <c r="O415" i="19"/>
  <c r="P415" i="19" s="1"/>
  <c r="O439" i="19"/>
  <c r="P439" i="19" s="1"/>
  <c r="O459" i="19"/>
  <c r="P459" i="19" s="1"/>
  <c r="O487" i="19"/>
  <c r="P487" i="19" s="1"/>
  <c r="O515" i="19"/>
  <c r="P515" i="19" s="1"/>
  <c r="O543" i="19"/>
  <c r="P543" i="19" s="1"/>
  <c r="O575" i="19"/>
  <c r="P575" i="19" s="1"/>
  <c r="O611" i="19"/>
  <c r="P611" i="19" s="1"/>
  <c r="O643" i="19"/>
  <c r="P643" i="19" s="1"/>
  <c r="O672" i="19"/>
  <c r="P672" i="19" s="1"/>
  <c r="O700" i="19"/>
  <c r="P700" i="19" s="1"/>
  <c r="O732" i="19"/>
  <c r="P732" i="19" s="1"/>
  <c r="O748" i="19"/>
  <c r="P748" i="19" s="1"/>
  <c r="O769" i="19"/>
  <c r="P769" i="19" s="1"/>
  <c r="O795" i="19"/>
  <c r="P795" i="19" s="1"/>
  <c r="O28" i="19"/>
  <c r="P28" i="19" s="1"/>
  <c r="O60" i="19"/>
  <c r="P60" i="19" s="1"/>
  <c r="O92" i="19"/>
  <c r="P92" i="19" s="1"/>
  <c r="O128" i="19"/>
  <c r="P128" i="19" s="1"/>
  <c r="O164" i="19"/>
  <c r="P164" i="19" s="1"/>
  <c r="O196" i="19"/>
  <c r="P196" i="19" s="1"/>
  <c r="O228" i="19"/>
  <c r="P228" i="19" s="1"/>
  <c r="O260" i="19"/>
  <c r="P260" i="19" s="1"/>
  <c r="O288" i="19"/>
  <c r="P288" i="19" s="1"/>
  <c r="O324" i="19"/>
  <c r="P324" i="19" s="1"/>
  <c r="O352" i="19"/>
  <c r="P352" i="19" s="1"/>
  <c r="O384" i="19"/>
  <c r="P384" i="19" s="1"/>
  <c r="O416" i="19"/>
  <c r="P416" i="19" s="1"/>
  <c r="O448" i="19"/>
  <c r="P448" i="19" s="1"/>
  <c r="O480" i="19"/>
  <c r="P480" i="19" s="1"/>
  <c r="O512" i="19"/>
  <c r="P512" i="19" s="1"/>
  <c r="O544" i="19"/>
  <c r="P544" i="19" s="1"/>
  <c r="O580" i="19"/>
  <c r="P580" i="19" s="1"/>
  <c r="O616" i="19"/>
  <c r="P616" i="19" s="1"/>
  <c r="O648" i="19"/>
  <c r="P648" i="19" s="1"/>
  <c r="O681" i="19"/>
  <c r="P681" i="19" s="1"/>
  <c r="O713" i="19"/>
  <c r="P713" i="19" s="1"/>
  <c r="O753" i="19"/>
  <c r="P753" i="19" s="1"/>
  <c r="O2" i="19"/>
  <c r="P2" i="19" s="1"/>
  <c r="O18" i="19"/>
  <c r="P18" i="19" s="1"/>
  <c r="O34" i="19"/>
  <c r="P34" i="19" s="1"/>
  <c r="O50" i="19"/>
  <c r="P50" i="19" s="1"/>
  <c r="O66" i="19"/>
  <c r="P66" i="19" s="1"/>
  <c r="O82" i="19"/>
  <c r="P82" i="19" s="1"/>
  <c r="O98" i="19"/>
  <c r="P98" i="19" s="1"/>
  <c r="O114" i="19"/>
  <c r="P114" i="19" s="1"/>
  <c r="O130" i="19"/>
  <c r="P130" i="19" s="1"/>
  <c r="O146" i="19"/>
  <c r="P146" i="19" s="1"/>
  <c r="O162" i="19"/>
  <c r="P162" i="19" s="1"/>
  <c r="O178" i="19"/>
  <c r="P178" i="19" s="1"/>
  <c r="O194" i="19"/>
  <c r="P194" i="19" s="1"/>
  <c r="O210" i="19"/>
  <c r="P210" i="19" s="1"/>
  <c r="O226" i="19"/>
  <c r="P226" i="19" s="1"/>
  <c r="O242" i="19"/>
  <c r="P242" i="19" s="1"/>
  <c r="O258" i="19"/>
  <c r="P258" i="19" s="1"/>
  <c r="O274" i="19"/>
  <c r="P274" i="19" s="1"/>
  <c r="O290" i="19"/>
  <c r="P290" i="19" s="1"/>
  <c r="O306" i="19"/>
  <c r="P306" i="19" s="1"/>
  <c r="O322" i="19"/>
  <c r="P322" i="19" s="1"/>
  <c r="O338" i="19"/>
  <c r="P338" i="19" s="1"/>
  <c r="O354" i="19"/>
  <c r="P354" i="19" s="1"/>
  <c r="O370" i="19"/>
  <c r="P370" i="19" s="1"/>
  <c r="O386" i="19"/>
  <c r="P386" i="19" s="1"/>
  <c r="O402" i="19"/>
  <c r="P402" i="19" s="1"/>
  <c r="O418" i="19"/>
  <c r="P418" i="19" s="1"/>
  <c r="O434" i="19"/>
  <c r="P434" i="19" s="1"/>
  <c r="O450" i="19"/>
  <c r="P450" i="19" s="1"/>
  <c r="O466" i="19"/>
  <c r="P466" i="19" s="1"/>
  <c r="O482" i="19"/>
  <c r="P482" i="19" s="1"/>
  <c r="O498" i="19"/>
  <c r="P498" i="19" s="1"/>
  <c r="O514" i="19"/>
  <c r="P514" i="19" s="1"/>
  <c r="O530" i="19"/>
  <c r="P530" i="19" s="1"/>
  <c r="O546" i="19"/>
  <c r="P546" i="19" s="1"/>
  <c r="O562" i="19"/>
  <c r="P562" i="19" s="1"/>
  <c r="O578" i="19"/>
  <c r="P578" i="19" s="1"/>
  <c r="O594" i="19"/>
  <c r="P594" i="19" s="1"/>
  <c r="O610" i="19"/>
  <c r="P610" i="19" s="1"/>
  <c r="O626" i="19"/>
  <c r="P626" i="19" s="1"/>
  <c r="O642" i="19"/>
  <c r="P642" i="19" s="1"/>
  <c r="O659" i="19"/>
  <c r="P659" i="19" s="1"/>
  <c r="O675" i="19"/>
  <c r="P675" i="19" s="1"/>
  <c r="O691" i="19"/>
  <c r="P691" i="19" s="1"/>
  <c r="O707" i="19"/>
  <c r="P707" i="19" s="1"/>
  <c r="O727" i="19"/>
  <c r="P727" i="19" s="1"/>
  <c r="O743" i="19"/>
  <c r="P743" i="19" s="1"/>
  <c r="O759" i="19"/>
  <c r="P759" i="19" s="1"/>
  <c r="P778" i="19"/>
  <c r="O794" i="19"/>
  <c r="P794" i="19" s="1"/>
  <c r="O3" i="19"/>
  <c r="P3" i="19" s="1"/>
  <c r="O19" i="19"/>
  <c r="P19" i="19" s="1"/>
  <c r="O55" i="19"/>
  <c r="P55" i="19" s="1"/>
  <c r="O87" i="19"/>
  <c r="P87" i="19" s="1"/>
  <c r="O119" i="19"/>
  <c r="P119" i="19" s="1"/>
  <c r="O155" i="19"/>
  <c r="P155" i="19" s="1"/>
  <c r="O187" i="19"/>
  <c r="P187" i="19" s="1"/>
  <c r="O219" i="19"/>
  <c r="P219" i="19" s="1"/>
  <c r="O255" i="19"/>
  <c r="P255" i="19" s="1"/>
  <c r="O291" i="19"/>
  <c r="P291" i="19" s="1"/>
  <c r="O323" i="19"/>
  <c r="P323" i="19" s="1"/>
  <c r="O351" i="19"/>
  <c r="P351" i="19" s="1"/>
  <c r="O383" i="19"/>
  <c r="P383" i="19" s="1"/>
  <c r="O407" i="19"/>
  <c r="P407" i="19" s="1"/>
  <c r="O435" i="19"/>
  <c r="P435" i="19" s="1"/>
  <c r="O451" i="19"/>
  <c r="P451" i="19" s="1"/>
  <c r="O479" i="19"/>
  <c r="P479" i="19" s="1"/>
  <c r="O507" i="19"/>
  <c r="P507" i="19" s="1"/>
  <c r="O535" i="19"/>
  <c r="P535" i="19" s="1"/>
  <c r="O567" i="19"/>
  <c r="P567" i="19" s="1"/>
  <c r="O603" i="19"/>
  <c r="P603" i="19" s="1"/>
  <c r="O635" i="19"/>
  <c r="P635" i="19" s="1"/>
  <c r="O664" i="19"/>
  <c r="P664" i="19" s="1"/>
  <c r="O692" i="19"/>
  <c r="P692" i="19" s="1"/>
  <c r="O724" i="19"/>
  <c r="P724" i="19" s="1"/>
  <c r="O744" i="19"/>
  <c r="P744" i="19" s="1"/>
  <c r="O760" i="19"/>
  <c r="P760" i="19" s="1"/>
  <c r="O787" i="19"/>
  <c r="P787" i="19" s="1"/>
  <c r="O20" i="19"/>
  <c r="P20" i="19" s="1"/>
  <c r="O52" i="19"/>
  <c r="P52" i="19" s="1"/>
  <c r="O84" i="19"/>
  <c r="P84" i="19" s="1"/>
  <c r="O116" i="19"/>
  <c r="P116" i="19" s="1"/>
  <c r="O156" i="19"/>
  <c r="P156" i="19" s="1"/>
  <c r="O188" i="19"/>
  <c r="P188" i="19" s="1"/>
  <c r="O220" i="19"/>
  <c r="P220" i="19" s="1"/>
  <c r="O252" i="19"/>
  <c r="P252" i="19" s="1"/>
  <c r="O284" i="19"/>
  <c r="P284" i="19" s="1"/>
  <c r="O316" i="19"/>
  <c r="P316" i="19" s="1"/>
  <c r="O344" i="19"/>
  <c r="P344" i="19" s="1"/>
  <c r="O376" i="19"/>
  <c r="P376" i="19" s="1"/>
  <c r="O408" i="19"/>
  <c r="P408" i="19" s="1"/>
  <c r="O440" i="19"/>
  <c r="P440" i="19" s="1"/>
  <c r="O472" i="19"/>
  <c r="P472" i="19" s="1"/>
  <c r="O504" i="19"/>
  <c r="P504" i="19" s="1"/>
  <c r="O536" i="19"/>
  <c r="P536" i="19" s="1"/>
  <c r="O572" i="19"/>
  <c r="P572" i="19" s="1"/>
  <c r="O608" i="19"/>
  <c r="P608" i="19" s="1"/>
  <c r="O640" i="19"/>
  <c r="P640" i="19" s="1"/>
  <c r="O673" i="19"/>
  <c r="P673" i="19" s="1"/>
  <c r="O705" i="19"/>
  <c r="P705" i="19" s="1"/>
  <c r="O741" i="19"/>
  <c r="P741" i="19" s="1"/>
  <c r="P812" i="19"/>
  <c r="P670" i="19"/>
  <c r="L680" i="13"/>
  <c r="X80" i="19" l="1"/>
  <c r="Y80" i="19"/>
  <c r="Y99" i="19"/>
  <c r="L779" i="13"/>
  <c r="M807" i="13" l="1"/>
  <c r="M808" i="13"/>
  <c r="N808" i="13"/>
  <c r="L553" i="13" l="1"/>
  <c r="L214" i="13" l="1"/>
  <c r="L784" i="13"/>
  <c r="L789" i="13"/>
  <c r="O680" i="13" l="1"/>
  <c r="L733" i="13" l="1"/>
  <c r="K773" i="13" l="1"/>
  <c r="K774" i="13"/>
  <c r="K764" i="13" l="1"/>
  <c r="M801" i="13" l="1"/>
  <c r="N801" i="13" s="1"/>
  <c r="M802" i="13"/>
  <c r="N802" i="13" s="1"/>
  <c r="M803" i="13"/>
  <c r="N803" i="13" s="1"/>
  <c r="M804" i="13"/>
  <c r="N804" i="13" s="1"/>
  <c r="M809" i="13"/>
  <c r="N809" i="13" s="1"/>
  <c r="M810" i="13"/>
  <c r="N810" i="13" s="1"/>
  <c r="M811" i="13"/>
  <c r="N811" i="13" s="1"/>
  <c r="M812" i="13"/>
  <c r="N812" i="13" s="1"/>
  <c r="M813" i="13"/>
  <c r="N813" i="13" s="1"/>
  <c r="M814" i="13"/>
  <c r="N814" i="13" s="1"/>
  <c r="M815" i="13"/>
  <c r="N815" i="13" s="1"/>
  <c r="M816" i="13"/>
  <c r="N816" i="13" s="1"/>
  <c r="M817" i="13"/>
  <c r="N817" i="13" s="1"/>
  <c r="M818" i="13"/>
  <c r="M819" i="13"/>
  <c r="M820" i="13"/>
  <c r="M821" i="13"/>
  <c r="N821" i="13" s="1"/>
  <c r="M822" i="13"/>
  <c r="N822" i="13" s="1"/>
  <c r="M805" i="13"/>
  <c r="N805" i="13" s="1"/>
  <c r="M806" i="13"/>
  <c r="N806" i="13" s="1"/>
  <c r="M824" i="13"/>
  <c r="N824" i="13" s="1"/>
  <c r="M825" i="13"/>
  <c r="N825" i="13" s="1"/>
  <c r="M826" i="13"/>
  <c r="N826" i="13" s="1"/>
  <c r="M827" i="13"/>
  <c r="N827" i="13" s="1"/>
  <c r="M828" i="13"/>
  <c r="N828" i="13" s="1"/>
  <c r="M829" i="13"/>
  <c r="N829" i="13" s="1"/>
  <c r="M830" i="13"/>
  <c r="N830" i="13" s="1"/>
  <c r="M831" i="13"/>
  <c r="N831" i="13" s="1"/>
  <c r="M832" i="13"/>
  <c r="N832" i="13" s="1"/>
  <c r="M833" i="13"/>
  <c r="N833" i="13" s="1"/>
  <c r="M834" i="13"/>
  <c r="N834" i="13" s="1"/>
  <c r="M835" i="13"/>
  <c r="N835" i="13" s="1"/>
  <c r="M836" i="13"/>
  <c r="N836" i="13" s="1"/>
  <c r="M837" i="13"/>
  <c r="N837" i="13" s="1"/>
  <c r="M838" i="13"/>
  <c r="N838" i="13" s="1"/>
  <c r="M839" i="13"/>
  <c r="N839" i="13" s="1"/>
  <c r="M840" i="13"/>
  <c r="N840" i="13" s="1"/>
  <c r="M841" i="13"/>
  <c r="N841" i="13" s="1"/>
  <c r="L663" i="13" l="1"/>
  <c r="L600" i="13" l="1"/>
  <c r="L714" i="13"/>
  <c r="L780" i="13"/>
  <c r="L664" i="13" l="1"/>
  <c r="L522" i="13" l="1"/>
  <c r="M652" i="13" l="1"/>
  <c r="N652" i="13"/>
  <c r="M643" i="13" l="1"/>
  <c r="L13" i="13" l="1"/>
  <c r="K770" i="13"/>
  <c r="K620" i="13" l="1"/>
  <c r="K602" i="13"/>
  <c r="L713" i="13" l="1"/>
  <c r="M766" i="13" l="1"/>
  <c r="L683" i="13" l="1"/>
  <c r="N76" i="13"/>
  <c r="M76" i="13"/>
  <c r="M683" i="13" l="1"/>
  <c r="M682" i="13"/>
  <c r="M681" i="13"/>
  <c r="M680" i="13"/>
  <c r="L765" i="13" l="1"/>
  <c r="N766" i="13" l="1"/>
  <c r="L722" i="13" l="1"/>
  <c r="M14" i="13" l="1"/>
  <c r="M754" i="13" l="1"/>
  <c r="M755" i="13"/>
  <c r="M756" i="13"/>
  <c r="M757" i="13"/>
  <c r="M758" i="13"/>
  <c r="M759" i="13"/>
  <c r="M760" i="13"/>
  <c r="M761" i="13"/>
  <c r="M762" i="13"/>
  <c r="M763" i="13"/>
  <c r="N763" i="13" s="1"/>
  <c r="M764" i="13"/>
  <c r="N764" i="13" s="1"/>
  <c r="M765" i="13"/>
  <c r="N765" i="13" s="1"/>
  <c r="M767" i="13"/>
  <c r="N767" i="13" s="1"/>
  <c r="M768" i="13"/>
  <c r="N768" i="13" s="1"/>
  <c r="M769" i="13"/>
  <c r="N769" i="13" s="1"/>
  <c r="M770" i="13"/>
  <c r="N770" i="13" s="1"/>
  <c r="M771" i="13"/>
  <c r="N771" i="13" s="1"/>
  <c r="M772" i="13"/>
  <c r="N772" i="13" s="1"/>
  <c r="M773" i="13"/>
  <c r="N773" i="13" s="1"/>
  <c r="M774" i="13"/>
  <c r="N774" i="13" s="1"/>
  <c r="M775" i="13"/>
  <c r="N775" i="13" s="1"/>
  <c r="M776" i="13"/>
  <c r="M777" i="13"/>
  <c r="M778" i="13"/>
  <c r="N778" i="13" s="1"/>
  <c r="M779" i="13"/>
  <c r="N779" i="13" s="1"/>
  <c r="M781" i="13"/>
  <c r="N781" i="13" s="1"/>
  <c r="M782" i="13"/>
  <c r="N782" i="13" s="1"/>
  <c r="M780" i="13"/>
  <c r="N780" i="13" s="1"/>
  <c r="M783" i="13"/>
  <c r="N783" i="13" s="1"/>
  <c r="M784" i="13"/>
  <c r="N784" i="13" s="1"/>
  <c r="M785" i="13"/>
  <c r="N785" i="13" s="1"/>
  <c r="M786" i="13"/>
  <c r="N786" i="13" s="1"/>
  <c r="M787" i="13"/>
  <c r="N787" i="13" s="1"/>
  <c r="M788" i="13"/>
  <c r="N788" i="13" s="1"/>
  <c r="M789" i="13"/>
  <c r="N789" i="13" s="1"/>
  <c r="M790" i="13"/>
  <c r="M791" i="13"/>
  <c r="M792" i="13"/>
  <c r="N792" i="13" s="1"/>
  <c r="M793" i="13"/>
  <c r="N793" i="13" s="1"/>
  <c r="M794" i="13"/>
  <c r="M795" i="13"/>
  <c r="N795" i="13" s="1"/>
  <c r="M796" i="13"/>
  <c r="N796" i="13" s="1"/>
  <c r="M797" i="13"/>
  <c r="N797" i="13" s="1"/>
  <c r="M798" i="13"/>
  <c r="N798" i="13" s="1"/>
  <c r="M799" i="13"/>
  <c r="N799" i="13" s="1"/>
  <c r="M800" i="13"/>
  <c r="N800" i="13" s="1"/>
  <c r="N761" i="13"/>
  <c r="L705" i="13" l="1"/>
  <c r="K707" i="13"/>
  <c r="K718" i="13" l="1"/>
  <c r="M749" i="13" l="1"/>
  <c r="M750" i="13"/>
  <c r="N750" i="13" s="1"/>
  <c r="M751" i="13"/>
  <c r="N751" i="13" s="1"/>
  <c r="M752" i="13"/>
  <c r="N752" i="13" s="1"/>
  <c r="M753" i="13"/>
  <c r="N753" i="13" s="1"/>
  <c r="R682" i="13" l="1"/>
  <c r="R684" i="13"/>
  <c r="V684" i="13" s="1"/>
  <c r="N755" i="13" l="1"/>
  <c r="N756" i="13"/>
  <c r="N757" i="13"/>
  <c r="N758" i="13"/>
  <c r="N759" i="13"/>
  <c r="N760" i="13"/>
  <c r="L632" i="13" l="1"/>
  <c r="L324" i="13"/>
  <c r="M727" i="13" l="1"/>
  <c r="M728" i="13"/>
  <c r="M729" i="13"/>
  <c r="M730" i="13"/>
  <c r="M731" i="13"/>
  <c r="M732" i="13"/>
  <c r="M733" i="13"/>
  <c r="M734" i="13"/>
  <c r="N734" i="13" s="1"/>
  <c r="M735" i="13"/>
  <c r="N735" i="13" s="1"/>
  <c r="M736" i="13"/>
  <c r="N736" i="13" s="1"/>
  <c r="M737" i="13"/>
  <c r="N737" i="13" s="1"/>
  <c r="M738" i="13"/>
  <c r="N738" i="13" s="1"/>
  <c r="M739" i="13"/>
  <c r="N739" i="13" s="1"/>
  <c r="M740" i="13"/>
  <c r="N740" i="13" s="1"/>
  <c r="M741" i="13"/>
  <c r="N741" i="13" s="1"/>
  <c r="M742" i="13"/>
  <c r="N742" i="13" s="1"/>
  <c r="M743" i="13"/>
  <c r="N743" i="13" s="1"/>
  <c r="M744" i="13"/>
  <c r="N744" i="13" s="1"/>
  <c r="M745" i="13"/>
  <c r="N745" i="13" s="1"/>
  <c r="M746" i="13"/>
  <c r="N746" i="13" s="1"/>
  <c r="M747" i="13"/>
  <c r="M748" i="13"/>
  <c r="N748" i="13" s="1"/>
  <c r="N747" i="13"/>
  <c r="L694" i="13" l="1"/>
  <c r="M713" i="13" l="1"/>
  <c r="N713" i="13" s="1"/>
  <c r="M714" i="13"/>
  <c r="N714" i="13" s="1"/>
  <c r="M715" i="13"/>
  <c r="N715" i="13" s="1"/>
  <c r="M716" i="13"/>
  <c r="M717" i="13"/>
  <c r="M718" i="13"/>
  <c r="N718" i="13" s="1"/>
  <c r="M719" i="13"/>
  <c r="N719" i="13" s="1"/>
  <c r="M720" i="13"/>
  <c r="N720" i="13" s="1"/>
  <c r="M721" i="13"/>
  <c r="N721" i="13" s="1"/>
  <c r="M722" i="13"/>
  <c r="N723" i="13"/>
  <c r="N724" i="13"/>
  <c r="M725" i="13"/>
  <c r="N725" i="13" s="1"/>
  <c r="M726" i="13"/>
  <c r="N726" i="13" s="1"/>
  <c r="L703" i="13" l="1"/>
  <c r="L651" i="13" l="1"/>
  <c r="K621" i="13" l="1"/>
  <c r="M686" i="13" l="1"/>
  <c r="N686" i="13" s="1"/>
  <c r="K674" i="13" l="1"/>
  <c r="N14" i="13" l="1"/>
  <c r="K642" i="13" l="1"/>
  <c r="M709" i="13" l="1"/>
  <c r="N709" i="13" s="1"/>
  <c r="M708" i="13"/>
  <c r="N708" i="13" s="1"/>
  <c r="M707" i="13"/>
  <c r="N707" i="13" s="1"/>
  <c r="M710" i="13"/>
  <c r="N710" i="13" s="1"/>
  <c r="M706" i="13"/>
  <c r="N706" i="13" s="1"/>
  <c r="M712" i="13"/>
  <c r="M711" i="13"/>
  <c r="N711" i="13" s="1"/>
  <c r="M705" i="13"/>
  <c r="N705" i="13" s="1"/>
  <c r="K556" i="13" l="1"/>
  <c r="M612" i="13" l="1"/>
  <c r="N274" i="13" l="1"/>
  <c r="N273" i="13"/>
  <c r="M701" i="13" l="1"/>
  <c r="N701" i="13" s="1"/>
  <c r="M702" i="13"/>
  <c r="N702" i="13" s="1"/>
  <c r="M703" i="13"/>
  <c r="N703" i="13" s="1"/>
  <c r="M704" i="13"/>
  <c r="N704" i="13" s="1"/>
  <c r="L618" i="13" l="1"/>
  <c r="L287" i="13" l="1"/>
  <c r="L328" i="13"/>
  <c r="M585" i="13" l="1"/>
  <c r="L571" i="13"/>
  <c r="L570" i="13"/>
  <c r="M586" i="13"/>
  <c r="M597" i="13"/>
  <c r="L541" i="13" l="1"/>
  <c r="M692" i="13" l="1"/>
  <c r="N692" i="13" s="1"/>
  <c r="M693" i="13"/>
  <c r="M694" i="13"/>
  <c r="N694" i="13" s="1"/>
  <c r="M695" i="13"/>
  <c r="N695" i="13" s="1"/>
  <c r="M691" i="13"/>
  <c r="N691" i="13" s="1"/>
  <c r="M696" i="13"/>
  <c r="N696" i="13" s="1"/>
  <c r="M697" i="13"/>
  <c r="N697" i="13" s="1"/>
  <c r="M698" i="13"/>
  <c r="N698" i="13" s="1"/>
  <c r="M699" i="13"/>
  <c r="N699" i="13" s="1"/>
  <c r="M700" i="13"/>
  <c r="M690" i="13"/>
  <c r="N690" i="13" s="1"/>
  <c r="M689" i="13"/>
  <c r="K649" i="13" l="1"/>
  <c r="M675" i="13" l="1"/>
  <c r="N675" i="13" s="1"/>
  <c r="M676" i="13"/>
  <c r="N676" i="13" s="1"/>
  <c r="M677" i="13"/>
  <c r="N677" i="13" s="1"/>
  <c r="M678" i="13"/>
  <c r="N678" i="13" s="1"/>
  <c r="M679" i="13"/>
  <c r="N679" i="13" s="1"/>
  <c r="M687" i="13"/>
  <c r="N687" i="13" s="1"/>
  <c r="M688" i="13"/>
  <c r="M650" i="13" l="1"/>
  <c r="L286" i="13" l="1"/>
  <c r="L637" i="13"/>
  <c r="L639" i="13"/>
  <c r="N650" i="13" l="1"/>
  <c r="M663" i="13" l="1"/>
  <c r="N663" i="13" s="1"/>
  <c r="M666" i="13" l="1"/>
  <c r="M667" i="13"/>
  <c r="M668" i="13"/>
  <c r="M669" i="13"/>
  <c r="M670" i="13"/>
  <c r="M671" i="13"/>
  <c r="M672" i="13"/>
  <c r="L601" i="13" l="1"/>
  <c r="M660" i="13" l="1"/>
  <c r="M661" i="13"/>
  <c r="M662" i="13"/>
  <c r="M664" i="13"/>
  <c r="N664" i="13" s="1"/>
  <c r="M665" i="13"/>
  <c r="N665" i="13" s="1"/>
  <c r="M673" i="13"/>
  <c r="N673" i="13" s="1"/>
  <c r="M674" i="13"/>
  <c r="L555" i="13" l="1"/>
  <c r="L556" i="13"/>
  <c r="M654" i="13" l="1"/>
  <c r="N654" i="13" s="1"/>
  <c r="M655" i="13"/>
  <c r="N655" i="13" s="1"/>
  <c r="M656" i="13"/>
  <c r="N656" i="13" s="1"/>
  <c r="M657" i="13"/>
  <c r="N657" i="13" s="1"/>
  <c r="M658" i="13"/>
  <c r="N658" i="13" s="1"/>
  <c r="M659" i="13"/>
  <c r="M651" i="13" l="1"/>
  <c r="N651" i="13" s="1"/>
  <c r="L525" i="13" l="1"/>
  <c r="L451" i="13" l="1"/>
  <c r="K635" i="13" l="1"/>
  <c r="L248" i="13"/>
  <c r="L518" i="13" l="1"/>
  <c r="N643" i="13" l="1"/>
  <c r="K629" i="13" l="1"/>
  <c r="L500" i="13" l="1"/>
  <c r="L389" i="13" l="1"/>
  <c r="L542" i="13" l="1"/>
  <c r="M637" i="13" l="1"/>
  <c r="M638" i="13"/>
  <c r="M639" i="13"/>
  <c r="M640" i="13"/>
  <c r="M641" i="13"/>
  <c r="N641" i="13" s="1"/>
  <c r="M642" i="13"/>
  <c r="N642" i="13" s="1"/>
  <c r="M644" i="13"/>
  <c r="N644" i="13" s="1"/>
  <c r="M645" i="13"/>
  <c r="N645" i="13" s="1"/>
  <c r="M646" i="13"/>
  <c r="N646" i="13" s="1"/>
  <c r="M647" i="13"/>
  <c r="N647" i="13" s="1"/>
  <c r="M648" i="13"/>
  <c r="N648" i="13" s="1"/>
  <c r="M649" i="13"/>
  <c r="N649" i="13" s="1"/>
  <c r="M653" i="13"/>
  <c r="N653" i="13" s="1"/>
  <c r="M636" i="13" l="1"/>
  <c r="N636" i="13" s="1"/>
  <c r="L431" i="13" l="1"/>
  <c r="L173" i="13" l="1"/>
  <c r="L390" i="13"/>
  <c r="L524" i="13"/>
  <c r="L215" i="13" l="1"/>
  <c r="L516" i="13"/>
  <c r="M613" i="13" l="1"/>
  <c r="L441" i="13" l="1"/>
  <c r="L509" i="13"/>
  <c r="L466" i="13"/>
  <c r="M610" i="13" l="1"/>
  <c r="N610" i="13" s="1"/>
  <c r="M611" i="13"/>
  <c r="N611" i="13" s="1"/>
  <c r="M614" i="13"/>
  <c r="N614" i="13" s="1"/>
  <c r="M615" i="13"/>
  <c r="N615" i="13" s="1"/>
  <c r="M616" i="13"/>
  <c r="M617" i="13"/>
  <c r="M618" i="13"/>
  <c r="N618" i="13" s="1"/>
  <c r="M619" i="13"/>
  <c r="N619" i="13" s="1"/>
  <c r="M620" i="13"/>
  <c r="N620" i="13" s="1"/>
  <c r="M621" i="13"/>
  <c r="N621" i="13" s="1"/>
  <c r="M622" i="13"/>
  <c r="N622" i="13" s="1"/>
  <c r="M623" i="13"/>
  <c r="N623" i="13" s="1"/>
  <c r="M624" i="13"/>
  <c r="N624" i="13" s="1"/>
  <c r="M625" i="13"/>
  <c r="N625" i="13" s="1"/>
  <c r="M626" i="13"/>
  <c r="N626" i="13" s="1"/>
  <c r="M627" i="13"/>
  <c r="N627" i="13" s="1"/>
  <c r="M628" i="13"/>
  <c r="M629" i="13"/>
  <c r="N629" i="13" s="1"/>
  <c r="M630" i="13"/>
  <c r="N630" i="13" s="1"/>
  <c r="M631" i="13"/>
  <c r="N631" i="13" s="1"/>
  <c r="M632" i="13"/>
  <c r="N632" i="13" s="1"/>
  <c r="M633" i="13"/>
  <c r="M634" i="13"/>
  <c r="M635" i="13"/>
  <c r="N635" i="13"/>
  <c r="M565" i="13" l="1"/>
  <c r="M606" i="13" l="1"/>
  <c r="N606" i="13" s="1"/>
  <c r="M607" i="13"/>
  <c r="N607" i="13" s="1"/>
  <c r="M608" i="13"/>
  <c r="N608" i="13" s="1"/>
  <c r="M609" i="13"/>
  <c r="N609" i="13" s="1"/>
  <c r="L16" i="13" l="1"/>
  <c r="L563" i="13" l="1"/>
  <c r="M562" i="13" l="1"/>
  <c r="N408" i="13" l="1"/>
  <c r="M589" i="13" l="1"/>
  <c r="N589" i="13" s="1"/>
  <c r="M590" i="13"/>
  <c r="N590" i="13" s="1"/>
  <c r="M591" i="13"/>
  <c r="N591" i="13" s="1"/>
  <c r="M592" i="13"/>
  <c r="N592" i="13" s="1"/>
  <c r="M593" i="13"/>
  <c r="M594" i="13"/>
  <c r="N594" i="13" s="1"/>
  <c r="M595" i="13"/>
  <c r="N595" i="13" s="1"/>
  <c r="M596" i="13"/>
  <c r="N596" i="13" s="1"/>
  <c r="N597" i="13"/>
  <c r="M598" i="13"/>
  <c r="N598" i="13" s="1"/>
  <c r="M599" i="13"/>
  <c r="N599" i="13" s="1"/>
  <c r="M600" i="13"/>
  <c r="N600" i="13" s="1"/>
  <c r="M601" i="13"/>
  <c r="N601" i="13" s="1"/>
  <c r="M546" i="13" l="1"/>
  <c r="N546" i="13" s="1"/>
  <c r="K510" i="13" l="1"/>
  <c r="K503" i="13" l="1"/>
  <c r="K520" i="13" l="1"/>
  <c r="K514" i="13" l="1"/>
  <c r="M283" i="13" l="1"/>
  <c r="M528" i="13" l="1"/>
  <c r="N528" i="13" s="1"/>
  <c r="M529" i="13"/>
  <c r="N529" i="13" s="1"/>
  <c r="M530" i="13"/>
  <c r="M531" i="13"/>
  <c r="M532" i="13"/>
  <c r="M533" i="13"/>
  <c r="M534" i="13"/>
  <c r="M535" i="13"/>
  <c r="M536" i="13"/>
  <c r="M537" i="13"/>
  <c r="M538" i="13"/>
  <c r="N538" i="13" s="1"/>
  <c r="M539" i="13"/>
  <c r="N539" i="13" s="1"/>
  <c r="M540" i="13"/>
  <c r="N531" i="13"/>
  <c r="N532" i="13"/>
  <c r="N533" i="13"/>
  <c r="N534" i="13"/>
  <c r="N535" i="13"/>
  <c r="N536" i="13"/>
  <c r="N537" i="13"/>
  <c r="M525" i="13"/>
  <c r="N525" i="13" s="1"/>
  <c r="M526" i="13"/>
  <c r="N526" i="13" s="1"/>
  <c r="M527" i="13"/>
  <c r="N527" i="13" s="1"/>
  <c r="M541" i="13"/>
  <c r="N541" i="13" s="1"/>
  <c r="M542" i="13"/>
  <c r="M543" i="13"/>
  <c r="N543" i="13" s="1"/>
  <c r="M544" i="13"/>
  <c r="N544" i="13" s="1"/>
  <c r="M545" i="13"/>
  <c r="N545" i="13" s="1"/>
  <c r="M547" i="13"/>
  <c r="N547" i="13" s="1"/>
  <c r="M548" i="13"/>
  <c r="N548" i="13" s="1"/>
  <c r="M549" i="13"/>
  <c r="N549" i="13" s="1"/>
  <c r="M550" i="13"/>
  <c r="N550" i="13" s="1"/>
  <c r="M551" i="13"/>
  <c r="N551" i="13" s="1"/>
  <c r="M552" i="13"/>
  <c r="N552" i="13" s="1"/>
  <c r="M553" i="13"/>
  <c r="N553" i="13" s="1"/>
  <c r="M554" i="13"/>
  <c r="M555" i="13"/>
  <c r="N555" i="13" s="1"/>
  <c r="M556" i="13"/>
  <c r="N556" i="13" s="1"/>
  <c r="M557" i="13"/>
  <c r="N557" i="13" s="1"/>
  <c r="M558" i="13"/>
  <c r="N558" i="13" s="1"/>
  <c r="M559" i="13"/>
  <c r="N559" i="13" s="1"/>
  <c r="M560" i="13"/>
  <c r="N560" i="13" s="1"/>
  <c r="M561" i="13"/>
  <c r="N561" i="13" s="1"/>
  <c r="M563" i="13"/>
  <c r="N563" i="13" s="1"/>
  <c r="M564" i="13"/>
  <c r="M566" i="13"/>
  <c r="N566" i="13" s="1"/>
  <c r="M567" i="13"/>
  <c r="N567" i="13" s="1"/>
  <c r="M568" i="13"/>
  <c r="M569" i="13"/>
  <c r="M570" i="13"/>
  <c r="M571" i="13"/>
  <c r="N571" i="13" s="1"/>
  <c r="M572" i="13"/>
  <c r="N572" i="13" s="1"/>
  <c r="M573" i="13"/>
  <c r="N573" i="13" s="1"/>
  <c r="M574" i="13"/>
  <c r="N574" i="13" s="1"/>
  <c r="M575" i="13"/>
  <c r="N575" i="13" s="1"/>
  <c r="M576" i="13"/>
  <c r="N576" i="13" s="1"/>
  <c r="M577" i="13"/>
  <c r="N577" i="13" s="1"/>
  <c r="N578" i="13"/>
  <c r="N579" i="13"/>
  <c r="M580" i="13"/>
  <c r="N580" i="13" s="1"/>
  <c r="M581" i="13"/>
  <c r="N581" i="13" s="1"/>
  <c r="M582" i="13"/>
  <c r="N582" i="13" s="1"/>
  <c r="M583" i="13"/>
  <c r="N583" i="13" s="1"/>
  <c r="M584" i="13"/>
  <c r="N584" i="13" s="1"/>
  <c r="N585" i="13"/>
  <c r="N586" i="13"/>
  <c r="M587" i="13"/>
  <c r="M588" i="13"/>
  <c r="M602" i="13"/>
  <c r="N602" i="13" s="1"/>
  <c r="M603" i="13"/>
  <c r="N603" i="13" s="1"/>
  <c r="M604" i="13"/>
  <c r="M605" i="13"/>
  <c r="N605" i="13" s="1"/>
  <c r="M522" i="13" l="1"/>
  <c r="N522" i="13" s="1"/>
  <c r="K429" i="13" l="1"/>
  <c r="L406" i="13" l="1"/>
  <c r="L394" i="13" l="1"/>
  <c r="L404" i="13"/>
  <c r="L420" i="13"/>
  <c r="L414" i="13" l="1"/>
  <c r="L448" i="13"/>
  <c r="L449" i="13"/>
  <c r="K450" i="13"/>
  <c r="M514" i="13" l="1"/>
  <c r="M515" i="13"/>
  <c r="M516" i="13"/>
  <c r="N516" i="13" s="1"/>
  <c r="M517" i="13"/>
  <c r="N517" i="13" s="1"/>
  <c r="M518" i="13"/>
  <c r="N518" i="13" s="1"/>
  <c r="M519" i="13"/>
  <c r="N519" i="13" s="1"/>
  <c r="M520" i="13"/>
  <c r="N520" i="13" s="1"/>
  <c r="M521" i="13"/>
  <c r="M523" i="13"/>
  <c r="N523" i="13" s="1"/>
  <c r="M524" i="13"/>
  <c r="N524" i="13" s="1"/>
  <c r="N514" i="13"/>
  <c r="N515" i="13"/>
  <c r="N521" i="13"/>
  <c r="AA503" i="13" l="1"/>
  <c r="AA496" i="13"/>
  <c r="M504" i="13" l="1"/>
  <c r="M505" i="13"/>
  <c r="M506" i="13"/>
  <c r="N506" i="13" s="1"/>
  <c r="M507" i="13"/>
  <c r="N507" i="13" s="1"/>
  <c r="M508" i="13"/>
  <c r="M509" i="13"/>
  <c r="N509" i="13" s="1"/>
  <c r="M510" i="13"/>
  <c r="M511" i="13"/>
  <c r="N511" i="13" s="1"/>
  <c r="M512" i="13"/>
  <c r="N512" i="13" s="1"/>
  <c r="M513" i="13"/>
  <c r="N513" i="13" s="1"/>
  <c r="M500" i="13" l="1"/>
  <c r="N500" i="13" s="1"/>
  <c r="M501" i="13"/>
  <c r="M502" i="13"/>
  <c r="N502" i="13" s="1"/>
  <c r="M503" i="13"/>
  <c r="N501" i="13" l="1"/>
  <c r="N503" i="13"/>
  <c r="N505" i="13"/>
  <c r="N510" i="13"/>
  <c r="L242" i="13" l="1"/>
  <c r="L308" i="13"/>
  <c r="L388" i="13"/>
  <c r="M497" i="13" l="1"/>
  <c r="M498" i="13"/>
  <c r="M499" i="13"/>
  <c r="N498" i="13"/>
  <c r="N499" i="13"/>
  <c r="M426" i="13" l="1"/>
  <c r="N426" i="13"/>
  <c r="M491" i="13" l="1"/>
  <c r="M492" i="13"/>
  <c r="M493" i="13"/>
  <c r="M468" i="13"/>
  <c r="N468" i="13" s="1"/>
  <c r="M469" i="13"/>
  <c r="N469" i="13" s="1"/>
  <c r="M470" i="13"/>
  <c r="M471" i="13"/>
  <c r="M472" i="13"/>
  <c r="M473" i="13"/>
  <c r="M474" i="13"/>
  <c r="M475" i="13"/>
  <c r="M476" i="13"/>
  <c r="M477" i="13"/>
  <c r="M478" i="13"/>
  <c r="M479" i="13"/>
  <c r="M480" i="13"/>
  <c r="M481" i="13"/>
  <c r="M482" i="13"/>
  <c r="M483" i="13"/>
  <c r="M484" i="13"/>
  <c r="M485" i="13"/>
  <c r="M486" i="13"/>
  <c r="N486" i="13" s="1"/>
  <c r="M487" i="13"/>
  <c r="N487" i="13" s="1"/>
  <c r="M488" i="13"/>
  <c r="N488" i="13" s="1"/>
  <c r="M489" i="13"/>
  <c r="N489" i="13" s="1"/>
  <c r="M490" i="13"/>
  <c r="M494" i="13"/>
  <c r="M495" i="13"/>
  <c r="M496" i="13"/>
  <c r="N453" i="13" l="1"/>
  <c r="N454" i="13"/>
  <c r="M455" i="13" l="1"/>
  <c r="M456" i="13"/>
  <c r="M457" i="13"/>
  <c r="M458" i="13"/>
  <c r="M459" i="13"/>
  <c r="M460" i="13"/>
  <c r="M461" i="13"/>
  <c r="M462" i="13"/>
  <c r="M463" i="13"/>
  <c r="M464" i="13"/>
  <c r="M465" i="13"/>
  <c r="N465" i="13" s="1"/>
  <c r="M466" i="13"/>
  <c r="N466" i="13" s="1"/>
  <c r="M467" i="13"/>
  <c r="N467" i="13" s="1"/>
  <c r="N455" i="13"/>
  <c r="N456" i="13"/>
  <c r="N457" i="13"/>
  <c r="N458" i="13"/>
  <c r="N459" i="13"/>
  <c r="N460" i="13"/>
  <c r="N461" i="13"/>
  <c r="N462" i="13"/>
  <c r="N463" i="13"/>
  <c r="M441" i="13" l="1"/>
  <c r="N441" i="13" s="1"/>
  <c r="K422" i="13" l="1"/>
  <c r="K219" i="13"/>
  <c r="K218" i="13"/>
  <c r="L249" i="13"/>
  <c r="K249" i="13"/>
  <c r="M419" i="13" l="1"/>
  <c r="N419" i="13" s="1"/>
  <c r="M420" i="13"/>
  <c r="N420" i="13" s="1"/>
  <c r="M421" i="13"/>
  <c r="N421" i="13" s="1"/>
  <c r="M422" i="13"/>
  <c r="M423" i="13"/>
  <c r="M424" i="13"/>
  <c r="M425" i="13"/>
  <c r="M427" i="13"/>
  <c r="M428" i="13"/>
  <c r="M429" i="13"/>
  <c r="N429" i="13" s="1"/>
  <c r="M430" i="13"/>
  <c r="M431" i="13"/>
  <c r="N431" i="13" s="1"/>
  <c r="M432" i="13"/>
  <c r="M433" i="13"/>
  <c r="M434" i="13"/>
  <c r="M435" i="13"/>
  <c r="M436" i="13"/>
  <c r="M437" i="13"/>
  <c r="M438" i="13"/>
  <c r="M439" i="13"/>
  <c r="M440" i="13"/>
  <c r="M442" i="13"/>
  <c r="M443" i="13"/>
  <c r="M444" i="13"/>
  <c r="M445" i="13"/>
  <c r="M446" i="13"/>
  <c r="M447" i="13"/>
  <c r="M448" i="13"/>
  <c r="N448" i="13" s="1"/>
  <c r="M449" i="13"/>
  <c r="M450" i="13"/>
  <c r="M451" i="13"/>
  <c r="N451" i="13" s="1"/>
  <c r="M452" i="13"/>
  <c r="N422" i="13"/>
  <c r="N423" i="13"/>
  <c r="N425" i="13"/>
  <c r="N428" i="13"/>
  <c r="N432" i="13"/>
  <c r="N434" i="13"/>
  <c r="N435" i="13"/>
  <c r="N436" i="13"/>
  <c r="N438" i="13"/>
  <c r="N439" i="13"/>
  <c r="N440" i="13"/>
  <c r="N447" i="13"/>
  <c r="N449" i="13"/>
  <c r="N450" i="13"/>
  <c r="N464" i="13"/>
  <c r="L397" i="13" l="1"/>
  <c r="L396" i="13"/>
  <c r="L81" i="13"/>
  <c r="N283" i="13" l="1"/>
  <c r="M402" i="13" l="1"/>
  <c r="M403" i="13"/>
  <c r="N402" i="13"/>
  <c r="N359" i="13" l="1"/>
  <c r="K272" i="13" l="1"/>
  <c r="L266" i="13" l="1"/>
  <c r="L66" i="13"/>
  <c r="N496" i="13" l="1"/>
  <c r="M417" i="13"/>
  <c r="N417" i="13" s="1"/>
  <c r="M418" i="13"/>
  <c r="N418" i="13" s="1"/>
  <c r="M409" i="13"/>
  <c r="M410" i="13"/>
  <c r="M411" i="13"/>
  <c r="M412" i="13"/>
  <c r="M413" i="13"/>
  <c r="M414" i="13"/>
  <c r="M415" i="13"/>
  <c r="M416" i="13"/>
  <c r="N416" i="13" s="1"/>
  <c r="N409" i="13"/>
  <c r="N410" i="13"/>
  <c r="N411" i="13"/>
  <c r="N412" i="13"/>
  <c r="N413" i="13"/>
  <c r="N414" i="13"/>
  <c r="N415" i="13"/>
  <c r="L247" i="13" l="1"/>
  <c r="L103" i="13" l="1"/>
  <c r="L335" i="13" l="1"/>
  <c r="L336" i="13"/>
  <c r="M267" i="13" l="1"/>
  <c r="M266" i="13"/>
  <c r="M263" i="13"/>
  <c r="M242" i="13"/>
  <c r="N351" i="13"/>
  <c r="M368" i="13"/>
  <c r="M366" i="13"/>
  <c r="N366" i="13" s="1"/>
  <c r="M365" i="13"/>
  <c r="N365" i="13" s="1"/>
  <c r="M364" i="13"/>
  <c r="N364" i="13" s="1"/>
  <c r="M360" i="13"/>
  <c r="N360" i="13" s="1"/>
  <c r="M358" i="13"/>
  <c r="M356" i="13"/>
  <c r="N356" i="13" s="1"/>
  <c r="M355" i="13"/>
  <c r="N355" i="13" s="1"/>
  <c r="M354" i="13"/>
  <c r="N354" i="13" s="1"/>
  <c r="M351" i="13"/>
  <c r="M350" i="13"/>
  <c r="M349" i="13"/>
  <c r="M345" i="13"/>
  <c r="M344" i="13"/>
  <c r="M343" i="13"/>
  <c r="M342" i="13"/>
  <c r="M341" i="13"/>
  <c r="M340" i="13"/>
  <c r="M339" i="13"/>
  <c r="M333" i="13"/>
  <c r="N333" i="13" s="1"/>
  <c r="M332" i="13"/>
  <c r="N332" i="13" s="1"/>
  <c r="M331" i="13"/>
  <c r="N331" i="13" s="1"/>
  <c r="M330" i="13"/>
  <c r="N330" i="13" s="1"/>
  <c r="M329" i="13"/>
  <c r="N329" i="13" s="1"/>
  <c r="M328" i="13"/>
  <c r="N328" i="13" s="1"/>
  <c r="M327" i="13"/>
  <c r="N327" i="13" s="1"/>
  <c r="M324" i="13"/>
  <c r="N324" i="13" s="1"/>
  <c r="M323" i="13"/>
  <c r="N323" i="13" s="1"/>
  <c r="M322" i="13"/>
  <c r="N322" i="13" s="1"/>
  <c r="M321" i="13"/>
  <c r="N321" i="13" s="1"/>
  <c r="M317" i="13"/>
  <c r="N317" i="13" s="1"/>
  <c r="M316" i="13"/>
  <c r="N316" i="13" s="1"/>
  <c r="M315" i="13"/>
  <c r="N315" i="13" s="1"/>
  <c r="M310" i="13"/>
  <c r="N310" i="13" s="1"/>
  <c r="M309" i="13"/>
  <c r="N309" i="13" s="1"/>
  <c r="M307" i="13"/>
  <c r="N307" i="13" s="1"/>
  <c r="M304" i="13"/>
  <c r="N304" i="13" s="1"/>
  <c r="M303" i="13"/>
  <c r="N303" i="13" s="1"/>
  <c r="M297" i="13"/>
  <c r="N297" i="13" s="1"/>
  <c r="M296" i="13"/>
  <c r="N296" i="13" s="1"/>
  <c r="M295" i="13"/>
  <c r="N295" i="13" s="1"/>
  <c r="M325" i="13"/>
  <c r="M394" i="13"/>
  <c r="M395" i="13"/>
  <c r="M396" i="13"/>
  <c r="M397" i="13"/>
  <c r="M398" i="13"/>
  <c r="N398" i="13" s="1"/>
  <c r="M399" i="13"/>
  <c r="M400" i="13"/>
  <c r="M401" i="13"/>
  <c r="M404" i="13"/>
  <c r="M405" i="13"/>
  <c r="M406" i="13"/>
  <c r="M407" i="13"/>
  <c r="M382" i="13"/>
  <c r="M383" i="13"/>
  <c r="M384" i="13"/>
  <c r="M385" i="13"/>
  <c r="N385" i="13" s="1"/>
  <c r="M386" i="13"/>
  <c r="M387" i="13"/>
  <c r="M388" i="13"/>
  <c r="M389" i="13"/>
  <c r="N389" i="13" s="1"/>
  <c r="M390" i="13"/>
  <c r="M391" i="13"/>
  <c r="M392" i="13"/>
  <c r="M393" i="13"/>
  <c r="N391" i="13" l="1"/>
  <c r="M16" i="13" l="1"/>
  <c r="N16" i="13" s="1"/>
  <c r="M381" i="13" l="1"/>
  <c r="M380" i="13"/>
  <c r="M379" i="13"/>
  <c r="M378" i="13"/>
  <c r="M377" i="13"/>
  <c r="M376" i="13"/>
  <c r="M375" i="13"/>
  <c r="M374" i="13"/>
  <c r="M373" i="13"/>
  <c r="M372" i="13"/>
  <c r="M371" i="13"/>
  <c r="M370" i="13"/>
  <c r="M369" i="13"/>
  <c r="M348" i="13"/>
  <c r="M347" i="13"/>
  <c r="M346" i="13"/>
  <c r="N383" i="13" l="1"/>
  <c r="M367" i="13" l="1"/>
  <c r="N384" i="13"/>
  <c r="N386" i="13"/>
  <c r="N387" i="13"/>
  <c r="N388" i="13"/>
  <c r="N390" i="13"/>
  <c r="N392" i="13"/>
  <c r="N393" i="13"/>
  <c r="N394" i="13"/>
  <c r="N395" i="13"/>
  <c r="N396" i="13"/>
  <c r="N397" i="13"/>
  <c r="N401" i="13"/>
  <c r="N404" i="13"/>
  <c r="N405" i="13"/>
  <c r="N406" i="13"/>
  <c r="N407" i="13"/>
  <c r="M361" i="13" l="1"/>
  <c r="M362" i="13"/>
  <c r="M363" i="13"/>
  <c r="M318" i="13" l="1"/>
  <c r="N352" i="13" l="1"/>
  <c r="N242" i="13"/>
  <c r="M194" i="13" l="1"/>
  <c r="L176" i="13" l="1"/>
  <c r="M357" i="13" l="1"/>
  <c r="N357" i="13" s="1"/>
  <c r="N363" i="13" l="1"/>
  <c r="L313" i="13" l="1"/>
  <c r="L196" i="13" l="1"/>
  <c r="M306" i="13" l="1"/>
  <c r="M305" i="13"/>
  <c r="M326" i="13" l="1"/>
  <c r="K69" i="13" l="1"/>
  <c r="M241" i="13" l="1"/>
  <c r="M294" i="13" l="1"/>
  <c r="N294" i="13"/>
  <c r="N334" i="13"/>
  <c r="N335" i="13"/>
  <c r="N336" i="13"/>
  <c r="N337" i="13"/>
  <c r="N338" i="13"/>
  <c r="M298" i="13"/>
  <c r="M308" i="13"/>
  <c r="M311" i="13"/>
  <c r="M312" i="13"/>
  <c r="M313" i="13"/>
  <c r="M314" i="13"/>
  <c r="N314" i="13" s="1"/>
  <c r="M319" i="13"/>
  <c r="N319" i="13" s="1"/>
  <c r="M320" i="13"/>
  <c r="N320" i="13" s="1"/>
  <c r="M334" i="13"/>
  <c r="M335" i="13"/>
  <c r="M336" i="13"/>
  <c r="M337" i="13"/>
  <c r="M338" i="13"/>
  <c r="M352" i="13"/>
  <c r="M353" i="13"/>
  <c r="N301" i="13" l="1"/>
  <c r="L95" i="13" l="1"/>
  <c r="M95" i="13" s="1"/>
  <c r="L109" i="13"/>
  <c r="M109" i="13" s="1"/>
  <c r="M134" i="13"/>
  <c r="M135" i="13"/>
  <c r="M136" i="13"/>
  <c r="M137" i="13"/>
  <c r="M138" i="13"/>
  <c r="M139" i="13"/>
  <c r="M110" i="13"/>
  <c r="M94" i="13"/>
  <c r="N191" i="13"/>
  <c r="N59" i="13"/>
  <c r="N110" i="13"/>
  <c r="N109" i="13"/>
  <c r="N139" i="13"/>
  <c r="N138" i="13"/>
  <c r="N137" i="13"/>
  <c r="N136" i="13"/>
  <c r="N135" i="13"/>
  <c r="N134" i="13"/>
  <c r="N305" i="13" l="1"/>
  <c r="N265" i="13"/>
  <c r="N264" i="13"/>
  <c r="N241" i="13"/>
  <c r="N209" i="13"/>
  <c r="M228" i="13"/>
  <c r="N228" i="13" s="1"/>
  <c r="M227" i="13"/>
  <c r="N227" i="13" s="1"/>
  <c r="M196" i="13"/>
  <c r="L68" i="13" l="1"/>
  <c r="L230" i="13" l="1"/>
  <c r="K220" i="13" l="1"/>
  <c r="AA304" i="13" l="1"/>
  <c r="AA303" i="13"/>
  <c r="N300" i="13" l="1"/>
  <c r="N302" i="13"/>
  <c r="N306" i="13"/>
  <c r="N313" i="13"/>
  <c r="N299" i="13"/>
  <c r="L153" i="13" l="1"/>
  <c r="K151" i="13" l="1"/>
  <c r="L151" i="13" l="1"/>
  <c r="K114" i="13" l="1"/>
  <c r="L126" i="13" l="1"/>
  <c r="M222" i="13" l="1"/>
  <c r="M210" i="13"/>
  <c r="N210" i="13" s="1"/>
  <c r="M207" i="13"/>
  <c r="M282" i="13" l="1"/>
  <c r="N282" i="13" s="1"/>
  <c r="M284" i="13"/>
  <c r="M285" i="13"/>
  <c r="M286" i="13"/>
  <c r="N286" i="13" s="1"/>
  <c r="M287" i="13"/>
  <c r="N287" i="13" s="1"/>
  <c r="M280" i="13" l="1"/>
  <c r="M281" i="13"/>
  <c r="L239" i="13" l="1"/>
  <c r="L238" i="13"/>
  <c r="L237" i="13"/>
  <c r="L236" i="13"/>
  <c r="L158" i="13" l="1"/>
  <c r="M276" i="13" l="1"/>
  <c r="M277" i="13"/>
  <c r="N277" i="13" s="1"/>
  <c r="M275" i="13"/>
  <c r="M279" i="13"/>
  <c r="M278" i="13"/>
  <c r="N278" i="13" s="1"/>
  <c r="M17" i="13"/>
  <c r="N17" i="13" s="1"/>
  <c r="N279" i="13" l="1"/>
  <c r="N280" i="13"/>
  <c r="N281" i="13"/>
  <c r="N284" i="13"/>
  <c r="N285" i="13"/>
  <c r="N288" i="13"/>
  <c r="N289" i="13"/>
  <c r="N290" i="13"/>
  <c r="N291" i="13"/>
  <c r="N292" i="13"/>
  <c r="N293" i="13"/>
  <c r="N298" i="13"/>
  <c r="N275" i="13" l="1"/>
  <c r="N276" i="13"/>
  <c r="L42" i="13" l="1"/>
  <c r="M258" i="13" l="1"/>
  <c r="M259" i="13"/>
  <c r="M260" i="13"/>
  <c r="M261" i="13"/>
  <c r="M262" i="13"/>
  <c r="N263" i="13"/>
  <c r="M264" i="13"/>
  <c r="M265" i="13"/>
  <c r="N266" i="13"/>
  <c r="N267" i="13"/>
  <c r="M268" i="13"/>
  <c r="M269" i="13"/>
  <c r="M270" i="13"/>
  <c r="M271" i="13"/>
  <c r="N271" i="13" s="1"/>
  <c r="M272" i="13"/>
  <c r="N272" i="13" s="1"/>
  <c r="N250" i="13" l="1"/>
  <c r="N244" i="13"/>
  <c r="N220" i="13"/>
  <c r="K208" i="13" l="1"/>
  <c r="M226" i="13" l="1"/>
  <c r="M225" i="13"/>
  <c r="M224" i="13"/>
  <c r="M223" i="13"/>
  <c r="N258" i="13" l="1"/>
  <c r="N259" i="13"/>
  <c r="N260" i="13"/>
  <c r="N261" i="13"/>
  <c r="N262" i="13"/>
  <c r="N268" i="13"/>
  <c r="N269" i="13"/>
  <c r="N270" i="13"/>
  <c r="N95" i="13" l="1"/>
  <c r="V95" i="13"/>
  <c r="W95" i="13"/>
  <c r="N94" i="13"/>
  <c r="V94" i="13"/>
  <c r="W94" i="13"/>
  <c r="M220" i="13" l="1"/>
  <c r="K221" i="13"/>
  <c r="M221" i="13" s="1"/>
  <c r="N221" i="13" s="1"/>
  <c r="L182" i="13" l="1"/>
  <c r="M232" i="13" l="1"/>
  <c r="M243" i="13" l="1"/>
  <c r="M244" i="13"/>
  <c r="M245" i="13"/>
  <c r="N245" i="13" s="1"/>
  <c r="M246" i="13"/>
  <c r="N246" i="13" s="1"/>
  <c r="M247" i="13"/>
  <c r="N247" i="13" s="1"/>
  <c r="M248" i="13"/>
  <c r="N248" i="13" s="1"/>
  <c r="M249" i="13"/>
  <c r="N249" i="13" s="1"/>
  <c r="M250" i="13"/>
  <c r="M251" i="13"/>
  <c r="M252" i="13"/>
  <c r="M253" i="13"/>
  <c r="M254" i="13"/>
  <c r="M255" i="13"/>
  <c r="M256" i="13"/>
  <c r="M257" i="13"/>
  <c r="N229" i="13"/>
  <c r="N230" i="13"/>
  <c r="N235" i="13"/>
  <c r="L159" i="13" l="1"/>
  <c r="M214" i="13"/>
  <c r="N214" i="13" s="1"/>
  <c r="N196" i="13" l="1"/>
  <c r="Y221" i="13" l="1"/>
  <c r="W221" i="13"/>
  <c r="V221" i="13"/>
  <c r="Z221" i="13" l="1"/>
  <c r="M38" i="13" l="1"/>
  <c r="Y110" i="13" l="1"/>
  <c r="AA110" i="13" s="1"/>
  <c r="Y109" i="13"/>
  <c r="AA109" i="13" s="1"/>
  <c r="M114" i="13" l="1"/>
  <c r="W114" i="13" s="1"/>
  <c r="M240" i="13" l="1"/>
  <c r="N240" i="13" s="1"/>
  <c r="M239" i="13"/>
  <c r="M238" i="13"/>
  <c r="M237" i="13"/>
  <c r="M236" i="13"/>
  <c r="M235" i="13"/>
  <c r="M234" i="13"/>
  <c r="N234" i="13" s="1"/>
  <c r="M233" i="13"/>
  <c r="N233" i="13" s="1"/>
  <c r="M231" i="13"/>
  <c r="M230" i="13"/>
  <c r="M229" i="13"/>
  <c r="M219" i="13"/>
  <c r="N219" i="13" s="1"/>
  <c r="M218" i="13"/>
  <c r="N218" i="13" s="1"/>
  <c r="M217" i="13"/>
  <c r="N217" i="13" s="1"/>
  <c r="M216" i="13"/>
  <c r="M215" i="13"/>
  <c r="N215" i="13" s="1"/>
  <c r="M213" i="13"/>
  <c r="M212" i="13"/>
  <c r="M211" i="13"/>
  <c r="M209" i="13"/>
  <c r="M208" i="13"/>
  <c r="N208" i="13"/>
  <c r="N211" i="13"/>
  <c r="N212" i="13"/>
  <c r="N213" i="13"/>
  <c r="N216" i="13"/>
  <c r="N38" i="13" l="1"/>
  <c r="L162" i="13" l="1"/>
  <c r="M204" i="13" l="1"/>
  <c r="M205" i="13"/>
  <c r="M206" i="13"/>
  <c r="N96" i="13" l="1"/>
  <c r="K56" i="13" l="1"/>
  <c r="M162" i="13" l="1"/>
  <c r="N162" i="13" s="1"/>
  <c r="M163" i="13"/>
  <c r="M164" i="13"/>
  <c r="M165" i="13"/>
  <c r="M166" i="13"/>
  <c r="M167" i="13"/>
  <c r="M168" i="13"/>
  <c r="N168" i="13" s="1"/>
  <c r="M169" i="13"/>
  <c r="N169" i="13" s="1"/>
  <c r="M170" i="13"/>
  <c r="N170" i="13" s="1"/>
  <c r="M171" i="13"/>
  <c r="N171" i="13" s="1"/>
  <c r="M172" i="13"/>
  <c r="N172" i="13" s="1"/>
  <c r="M173" i="13"/>
  <c r="N173" i="13" s="1"/>
  <c r="M174" i="13"/>
  <c r="N174" i="13" s="1"/>
  <c r="M175" i="13"/>
  <c r="N175" i="13" s="1"/>
  <c r="M176" i="13"/>
  <c r="N176" i="13" s="1"/>
  <c r="M177" i="13"/>
  <c r="M178" i="13"/>
  <c r="M179" i="13"/>
  <c r="M180" i="13"/>
  <c r="M181" i="13"/>
  <c r="M182" i="13"/>
  <c r="N182" i="13" s="1"/>
  <c r="M183" i="13"/>
  <c r="N183" i="13" s="1"/>
  <c r="M184" i="13"/>
  <c r="M185" i="13"/>
  <c r="M186" i="13"/>
  <c r="N186" i="13" s="1"/>
  <c r="M187" i="13"/>
  <c r="N187" i="13" s="1"/>
  <c r="M188" i="13"/>
  <c r="N188" i="13" s="1"/>
  <c r="M189" i="13"/>
  <c r="N189" i="13" s="1"/>
  <c r="M190" i="13"/>
  <c r="N190" i="13" s="1"/>
  <c r="M192" i="13"/>
  <c r="N192" i="13" s="1"/>
  <c r="M193" i="13"/>
  <c r="N193" i="13" s="1"/>
  <c r="N194" i="13"/>
  <c r="M195" i="13"/>
  <c r="N195" i="13" s="1"/>
  <c r="M197" i="13"/>
  <c r="N197" i="13" s="1"/>
  <c r="M198" i="13"/>
  <c r="M199" i="13"/>
  <c r="M200" i="13"/>
  <c r="M203" i="13"/>
  <c r="A1179" i="14" l="1"/>
  <c r="B1172" i="14"/>
  <c r="A1150" i="14"/>
  <c r="A1149" i="14"/>
  <c r="B1095" i="14"/>
  <c r="B957" i="14"/>
  <c r="B887" i="14"/>
  <c r="B877" i="14"/>
  <c r="B856" i="14"/>
  <c r="B820" i="14"/>
  <c r="B776" i="14"/>
  <c r="B752" i="14"/>
  <c r="F1615" i="2"/>
  <c r="F1519" i="2"/>
  <c r="T1396" i="2"/>
  <c r="T1394" i="2"/>
  <c r="T1393" i="2"/>
  <c r="T1391" i="2"/>
  <c r="T1390" i="2"/>
  <c r="T1386" i="2"/>
  <c r="K526" i="2"/>
  <c r="K525" i="2"/>
  <c r="K523" i="2"/>
  <c r="O192" i="2"/>
  <c r="P154" i="2"/>
  <c r="O154" i="2"/>
  <c r="N154" i="2"/>
  <c r="Q154" i="2" s="1"/>
  <c r="G1244" i="9"/>
  <c r="G1243" i="9"/>
  <c r="G1242" i="9"/>
  <c r="G1173" i="9"/>
  <c r="K1152" i="9"/>
  <c r="L1149" i="9"/>
  <c r="G1147" i="9"/>
  <c r="G1146" i="9"/>
  <c r="F1093" i="9"/>
  <c r="G1092" i="9"/>
  <c r="F1090" i="9"/>
  <c r="F1057" i="9"/>
  <c r="F1039" i="9"/>
  <c r="G991" i="9"/>
  <c r="G976" i="9"/>
  <c r="G954" i="9"/>
  <c r="F935" i="9"/>
  <c r="G911" i="9"/>
  <c r="G841" i="9"/>
  <c r="G839" i="9"/>
  <c r="G792" i="9"/>
  <c r="F788" i="9"/>
  <c r="F775" i="9"/>
  <c r="G724" i="9"/>
  <c r="G665" i="9"/>
  <c r="F664" i="9"/>
  <c r="O644" i="9"/>
  <c r="G643" i="9"/>
  <c r="G639" i="9"/>
  <c r="G630" i="9"/>
  <c r="F617" i="9"/>
  <c r="F613" i="9"/>
  <c r="G609" i="9"/>
  <c r="F601" i="9"/>
  <c r="G581" i="9"/>
  <c r="F581" i="9"/>
  <c r="F580" i="9"/>
  <c r="F559" i="9"/>
  <c r="F558" i="9"/>
  <c r="F552" i="9"/>
  <c r="G433" i="9"/>
  <c r="F426" i="9"/>
  <c r="F381" i="9"/>
  <c r="F378" i="9"/>
  <c r="G346" i="9"/>
  <c r="G345" i="9"/>
  <c r="G344" i="9"/>
  <c r="G342" i="9"/>
  <c r="F274" i="9"/>
  <c r="F272" i="9"/>
  <c r="F232" i="9"/>
  <c r="G119" i="9"/>
  <c r="F119" i="9"/>
  <c r="F114" i="9"/>
  <c r="L100" i="9"/>
  <c r="F28" i="9"/>
  <c r="F22" i="9"/>
  <c r="M161" i="13"/>
  <c r="N161" i="13" s="1"/>
  <c r="M160" i="13"/>
  <c r="N160" i="13" s="1"/>
  <c r="M159" i="13"/>
  <c r="N159" i="13" s="1"/>
  <c r="M158" i="13"/>
  <c r="N158" i="13" s="1"/>
  <c r="M157" i="13"/>
  <c r="N157" i="13" s="1"/>
  <c r="M156" i="13"/>
  <c r="M155" i="13"/>
  <c r="M154" i="13"/>
  <c r="N154" i="13" s="1"/>
  <c r="M153" i="13"/>
  <c r="N153" i="13" s="1"/>
  <c r="M152" i="13"/>
  <c r="N152" i="13" s="1"/>
  <c r="M151" i="13"/>
  <c r="N151" i="13" s="1"/>
  <c r="N150" i="13"/>
  <c r="M150" i="13"/>
  <c r="N149" i="13"/>
  <c r="M149" i="13"/>
  <c r="N148" i="13"/>
  <c r="M148" i="13"/>
  <c r="M146" i="13"/>
  <c r="M145" i="13"/>
  <c r="M144" i="13"/>
  <c r="M143" i="13"/>
  <c r="M142" i="13"/>
  <c r="M141" i="13"/>
  <c r="M140" i="13"/>
  <c r="N140" i="13" s="1"/>
  <c r="N133" i="13"/>
  <c r="M133" i="13"/>
  <c r="M132" i="13"/>
  <c r="N132" i="13" s="1"/>
  <c r="M131" i="13"/>
  <c r="M130" i="13"/>
  <c r="N130" i="13" s="1"/>
  <c r="M129" i="13"/>
  <c r="N129" i="13" s="1"/>
  <c r="M128" i="13"/>
  <c r="N128" i="13" s="1"/>
  <c r="M127" i="13"/>
  <c r="N127" i="13" s="1"/>
  <c r="M126" i="13"/>
  <c r="N126" i="13" s="1"/>
  <c r="N125" i="13"/>
  <c r="M125" i="13"/>
  <c r="M124" i="13"/>
  <c r="N124" i="13" s="1"/>
  <c r="M123" i="13"/>
  <c r="M122" i="13"/>
  <c r="M121" i="13"/>
  <c r="M120" i="13"/>
  <c r="M119" i="13"/>
  <c r="N119" i="13" s="1"/>
  <c r="N118" i="13"/>
  <c r="M118" i="13"/>
  <c r="N117" i="13"/>
  <c r="M117" i="13"/>
  <c r="M116" i="13"/>
  <c r="M115" i="13"/>
  <c r="N115" i="13" s="1"/>
  <c r="M112" i="13"/>
  <c r="N111" i="13"/>
  <c r="M111" i="13"/>
  <c r="M108" i="13"/>
  <c r="M107" i="13"/>
  <c r="N107" i="13" s="1"/>
  <c r="M106" i="13"/>
  <c r="N106" i="13" s="1"/>
  <c r="N105" i="13"/>
  <c r="M105" i="13"/>
  <c r="N104" i="13"/>
  <c r="M104" i="13"/>
  <c r="M103" i="13"/>
  <c r="N103" i="13" s="1"/>
  <c r="M102" i="13"/>
  <c r="N102" i="13" s="1"/>
  <c r="M101" i="13"/>
  <c r="N101" i="13" s="1"/>
  <c r="M100" i="13"/>
  <c r="N100" i="13" s="1"/>
  <c r="M99" i="13"/>
  <c r="M98" i="13"/>
  <c r="M97" i="13"/>
  <c r="M93" i="13"/>
  <c r="M92" i="13"/>
  <c r="M91" i="13"/>
  <c r="M90" i="13"/>
  <c r="M89" i="13"/>
  <c r="M88" i="13"/>
  <c r="M87" i="13"/>
  <c r="M86" i="13"/>
  <c r="M85" i="13"/>
  <c r="M84" i="13"/>
  <c r="M83" i="13"/>
  <c r="M82" i="13"/>
  <c r="N82" i="13" s="1"/>
  <c r="M81" i="13"/>
  <c r="N81" i="13" s="1"/>
  <c r="M80" i="13"/>
  <c r="N80" i="13" s="1"/>
  <c r="M79" i="13"/>
  <c r="M78" i="13"/>
  <c r="N78" i="13" s="1"/>
  <c r="M77" i="13"/>
  <c r="N77" i="13" s="1"/>
  <c r="N75" i="13"/>
  <c r="M75" i="13"/>
  <c r="N74" i="13"/>
  <c r="M74" i="13"/>
  <c r="M73" i="13"/>
  <c r="N73" i="13" s="1"/>
  <c r="N72" i="13"/>
  <c r="K72" i="13"/>
  <c r="M72" i="13" s="1"/>
  <c r="N71" i="13"/>
  <c r="K71" i="13"/>
  <c r="M71" i="13" s="1"/>
  <c r="N70" i="13"/>
  <c r="M70" i="13"/>
  <c r="M69" i="13"/>
  <c r="N69" i="13" s="1"/>
  <c r="M68" i="13"/>
  <c r="N68" i="13" s="1"/>
  <c r="N67" i="13"/>
  <c r="M67" i="13"/>
  <c r="M66" i="13"/>
  <c r="N66" i="13" s="1"/>
  <c r="M65" i="13"/>
  <c r="N65" i="13" s="1"/>
  <c r="M64" i="13"/>
  <c r="N64" i="13" s="1"/>
  <c r="M63" i="13"/>
  <c r="N63" i="13" s="1"/>
  <c r="N62" i="13"/>
  <c r="M62" i="13"/>
  <c r="M61" i="13"/>
  <c r="M60" i="13"/>
  <c r="M59" i="13"/>
  <c r="M58" i="13"/>
  <c r="N57" i="13"/>
  <c r="M57" i="13"/>
  <c r="M56" i="13"/>
  <c r="N56" i="13" s="1"/>
  <c r="N55" i="13"/>
  <c r="M55" i="13"/>
  <c r="M54" i="13"/>
  <c r="M53" i="13"/>
  <c r="M52" i="13"/>
  <c r="M51" i="13"/>
  <c r="M50" i="13"/>
  <c r="M49" i="13"/>
  <c r="M48" i="13"/>
  <c r="M47" i="13"/>
  <c r="M46" i="13"/>
  <c r="M45" i="13"/>
  <c r="N44" i="13"/>
  <c r="M44" i="13"/>
  <c r="M43" i="13"/>
  <c r="N43" i="13" s="1"/>
  <c r="M42" i="13"/>
  <c r="N42" i="13" s="1"/>
  <c r="N41" i="13"/>
  <c r="M41" i="13"/>
  <c r="N40" i="13"/>
  <c r="M40" i="13"/>
  <c r="M39" i="13"/>
  <c r="M37" i="13"/>
  <c r="M36" i="13"/>
  <c r="M35" i="13"/>
  <c r="M34" i="13"/>
  <c r="M33" i="13"/>
  <c r="M32" i="13"/>
  <c r="M31" i="13"/>
  <c r="M30" i="13"/>
  <c r="M29" i="13"/>
  <c r="M28" i="13"/>
  <c r="M27" i="13"/>
  <c r="M26" i="13"/>
  <c r="M25" i="13"/>
  <c r="M24" i="13"/>
  <c r="N24" i="13" s="1"/>
  <c r="N23" i="13"/>
  <c r="M23" i="13"/>
  <c r="M22" i="13"/>
  <c r="M191" i="13"/>
  <c r="M21" i="13"/>
  <c r="N21" i="13" s="1"/>
  <c r="M20" i="13"/>
  <c r="N20" i="13" s="1"/>
  <c r="M19" i="13"/>
  <c r="M18" i="13"/>
  <c r="N15" i="13"/>
  <c r="M15" i="13"/>
  <c r="M13" i="13"/>
  <c r="N13" i="13" s="1"/>
  <c r="N12" i="13"/>
  <c r="M12" i="13"/>
  <c r="N11" i="13"/>
  <c r="M11" i="13"/>
  <c r="N10" i="13"/>
  <c r="M10" i="13"/>
  <c r="N9" i="13"/>
  <c r="M9" i="13"/>
  <c r="N8" i="13"/>
  <c r="M8" i="13"/>
  <c r="N7" i="13"/>
  <c r="M7" i="13"/>
  <c r="N6" i="13"/>
  <c r="M6" i="13"/>
  <c r="N5" i="13"/>
  <c r="M5" i="13"/>
  <c r="N4" i="13"/>
  <c r="M4" i="13"/>
  <c r="N3" i="13"/>
  <c r="M3" i="13"/>
  <c r="N2" i="13"/>
  <c r="M2" i="13"/>
</calcChain>
</file>

<file path=xl/comments1.xml><?xml version="1.0" encoding="utf-8"?>
<comments xmlns="http://schemas.openxmlformats.org/spreadsheetml/2006/main">
  <authors>
    <author>user</author>
  </authors>
  <commentList>
    <comment ref="B808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Отсюда начинается формула на статусы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L537" authorId="0" shapeId="0">
      <text>
        <r>
          <rPr>
            <b/>
            <sz val="9"/>
            <color indexed="81"/>
            <rFont val="Tahoma"/>
            <family val="2"/>
            <charset val="204"/>
          </rPr>
          <t>user:</t>
        </r>
        <r>
          <rPr>
            <sz val="9"/>
            <color indexed="81"/>
            <rFont val="Tahoma"/>
            <family val="2"/>
            <charset val="204"/>
          </rPr>
          <t xml:space="preserve">
Р?????????</t>
        </r>
      </text>
    </comment>
  </commentList>
</comments>
</file>

<file path=xl/connections.xml><?xml version="1.0" encoding="utf-8"?>
<connections xmlns="http://schemas.openxmlformats.org/spreadsheetml/2006/main">
  <connection id="1" keepAlive="1" name="Запрос — Общий реестр ЗНОМ" description="Соединение с запросом &quot;Общий реестр ЗНОМ&quot; в книге." type="5" refreshedVersion="6" background="1" saveData="1">
    <dbPr connection="Provider=Microsoft.Mashup.OleDb.1;Data Source=$Workbook$;Location=Общий реестр ЗНОМ;Extended Properties=&quot;&quot;" command="SELECT * FROM [Общий реестр ЗНОМ]"/>
  </connection>
  <connection id="2" keepAlive="1" name="Запрос — Параметр1" description="Соединение с запросом &quot;Параметр1&quot; в книге." type="5" refreshedVersion="0" background="1">
    <dbPr connection="Provider=Microsoft.Mashup.OleDb.1;Data Source=$Workbook$;Location=Параметр1;Extended Properties=&quot;&quot;" command="SELECT * FROM [Параметр1]"/>
  </connection>
  <connection id="3" keepAlive="1" name="Запрос — Преобразовать пример файла" description="Соединение с запросом &quot;Преобразовать пример файла&quot; в книге." type="5" refreshedVersion="0" background="1">
    <dbPr connection="Provider=Microsoft.Mashup.OleDb.1;Data Source=$Workbook$;Location=&quot;Преобразовать пример файла&quot;;Extended Properties=&quot;&quot;" command="SELECT * FROM [Преобразовать пример файла]"/>
  </connection>
  <connection id="4" keepAlive="1" name="Запрос — Преобразовать файл" description="Соединение с запросом &quot;Преобразовать файл&quot; в книге." type="5" refreshedVersion="0" background="1">
    <dbPr connection="Provider=Microsoft.Mashup.OleDb.1;Data Source=$Workbook$;Location=&quot;Преобразовать файл&quot;;Extended Properties=&quot;&quot;" command="SELECT * FROM [Преобразовать файл]"/>
  </connection>
  <connection id="5" keepAlive="1" name="Запрос — Пример файла" description="Соединение с запросом &quot;Пример файла&quot; в книге." type="5" refreshedVersion="0" background="1">
    <dbPr connection="Provider=Microsoft.Mashup.OleDb.1;Data Source=$Workbook$;Location=&quot;Пример файла&quot;;Extended Properties=&quot;&quot;" command="SELECT * FROM [Пример файла]"/>
  </connection>
  <connection id="6" keepAlive="1" name="Запрос — Реестр ЗНОМ Логистический ОПТ" description="Соединение с запросом &quot;Реестр ЗНОМ Логистический ОПТ&quot; в книге." type="5" refreshedVersion="6" background="1" saveData="1">
    <dbPr connection="Provider=Microsoft.Mashup.OleDb.1;Data Source=$Workbook$;Location=Реестр ЗНОМ Логистический ОПТ;Extended Properties=&quot;&quot;" command="SELECT * FROM [Реестр ЗНОМ Логистический ОПТ]"/>
  </connection>
  <connection id="7" keepAlive="1" name="Запрос — Реестр ЗНОМ Логистический Цветок" description="Соединение с запросом &quot;Реестр ЗНОМ Логистический Цветок&quot; в книге." type="5" refreshedVersion="6" background="1" saveData="1">
    <dbPr connection="Provider=Microsoft.Mashup.OleDb.1;Data Source=$Workbook$;Location=Реестр ЗНОМ Логистический Цветок;Extended Properties=&quot;&quot;" command="SELECT * FROM [Реестр ЗНОМ Логистический Цветок]"/>
  </connection>
</connections>
</file>

<file path=xl/sharedStrings.xml><?xml version="1.0" encoding="utf-8"?>
<sst xmlns="http://schemas.openxmlformats.org/spreadsheetml/2006/main" count="40256" uniqueCount="7046">
  <si>
    <t>№ заявки в 1С</t>
  </si>
  <si>
    <t>менеджер</t>
  </si>
  <si>
    <t>заказчик</t>
  </si>
  <si>
    <t>дата</t>
  </si>
  <si>
    <t>Статус</t>
  </si>
  <si>
    <t>примечание</t>
  </si>
  <si>
    <t>Периметр</t>
  </si>
  <si>
    <t>Вес п.м., кг</t>
  </si>
  <si>
    <t>Площадь общая, м2</t>
  </si>
  <si>
    <t>Вес, кг</t>
  </si>
  <si>
    <t>Расход краски, кг</t>
  </si>
  <si>
    <t>Цена м2
руб</t>
  </si>
  <si>
    <t>Сумма, руб</t>
  </si>
  <si>
    <t>Золотухина</t>
  </si>
  <si>
    <t>Атлант</t>
  </si>
  <si>
    <t>КМТ</t>
  </si>
  <si>
    <t>Диполь</t>
  </si>
  <si>
    <t xml:space="preserve"> </t>
  </si>
  <si>
    <t>в работе</t>
  </si>
  <si>
    <t>Интилед</t>
  </si>
  <si>
    <t>Загрузки</t>
  </si>
  <si>
    <t>МКМ</t>
  </si>
  <si>
    <t>готова</t>
  </si>
  <si>
    <t>вывезено</t>
  </si>
  <si>
    <t>Т-Лайт</t>
  </si>
  <si>
    <t>Перетравливание алюминия (ус.)</t>
  </si>
  <si>
    <t>1.000</t>
  </si>
  <si>
    <t>ФТМ</t>
  </si>
  <si>
    <t>Завод Норма</t>
  </si>
  <si>
    <t>труба V-slot 40*40 (Р-0,309), длина 6,0м, анодировка с дробью</t>
  </si>
  <si>
    <t>ЗСП</t>
  </si>
  <si>
    <t>96.000</t>
  </si>
  <si>
    <t>Фрамир</t>
  </si>
  <si>
    <t>36 +0</t>
  </si>
  <si>
    <t>Таганюк</t>
  </si>
  <si>
    <t>Желаемая дата отгрузки</t>
  </si>
  <si>
    <t>24.000</t>
  </si>
  <si>
    <t>Спектр РС</t>
  </si>
  <si>
    <t>[25560] 0506-75, 3,0м, БА сплав 6063 Кр</t>
  </si>
  <si>
    <t>дав 10</t>
  </si>
  <si>
    <t>24000-00</t>
  </si>
  <si>
    <t>2 +0</t>
  </si>
  <si>
    <t>100 +0</t>
  </si>
  <si>
    <t>Петралюм</t>
  </si>
  <si>
    <t>527 +0</t>
  </si>
  <si>
    <t>Микродевайс</t>
  </si>
  <si>
    <t>Норматив</t>
  </si>
  <si>
    <t>55 +0</t>
  </si>
  <si>
    <t>44 +0</t>
  </si>
  <si>
    <t>15 +0</t>
  </si>
  <si>
    <t>88 +0</t>
  </si>
  <si>
    <t>390 +0</t>
  </si>
  <si>
    <t>дав 29</t>
  </si>
  <si>
    <t>60.000</t>
  </si>
  <si>
    <t>6.000</t>
  </si>
  <si>
    <t>4200-00</t>
  </si>
  <si>
    <t>30 +0</t>
  </si>
  <si>
    <t>72 +0</t>
  </si>
  <si>
    <t>[22872] 0506-06, 3,1м, БА сплав 6063 Кр, ПОД АНОД</t>
  </si>
  <si>
    <t>67 +0</t>
  </si>
  <si>
    <t>138 +0</t>
  </si>
  <si>
    <t>20 +0</t>
  </si>
  <si>
    <t>192.000</t>
  </si>
  <si>
    <t>труба V-slot 30*30 (Р-0,230), длина 6,0м, анодировка с дробью</t>
  </si>
  <si>
    <t>132.000</t>
  </si>
  <si>
    <t>труба V-slot 20*20*, (Р-0,144) длина 3,0м, анодировка с дробью</t>
  </si>
  <si>
    <t>180.000</t>
  </si>
  <si>
    <t>труба V-slot 20*40 (Р-0,217), длина 3,0м, анодировка с дробью</t>
  </si>
  <si>
    <t>108.000</t>
  </si>
  <si>
    <t>труба V-slot 40*80 (Р-0,474), длина 6,0м, анодировка с дробью</t>
  </si>
  <si>
    <t>72.000</t>
  </si>
  <si>
    <t>210 +0</t>
  </si>
  <si>
    <t>дав 33</t>
  </si>
  <si>
    <t>80.000</t>
  </si>
  <si>
    <t>14000-00</t>
  </si>
  <si>
    <t>8.000</t>
  </si>
  <si>
    <t>32.000</t>
  </si>
  <si>
    <t>Анодирование алюминиевого профиля с дробью (ус)</t>
  </si>
  <si>
    <t>[34579] 0906-44 (АТ-6052), 6,0м, БА с перфорацией</t>
  </si>
  <si>
    <t>Мегла</t>
  </si>
  <si>
    <t>Кандела</t>
  </si>
  <si>
    <t>350-00</t>
  </si>
  <si>
    <t>132 +0</t>
  </si>
  <si>
    <t>233 +0</t>
  </si>
  <si>
    <t>1500-00</t>
  </si>
  <si>
    <t>[69152] АТ-6485, 4,5 м, cплав 6063</t>
  </si>
  <si>
    <t>231 +0</t>
  </si>
  <si>
    <t>165 +0</t>
  </si>
  <si>
    <t>193 +0</t>
  </si>
  <si>
    <t>ФКГП416 10 01 041(полурамка) 15-21мкм, гальваническое покрытие (729р)</t>
  </si>
  <si>
    <t>48.000</t>
  </si>
  <si>
    <t>34992-00</t>
  </si>
  <si>
    <t>5033 (ПКФ 176) АД31, длина 1100мм</t>
  </si>
  <si>
    <t>7920-00</t>
  </si>
  <si>
    <t>5050 (ПКФ 177) АД31, длина 1100мм</t>
  </si>
  <si>
    <t>5033 (ПКФ 176) АД31, длина 1250мм</t>
  </si>
  <si>
    <t>12.000</t>
  </si>
  <si>
    <t>1980-00</t>
  </si>
  <si>
    <t>5050 (ПКФ 177) АД31, длина 1250мм</t>
  </si>
  <si>
    <t>5033 (ПКФ 176) АД31, длина 1560мм</t>
  </si>
  <si>
    <t>120.000</t>
  </si>
  <si>
    <t>19800-00</t>
  </si>
  <si>
    <t>5050 (ПКФ 177) АД31, длина 1560мм</t>
  </si>
  <si>
    <t>36.000</t>
  </si>
  <si>
    <t>[30614] 0706-95, 6,0м, сплав 6063КР</t>
  </si>
  <si>
    <t>600-00</t>
  </si>
  <si>
    <t>26.000</t>
  </si>
  <si>
    <t>550-00</t>
  </si>
  <si>
    <t>2.000</t>
  </si>
  <si>
    <t>78 +0</t>
  </si>
  <si>
    <t>243 +0</t>
  </si>
  <si>
    <t>Крышка 12,4,  длина 6,0м, анодировка с дробью</t>
  </si>
  <si>
    <t>396.000</t>
  </si>
  <si>
    <t>80 +0</t>
  </si>
  <si>
    <t>Синергия</t>
  </si>
  <si>
    <t>14 +0</t>
  </si>
  <si>
    <t>160 +0</t>
  </si>
  <si>
    <t>[41589] А 14 (0072-09) Прогон бесполочный, 5,0м, 6063 КР</t>
  </si>
  <si>
    <t>74 +0</t>
  </si>
  <si>
    <t>[379] А 15 (0072-04 или 0072-10) Прогон однополочный, 5,0м, 6063 Кр</t>
  </si>
  <si>
    <t>62 +0</t>
  </si>
  <si>
    <t>дав 9</t>
  </si>
  <si>
    <t>960-00</t>
  </si>
  <si>
    <t>4.000</t>
  </si>
  <si>
    <t>2020-00</t>
  </si>
  <si>
    <t>20.000</t>
  </si>
  <si>
    <t>1300-00</t>
  </si>
  <si>
    <t>1020-00</t>
  </si>
  <si>
    <t>4080-00</t>
  </si>
  <si>
    <t>2100-00</t>
  </si>
  <si>
    <t>50-00</t>
  </si>
  <si>
    <t>100-00</t>
  </si>
  <si>
    <t>1140-00</t>
  </si>
  <si>
    <t>2280-00</t>
  </si>
  <si>
    <t>2160-00</t>
  </si>
  <si>
    <t>1000-00</t>
  </si>
  <si>
    <t>2000-00</t>
  </si>
  <si>
    <t>дав 7</t>
  </si>
  <si>
    <t>302 +0</t>
  </si>
  <si>
    <t>208 +0</t>
  </si>
  <si>
    <t>53 +0</t>
  </si>
  <si>
    <t>232 +0</t>
  </si>
  <si>
    <t>дав 14</t>
  </si>
  <si>
    <t>А 19,направляюшая, 5,1м, Анодировка с дробью</t>
  </si>
  <si>
    <t>161 +0</t>
  </si>
  <si>
    <t>лист 1200х500 мм, одностороннее анодирование</t>
  </si>
  <si>
    <t>1010-00</t>
  </si>
  <si>
    <t>Перетравливание листов 1500*500</t>
  </si>
  <si>
    <t>150 +0</t>
  </si>
  <si>
    <t>[376] А 12 (0072-08) Угловая стойка, 5,0м, 6063 КР</t>
  </si>
  <si>
    <t>169 +0</t>
  </si>
  <si>
    <t>[41590] А 18 (0073-18) Стойка Т-образная, 5,0м, 6063 КР</t>
  </si>
  <si>
    <t>207 +0</t>
  </si>
  <si>
    <t>дав 16</t>
  </si>
  <si>
    <t>дав 17</t>
  </si>
  <si>
    <t>[44723] 0706-93 3,0 м, сплав 6063 КР под анод</t>
  </si>
  <si>
    <t>Тахион</t>
  </si>
  <si>
    <t>5280-00</t>
  </si>
  <si>
    <t>1320-00</t>
  </si>
  <si>
    <t>дав 23</t>
  </si>
  <si>
    <t>360.000</t>
  </si>
  <si>
    <t>склад</t>
  </si>
  <si>
    <t>дав 26</t>
  </si>
  <si>
    <t>10200-00</t>
  </si>
  <si>
    <t>112 +0</t>
  </si>
  <si>
    <t>171 +0</t>
  </si>
  <si>
    <t>128 +0</t>
  </si>
  <si>
    <t>9 +0</t>
  </si>
  <si>
    <t>дав 30</t>
  </si>
  <si>
    <t>труба V-slot 30*60(Р=0,360), длина 6,0м, анодировка с дробью</t>
  </si>
  <si>
    <t>54 +0</t>
  </si>
  <si>
    <t>12 +0</t>
  </si>
  <si>
    <t>дав 31</t>
  </si>
  <si>
    <t>Т 72-20, 6,2м, анодировка с дробью</t>
  </si>
  <si>
    <t>Т 72-25, 6,2м, анодировка с дробью</t>
  </si>
  <si>
    <t>135 +0</t>
  </si>
  <si>
    <t>дав 18</t>
  </si>
  <si>
    <t>Анодирование алюминиевого профиля (ус)</t>
  </si>
  <si>
    <t>15.000</t>
  </si>
  <si>
    <t>33600-00</t>
  </si>
  <si>
    <t>4040-00</t>
  </si>
  <si>
    <t>28.000</t>
  </si>
  <si>
    <t>2600-00</t>
  </si>
  <si>
    <t>4000-00</t>
  </si>
  <si>
    <t>970-00</t>
  </si>
  <si>
    <t>3880-00</t>
  </si>
  <si>
    <t>1200-00</t>
  </si>
  <si>
    <t>320-00</t>
  </si>
  <si>
    <t>640-00</t>
  </si>
  <si>
    <t>дав 32</t>
  </si>
  <si>
    <t>126 +0</t>
  </si>
  <si>
    <t>149 +0</t>
  </si>
  <si>
    <t>дав 42</t>
  </si>
  <si>
    <t>16.000</t>
  </si>
  <si>
    <t>1100-00</t>
  </si>
  <si>
    <t>17600-00</t>
  </si>
  <si>
    <t>690-00</t>
  </si>
  <si>
    <t>дав 43</t>
  </si>
  <si>
    <t>дав 39</t>
  </si>
  <si>
    <t>[48790] 1406-74 (АТ-5840) 6,1м, 6063 под анод</t>
  </si>
  <si>
    <t>101 +0</t>
  </si>
  <si>
    <t>Тэрас</t>
  </si>
  <si>
    <t>170 +0</t>
  </si>
  <si>
    <t>180 +0</t>
  </si>
  <si>
    <t>дав 46</t>
  </si>
  <si>
    <t>дав 45</t>
  </si>
  <si>
    <t>лист АМГ5, 3000*100*1,0мм, 9-12мкм, анод</t>
  </si>
  <si>
    <t>32 +0</t>
  </si>
  <si>
    <t>27 +0</t>
  </si>
  <si>
    <t>92 +0</t>
  </si>
  <si>
    <t>98 +0</t>
  </si>
  <si>
    <t>дав 49</t>
  </si>
  <si>
    <t>дав 54</t>
  </si>
  <si>
    <t>160.000</t>
  </si>
  <si>
    <t>лист АМГ3, 1051*613,5*1,5мм, 9-12мкм, анод</t>
  </si>
  <si>
    <t>лист АМГ3, 1144*907*1,5мм, 9-12мкм, анод</t>
  </si>
  <si>
    <t>лист АМГ3, 1385,5*1147*1,5мм, 9-12мкм, анод</t>
  </si>
  <si>
    <t>1800-00</t>
  </si>
  <si>
    <t>43200-00</t>
  </si>
  <si>
    <t>лист АМГ3, 2124,5*1149,5*1,5мм, 9-12мкм, анод</t>
  </si>
  <si>
    <t>лист АМГ3, 2360*907*1,5мм, 9-12мкм, анод</t>
  </si>
  <si>
    <t>дав 53</t>
  </si>
  <si>
    <t>дав 56</t>
  </si>
  <si>
    <t>дав 57</t>
  </si>
  <si>
    <t>дав 60</t>
  </si>
  <si>
    <t>дав 59</t>
  </si>
  <si>
    <t>44.000</t>
  </si>
  <si>
    <t>дав 61</t>
  </si>
  <si>
    <t>28 +0</t>
  </si>
  <si>
    <t>дав 63</t>
  </si>
  <si>
    <t>ФКГП416 10 01 041-01полурамка ,  гальваническое покрытие 15-21мкм (590р)</t>
  </si>
  <si>
    <t>26 +0</t>
  </si>
  <si>
    <t>дав 64</t>
  </si>
  <si>
    <t>30.000</t>
  </si>
  <si>
    <t>31500-00</t>
  </si>
  <si>
    <t>90 +0</t>
  </si>
  <si>
    <t>159 +0</t>
  </si>
  <si>
    <t>дав 66</t>
  </si>
  <si>
    <t>дав 68</t>
  </si>
  <si>
    <t>дав 55</t>
  </si>
  <si>
    <t>дав 69</t>
  </si>
  <si>
    <t>Оклейка профиля защитной пленкой/стрейч</t>
  </si>
  <si>
    <t>156 +0</t>
  </si>
  <si>
    <t>дав 50</t>
  </si>
  <si>
    <t>дав 72</t>
  </si>
  <si>
    <t>26400-00</t>
  </si>
  <si>
    <t>дав 74</t>
  </si>
  <si>
    <t>Т-157, 6,0м, Анодировка с дробью</t>
  </si>
  <si>
    <t>18.000</t>
  </si>
  <si>
    <t>Т-149, 6,0м, Анодировка с дробью</t>
  </si>
  <si>
    <t>42.000</t>
  </si>
  <si>
    <t>дав 71</t>
  </si>
  <si>
    <t>дав 75</t>
  </si>
  <si>
    <t>Оказание услуг по бесцветному анодированию с дробью алюминиевого профиля СС СПб</t>
  </si>
  <si>
    <t>дав 76</t>
  </si>
  <si>
    <t>дав 78</t>
  </si>
  <si>
    <t>дав 80</t>
  </si>
  <si>
    <t>37 +0</t>
  </si>
  <si>
    <t>184 +0</t>
  </si>
  <si>
    <t>110 +0</t>
  </si>
  <si>
    <t>дав 81</t>
  </si>
  <si>
    <t>дав 82</t>
  </si>
  <si>
    <t>124 +0</t>
  </si>
  <si>
    <t>498 +0</t>
  </si>
  <si>
    <t>423 +0</t>
  </si>
  <si>
    <t>дав 89</t>
  </si>
  <si>
    <t>9500-00</t>
  </si>
  <si>
    <t>16800-00</t>
  </si>
  <si>
    <t>14.000</t>
  </si>
  <si>
    <t>2400-00</t>
  </si>
  <si>
    <t>11 +0</t>
  </si>
  <si>
    <t>[69346] 0906-20, 3,65 м, 6063 КР</t>
  </si>
  <si>
    <t>40 +0</t>
  </si>
  <si>
    <t>дав 92</t>
  </si>
  <si>
    <t>105 +0</t>
  </si>
  <si>
    <t>Т-121, 6,0м, Анодировка с дробью</t>
  </si>
  <si>
    <t>Т-144, 6,0м, Анодировка с дробью</t>
  </si>
  <si>
    <t>1220.000</t>
  </si>
  <si>
    <t>А 13,стойка угловая, 135гр, 5,1м, Анодировка с дробью</t>
  </si>
  <si>
    <t>255.000</t>
  </si>
  <si>
    <t>204.000</t>
  </si>
  <si>
    <t>дав 95</t>
  </si>
  <si>
    <t>балка АД-35 L=4735мм, анод с дробью, 9-12мкм (1140р)</t>
  </si>
  <si>
    <t>10 +0</t>
  </si>
  <si>
    <t>Промышленный конструктор</t>
  </si>
  <si>
    <t>342 +0</t>
  </si>
  <si>
    <t>[33556] 0906-58 6,0м, 6063 КР</t>
  </si>
  <si>
    <t>дав 97</t>
  </si>
  <si>
    <t>дав 99</t>
  </si>
  <si>
    <t>Ментор</t>
  </si>
  <si>
    <t>Зачистка поверхности алюминия</t>
  </si>
  <si>
    <t>[72635] 0106-107, 4,2м, 6063 КР</t>
  </si>
  <si>
    <t>Арктос</t>
  </si>
  <si>
    <t>64 +0</t>
  </si>
  <si>
    <t>дав 96</t>
  </si>
  <si>
    <t>Гесфер</t>
  </si>
  <si>
    <t>полоса 12х2мм, длина 3,0м, анодировка без дроби</t>
  </si>
  <si>
    <t>262 +0</t>
  </si>
  <si>
    <t>42 +0</t>
  </si>
  <si>
    <t>[42543] А 31 (0072-06) Прогон бесполочный однопазовый, 5,0м, 6063 КР</t>
  </si>
  <si>
    <t>206 +0</t>
  </si>
  <si>
    <t>[36045] Уголок 10*10*1.2мм, (АВА-1098, АТ-709), 6,0м, БА сплав 6063 под анод</t>
  </si>
  <si>
    <t>52 +0</t>
  </si>
  <si>
    <t>18 +0</t>
  </si>
  <si>
    <t>19 +0</t>
  </si>
  <si>
    <t>50 +0</t>
  </si>
  <si>
    <t>162 +0</t>
  </si>
  <si>
    <t>[60874] 0216-85, 6,0м, БА сплав 6063КР Д</t>
  </si>
  <si>
    <t>60 +0</t>
  </si>
  <si>
    <t>дав 101</t>
  </si>
  <si>
    <t>дав 104</t>
  </si>
  <si>
    <t>5950-00</t>
  </si>
  <si>
    <t>дав 102</t>
  </si>
  <si>
    <t>Норд Фасад</t>
  </si>
  <si>
    <t>дав 107</t>
  </si>
  <si>
    <t>дав 108</t>
  </si>
  <si>
    <t>труба V-slot 60*60(Р-0,474), длина 6,0м, анодировка с дробью</t>
  </si>
  <si>
    <t>дав 122</t>
  </si>
  <si>
    <t>10.000</t>
  </si>
  <si>
    <t>11000-00</t>
  </si>
  <si>
    <t>800-00</t>
  </si>
  <si>
    <t>5300-00</t>
  </si>
  <si>
    <t>13 хл брак</t>
  </si>
  <si>
    <t>68 +0</t>
  </si>
  <si>
    <t>218 +0</t>
  </si>
  <si>
    <t>104 +0</t>
  </si>
  <si>
    <t>65 +0</t>
  </si>
  <si>
    <t>дав 115</t>
  </si>
  <si>
    <t>Энергосервис</t>
  </si>
  <si>
    <t>дав 120</t>
  </si>
  <si>
    <t>22 +0</t>
  </si>
  <si>
    <t>172 +0</t>
  </si>
  <si>
    <t>373 +0</t>
  </si>
  <si>
    <t>6500-00</t>
  </si>
  <si>
    <t>500-00</t>
  </si>
  <si>
    <t>2200-00</t>
  </si>
  <si>
    <t>12000-00</t>
  </si>
  <si>
    <t>дав 125</t>
  </si>
  <si>
    <t>дав 119</t>
  </si>
  <si>
    <t>дав 130</t>
  </si>
  <si>
    <t>176 +0</t>
  </si>
  <si>
    <t>168 +0</t>
  </si>
  <si>
    <t>71 +0</t>
  </si>
  <si>
    <t>70 +0</t>
  </si>
  <si>
    <t>дав 132</t>
  </si>
  <si>
    <t>дав 131</t>
  </si>
  <si>
    <t>дав 135</t>
  </si>
  <si>
    <t>Т-145, 6,0м, Анодировка с дробью</t>
  </si>
  <si>
    <t>600.000</t>
  </si>
  <si>
    <t>Т 98, 6,0м, Анодировка с дробью</t>
  </si>
  <si>
    <t>дав 139</t>
  </si>
  <si>
    <t>66 +0</t>
  </si>
  <si>
    <t>115 +0</t>
  </si>
  <si>
    <t>дав 140</t>
  </si>
  <si>
    <t>221 +0</t>
  </si>
  <si>
    <t>дав 141</t>
  </si>
  <si>
    <t>660-00</t>
  </si>
  <si>
    <t>40.000</t>
  </si>
  <si>
    <t>6600-00</t>
  </si>
  <si>
    <t>154 +0</t>
  </si>
  <si>
    <t>29 +0</t>
  </si>
  <si>
    <t>9.000</t>
  </si>
  <si>
    <t>90.000</t>
  </si>
  <si>
    <t>дав 149</t>
  </si>
  <si>
    <t>5 +0</t>
  </si>
  <si>
    <t>дав 150</t>
  </si>
  <si>
    <t>дав 151</t>
  </si>
  <si>
    <t>Дьюти Фри</t>
  </si>
  <si>
    <t>дав 154</t>
  </si>
  <si>
    <t>5.000</t>
  </si>
  <si>
    <t>1440-00</t>
  </si>
  <si>
    <t>7200-00</t>
  </si>
  <si>
    <t>дав 155</t>
  </si>
  <si>
    <t>дав 156</t>
  </si>
  <si>
    <t>234.000</t>
  </si>
  <si>
    <t>[69917] АГС_97101, Автоуголок 250*40мм, 6,0м, сплав 6060 Т6 +  упаковка А5</t>
  </si>
  <si>
    <t>дав 159</t>
  </si>
  <si>
    <t>45.000</t>
  </si>
  <si>
    <t>дав 160</t>
  </si>
  <si>
    <t>300.000</t>
  </si>
  <si>
    <t>дав 161</t>
  </si>
  <si>
    <t>[35674] 0906-20, 3,2 м, сплав 6063 КР</t>
  </si>
  <si>
    <t>178 +0</t>
  </si>
  <si>
    <t>дав 164</t>
  </si>
  <si>
    <t>Алюмстрой</t>
  </si>
  <si>
    <t>дав 166</t>
  </si>
  <si>
    <t>дав 167</t>
  </si>
  <si>
    <t>340-00</t>
  </si>
  <si>
    <t>дав 168</t>
  </si>
  <si>
    <t>труба V-slot 45*45 (Р-0,295), длина 6,0м, анодировка с дробью</t>
  </si>
  <si>
    <t>318 +0</t>
  </si>
  <si>
    <t>дав 172</t>
  </si>
  <si>
    <t>дав 174</t>
  </si>
  <si>
    <t>324 +0</t>
  </si>
  <si>
    <t>мегла</t>
  </si>
  <si>
    <t>труба V-slot 80*80(Р-0,632), длина 6,0м, анодировка с дробью</t>
  </si>
  <si>
    <t>54.000</t>
  </si>
  <si>
    <t>126.000</t>
  </si>
  <si>
    <t>дав 176</t>
  </si>
  <si>
    <t>351 +0</t>
  </si>
  <si>
    <t>дав 177</t>
  </si>
  <si>
    <t>дав 181</t>
  </si>
  <si>
    <t>дав 182</t>
  </si>
  <si>
    <t>дав 179</t>
  </si>
  <si>
    <t>ПСМК</t>
  </si>
  <si>
    <t>дав 178</t>
  </si>
  <si>
    <t>А 16, прогон двухполочный, 5,1м, Анодировка с дробью</t>
  </si>
  <si>
    <t>7 +0</t>
  </si>
  <si>
    <t>147 +0</t>
  </si>
  <si>
    <t>256 +0</t>
  </si>
  <si>
    <t>200 +0</t>
  </si>
  <si>
    <t>7.000</t>
  </si>
  <si>
    <t>дав 187</t>
  </si>
  <si>
    <t>дав 183</t>
  </si>
  <si>
    <t>дав 190</t>
  </si>
  <si>
    <t>дав 192</t>
  </si>
  <si>
    <t>2700-00</t>
  </si>
  <si>
    <t>дав 194</t>
  </si>
  <si>
    <t>258 +0</t>
  </si>
  <si>
    <t>14400-00</t>
  </si>
  <si>
    <t>175 +0</t>
  </si>
  <si>
    <t>дав 193</t>
  </si>
  <si>
    <t>Анодирование алюминиевого профиля без дроби (ус)</t>
  </si>
  <si>
    <t>77 +0</t>
  </si>
  <si>
    <t>185 +0</t>
  </si>
  <si>
    <t>[21619] Швеллер 10 (1)*18,6 (1,5)*10 (1) мм (0272-57) 6,0м, БА сплав 6063 КР под анод</t>
  </si>
  <si>
    <t>47500-00</t>
  </si>
  <si>
    <t>550.000</t>
  </si>
  <si>
    <t>дав 205</t>
  </si>
  <si>
    <t>1860-00</t>
  </si>
  <si>
    <t>108 +0</t>
  </si>
  <si>
    <t>11300-00</t>
  </si>
  <si>
    <t>78.000</t>
  </si>
  <si>
    <t>труба V-slot 45*90 , длина 6,0м, анодировка с дробью</t>
  </si>
  <si>
    <t>16000-00</t>
  </si>
  <si>
    <t>25200-00</t>
  </si>
  <si>
    <t>260-00</t>
  </si>
  <si>
    <t>1040-00</t>
  </si>
  <si>
    <t>330-00</t>
  </si>
  <si>
    <t>335-00</t>
  </si>
  <si>
    <t>балка АД-35 L=2036 мм,  анод с дробью, 9-12мкм (495р)</t>
  </si>
  <si>
    <t>495-00</t>
  </si>
  <si>
    <t>990-00</t>
  </si>
  <si>
    <t>740-00</t>
  </si>
  <si>
    <t>2960-00</t>
  </si>
  <si>
    <t>1940-00</t>
  </si>
  <si>
    <t>3.000</t>
  </si>
  <si>
    <t>1123-00</t>
  </si>
  <si>
    <t>2246-00</t>
  </si>
  <si>
    <t>1185-00</t>
  </si>
  <si>
    <t>1232-00</t>
  </si>
  <si>
    <t>дав 213</t>
  </si>
  <si>
    <t>330.000</t>
  </si>
  <si>
    <t>36000-00</t>
  </si>
  <si>
    <t>дав 216</t>
  </si>
  <si>
    <t>дав 215</t>
  </si>
  <si>
    <t>96 +0</t>
  </si>
  <si>
    <t>6 +0</t>
  </si>
  <si>
    <t>Юлтас</t>
  </si>
  <si>
    <t>лист 1000х1500х1мм, анод</t>
  </si>
  <si>
    <t>лист 1000х1500х3 мм, анод</t>
  </si>
  <si>
    <t>дав 217</t>
  </si>
  <si>
    <t>3960-00</t>
  </si>
  <si>
    <t>дав 220</t>
  </si>
  <si>
    <t>дав 224</t>
  </si>
  <si>
    <t>144 +0</t>
  </si>
  <si>
    <t>дав 228</t>
  </si>
  <si>
    <t>750-00</t>
  </si>
  <si>
    <t>дав 230</t>
  </si>
  <si>
    <t>22800-00</t>
  </si>
  <si>
    <t>21600-00</t>
  </si>
  <si>
    <t>198 +0</t>
  </si>
  <si>
    <t>дав 234</t>
  </si>
  <si>
    <t>анодирование алюминиевых деталей</t>
  </si>
  <si>
    <t>дав 235</t>
  </si>
  <si>
    <t>дав 237</t>
  </si>
  <si>
    <t>дав 238</t>
  </si>
  <si>
    <t>дав 239</t>
  </si>
  <si>
    <t>497 +0</t>
  </si>
  <si>
    <t>дав 218</t>
  </si>
  <si>
    <t>ФМФ</t>
  </si>
  <si>
    <t>труба 45х45, длина 6,0м, анодировка с дробью</t>
  </si>
  <si>
    <t>283 +0</t>
  </si>
  <si>
    <t>220 +0</t>
  </si>
  <si>
    <t>27000-00</t>
  </si>
  <si>
    <t>Т-179, 5,6м, Анодировка с дробью</t>
  </si>
  <si>
    <t>18000-00</t>
  </si>
  <si>
    <t>240 +0</t>
  </si>
  <si>
    <t>[67057] 1506-55, 5,1м, 6063КР Т1, БА</t>
  </si>
  <si>
    <t>ЕКО</t>
  </si>
  <si>
    <t>51.000</t>
  </si>
  <si>
    <t>дав 299</t>
  </si>
  <si>
    <t>дав 247</t>
  </si>
  <si>
    <t>5200-00</t>
  </si>
  <si>
    <t>1600-00</t>
  </si>
  <si>
    <t>3200-00</t>
  </si>
  <si>
    <t>3000-00</t>
  </si>
  <si>
    <t>Альбатрос</t>
  </si>
  <si>
    <t>140-00</t>
  </si>
  <si>
    <t>МТ-1-2560, длина 5,72м, без дроби 10 мкм (30р/кг)</t>
  </si>
  <si>
    <t>дав 250</t>
  </si>
  <si>
    <t>29568-00</t>
  </si>
  <si>
    <t>8160-00</t>
  </si>
  <si>
    <t>5920-00</t>
  </si>
  <si>
    <t>2080-00</t>
  </si>
  <si>
    <t>лист 1500х500 мм, одностороннее анодирование</t>
  </si>
  <si>
    <t>275 +0</t>
  </si>
  <si>
    <t>338 +0</t>
  </si>
  <si>
    <t>дав 251</t>
  </si>
  <si>
    <t>дав 229</t>
  </si>
  <si>
    <t>3500-00</t>
  </si>
  <si>
    <t>35000-00</t>
  </si>
  <si>
    <t>дав 260</t>
  </si>
  <si>
    <t>дав 261</t>
  </si>
  <si>
    <t>177 +0</t>
  </si>
  <si>
    <t>334 +0</t>
  </si>
  <si>
    <t>13 элемент</t>
  </si>
  <si>
    <t>356 +0</t>
  </si>
  <si>
    <t>[41030] 1406-05, 6,0м, БА сплав 6063КР</t>
  </si>
  <si>
    <t>31 +0</t>
  </si>
  <si>
    <t>16 +0</t>
  </si>
  <si>
    <t>дав 323</t>
  </si>
  <si>
    <t>316 +0</t>
  </si>
  <si>
    <t>437 +0</t>
  </si>
  <si>
    <t>1020.000</t>
  </si>
  <si>
    <t>46 +0</t>
  </si>
  <si>
    <t>43 +0</t>
  </si>
  <si>
    <t>56 +0</t>
  </si>
  <si>
    <t>[67055] 9997-61, 5,3м, 6063КР Т1, БА</t>
  </si>
  <si>
    <t>22.000</t>
  </si>
  <si>
    <t>[24801] ФС-К-007, Прижим базовый 50мм, (0079-18 или ТП-5005М), 6,0м, БА</t>
  </si>
  <si>
    <t>Квант</t>
  </si>
  <si>
    <t>дав 254</t>
  </si>
  <si>
    <t>Бокс 25х25х1,5, длина 6м, БЦ анод без дроби</t>
  </si>
  <si>
    <t>Уголок 15х15х1,5, длина 6м, БЦ анод без дроби</t>
  </si>
  <si>
    <t>Уголок 30х30х2, длина 6м, БЦ анод без дроби</t>
  </si>
  <si>
    <t>15-00</t>
  </si>
  <si>
    <t>уголок 40*40*2, длина 6,0м, анодировка без дроби</t>
  </si>
  <si>
    <t>900.000</t>
  </si>
  <si>
    <t>швеллер 20*20*20*1,5, длина 6,0м, анодировка без дроби</t>
  </si>
  <si>
    <t>шина 20х2 длина 6,0м, анодировка без дроби</t>
  </si>
  <si>
    <t>Ал-Профи</t>
  </si>
  <si>
    <t>183 +0</t>
  </si>
  <si>
    <t>брак</t>
  </si>
  <si>
    <t>дав 294</t>
  </si>
  <si>
    <t>Т 30-03, 6,1м, Анодировка с дробью</t>
  </si>
  <si>
    <t>дав 295</t>
  </si>
  <si>
    <t>дав 300</t>
  </si>
  <si>
    <t>МТХ</t>
  </si>
  <si>
    <t>2хл брак</t>
  </si>
  <si>
    <t>195 +0</t>
  </si>
  <si>
    <t>Т-112, 6,0м, Анодировка с дробью</t>
  </si>
  <si>
    <t>510.000</t>
  </si>
  <si>
    <t>ЭнергоСтройМонтаж</t>
  </si>
  <si>
    <t>юлтас</t>
  </si>
  <si>
    <t>лист 1000х1500х0,8 мм, анод</t>
  </si>
  <si>
    <t>Завод норма</t>
  </si>
  <si>
    <t>волховец</t>
  </si>
  <si>
    <t>4 +0</t>
  </si>
  <si>
    <t>1хл брак</t>
  </si>
  <si>
    <t>498.000</t>
  </si>
  <si>
    <t>200.000</t>
  </si>
  <si>
    <t>24 +0</t>
  </si>
  <si>
    <t>723 +0</t>
  </si>
  <si>
    <t>дав 326</t>
  </si>
  <si>
    <t>дав 327</t>
  </si>
  <si>
    <t>2240-00</t>
  </si>
  <si>
    <t>4690-00</t>
  </si>
  <si>
    <t>балка АД-35 L=1030 мм, анод с дробью 9-12мкм (250р)</t>
  </si>
  <si>
    <t>250-00</t>
  </si>
  <si>
    <t>642-00</t>
  </si>
  <si>
    <t>1284-00</t>
  </si>
  <si>
    <t>795-00</t>
  </si>
  <si>
    <t>930-00</t>
  </si>
  <si>
    <t>2370-00</t>
  </si>
  <si>
    <t>дав 333</t>
  </si>
  <si>
    <t>Ал-профи</t>
  </si>
  <si>
    <t>6300-00</t>
  </si>
  <si>
    <t>дав 336</t>
  </si>
  <si>
    <t>дав 334</t>
  </si>
  <si>
    <t>дав 335</t>
  </si>
  <si>
    <t>380-00</t>
  </si>
  <si>
    <t>2160.000</t>
  </si>
  <si>
    <t>кмт</t>
  </si>
  <si>
    <t>дав 342</t>
  </si>
  <si>
    <t>зсп</t>
  </si>
  <si>
    <t>200-00</t>
  </si>
  <si>
    <t>170-00</t>
  </si>
  <si>
    <t>дав 346</t>
  </si>
  <si>
    <t>СанВек</t>
  </si>
  <si>
    <t>7хл брак вмятины</t>
  </si>
  <si>
    <t>РСК</t>
  </si>
  <si>
    <t>дав 353</t>
  </si>
  <si>
    <t>1752.000</t>
  </si>
  <si>
    <t xml:space="preserve">КМТ </t>
  </si>
  <si>
    <t>на склад</t>
  </si>
  <si>
    <t>дав 360</t>
  </si>
  <si>
    <t>114-53</t>
  </si>
  <si>
    <t>8000-00</t>
  </si>
  <si>
    <t>280 +0</t>
  </si>
  <si>
    <t>[30616] 0706-94, 6,0м, сплав 6063 КР, состТ1, упаковка.Т5</t>
  </si>
  <si>
    <t>8700-00</t>
  </si>
  <si>
    <t>[64054] 1506-29 (АГС 219067), 5,3 м, 6063 КРр, сост Т6, упак.Т5</t>
  </si>
  <si>
    <t>13-41</t>
  </si>
  <si>
    <t>дав 375</t>
  </si>
  <si>
    <t>137-43</t>
  </si>
  <si>
    <t>[30524] 0706-85 4,8м, сплав 6063Кр, сост Т1, уп. Т5</t>
  </si>
  <si>
    <t>дав 377</t>
  </si>
  <si>
    <t>завод норма</t>
  </si>
  <si>
    <t>дав 379</t>
  </si>
  <si>
    <t>дав 380</t>
  </si>
  <si>
    <t>14027 Кромка 6,5 м, RE Анодирование без дроби</t>
  </si>
  <si>
    <t>спектр рс</t>
  </si>
  <si>
    <t>50.000</t>
  </si>
  <si>
    <t>1485-00</t>
  </si>
  <si>
    <t>9600-00</t>
  </si>
  <si>
    <t>3420-00</t>
  </si>
  <si>
    <t>4740-00</t>
  </si>
  <si>
    <t>75-00</t>
  </si>
  <si>
    <t>ФТМ, уголок  "70", длина 3,1м, с дробью, 15мкм (м.п.)</t>
  </si>
  <si>
    <t>ФТМ, профиль "70", длина 3,1м, с дробью, 15мкм(хл)</t>
  </si>
  <si>
    <t>фтм</t>
  </si>
  <si>
    <t>7000-00</t>
  </si>
  <si>
    <t>384.000</t>
  </si>
  <si>
    <t>216.000</t>
  </si>
  <si>
    <t>Волховец</t>
  </si>
  <si>
    <t>[47784] 1406-67, 4,85 м, 6063 Кр сост Т6, упак Т5</t>
  </si>
  <si>
    <t>дав 354</t>
  </si>
  <si>
    <t>[57675] 0306-70, 6,05м, 6063 Т1, упаковка Т-5, БА</t>
  </si>
  <si>
    <t>87 +0</t>
  </si>
  <si>
    <t>[36867] 8507023 (МАК 0680-03), 6,50м, БА сплав 6063 Т1</t>
  </si>
  <si>
    <t>[38436] 0506-21, 6,0м, 6063 Т1, упаковка Т-5, БА</t>
  </si>
  <si>
    <t>[64865] 1506-50, 6,1м, 6063 КР Т1, БА</t>
  </si>
  <si>
    <t>Клэвэ Фрэйм Рус</t>
  </si>
  <si>
    <t>48 +0</t>
  </si>
  <si>
    <t>труба 20*1,5, длина 2,0 м, анодировка без дроби</t>
  </si>
  <si>
    <t>47 +0</t>
  </si>
  <si>
    <t>ментор</t>
  </si>
  <si>
    <t>1120-00</t>
  </si>
  <si>
    <t>[57128] 0306-74, 6,0м, 6063 Т1, упаковка Т-5, БА</t>
  </si>
  <si>
    <t>[47783] 1406-67, 4,15 м, 6063 Кр, сост Т6, упак.Т5</t>
  </si>
  <si>
    <t>труба V-slot 20*80 (Р-0,0,368), длина 3,0м, анодировка с дробью</t>
  </si>
  <si>
    <t>[36869] 8507029-10 (МАК 0680-01), 6,50м, БА сплав 6063 КР</t>
  </si>
  <si>
    <t>Крафт</t>
  </si>
  <si>
    <t>[11564] 0106-235, 6,0м, 6063 Т6, упаковка Т-5, БА</t>
  </si>
  <si>
    <t>[47166] 0306-75, 6,0м, 6063 Т1, упаковка Т-5, БА</t>
  </si>
  <si>
    <t>[35197] 0106-238, 6,0м, 6063 Т1, упаковка Т-5, БА</t>
  </si>
  <si>
    <t>102 +0</t>
  </si>
  <si>
    <t>266 +0</t>
  </si>
  <si>
    <t>[34252] 0906-64, 6,0м, 6063 Т1, упаковка Т-5, БА</t>
  </si>
  <si>
    <t>[70484] 1506-77, 6,0м, 6063 Т1, упаковка Т-5, БА</t>
  </si>
  <si>
    <t>[16958] 0306-11, 6,0м, 6063 Т1, упаковка Т-5, БА</t>
  </si>
  <si>
    <t>[61781] 0106-136, 6,05м, 6063 Т1, упаковка Т-5, БА</t>
  </si>
  <si>
    <t>мтх</t>
  </si>
  <si>
    <t>118 +0</t>
  </si>
  <si>
    <t>ПМ-47, 5,0м, Анодировка без дроби</t>
  </si>
  <si>
    <t>борта</t>
  </si>
  <si>
    <t>Континент</t>
  </si>
  <si>
    <t>[75616] 1606-14 L= 4,7 м, 6063 Кр упаковка Т5</t>
  </si>
  <si>
    <t>21 +0</t>
  </si>
  <si>
    <t>364.000</t>
  </si>
  <si>
    <t>223 +0</t>
  </si>
  <si>
    <t>140 +0</t>
  </si>
  <si>
    <t>Техноагрегат</t>
  </si>
  <si>
    <t>272 +0</t>
  </si>
  <si>
    <t>121 +0</t>
  </si>
  <si>
    <t>189 +0</t>
  </si>
  <si>
    <t>352 +0</t>
  </si>
  <si>
    <t>Предварительное травление</t>
  </si>
  <si>
    <t>[56993] 0506-17, Автоуголок 90*60*2мм, 6,0м, БА сплав 6063 Т1</t>
  </si>
  <si>
    <t>244 +0</t>
  </si>
  <si>
    <t>синергия</t>
  </si>
  <si>
    <t>техноагрегат</t>
  </si>
  <si>
    <t>120 +0</t>
  </si>
  <si>
    <t xml:space="preserve">Завод Норма </t>
  </si>
  <si>
    <t>278 +0</t>
  </si>
  <si>
    <t>791.01, профиль 3,0м,  Анодировка с дробью 9-12мкм+упаковка в мини-пачки (в-0,137)</t>
  </si>
  <si>
    <t>отмена</t>
  </si>
  <si>
    <t>[75828] 1606-18, 5,0м, 6063 Т1, упаковка Т-5, БА</t>
  </si>
  <si>
    <t>1 +0</t>
  </si>
  <si>
    <t>проба</t>
  </si>
  <si>
    <t>[75811] 1606-17 (Коробка 40) 4,7 м, сплав 6063 Кр Т6, упаковка Т5</t>
  </si>
  <si>
    <t>микродевайс</t>
  </si>
  <si>
    <t>49 +0</t>
  </si>
  <si>
    <t>38 +0</t>
  </si>
  <si>
    <t>МТ-2-0480, длина 5,8м, с дробью 10 мкм (41р/кг)</t>
  </si>
  <si>
    <t>НП-573-01, длина 5,3м, с дробью 10 мкм 31!р/кг)</t>
  </si>
  <si>
    <t>МТ-2-0934, длина 6,0м, без дроби 10 мкм (53 ! р/кг)</t>
  </si>
  <si>
    <t>МТ-11-3214, длина 6,0м, без дроби 10 мкм (56,5 ! р/кг)</t>
  </si>
  <si>
    <t>МТ-4-452238-1, длина 4,4м, без дроби 10 мкм (37р/кг)</t>
  </si>
  <si>
    <t>МТ-11-3459, длина 4,7м, без дроби 5 мкм (39 ! р/кг)</t>
  </si>
  <si>
    <t>1189.000</t>
  </si>
  <si>
    <t>583.000</t>
  </si>
  <si>
    <t>7536.000</t>
  </si>
  <si>
    <t>3072.000</t>
  </si>
  <si>
    <t>2058.600</t>
  </si>
  <si>
    <t>92-90</t>
  </si>
  <si>
    <t>110458-10</t>
  </si>
  <si>
    <t>37-57</t>
  </si>
  <si>
    <t>21903-31</t>
  </si>
  <si>
    <t>28-94</t>
  </si>
  <si>
    <t>218091-84</t>
  </si>
  <si>
    <t>34-91</t>
  </si>
  <si>
    <t>107243-52</t>
  </si>
  <si>
    <t>143-89</t>
  </si>
  <si>
    <t>79139-50</t>
  </si>
  <si>
    <t>57-99</t>
  </si>
  <si>
    <t>119378-21</t>
  </si>
  <si>
    <t>алюмстрой</t>
  </si>
  <si>
    <t>швеллер 6,0 анод без дроби+стрейч</t>
  </si>
  <si>
    <t>лист АМГ3, ЦГТВ. 741124.003, 947*790*1,5мм, 9-12мкм, анод</t>
  </si>
  <si>
    <t>лист АМГ3, ЦГТВ. 741124.003-01, 947*790*1,5мм, 9-12мкм, анод</t>
  </si>
  <si>
    <t>лист АМГ3, ЦГТВ. 741124.003-02, 1495*790*1,5мм, 9-12мкм, анод</t>
  </si>
  <si>
    <t>лист АМГ3, ЦГТВ. 741124.003-04, 777*285*1,5мм, 9-12мкм, анод</t>
  </si>
  <si>
    <t>лист АМГ3, ЦГТВ. 741124.003-05, 777*285*1,5мм, 9-12мкм, анод</t>
  </si>
  <si>
    <t>лист АМГ3, ЦГТВ. 741124.003-06, 777*285*1,5мм, 9-12мкм, анод</t>
  </si>
  <si>
    <t>лист АМГ3, ЦГТВ. 741124.003-07, 925*790*1,5мм, 9-12мкм, анод</t>
  </si>
  <si>
    <t>лист АМГ3, ЦГТВ. 741124.003-08, 925*790*1,5мм, 9-12мкм, анод</t>
  </si>
  <si>
    <t>лист АМГ3, ЦГТВ. 741124.003-10, 1495*790*1,5мм, 9-12мкм, анод</t>
  </si>
  <si>
    <t>лист АМГ3, ЦГТВ. 741124.003-11, 1495*790*1,5мм, 9-12мкм, анод</t>
  </si>
  <si>
    <t>5500-00</t>
  </si>
  <si>
    <t>2 хл брак</t>
  </si>
  <si>
    <t>2050-00</t>
  </si>
  <si>
    <t>18450-00</t>
  </si>
  <si>
    <t>5000-00</t>
  </si>
  <si>
    <t>675-00</t>
  </si>
  <si>
    <t>13500-00</t>
  </si>
  <si>
    <t>234 +0</t>
  </si>
  <si>
    <t>[61782] 0216-81, 5,1м, 6063 Т1, упаковка Т-5, БА</t>
  </si>
  <si>
    <t>408 +0</t>
  </si>
  <si>
    <t>балка АД-35 L=1361 мм, анод с дробью  9-12мкм (330р)</t>
  </si>
  <si>
    <t>балка АД-35 L=1370 мм, анод с дробью 9-12мкм (335р)</t>
  </si>
  <si>
    <t>балка АД-35 L=150 мм, анод с дробью  9-12мкм (50р)</t>
  </si>
  <si>
    <t>балка АД-35 L=3085мм, анод с дробью  9-12мкм (740р)</t>
  </si>
  <si>
    <t>балка АД-35 L=3312мм, анод с дробью  9-12мкм (795р)</t>
  </si>
  <si>
    <t>балка АД-35 L=3876мм, анод с дробью  9-12мкм (930р)</t>
  </si>
  <si>
    <t>балка АД-35 L=4042мм, анод с дробью  9-12мкм (970р)</t>
  </si>
  <si>
    <t>балка АД-35 L=4200мм,  анод с дробью   9-12мкм (1010р)</t>
  </si>
  <si>
    <t>балка АД-35 L=4677мм, анод с дробью  9-12мкм(1123р)</t>
  </si>
  <si>
    <t>балка АД-35 L=4940мм, анод с дробью  9-12мкм (1185р)</t>
  </si>
  <si>
    <t>балка АД-35 L=5005 мм, анод с дробью  9-12мкм (1200р)</t>
  </si>
  <si>
    <t>балка АД-35 L=5135мм, анод с дробью  9-12мкм (1232р)</t>
  </si>
  <si>
    <t>балка АД-35 L=1070 мм , анод с дробью  9-12мкм (260р)</t>
  </si>
  <si>
    <t>балка АД-35 L=2675 мм, анод с дробью  9-12мкм(642р)</t>
  </si>
  <si>
    <t>балка АД-35 L=300 мм, анод с дробью  9-12мкм (75р)</t>
  </si>
  <si>
    <t>балка АД-35 L=700 мм, анод с дробью  9-12мкм (170р)</t>
  </si>
  <si>
    <t>82.000</t>
  </si>
  <si>
    <t>625-00</t>
  </si>
  <si>
    <t>7370-00</t>
  </si>
  <si>
    <t>2220-00</t>
  </si>
  <si>
    <t>4492-00</t>
  </si>
  <si>
    <t>4560-00</t>
  </si>
  <si>
    <t>Труба 80*80*3, длина 6,0м, анодировка с дробью</t>
  </si>
  <si>
    <t>труба 30*30*3 длина 6,0м, анодировкас дробью</t>
  </si>
  <si>
    <t>уголок 60*20*3, длина 6,0м, анодировка с дробью</t>
  </si>
  <si>
    <t>85-00</t>
  </si>
  <si>
    <t>60-00</t>
  </si>
  <si>
    <t>80-67</t>
  </si>
  <si>
    <t>А 23,направляюшая, 5,1м, Анодировка с дробью</t>
  </si>
  <si>
    <t>А 27 профиль, 5,1м, Анодировка с дробью</t>
  </si>
  <si>
    <t>Т 28, 6,0м, Анодировка с дробью</t>
  </si>
  <si>
    <t>765.000</t>
  </si>
  <si>
    <t>3050.000</t>
  </si>
  <si>
    <t>22-00</t>
  </si>
  <si>
    <t>19-00</t>
  </si>
  <si>
    <t>33-00</t>
  </si>
  <si>
    <t>54-00</t>
  </si>
  <si>
    <t xml:space="preserve">Балт-Металл </t>
  </si>
  <si>
    <t>OPT000044</t>
  </si>
  <si>
    <t>отгр 3780(630 хл)</t>
  </si>
  <si>
    <t>МТ-11-3458, длина 4,7м, без дроби 5 мкм (38 р/кг!)</t>
  </si>
  <si>
    <t>8507023, длина 6,5 м, без дроби 10 мкм (45 !р/кг) упаковка в стрейч по 2 шт</t>
  </si>
  <si>
    <t>8507027, бортовой профиль, 6,50м, анод БЦ (61,5 р/кг )</t>
  </si>
  <si>
    <t>МТ-Р-0003, длина 5,0м, без дроби 10 мкм (98 р/кг) упаковка по 10 шт</t>
  </si>
  <si>
    <t>6204.000</t>
  </si>
  <si>
    <t>370.500</t>
  </si>
  <si>
    <t>7625.000</t>
  </si>
  <si>
    <t>62-30</t>
  </si>
  <si>
    <t>121-04</t>
  </si>
  <si>
    <t>13-43</t>
  </si>
  <si>
    <t>386509-20</t>
  </si>
  <si>
    <t>42433-37</t>
  </si>
  <si>
    <t>МТ-2-0932, длина 6,0м, без дроби 10 мкм ( ! р/кг)</t>
  </si>
  <si>
    <t>[75791] 0506-93 (АТ-6458), 3,0м, БА сплав 6063 Т1</t>
  </si>
  <si>
    <t>дав 25</t>
  </si>
  <si>
    <t>Анодирование алюминиевого уголка 25*25*2,0м, длина 6,0м, без дроби</t>
  </si>
  <si>
    <t>Анодирование алюминиевого профиля Уголок 15х15х1,5, длина 6м, БЦ анод без дроби</t>
  </si>
  <si>
    <t>Анодирование алюминиевого профиля Уголок 30х30х2, длина 6м, БЦ анод без дроби</t>
  </si>
  <si>
    <t>Анодирование алюминиевого уголка 40*40*2, длина 6,0м, без дроби</t>
  </si>
  <si>
    <t>Анодирование алюминиевого швеллера 15х15х1,5, длина 6,0м, без дроби</t>
  </si>
  <si>
    <t>Анодирование алюминиевого профиля 131.74 резинопластик, длина 3,1м, без дроби</t>
  </si>
  <si>
    <t>[38435] 0506-20, 6,0м, 6063 Т1, упаковка Т-5, БА</t>
  </si>
  <si>
    <t>OPT000024</t>
  </si>
  <si>
    <t>75-76</t>
  </si>
  <si>
    <t>166-67</t>
  </si>
  <si>
    <t>185-19</t>
  </si>
  <si>
    <t>30000-00</t>
  </si>
  <si>
    <t>20000-00</t>
  </si>
  <si>
    <t>10000-00</t>
  </si>
  <si>
    <t>Алкенни</t>
  </si>
  <si>
    <t>F- 12, 3,0м, Анодирование с  дробью</t>
  </si>
  <si>
    <t>[75741] 1606-15, 6,5м, 6063 Т1, упаковка Т-5, БА</t>
  </si>
  <si>
    <t>Дега</t>
  </si>
  <si>
    <t>полоса 150х5,0мм, длина 3,0м, анодировкабез дроби</t>
  </si>
  <si>
    <t>1272-00</t>
  </si>
  <si>
    <t>3300-00</t>
  </si>
  <si>
    <t>3030-00</t>
  </si>
  <si>
    <t>20800-00</t>
  </si>
  <si>
    <t>10176-00</t>
  </si>
  <si>
    <t>510-00</t>
  </si>
  <si>
    <t>дав 34</t>
  </si>
  <si>
    <t>дав 35</t>
  </si>
  <si>
    <t>МТ-11-2902, длина 6,1м, с дробью 10 мкм (96 !р/кг, в-0,585)</t>
  </si>
  <si>
    <t>3446.500</t>
  </si>
  <si>
    <t>56-16</t>
  </si>
  <si>
    <t>193555-44</t>
  </si>
  <si>
    <t>дав 36</t>
  </si>
  <si>
    <t>228.000</t>
  </si>
  <si>
    <t>275-44</t>
  </si>
  <si>
    <t>дав 38</t>
  </si>
  <si>
    <t>МТ-Р-0002(11-2743), длина 3,0м, без дроби 10 мкм (90р/кг)Упаковка мини пачки по 10шт</t>
  </si>
  <si>
    <t>МТ-11-3458, длина 4,7м, без дроби 5 мкм (40,5 р/кг!)</t>
  </si>
  <si>
    <t>МТ-4-452235, длина 6,0м, без дроби 10 мкм (51! р/кг) упаковка в стрейч по 2 шт.</t>
  </si>
  <si>
    <t>МТ-5-1826-1, длина 6,0 м, без дроби 10 мкм (126 ! р/кг) упаковка по 10 шт в стрейч</t>
  </si>
  <si>
    <t>МТ-11-3079, длина 6,0м, без дроби 10 мкм (104!р/кг)</t>
  </si>
  <si>
    <t>8507042, длина 6,0 м, без дроби 10 мкм (75 !р/кг) упаковка в стрейч по 2 шт</t>
  </si>
  <si>
    <t>МТ-6-7260, длина 3,0м, с дробью 10 мкм (38 р/кг)</t>
  </si>
  <si>
    <t>МТ-6-7259, длина 2,875 м, с дробью 10 мкм (48 ! р/кг)</t>
  </si>
  <si>
    <t>27054.000</t>
  </si>
  <si>
    <t>1363.000</t>
  </si>
  <si>
    <t>1596.000</t>
  </si>
  <si>
    <t>4146.000</t>
  </si>
  <si>
    <t>1632.000</t>
  </si>
  <si>
    <t>1452.000</t>
  </si>
  <si>
    <t>105.000</t>
  </si>
  <si>
    <t>155.250</t>
  </si>
  <si>
    <t>66-40</t>
  </si>
  <si>
    <t>60-70</t>
  </si>
  <si>
    <t>46-21</t>
  </si>
  <si>
    <t>26-42</t>
  </si>
  <si>
    <t>45-60</t>
  </si>
  <si>
    <t>120-84</t>
  </si>
  <si>
    <t>195-55</t>
  </si>
  <si>
    <t>362794-14</t>
  </si>
  <si>
    <t>90503-20</t>
  </si>
  <si>
    <t>96877-20</t>
  </si>
  <si>
    <t>191586-66</t>
  </si>
  <si>
    <t>43117-44</t>
  </si>
  <si>
    <t>66211-20</t>
  </si>
  <si>
    <t>12688-20</t>
  </si>
  <si>
    <t>30359-14</t>
  </si>
  <si>
    <t>дав 40</t>
  </si>
  <si>
    <t>88.000</t>
  </si>
  <si>
    <t>1287-50</t>
  </si>
  <si>
    <t>9380-00</t>
  </si>
  <si>
    <t>2568-00</t>
  </si>
  <si>
    <t>1590-00</t>
  </si>
  <si>
    <t>19712-00</t>
  </si>
  <si>
    <t>41200-00</t>
  </si>
  <si>
    <t>АВА-4938 профиль, 6,1м, анод с дробью</t>
  </si>
  <si>
    <t>137 +0</t>
  </si>
  <si>
    <t>ЭСМ</t>
  </si>
  <si>
    <t>[13620] 0106-290, 6,0м, 6063 Т1, упаковка Т-5, БА</t>
  </si>
  <si>
    <t>81 +0</t>
  </si>
  <si>
    <t>[70487] 0906-89, 5,1м, 6063 Т1, БА</t>
  </si>
  <si>
    <t>117 +0</t>
  </si>
  <si>
    <t>[61440] 0106-289, 6,0м, 6063 Т1, упаковка Т-5, БА</t>
  </si>
  <si>
    <t>271 +0</t>
  </si>
  <si>
    <t>OPT000093</t>
  </si>
  <si>
    <t>OPT000092</t>
  </si>
  <si>
    <t>лист АМГ3, ЦГТВ. 741124.003-03, 1495*790*1,5мм, 9-12мкм, анод</t>
  </si>
  <si>
    <t>Крышка ЦГТВ. 745522.001 130*80*3мм, 9-12мкм, анод</t>
  </si>
  <si>
    <t>Крышка ЦГТВ. 745522.001-01 130*80*3мм, 9-12мкм, анод</t>
  </si>
  <si>
    <t>650-00</t>
  </si>
  <si>
    <t>13000-00</t>
  </si>
  <si>
    <t>7500-00</t>
  </si>
  <si>
    <t>[75376] 8507025 (АГС8507025) шир 192мм, бортовой профиль, 6,50м, БА</t>
  </si>
  <si>
    <t>83 +0</t>
  </si>
  <si>
    <t>дав 47</t>
  </si>
  <si>
    <t>Алюмапарк</t>
  </si>
  <si>
    <t>дав 48</t>
  </si>
  <si>
    <t>ТМ Пром</t>
  </si>
  <si>
    <t>OPT000131</t>
  </si>
  <si>
    <t>Пром-Сталь</t>
  </si>
  <si>
    <t>100.000</t>
  </si>
  <si>
    <t>1650-00</t>
  </si>
  <si>
    <t>17900-00</t>
  </si>
  <si>
    <t>166 +0</t>
  </si>
  <si>
    <t>[11558] 0106-206, 4,2м, АД31 Т1, упаковка Т-4, БА</t>
  </si>
  <si>
    <t>264 +0</t>
  </si>
  <si>
    <t>швеллер 8*8*8*1, длина 6,0м, анодировка без дроби</t>
  </si>
  <si>
    <t>проминдустрия</t>
  </si>
  <si>
    <t>фрамир</t>
  </si>
  <si>
    <t>Вип интеграция</t>
  </si>
  <si>
    <t>АЛЬТЕРНАТИВНАЯ НАУКА</t>
  </si>
  <si>
    <t>дав 58</t>
  </si>
  <si>
    <t>Анодирование алюминиевого профиля без дроби</t>
  </si>
  <si>
    <t>МТ-2-01004, длина 6,0м, без дроби 10 мкм (120р/кг!!)</t>
  </si>
  <si>
    <t>МТ-2-0934, длина 6,0м, без дроби 10 мкм (53 !! р/кг)</t>
  </si>
  <si>
    <t>МТ-11-3214, длина 6,0м, без дроби 10 мкм (56,5 !! р/кг)</t>
  </si>
  <si>
    <t>МТ-4-452235, длина 4,40м, без дроби 10 мкм (54 !! р/кг) упаковка в стрейч по 2 шт.</t>
  </si>
  <si>
    <t>8507025, бортовой профиль, 6,50м, (54!! р/кг) анод без дроби 9-12 мкм (50р/кг) уп в стрейч по 2шт</t>
  </si>
  <si>
    <t>8507023, длина 6,0 м, без дроби 10 мкм (46 !! р/кг) упаковка в стрейч по 2 шт</t>
  </si>
  <si>
    <t>8507023, длина 5,1 м, без дроби 10 мкм (55 !!р/кг) упаковка в стрейч по 2 шт</t>
  </si>
  <si>
    <t>8507029-10, длина 6,5 м, без дроби 10 мкм (49 !!р/кг) упаковка в стрейч по 2 шт</t>
  </si>
  <si>
    <t>456.000</t>
  </si>
  <si>
    <t>5778.000</t>
  </si>
  <si>
    <t>1918.400</t>
  </si>
  <si>
    <t>372.000</t>
  </si>
  <si>
    <t>341.700</t>
  </si>
  <si>
    <t>1014.000</t>
  </si>
  <si>
    <t>20-60</t>
  </si>
  <si>
    <t>34-60</t>
  </si>
  <si>
    <t>64-26</t>
  </si>
  <si>
    <t>121-50</t>
  </si>
  <si>
    <t>117-07</t>
  </si>
  <si>
    <t>124-26</t>
  </si>
  <si>
    <t>9393-60</t>
  </si>
  <si>
    <t>167215-32</t>
  </si>
  <si>
    <t>74736-00</t>
  </si>
  <si>
    <t>123276-38</t>
  </si>
  <si>
    <t>28431-00</t>
  </si>
  <si>
    <t>43550-04</t>
  </si>
  <si>
    <t>47838-00</t>
  </si>
  <si>
    <t>125999-64</t>
  </si>
  <si>
    <t>3хл брак (замят)</t>
  </si>
  <si>
    <t>МТ-Р-0002, длина 5,0м, с дробью 10 мкм(90 р/кг) упаковка по 10 шт</t>
  </si>
  <si>
    <t>МТ-Р-0002(11-2743), длина 3,0м, без дроби 10 мкм (92р/кг)Упаковка мини пачки по 10шт</t>
  </si>
  <si>
    <t>8507025-2, бортовой профиль, 6,50м,  без дроби 9-12 мкм (50 !р/кг) уп в стрейч по 2шт</t>
  </si>
  <si>
    <t>195.000</t>
  </si>
  <si>
    <t>20155.000</t>
  </si>
  <si>
    <t>13068.000</t>
  </si>
  <si>
    <t>128-77</t>
  </si>
  <si>
    <t>13-40</t>
  </si>
  <si>
    <t>13-70</t>
  </si>
  <si>
    <t>127-20</t>
  </si>
  <si>
    <t>25110-15</t>
  </si>
  <si>
    <t>270077-00</t>
  </si>
  <si>
    <t>179031-60</t>
  </si>
  <si>
    <t>46300-80</t>
  </si>
  <si>
    <t>26800-00</t>
  </si>
  <si>
    <t>42350-00</t>
  </si>
  <si>
    <t>7800-00</t>
  </si>
  <si>
    <t>8800-00</t>
  </si>
  <si>
    <t>219 +0</t>
  </si>
  <si>
    <t>СевзапМеталл</t>
  </si>
  <si>
    <t>полоса 10х2мм, длина 6,0м, анодировка без дроби</t>
  </si>
  <si>
    <t>полоса 12х2мм, длина 6,0м, анодировка без дроби</t>
  </si>
  <si>
    <t>Тавр 15х15х2, длина 6,0м, анодировка без дроби</t>
  </si>
  <si>
    <t>труба кругл  8*1, длина 6,0м, анодировка без дроби</t>
  </si>
  <si>
    <t>уголок 35*10*1,5, длина 6,0м, анодировка без дроби</t>
  </si>
  <si>
    <t>уголок 55*8*1,2, длина 6,0м, анодировка без дроби</t>
  </si>
  <si>
    <t>швеллер 15*20*15*2, длина 6,0м, анодировка без дроби</t>
  </si>
  <si>
    <t>швеллер 20*25*20*2, длина 6,0м, анодировка без дроби</t>
  </si>
  <si>
    <t>швеллер 30*30*30*1,5, длина 6,0м, анодировка без дроби</t>
  </si>
  <si>
    <t>70.000</t>
  </si>
  <si>
    <t>52-00</t>
  </si>
  <si>
    <t>90-00</t>
  </si>
  <si>
    <t>70-00</t>
  </si>
  <si>
    <t>191-00</t>
  </si>
  <si>
    <t>160-00</t>
  </si>
  <si>
    <t>155-00</t>
  </si>
  <si>
    <t>185-00</t>
  </si>
  <si>
    <t>10400-00</t>
  </si>
  <si>
    <t>5400-00</t>
  </si>
  <si>
    <t>4500-00</t>
  </si>
  <si>
    <t>38200-00</t>
  </si>
  <si>
    <t>19100-00</t>
  </si>
  <si>
    <t>11200-00</t>
  </si>
  <si>
    <t>7750-00</t>
  </si>
  <si>
    <t>5100-00</t>
  </si>
  <si>
    <t>5550-00</t>
  </si>
  <si>
    <t>дав 62</t>
  </si>
  <si>
    <t>Крышка  35*7,3  (Р=0,1)длина 3,0м, анодировка без дроби</t>
  </si>
  <si>
    <t>31-23</t>
  </si>
  <si>
    <t>лист АМГ3, 1200*3000*2мм, 9-12мкм, анод</t>
  </si>
  <si>
    <t>832.100</t>
  </si>
  <si>
    <t>528.000</t>
  </si>
  <si>
    <t>40-00</t>
  </si>
  <si>
    <t>33284-00</t>
  </si>
  <si>
    <t>75973-92</t>
  </si>
  <si>
    <t>дав 70</t>
  </si>
  <si>
    <t>МТ-11-3133, длина 6,0м, без дроби 10 мкм</t>
  </si>
  <si>
    <t>МТ-11-3136, длина 6,0м, без дроби 10 мкм</t>
  </si>
  <si>
    <t>191-67</t>
  </si>
  <si>
    <t>3450-00</t>
  </si>
  <si>
    <t>МТ-2-3785, длина 1,5м, без дроби 10 мкм</t>
  </si>
  <si>
    <t>МТ-2-0967, длина 1,5м, без дроби 10 мкм</t>
  </si>
  <si>
    <t>МТ-2-01014, длина 1,5м, без дроби 10 мкм</t>
  </si>
  <si>
    <t>4.500</t>
  </si>
  <si>
    <t>213-33</t>
  </si>
  <si>
    <t>266-67</t>
  </si>
  <si>
    <t>9800-00</t>
  </si>
  <si>
    <t>9680-00</t>
  </si>
  <si>
    <t>23200-00</t>
  </si>
  <si>
    <t>[11564] 0106-235, 6,0м, 6063 Т6, упаковка Т-5, БА (прессовать на плюсовом допуске)</t>
  </si>
  <si>
    <t>OPT000180</t>
  </si>
  <si>
    <t>[39112] 1206-07, 5,8м, 6063 Т1, упаковка Т-9 (минипачка), БА</t>
  </si>
  <si>
    <t>ОП</t>
  </si>
  <si>
    <t>[36869] 8507029-10 (МАК 0680-01), 6,50м, БА сплав 6063 КР Т1</t>
  </si>
  <si>
    <t>[68773] 0906-71, 5,8 м, сплав 6063Кр Т1</t>
  </si>
  <si>
    <t>222 +0</t>
  </si>
  <si>
    <t xml:space="preserve">1111-116, 325мм - 55шт.  БЦ анод  (9-12мкм) без дроби </t>
  </si>
  <si>
    <t>[30348] 8507027 (АГС) бортовой профиль, 6,50м, сплав  6063 Т1</t>
  </si>
  <si>
    <t>травливание листов (обезжиривание) 1500*500</t>
  </si>
  <si>
    <t>77 хл</t>
  </si>
  <si>
    <t>16 хл</t>
  </si>
  <si>
    <t>дав 83</t>
  </si>
  <si>
    <t>Планка АМГ3, ДИ 10.01.001.40,  9-12мкм, анод</t>
  </si>
  <si>
    <t>Планка АМГ3, ДИ 10.01.001.40-01,  9-12мкм, анод</t>
  </si>
  <si>
    <t>Планка АМГ3, ДИ 10.01.001.40-02,  9-12мкм, анод</t>
  </si>
  <si>
    <t>Планка АМГ3, ДИ 10.01.001.40-03,  9-12мкм, анод</t>
  </si>
  <si>
    <t>Планка АМГ3, ДИ 10.01.001.40-04,  9-12мкм, анод</t>
  </si>
  <si>
    <t>Планка АМГ3, ДИ 10.01.001.40-05,  9-12мкм, анод</t>
  </si>
  <si>
    <t>Планка АМГ3, ДИ 10.01.001.40-06,  9-12мкм, анод</t>
  </si>
  <si>
    <t>Планка АМГ3, ДИ 10.01.001.40-07,  9-12мкм, анод</t>
  </si>
  <si>
    <t>Планка АМГ3, ДИ 10.01.001.40-08,  9-12мкм, анод</t>
  </si>
  <si>
    <t>Уголок АМГ3, ДИ 10.01.001.50,  9-12мкм, анод</t>
  </si>
  <si>
    <t>Уголок АМГ3, ДИ 10.01.001.50-01,  9-12мкм, анод</t>
  </si>
  <si>
    <t>Уголок АМГ3, ДИ 10.01.001.50-02,  9-12мкм, анод</t>
  </si>
  <si>
    <t>Уголок АМГ3, ДИ 10.01.001.50-03,  9-12мкм, анод</t>
  </si>
  <si>
    <t>Уголок АМГ3, ДИ 10.01.001.50-04,  9-12мкм, анод</t>
  </si>
  <si>
    <t>Уголок АМГ3, ДИ 10.01.001.50-05,  9-12мкм, анод</t>
  </si>
  <si>
    <t>Уголок АМГ3, ДИ 10.01.001.50-06,  9-12мкм, анод</t>
  </si>
  <si>
    <t>Уголок стыковочный АМГ3, ДИ 10.01.001.60,  9-12мкм, анод</t>
  </si>
  <si>
    <t>лист подкладной АМГ3, ДИ.10.01.003.17, 9-12мкм, анод</t>
  </si>
  <si>
    <t>2560-00</t>
  </si>
  <si>
    <t>дав 77</t>
  </si>
  <si>
    <t>лист АМГ3, ДИ.10.01.002.01.02-01, 844*311*2мм 9-12мкм, анод</t>
  </si>
  <si>
    <t>лист АМГ3, ДИ.10.01.002.01.03-01, 844*311*2мм, 9-12мкм, анод</t>
  </si>
  <si>
    <t>лист АМГ3, ДИ.10.01.002.02.02-01,1540*844*2мм, 9-12мкм, анод</t>
  </si>
  <si>
    <t>лист АМГ3, ДИ.10.01.002.02.03-01, 1540*844*2мм, 9-12мкм, анод</t>
  </si>
  <si>
    <t>лист АМГ3, ДИ.10.01.002.04.02-01, 1004*445*2мм, 9-12мкм, анод</t>
  </si>
  <si>
    <t>лист АМГ3, ДИ.10.01.002.04.03-01, 1004*447*2мм, 9-12мкм, анод</t>
  </si>
  <si>
    <t>лист АМГ3, ДИ.10.01.002.06.02-01, 1540*1004*2мм, 9-12мкм, анод</t>
  </si>
  <si>
    <t>лист АМГ3, ДИ.10.01.002.06.03-01, 1540*1004*2мм, 9-12мкм, анод</t>
  </si>
  <si>
    <t>4400-00</t>
  </si>
  <si>
    <t>балка ДИ.10.01.006.01 L=2388 мм,  анод с дробью  9-12мкм</t>
  </si>
  <si>
    <t>балка ДИ.10.01.006.02 L=2155мм,  анод с дробью  9-12мкм</t>
  </si>
  <si>
    <t>балка ДИ.10.01.006.03 L=700мм,  анод с дробью  9-12мкм</t>
  </si>
  <si>
    <t>балка ДИ.10.01.006.04 L=875мм,  анод с дробью  9-12мкм</t>
  </si>
  <si>
    <t>балка ДИ.10.01.006.04-01, L=875мм анод с дробью  9-12мкм</t>
  </si>
  <si>
    <t>балка ДИ.10.01.006.05 L=550мм,  анод с дробью  9-12мкм</t>
  </si>
  <si>
    <t>балка ДИ.10.01.006.06, L=700мм  анод с дробью  9-12мкм</t>
  </si>
  <si>
    <t>балка ДИ.10.01.006.06.01, L=700мм, анод с дробью  9-12мкм</t>
  </si>
  <si>
    <t>1740-00</t>
  </si>
  <si>
    <t>520-00</t>
  </si>
  <si>
    <t>дав 86</t>
  </si>
  <si>
    <t>МТ-1-3059, длина 6,0м, без дроби 10 мкм (98 р/кг)</t>
  </si>
  <si>
    <t>МТ-4-452235, длина 3,2м, без дроби 10 мкм (55 ! р/кг) упаковка в стрейч по 2 шт.</t>
  </si>
  <si>
    <t>МТ-4-452235, длина 6,0м, без дроби 10 мкм (56 ! р/кг) упаковка в стрейч по 2 шт.</t>
  </si>
  <si>
    <t>798.000</t>
  </si>
  <si>
    <t>672.000</t>
  </si>
  <si>
    <t>1440.000</t>
  </si>
  <si>
    <t>63999-60</t>
  </si>
  <si>
    <t>43982-40</t>
  </si>
  <si>
    <t>95817-60</t>
  </si>
  <si>
    <t>80-20</t>
  </si>
  <si>
    <t>65-45</t>
  </si>
  <si>
    <t>66-54</t>
  </si>
  <si>
    <t>дав 87</t>
  </si>
  <si>
    <t>дав 88</t>
  </si>
  <si>
    <t>лист АМГ3, ДИ.10.01.001.01.12 ,1200*935*1,5мм, 9-12мкм, анод</t>
  </si>
  <si>
    <t>лист АМГ3, ДИ.10.01.001.02.12 ,1200*935*1,5мм, 9-12мкм, анод</t>
  </si>
  <si>
    <t>лист АМГ3, ДИ.10.01.001.03.12 ,1495*1095*1,5мм, 9-12мкм, анод</t>
  </si>
  <si>
    <t>лист АМГ3, ДИ.10.01.001.01.03 Облицовка, 1200*939*2мм, 9-12мкм, анод</t>
  </si>
  <si>
    <t>лист АМГ3, ДИ.10.01.001.02.03 Облицовка, 1493*1205*2мм, 9-12мкм, анод</t>
  </si>
  <si>
    <t>лист АМГ3, ДИ.10.01.001.03.03 Облицовка, 1495*1095*2мм, 9-12мкм, анод</t>
  </si>
  <si>
    <t>673 +0</t>
  </si>
  <si>
    <t>[76032] 220650 (АГС)  бортовой боковой 3,2м сплав 6063 Т1</t>
  </si>
  <si>
    <t>[76034] 220650 (АГС)  бортовой боковой 6,0м сплав 6063 Т1</t>
  </si>
  <si>
    <t>12800-00</t>
  </si>
  <si>
    <t>15600-00</t>
  </si>
  <si>
    <t>труба 32*1, длина 4,010 м, без дроби,(75 р/кг) смотка по 5 штук</t>
  </si>
  <si>
    <t>МТ-14-1924-39, длина 3,0м, без дроби 10 мкм (41 ! /кг)</t>
  </si>
  <si>
    <t>МТ-2-01013, длина 5,0м, без дроби 10 мкм ( 103 р/кг) упаковка по 10 шт</t>
  </si>
  <si>
    <t>МТ-4-452235, длина 4,0м, без дроби 10 мкм (56 ! р/кг) упаковка в стрейч по 2 шт.</t>
  </si>
  <si>
    <t>2061.140</t>
  </si>
  <si>
    <t>378.000</t>
  </si>
  <si>
    <t>3675.000</t>
  </si>
  <si>
    <t>632.000</t>
  </si>
  <si>
    <t>19-50</t>
  </si>
  <si>
    <t>40192-23</t>
  </si>
  <si>
    <t>197-60</t>
  </si>
  <si>
    <t>74692-80</t>
  </si>
  <si>
    <t>14-40</t>
  </si>
  <si>
    <t>52920-00</t>
  </si>
  <si>
    <t>66-64</t>
  </si>
  <si>
    <t>42116-48</t>
  </si>
  <si>
    <t>[35052] 0906-90, 6,0м, 6063 КР  Т-1, упаковка Т-5</t>
  </si>
  <si>
    <t>1100 +0</t>
  </si>
  <si>
    <t>[64559] 1506-45,  5,15 м, 6063 КР Т1</t>
  </si>
  <si>
    <t>286 +0</t>
  </si>
  <si>
    <t>[65083] 0906-73, 5,4 м, сплав 6063Кр Т1</t>
  </si>
  <si>
    <t>1 паллет</t>
  </si>
  <si>
    <t>1386.000</t>
  </si>
  <si>
    <t>33-50</t>
  </si>
  <si>
    <t>46431-00</t>
  </si>
  <si>
    <t>Тавр 20х20х1,5 длина 6,0м, анодировка с дробью</t>
  </si>
  <si>
    <t>[75616] 1606-14 L= 4,7 м, 6063 Кр Т6, упаковка Т5</t>
  </si>
  <si>
    <t>141 +0</t>
  </si>
  <si>
    <t>1352 хл вывезено</t>
  </si>
  <si>
    <t>ост 85хл</t>
  </si>
  <si>
    <t>108 хл, 2 хл брак</t>
  </si>
  <si>
    <t>1926-00</t>
  </si>
  <si>
    <t>6150-00</t>
  </si>
  <si>
    <t>3400-00</t>
  </si>
  <si>
    <t>21712-00</t>
  </si>
  <si>
    <t>4320-00</t>
  </si>
  <si>
    <t>4палл: 50+50+45+49</t>
  </si>
  <si>
    <t>204 +0</t>
  </si>
  <si>
    <t>[76033] 220650 (АГС)  бортовой боковой 4,0м сплав 6063 Т1</t>
  </si>
  <si>
    <t>[76220] 8507027 (АГС) бортовой профиль, 6,50м, сплав  АД 31 Т1</t>
  </si>
  <si>
    <t>[76388] 8507042 (0680-06), бортовой профиль, 6,0м,  АД 31 Т1</t>
  </si>
  <si>
    <t>[69917] АГС_97101, Автоуголок 250*40мм, 6,0м, сплав 6063 Т6 +  упаковка А5</t>
  </si>
  <si>
    <t>33 +0</t>
  </si>
  <si>
    <t>трейд дьюти фри</t>
  </si>
  <si>
    <t>[76209] 1606-30, 3,5м, 6063 Т1, уп Т-5, БА</t>
  </si>
  <si>
    <t>OPT000243</t>
  </si>
  <si>
    <t>403 +0</t>
  </si>
  <si>
    <t xml:space="preserve">Еврошоп </t>
  </si>
  <si>
    <t>182 +0</t>
  </si>
  <si>
    <t>44 хл</t>
  </si>
  <si>
    <t>Основания OS1.47-05 0,988м - 1021 хл</t>
  </si>
  <si>
    <t>Основания OS1.47-06  0,988м - 29 хл</t>
  </si>
  <si>
    <t>Основания ВР-058  3,1м - 710 хл</t>
  </si>
  <si>
    <t>1008.748</t>
  </si>
  <si>
    <t>28.652</t>
  </si>
  <si>
    <t>2201.000</t>
  </si>
  <si>
    <t>449548-55</t>
  </si>
  <si>
    <t>12768-76</t>
  </si>
  <si>
    <t>128802-52</t>
  </si>
  <si>
    <t>дав117</t>
  </si>
  <si>
    <t>29880-00</t>
  </si>
  <si>
    <t>дав 118</t>
  </si>
  <si>
    <t>211200-00</t>
  </si>
  <si>
    <t>Гласс Дизайн</t>
  </si>
  <si>
    <t>тм пром</t>
  </si>
  <si>
    <t>750 хл</t>
  </si>
  <si>
    <t>84 +0</t>
  </si>
  <si>
    <t>[76221] 220650 (АГС)  бортовой боковой 3,2м сплав АД 31 Т1</t>
  </si>
  <si>
    <t>[76222] 220650 (АГС)  бортовой боковой 4,0м сплав АД 31 Т1</t>
  </si>
  <si>
    <t>[76223] 220650 (АГС)  бортовой боковой 6,0м сплав АД 31 Т1</t>
  </si>
  <si>
    <t>[69916] АГС_97082, Автоуголок 50*50 мм, 6,0м,  сплав 6063 Т6 + упаковка А5</t>
  </si>
  <si>
    <t>131 +0</t>
  </si>
  <si>
    <t>10800-00</t>
  </si>
  <si>
    <t>83420-00</t>
  </si>
  <si>
    <t>3380-00</t>
  </si>
  <si>
    <t>Каркас стула ЦГТВ. 324312.001-02.100 , 20 мкм, анод</t>
  </si>
  <si>
    <t>дав123</t>
  </si>
  <si>
    <t>дав124</t>
  </si>
  <si>
    <t>1700-00</t>
  </si>
  <si>
    <t>лист 1500х500 мм,  двухстороннее анодирование</t>
  </si>
  <si>
    <t>забрали отрезок</t>
  </si>
  <si>
    <t>Анодирование алюминиевого профиля АД 31 АП 3068,  1,200мм</t>
  </si>
  <si>
    <t>32410-40</t>
  </si>
  <si>
    <t>19945-20</t>
  </si>
  <si>
    <t>ПК СЕВЕРО-ЗАПАД</t>
  </si>
  <si>
    <t>АТ-6352, длина 2,85м, БЦ анод с дробью БЦ анод 9-12мкм с дробью, упак. Зачистка+ПТ+дробь финишная</t>
  </si>
  <si>
    <t>ост88хл</t>
  </si>
  <si>
    <t>148703-31</t>
  </si>
  <si>
    <t>1. ТП-50313</t>
  </si>
  <si>
    <t>3. ТП-50325</t>
  </si>
  <si>
    <t>4. ТП-50324</t>
  </si>
  <si>
    <t>1. ТП-50352-02</t>
  </si>
  <si>
    <t>2. ЭК-9007</t>
  </si>
  <si>
    <t>3. ТП-5015</t>
  </si>
  <si>
    <t>4. ТП-5014</t>
  </si>
  <si>
    <t>полоса 14х3мм, длина 3,0м, анодировка без дроби</t>
  </si>
  <si>
    <t>196 +0</t>
  </si>
  <si>
    <t>[30345] 8507025 (МАК0680-02) шир 222мм, бортовой профиль, 6,50м, БА</t>
  </si>
  <si>
    <t>КВАНТ</t>
  </si>
  <si>
    <t xml:space="preserve">550 хл,141 хл </t>
  </si>
  <si>
    <t>7 хл брак</t>
  </si>
  <si>
    <t>дав 145</t>
  </si>
  <si>
    <t xml:space="preserve">ТЕНТОВАЯ АРХИТЕКТУРА </t>
  </si>
  <si>
    <t>НЧП-703, 4,82м анод без дроби</t>
  </si>
  <si>
    <t>OPT000336</t>
  </si>
  <si>
    <t>95 +0</t>
  </si>
  <si>
    <t>191 +0</t>
  </si>
  <si>
    <t>179 +0</t>
  </si>
  <si>
    <t>[76322] 0906-71, 5,9 м, сплав 6063Кр Т1</t>
  </si>
  <si>
    <t>842 +0</t>
  </si>
  <si>
    <t>353 +0</t>
  </si>
  <si>
    <t>дав 147</t>
  </si>
  <si>
    <t>11500-00</t>
  </si>
  <si>
    <t>9000-00</t>
  </si>
  <si>
    <t>10500-00</t>
  </si>
  <si>
    <t>2 загрузки</t>
  </si>
  <si>
    <t>нет 2 хл</t>
  </si>
  <si>
    <t>42 гот</t>
  </si>
  <si>
    <t>OPT000343</t>
  </si>
  <si>
    <t>мареев</t>
  </si>
  <si>
    <t>[76438] Труба прямоугольная 120*50*4,0мм, (0109-01), 6,0м, Ад31 Т1</t>
  </si>
  <si>
    <t>9хл гот</t>
  </si>
  <si>
    <t>230 хл гот</t>
  </si>
  <si>
    <t>ID-04М, профиль добора 5,5м, Анодировка с дробью</t>
  </si>
  <si>
    <t>Т 63, 6,1 м, Анодировка с дробью</t>
  </si>
  <si>
    <t>275.000</t>
  </si>
  <si>
    <t>305.000</t>
  </si>
  <si>
    <t>34-18</t>
  </si>
  <si>
    <t>9400-00</t>
  </si>
  <si>
    <t>30-82</t>
  </si>
  <si>
    <t>37600-00</t>
  </si>
  <si>
    <t>61-64</t>
  </si>
  <si>
    <t>18800-00</t>
  </si>
  <si>
    <t>369 +0</t>
  </si>
  <si>
    <t>65хл выв</t>
  </si>
  <si>
    <t>PDP-100 (L-8) 3,0 м, анод без дроби</t>
  </si>
  <si>
    <t>PDP-100 (F-8) 3,0 м, анод без дроби</t>
  </si>
  <si>
    <t>150.000</t>
  </si>
  <si>
    <t>дав 152</t>
  </si>
  <si>
    <t>6750-00</t>
  </si>
  <si>
    <t>2244-00</t>
  </si>
  <si>
    <t>PDP-100 (крышка) 3,0 м, анод без дроби</t>
  </si>
  <si>
    <t>801.000</t>
  </si>
  <si>
    <t xml:space="preserve">Гесфер Групп </t>
  </si>
  <si>
    <t>[76424] 0906-73, 3,3 м, сплав 6063 Кр, упаковка Т5</t>
  </si>
  <si>
    <t>[76551] 1606-37, 5,3 м, сплав 6063 КР Т6</t>
  </si>
  <si>
    <t>354хл в покраске</t>
  </si>
  <si>
    <t>520хл в покраске</t>
  </si>
  <si>
    <t>МТ-2-0524, длина 3,270 м, с дробью 10 мкм (37р/кг)</t>
  </si>
  <si>
    <t>МТ-11-5861, длина 5,0 м, с дробью 10 мкм (37 ! р/кг)</t>
  </si>
  <si>
    <t>МТ-11-5861, длина 6,0 м, с дробью 10 мкм (36 ! р/кг)</t>
  </si>
  <si>
    <t>8507023, длина 4,8 м, без дроби 10 мкм (67 ! р/кг) упаковка в стрейч по 2 шт</t>
  </si>
  <si>
    <t>8507029-10, длина 6,0 м, без дроби 10 мкм ( ! 54р/кг) упаковка в стрейч по 2 шт</t>
  </si>
  <si>
    <t>8507029-10, длина 4,8 м, без дроби 10 мкм (67 ! р/кг) упаковка в стрейч по 2 шт</t>
  </si>
  <si>
    <t>345.600</t>
  </si>
  <si>
    <t>175-05</t>
  </si>
  <si>
    <t>190-60</t>
  </si>
  <si>
    <t>185-51</t>
  </si>
  <si>
    <t>170-52</t>
  </si>
  <si>
    <t>141-91</t>
  </si>
  <si>
    <t>176-08</t>
  </si>
  <si>
    <t>60853-25</t>
  </si>
  <si>
    <t>518256-00</t>
  </si>
  <si>
    <t>425.000</t>
  </si>
  <si>
    <t>274762-50</t>
  </si>
  <si>
    <t>дав138</t>
  </si>
  <si>
    <t>34 +0</t>
  </si>
  <si>
    <t>из них 70хл вывезено</t>
  </si>
  <si>
    <t>АВА-4938 профиль, 6,1м, анод с дробью.  БЦ анод 9-12мкм с дробью, упак в пачки по 5шт.</t>
  </si>
  <si>
    <t>[76596] 1606-39, 4,85 м, сплав 6063 КР Т6</t>
  </si>
  <si>
    <t>балка АД-35 L=5090 мм, анод с дробью  9-12мкм (1222р)</t>
  </si>
  <si>
    <t>дав  158</t>
  </si>
  <si>
    <t>13.000</t>
  </si>
  <si>
    <t>2340-00</t>
  </si>
  <si>
    <t>12060-00</t>
  </si>
  <si>
    <t>9450-00</t>
  </si>
  <si>
    <t>5180-00</t>
  </si>
  <si>
    <t>2210-00</t>
  </si>
  <si>
    <t>172.000</t>
  </si>
  <si>
    <t>дав 163</t>
  </si>
  <si>
    <t>3800-00</t>
  </si>
  <si>
    <t>45064-00</t>
  </si>
  <si>
    <t>балка АД-35 L=4570мм, анод с дробью  9-12мкм (1020р)</t>
  </si>
  <si>
    <t>3350-00</t>
  </si>
  <si>
    <t>уголок 50*50*3, длина 3,0м, анодировка без дроби</t>
  </si>
  <si>
    <t>уголок 25*25*2,0м,  длина 3,0м, анодирование без дроби</t>
  </si>
  <si>
    <t>21.000</t>
  </si>
  <si>
    <t>2520-00</t>
  </si>
  <si>
    <t>588.000</t>
  </si>
  <si>
    <t>9530-00</t>
  </si>
  <si>
    <t>109079-88</t>
  </si>
  <si>
    <t>106494.29</t>
  </si>
  <si>
    <t>[30346] 8507025-2 (АГС), бортовой профиль, 6,50м, БА</t>
  </si>
  <si>
    <t>8507023, длина 6,0 м, без дроби 10 мкм (54 !! р/кг) упаковка в стрейч по 2 шт</t>
  </si>
  <si>
    <t>104.640</t>
  </si>
  <si>
    <t>513.600</t>
  </si>
  <si>
    <t>4.700</t>
  </si>
  <si>
    <t>18317-23</t>
  </si>
  <si>
    <t>20013-00</t>
  </si>
  <si>
    <t>13356-72</t>
  </si>
  <si>
    <t>87579-07</t>
  </si>
  <si>
    <t>42573-00</t>
  </si>
  <si>
    <t>327893-45</t>
  </si>
  <si>
    <t>29684-88</t>
  </si>
  <si>
    <t>329-00</t>
  </si>
  <si>
    <t>17 +0</t>
  </si>
  <si>
    <t>94 +0</t>
  </si>
  <si>
    <t>труба V-slot 20*20*, (Р-0,144) длина 6,0м, анодировка с дробью</t>
  </si>
  <si>
    <t>труба V-slot 20*40 (Р-0,217), длина 6,0м, анодировка с дробью</t>
  </si>
  <si>
    <t>720.000</t>
  </si>
  <si>
    <t>144.000</t>
  </si>
  <si>
    <t>10300-00</t>
  </si>
  <si>
    <t>20600-00</t>
  </si>
  <si>
    <t>137600-00</t>
  </si>
  <si>
    <t>дав  172</t>
  </si>
  <si>
    <t>дав 173</t>
  </si>
  <si>
    <t>924.000</t>
  </si>
  <si>
    <t>дав 175</t>
  </si>
  <si>
    <t>ФТМ, уголок  "70", длина 3,1м, с дробью, 15мкм (хл)</t>
  </si>
  <si>
    <t>ФТМ, профиль "90"длина 3,1м, с дробью,15мкм (хл)</t>
  </si>
  <si>
    <t>ФТМ, уголок  "90", длина 3,1м, с дробью, 15мкм (хл)</t>
  </si>
  <si>
    <t>243.000</t>
  </si>
  <si>
    <t>409.000</t>
  </si>
  <si>
    <t>дав 170</t>
  </si>
  <si>
    <t>49680-00</t>
  </si>
  <si>
    <t>65610-00</t>
  </si>
  <si>
    <t>122700-00</t>
  </si>
  <si>
    <t>[76552] 1606-38, 5,15 м, сплав 6063 КР Т6</t>
  </si>
  <si>
    <t>МА к 27.04</t>
  </si>
  <si>
    <t>310 +0</t>
  </si>
  <si>
    <t>петралюм</t>
  </si>
  <si>
    <t>МТ-2-3284-1, длина 3,1 м, с дробью 10 мкм (38 р/кг)</t>
  </si>
  <si>
    <t>254.200</t>
  </si>
  <si>
    <t>158-76</t>
  </si>
  <si>
    <t>40356-79</t>
  </si>
  <si>
    <t>Анодирование алюминиевого профиля (м.п.)</t>
  </si>
  <si>
    <t>КС-Строй</t>
  </si>
  <si>
    <t>феррит</t>
  </si>
  <si>
    <t>лист 1500х3000х1,5</t>
  </si>
  <si>
    <t>17784-00</t>
  </si>
  <si>
    <t>3344-00</t>
  </si>
  <si>
    <t>52.000</t>
  </si>
  <si>
    <t>2475-00</t>
  </si>
  <si>
    <t>3210-00</t>
  </si>
  <si>
    <t>4850-00</t>
  </si>
  <si>
    <t>5615-00</t>
  </si>
  <si>
    <t>5700-00</t>
  </si>
  <si>
    <t>62400-00</t>
  </si>
  <si>
    <t>отгр 21600м, 13хл брак</t>
  </si>
  <si>
    <t>1712 хл брак</t>
  </si>
  <si>
    <t>84 хл готово+ 242 хл</t>
  </si>
  <si>
    <t>8 хл брак</t>
  </si>
  <si>
    <t>ПМ-37, 5,0м, Анодировка без дроби</t>
  </si>
  <si>
    <t>[32437] D22/20 (0906-25), 6,0м, с перфорацией, БА</t>
  </si>
  <si>
    <t>Стройимпульс</t>
  </si>
  <si>
    <t>ТП-5015М, 6,0м, Анодировка с дробью+ОКЛЕЙКА</t>
  </si>
  <si>
    <t>ТП-5014М, 6,0м, Анодировка с дробью+ОКЛЕЙКА</t>
  </si>
  <si>
    <t>ТП-50310, 6,0м, Анодировка с дробью+ОКЛЕЙКА</t>
  </si>
  <si>
    <t>витраж-спб</t>
  </si>
  <si>
    <t>1506-29, 5,3м, Анодировка 5мкм с дробью+стрейч</t>
  </si>
  <si>
    <t>16100-00</t>
  </si>
  <si>
    <t>216 готов</t>
  </si>
  <si>
    <t>3хл вмятины</t>
  </si>
  <si>
    <t>OPT000369</t>
  </si>
  <si>
    <t>OPT000379</t>
  </si>
  <si>
    <t>19200-00</t>
  </si>
  <si>
    <t>23400-00</t>
  </si>
  <si>
    <t>32520-00</t>
  </si>
  <si>
    <t>19500-00</t>
  </si>
  <si>
    <t>4680-00</t>
  </si>
  <si>
    <t xml:space="preserve">Анодирование алюминиевого профиля без дроби (ус) 1111-116, 485мм - 17шт., 320мм-54шт.  БЦ анод  (9-12мкм) без дроби + упаковка каждого основания в стрейч и укладка на паллет. </t>
  </si>
  <si>
    <t>Анодирование алюминиевого профиля без дроби (ус)  Основание 1111-116, 485мм - 30шт.  БЦ анод  (9-12мкм) без дроби + упаковка каждого  основания в стрейч 
и   укладка на паллет.</t>
  </si>
  <si>
    <t>дав 191</t>
  </si>
  <si>
    <t>Анодирование алюминиевого профиля (ус) БЦ анод (9-12мкм) без дроби, каждый хлыст в стрейч. Заявка 27,55м2.</t>
  </si>
  <si>
    <t>гесфер групп</t>
  </si>
  <si>
    <t>609хл  выв</t>
  </si>
  <si>
    <t>22000-00</t>
  </si>
  <si>
    <t>33200-00</t>
  </si>
  <si>
    <t>16600-00</t>
  </si>
  <si>
    <t>дав 199</t>
  </si>
  <si>
    <t>8400-00</t>
  </si>
  <si>
    <t>дав 198</t>
  </si>
  <si>
    <t>28400-00</t>
  </si>
  <si>
    <t>Т-124, 6,0м, Анодировка с дробью</t>
  </si>
  <si>
    <t>Т 93-01, 6,0м, Анодировка с дробью 9-12мкм</t>
  </si>
  <si>
    <t>Т-123, 6,0м, Анодировка с дробью</t>
  </si>
  <si>
    <t>дав201</t>
  </si>
  <si>
    <t>1680-00</t>
  </si>
  <si>
    <t>140505-75</t>
  </si>
  <si>
    <t>[76744] V017-8156, 3,05м, БА</t>
  </si>
  <si>
    <t>111 +0</t>
  </si>
  <si>
    <t>Стройэнергомонтаж</t>
  </si>
  <si>
    <t>OPT000382
000000205</t>
  </si>
  <si>
    <t>201 +0</t>
  </si>
  <si>
    <t>344 +0</t>
  </si>
  <si>
    <t>уголок 20*20*2</t>
  </si>
  <si>
    <t>АТ-7719, длина 3,0м, БЦ анод (9-12мкм), уп в промеж.пачки по 20шт</t>
  </si>
  <si>
    <t>11724.000</t>
  </si>
  <si>
    <t>202239-00</t>
  </si>
  <si>
    <t>ТП-5015М, 6,0м, Анодировка 21мкм с дробью+стрейч</t>
  </si>
  <si>
    <t>ТП-5015М, 6,8м, Анодировка 21мкм с дробью+стрейч</t>
  </si>
  <si>
    <t>ТП-5014М, 6,0м, Анодировка 21мкм с дробью+стрейч</t>
  </si>
  <si>
    <t>ТП-50314-02, 4,2м, БЦ анод 15мкм с дробью</t>
  </si>
  <si>
    <t>ТП-50322, 6,0м, Анодировка 15мкм с дробью</t>
  </si>
  <si>
    <t>54.400</t>
  </si>
  <si>
    <t>168.000</t>
  </si>
  <si>
    <t>14386-08</t>
  </si>
  <si>
    <t>3836-29</t>
  </si>
  <si>
    <t>3384-96</t>
  </si>
  <si>
    <t>19807-20</t>
  </si>
  <si>
    <t>26409-60</t>
  </si>
  <si>
    <t>36 хл готово</t>
  </si>
  <si>
    <t>забраковано</t>
  </si>
  <si>
    <t>готов 27 хл</t>
  </si>
  <si>
    <t>297 хл готово+46 хл</t>
  </si>
  <si>
    <t>[74973] Деталь КРЫШКА с обработками, 40*2, 920 мм, ба</t>
  </si>
  <si>
    <t>8040-00</t>
  </si>
  <si>
    <t>259 +0</t>
  </si>
  <si>
    <t>40 хл вывезено</t>
  </si>
  <si>
    <t>[76847] 1606-45(Кромка 40) 6,0 м, 6063 Т6</t>
  </si>
  <si>
    <t>25 +0</t>
  </si>
  <si>
    <t>598 +0</t>
  </si>
  <si>
    <t>[76681] 1506-29 (АГС 219067), 6,1 м, 6063 КРр, сост Т6, упак.Т5</t>
  </si>
  <si>
    <t>лист 1500х500 мм,  одностороннее анодирование</t>
  </si>
  <si>
    <t>Коли-
чество м.п.</t>
  </si>
  <si>
    <t>Количество хлыстов</t>
  </si>
  <si>
    <t>Цена м.п. руб</t>
  </si>
  <si>
    <t>[56993] 0506-17, Автоуголок 90*60*2мм, 6,0м, 6063 Т1, БА</t>
  </si>
  <si>
    <t>труба 23*1, длина 3,0м, анодировка, без дроби</t>
  </si>
  <si>
    <t>ТП-50314-02, 6,0м, БЦ анод 15мкм с дробью</t>
  </si>
  <si>
    <t>14305-17</t>
  </si>
  <si>
    <t>труба V-slot 90*90(Р-0,703), длина 6,0м, анодировка с дробью</t>
  </si>
  <si>
    <t>[76851] 1606-40 (Н профиль) 6,0 м, сплав 6063 КР Т6</t>
  </si>
  <si>
    <t>[76852] 1606-41 (L профиль) 6,0 м, сплав 6063 КР Т6</t>
  </si>
  <si>
    <t>[76853] 1606-42 (Y профиль) 6,0 м, сплав 6063 КР Т6</t>
  </si>
  <si>
    <t>[76854] 1606-43 (F профиль) 6,0 м, сплав 6063 КР Т6</t>
  </si>
  <si>
    <t>[76850] 1606-44 6,0 м, сплав 6063 КР Т6</t>
  </si>
  <si>
    <t>14800-00</t>
  </si>
  <si>
    <t>21-24.05.2021</t>
  </si>
  <si>
    <t>[18280] Уголок 20*20*2мм (АТ-056, А-1515 ), 6м, БА сплав 6063 под анод</t>
  </si>
  <si>
    <t>428 +0</t>
  </si>
  <si>
    <t>4хл не довоз</t>
  </si>
  <si>
    <t>162 пог.м БЦ</t>
  </si>
  <si>
    <t>36 пог.м БА</t>
  </si>
  <si>
    <t>[35197] 0106-238, 6,0м, 6063 Т1, упаковка Т-5, БА - 18хл на загрузку</t>
  </si>
  <si>
    <t>Кмт</t>
  </si>
  <si>
    <t>40хл, ост брак</t>
  </si>
  <si>
    <t>83хл, ост брак</t>
  </si>
  <si>
    <t>6400-00</t>
  </si>
  <si>
    <t>4800-00</t>
  </si>
  <si>
    <t>5080-00</t>
  </si>
  <si>
    <t>31920-00</t>
  </si>
  <si>
    <t>131.74 резинопластик,  3,1м анод без дроби. Уп. мини-пачки по 15хл в стрейч, бумага рядами</t>
  </si>
  <si>
    <t>20401.100</t>
  </si>
  <si>
    <t>306016-50</t>
  </si>
  <si>
    <t>140хл выв+54 гот</t>
  </si>
  <si>
    <t>дав 223</t>
  </si>
  <si>
    <t>192 хл</t>
  </si>
  <si>
    <t>[24801] ФС-К-007, Прижим базовый 50мм, (0079-18 или ТП-5005М), 6,0м, БА (4 234 007)</t>
  </si>
  <si>
    <t>Завод Синергия</t>
  </si>
  <si>
    <t>Современные системы</t>
  </si>
  <si>
    <t>[76530] 1606-49, 6,0 м, сплав 6063 КР Т6</t>
  </si>
  <si>
    <t>[76531] 1606-50, 6,0 м, сплав 6063 КР Т6</t>
  </si>
  <si>
    <t>7035-00</t>
  </si>
  <si>
    <t>балт-металл</t>
  </si>
  <si>
    <t>Анодирование алюминиевой трубы 40*40*1,5, длина 6,0м, с дробью</t>
  </si>
  <si>
    <t>174.000</t>
  </si>
  <si>
    <t>2013.000</t>
  </si>
  <si>
    <t>72468-00</t>
  </si>
  <si>
    <t>426-00</t>
  </si>
  <si>
    <t>864-00</t>
  </si>
  <si>
    <t>2625-00</t>
  </si>
  <si>
    <t>31.05-01.06.2021</t>
  </si>
  <si>
    <t>321231.003.50-01 ЦГТВ, Петля 9-12мкм, анод</t>
  </si>
  <si>
    <t>321231.003.10.01 ЦГТВ, Дверь левая, 9-12мкм, анод</t>
  </si>
  <si>
    <t>321231.003.10.02 ЦГТВ, Дверь откидная,  9-12мкм, анод</t>
  </si>
  <si>
    <t>321231.003.20.01 ЦГТВ, Дверь правая 9-12мкм, анод</t>
  </si>
  <si>
    <t>321231.003.30.01 ЦГТВ, Пластина 9-12мкм, анод</t>
  </si>
  <si>
    <t>2500-00</t>
  </si>
  <si>
    <t>2300-00</t>
  </si>
  <si>
    <t>152 +0</t>
  </si>
  <si>
    <t xml:space="preserve">OPT000450 </t>
  </si>
  <si>
    <t>[76859] 220658 АГС, (АТ-6270 (ВР-371)), 6063 Т6,  3,7м, БА</t>
  </si>
  <si>
    <t>394хл выв+ 343 хл</t>
  </si>
  <si>
    <t xml:space="preserve"> 300 хл </t>
  </si>
  <si>
    <t>вывезено 2948 хл+1935</t>
  </si>
  <si>
    <t>МТ-11-3133, длина 5.620м, без дроби 10 мкм ( 44 р/кг)</t>
  </si>
  <si>
    <t>МТ-11-3458, длина 4,7м, без дроби 5 мкм (42,7 р/кг!)</t>
  </si>
  <si>
    <t>45285.000</t>
  </si>
  <si>
    <t>36520.000</t>
  </si>
  <si>
    <t>281.000</t>
  </si>
  <si>
    <t>822.500</t>
  </si>
  <si>
    <t>608177-55</t>
  </si>
  <si>
    <t>525888-00</t>
  </si>
  <si>
    <t>49096-32</t>
  </si>
  <si>
    <t>57575-00</t>
  </si>
  <si>
    <t>174-72</t>
  </si>
  <si>
    <t xml:space="preserve"> РУЭЛ Лайтинг Рус</t>
  </si>
  <si>
    <t>[76950] 1606-53, 6,0 м, сплав 6063 КР Т6</t>
  </si>
  <si>
    <t>[76529] 1606-48, 6,0 м, сплав 6063 КР Т6</t>
  </si>
  <si>
    <t>107 +0</t>
  </si>
  <si>
    <t>СТЦ</t>
  </si>
  <si>
    <t>0106-235</t>
  </si>
  <si>
    <t>0106-289</t>
  </si>
  <si>
    <t>242 +0</t>
  </si>
  <si>
    <t>OPT000456</t>
  </si>
  <si>
    <t>OPT000457</t>
  </si>
  <si>
    <t>OPT000458</t>
  </si>
  <si>
    <t>исткон</t>
  </si>
  <si>
    <t>штапик</t>
  </si>
  <si>
    <t>дав_244</t>
  </si>
  <si>
    <t>дав_245</t>
  </si>
  <si>
    <t>129 +0</t>
  </si>
  <si>
    <t>18хл/загр</t>
  </si>
  <si>
    <t>14хл/загр</t>
  </si>
  <si>
    <t>27хл не забирают!</t>
  </si>
  <si>
    <t>Оказание услуг по покраске алюминиевого профиля ВР-055, 3,1м анод 5мкм</t>
  </si>
  <si>
    <t>Оказание услуг по покраске алюминиевого профиля ВР-055, 3,5м анод 5мкм</t>
  </si>
  <si>
    <t>Оказание услуг по покраске алюминиевого профиля ВР-058, 3,1м анод 5мкм</t>
  </si>
  <si>
    <t>Оказание услуг по покраске алюминиевого профиля ВР-058, 3,5м анод 5мкм</t>
  </si>
  <si>
    <t>263.500</t>
  </si>
  <si>
    <t>301.000</t>
  </si>
  <si>
    <t>527.000</t>
  </si>
  <si>
    <t>630.000</t>
  </si>
  <si>
    <t>77.500</t>
  </si>
  <si>
    <t>155.000</t>
  </si>
  <si>
    <t>178.500</t>
  </si>
  <si>
    <t>98 хл выв+114 хл, 6 брак</t>
  </si>
  <si>
    <t>выв 7хл+41 хл бр 2 хл</t>
  </si>
  <si>
    <t>Т 77, 5,0м, Анодировка с дробью 4-5мкм</t>
  </si>
  <si>
    <t>1160.000</t>
  </si>
  <si>
    <t>309.720</t>
  </si>
  <si>
    <t>69-38</t>
  </si>
  <si>
    <t>25-00</t>
  </si>
  <si>
    <t>80475-00</t>
  </si>
  <si>
    <t>7743-00</t>
  </si>
  <si>
    <t>МТ-7-0950-02, длина 3,0 м, с дробью 10 мкм (49р/кг)</t>
  </si>
  <si>
    <t>138902-40</t>
  </si>
  <si>
    <t>155 +0</t>
  </si>
  <si>
    <t>[76532] 1606-51, 6,0 м, сплав 6063 КР Т6</t>
  </si>
  <si>
    <t>622 +0</t>
  </si>
  <si>
    <t>труба 25*2, длина 6,0м, анодировка, с дробью</t>
  </si>
  <si>
    <t>768.000</t>
  </si>
  <si>
    <t>258 дав</t>
  </si>
  <si>
    <t>стальпак</t>
  </si>
  <si>
    <t>труба 40*40*1,2, длина 6,0м, анодировка с дробью+окл</t>
  </si>
  <si>
    <t>OPT000491</t>
  </si>
  <si>
    <t>2 хл, 3 хл брак</t>
  </si>
  <si>
    <t>готово 336 хл</t>
  </si>
  <si>
    <t>готово 240 хл+280 хл</t>
  </si>
  <si>
    <t>Т 65, 6,1м, Анодировка с дробью</t>
  </si>
  <si>
    <t>А 23, 5,1м, Анодировка с дробью</t>
  </si>
  <si>
    <t>183.000</t>
  </si>
  <si>
    <t>10183-25</t>
  </si>
  <si>
    <t>10253-49</t>
  </si>
  <si>
    <t>18972-00</t>
  </si>
  <si>
    <t>85.000</t>
  </si>
  <si>
    <t>38400-00</t>
  </si>
  <si>
    <t>12хл выв готово 138хл</t>
  </si>
  <si>
    <t>МТ-2-01058, длина 6,0м, без дроби 10 мкм (51 р/кг!!)</t>
  </si>
  <si>
    <t>МТ-11-3402, длина 3,250 м, без дроби 10 мкм (46  р/кг)</t>
  </si>
  <si>
    <t>НП-573-01, длина 5,3м, с дробью 10 мкм 35!р/кг)</t>
  </si>
  <si>
    <t>МТ-11-2743, длина 3,0 м, без дроби 5 мкм(91 ркг !)</t>
  </si>
  <si>
    <t>422.500</t>
  </si>
  <si>
    <t>858.600</t>
  </si>
  <si>
    <t>7695.000</t>
  </si>
  <si>
    <t>40070-16</t>
  </si>
  <si>
    <t>8577-00</t>
  </si>
  <si>
    <t>37081-44</t>
  </si>
  <si>
    <t>26161-20</t>
  </si>
  <si>
    <t>36421-81</t>
  </si>
  <si>
    <t>104344-20</t>
  </si>
  <si>
    <t>119 +0</t>
  </si>
  <si>
    <t>выв 96хл, 104гот, 8хл брак</t>
  </si>
  <si>
    <t>268_дав</t>
  </si>
  <si>
    <t>эзс</t>
  </si>
  <si>
    <t>гесфер</t>
  </si>
  <si>
    <t>т-лайт</t>
  </si>
  <si>
    <t>273_дав</t>
  </si>
  <si>
    <t>31968-00</t>
  </si>
  <si>
    <t>5888-00</t>
  </si>
  <si>
    <t>272_дав</t>
  </si>
  <si>
    <t>15840-00</t>
  </si>
  <si>
    <t>20400-00</t>
  </si>
  <si>
    <t>27600-00</t>
  </si>
  <si>
    <t>263_дав</t>
  </si>
  <si>
    <t>4536-00</t>
  </si>
  <si>
    <t>5076-00</t>
  </si>
  <si>
    <t>278_дав</t>
  </si>
  <si>
    <t>480.000</t>
  </si>
  <si>
    <t>51500-00</t>
  </si>
  <si>
    <t>19ХЛ ГОТ, ОСТ БРАК</t>
  </si>
  <si>
    <t>[75811] 1606-17 4,7м оробка 40</t>
  </si>
  <si>
    <r>
      <t>2. ТП-50312</t>
    </r>
    <r>
      <rPr>
        <sz val="12"/>
        <color rgb="FFFF0000"/>
        <rFont val="Arial Cyr"/>
        <charset val="204"/>
      </rPr>
      <t xml:space="preserve"> 6,8м</t>
    </r>
  </si>
  <si>
    <t>117хл гот</t>
  </si>
  <si>
    <t>45хл брак</t>
  </si>
  <si>
    <t>12хл брак</t>
  </si>
  <si>
    <t>210_дав</t>
  </si>
  <si>
    <t>211_дав</t>
  </si>
  <si>
    <t>214_дав</t>
  </si>
  <si>
    <t>232_дав</t>
  </si>
  <si>
    <t>237_дав</t>
  </si>
  <si>
    <t>252_дав</t>
  </si>
  <si>
    <t>253_дав</t>
  </si>
  <si>
    <t>257_дав</t>
  </si>
  <si>
    <t>259_дав</t>
  </si>
  <si>
    <t>261_дав</t>
  </si>
  <si>
    <t>262_дав</t>
  </si>
  <si>
    <t>265_дав</t>
  </si>
  <si>
    <t>242_дав</t>
  </si>
  <si>
    <t>246_дав</t>
  </si>
  <si>
    <t>203_дав</t>
  </si>
  <si>
    <t>1,5 загрузки</t>
  </si>
  <si>
    <t>Анодирование алюминиевого профиля без дроби (ус) ЭСМ. 1111-116, Основание 320мм – 45 шт, Основание 485мм – 11 шт.  БЦ анод 
(9-12мкм) без дроби + упаковка каждого  основания в стрейч и укладка на  паллет.</t>
  </si>
  <si>
    <t>274_дав</t>
  </si>
  <si>
    <t>[48779] С22, (АГС) , длина 6 м, Б/А</t>
  </si>
  <si>
    <t>Анодирование алюминиевого профиля (ус) 23+24+зачистка+оклейка</t>
  </si>
  <si>
    <t>19 хл брак - согласовано</t>
  </si>
  <si>
    <t>Наименование              редакция   25/06</t>
  </si>
  <si>
    <t xml:space="preserve">1хл брак </t>
  </si>
  <si>
    <t>96хл выв, 1хл брак</t>
  </si>
  <si>
    <t>образец без дроби</t>
  </si>
  <si>
    <t>уголок 25*25*3 длина 6,0м, анодировка с дробью</t>
  </si>
  <si>
    <t>петропрофиль плюс</t>
  </si>
  <si>
    <t xml:space="preserve"> 1 бр</t>
  </si>
  <si>
    <t>[77032] 1606-37, 6,1 м, сплав 6063 КР Т6</t>
  </si>
  <si>
    <t>288_дав</t>
  </si>
  <si>
    <t>286_дав</t>
  </si>
  <si>
    <t>282_дав</t>
  </si>
  <si>
    <t>285_дав</t>
  </si>
  <si>
    <t>1118хл гот, остаток закрываем под др заявку</t>
  </si>
  <si>
    <t>[35837] 0906-38, 6,0м, 6063 Т1</t>
  </si>
  <si>
    <t xml:space="preserve">Марина Сервис </t>
  </si>
  <si>
    <t>291 дав</t>
  </si>
  <si>
    <t>35 +0</t>
  </si>
  <si>
    <t>[77188] 1606-52, 6,0 м, сплав 6063 КР Т6</t>
  </si>
  <si>
    <t>840 +0</t>
  </si>
  <si>
    <t>АКМА</t>
  </si>
  <si>
    <t>1118 +0</t>
  </si>
  <si>
    <t>297 дав</t>
  </si>
  <si>
    <t>Крышка  32*7,4  (Р=0,098)длина 3,0м, анодировка с дробью</t>
  </si>
  <si>
    <t>296 дав</t>
  </si>
  <si>
    <t>Алкени</t>
  </si>
  <si>
    <t>58.800</t>
  </si>
  <si>
    <t>1470-00</t>
  </si>
  <si>
    <t>выв 750 шт+250</t>
  </si>
  <si>
    <t>травление листов (обезжиривание) 1500*500</t>
  </si>
  <si>
    <t>МТ-4-452238-1, длина 4,4м, без дроби 10 мкм (44 р/кг)</t>
  </si>
  <si>
    <t>МТ-14-1924-07, длина 6,0м, с дробью 10 мкм (51 р!/кг)</t>
  </si>
  <si>
    <t>МТ-4-452235, длина 4,40м, без дроби 10 мкм (65,6 р/кг) упаковка в стрейч по 2 шт.</t>
  </si>
  <si>
    <t>6725.000</t>
  </si>
  <si>
    <t>510.400</t>
  </si>
  <si>
    <t>1980.000</t>
  </si>
  <si>
    <t>171-12</t>
  </si>
  <si>
    <t>128-90</t>
  </si>
  <si>
    <t>78-06</t>
  </si>
  <si>
    <t>90316-75</t>
  </si>
  <si>
    <t>87339-65</t>
  </si>
  <si>
    <t>210364-80</t>
  </si>
  <si>
    <t>154558-80</t>
  </si>
  <si>
    <t>OPT000533</t>
  </si>
  <si>
    <t>3 хл брак</t>
  </si>
  <si>
    <t>Водоотливы</t>
  </si>
  <si>
    <t>1хл брак экстр</t>
  </si>
  <si>
    <t>уголок 10*10*1,2, длина 6,0м, анодировка без дроби</t>
  </si>
  <si>
    <t>уголок 30*30*1,5, длина 6,0м, анодировка без дроби</t>
  </si>
  <si>
    <t>2052.000</t>
  </si>
  <si>
    <t>1824.000</t>
  </si>
  <si>
    <t>1920.000</t>
  </si>
  <si>
    <t>26942-76</t>
  </si>
  <si>
    <t>33835-20</t>
  </si>
  <si>
    <t>22320-00</t>
  </si>
  <si>
    <t>59520-00</t>
  </si>
  <si>
    <t>14880-00</t>
  </si>
  <si>
    <t>22320-90</t>
  </si>
  <si>
    <t>14879-04</t>
  </si>
  <si>
    <t>298 дав</t>
  </si>
  <si>
    <t>готово - 15хл</t>
  </si>
  <si>
    <t>303 дав</t>
  </si>
  <si>
    <t>306 дав</t>
  </si>
  <si>
    <t>привоз 01/07 готов 1566</t>
  </si>
  <si>
    <t>900хл выв,1хл брак</t>
  </si>
  <si>
    <t>[48067] 0106-136 (Алтек АТ-5733), 6,05м, БА сплав 6063 Т1</t>
  </si>
  <si>
    <t>330 +0</t>
  </si>
  <si>
    <t>308 дав</t>
  </si>
  <si>
    <t>62640-00</t>
  </si>
  <si>
    <t>312 дав</t>
  </si>
  <si>
    <t xml:space="preserve"> 3 хл брак</t>
  </si>
  <si>
    <t>314 дав</t>
  </si>
  <si>
    <t>313_дав</t>
  </si>
  <si>
    <t>ФТМ, профиль "120"длина 3,1м, с дробью,15мкм (хл)</t>
  </si>
  <si>
    <t>OPT000575</t>
  </si>
  <si>
    <t>315 дав</t>
  </si>
  <si>
    <r>
      <t>70хл выв+</t>
    </r>
    <r>
      <rPr>
        <sz val="12"/>
        <color rgb="FFFF0000"/>
        <rFont val="Arial Cyr"/>
        <charset val="204"/>
      </rPr>
      <t>12хл в дроби</t>
    </r>
  </si>
  <si>
    <r>
      <t xml:space="preserve">146 хл гот+59хл, </t>
    </r>
    <r>
      <rPr>
        <sz val="12"/>
        <color rgb="FFFF0000"/>
        <rFont val="Arial Cyr"/>
        <charset val="204"/>
      </rPr>
      <t>1хл в дроби</t>
    </r>
  </si>
  <si>
    <t>344хл выв, 120 хл готов+брак</t>
  </si>
  <si>
    <t>с дробью</t>
  </si>
  <si>
    <t>1хл брак пузыри</t>
  </si>
  <si>
    <t>319_дав</t>
  </si>
  <si>
    <t>альбатрос</t>
  </si>
  <si>
    <t>114 хл</t>
  </si>
  <si>
    <t>317 дав</t>
  </si>
  <si>
    <t>труба 10*10*1, длина 3,0м, анодировка без дроби</t>
  </si>
  <si>
    <t>320 дав</t>
  </si>
  <si>
    <t>Т 72-26, 6,0м, анодировка с дробью</t>
  </si>
  <si>
    <t>Т 72-18, 6,2м, анодировка с дробью</t>
  </si>
  <si>
    <t>62.000</t>
  </si>
  <si>
    <t>24.800</t>
  </si>
  <si>
    <t>4340-00</t>
  </si>
  <si>
    <t>1984-00</t>
  </si>
  <si>
    <t>2480-00</t>
  </si>
  <si>
    <t>[77196] 1606-40 (Н профиль) 3,0 м, сплав 6063 КР Т6</t>
  </si>
  <si>
    <t>678 +0</t>
  </si>
  <si>
    <t>[77197] 1606-41 (L профиль) 3,0 м, сплав 6063 КР Т6</t>
  </si>
  <si>
    <t>620 +0</t>
  </si>
  <si>
    <t>[77198] 1606-42 (Y профиль) 3,0 м, сплав 6063 КР Т6</t>
  </si>
  <si>
    <t>584 +0</t>
  </si>
  <si>
    <t>[77115] 1606-55(кромка 40) 4,5 м, 6063 Т6</t>
  </si>
  <si>
    <t>1хл - недовоз</t>
  </si>
  <si>
    <t>311 +0</t>
  </si>
  <si>
    <t>OPT000581</t>
  </si>
  <si>
    <t>180 готово, 1 хл брак</t>
  </si>
  <si>
    <t>116 хл</t>
  </si>
  <si>
    <t>Севзапметалл</t>
  </si>
  <si>
    <t>уголок 15*15*1,5, длина 6,0м, анодировка без дроби</t>
  </si>
  <si>
    <t>уголок 20*20*1,5, длина 6,0м, анодировка без дроби</t>
  </si>
  <si>
    <t>уголок 25*25*1,5, длина 6,0м, анодирование без дроби</t>
  </si>
  <si>
    <t>Уголок 30х30х2, длина 6,0м,  анодирование без дроби</t>
  </si>
  <si>
    <t>уголок 40*20*2, длина 6,0м, анодировка без дроби</t>
  </si>
  <si>
    <t>швеллер 10*10*10*1,5, длина 6,0м, анодировка без дроби</t>
  </si>
  <si>
    <t>140.000</t>
  </si>
  <si>
    <t>27300-00</t>
  </si>
  <si>
    <t>дав 331</t>
  </si>
  <si>
    <t xml:space="preserve"> готово 190хл</t>
  </si>
  <si>
    <t>1 хл брак</t>
  </si>
  <si>
    <t xml:space="preserve"> Строительные системы СПб</t>
  </si>
  <si>
    <t xml:space="preserve">ЗСП </t>
  </si>
  <si>
    <t>дав 332</t>
  </si>
  <si>
    <t>6800-00</t>
  </si>
  <si>
    <t>22400-00</t>
  </si>
  <si>
    <t>[77199] 1606-43 (F профиль) 3,0 м, сплав 6063 КР Т6</t>
  </si>
  <si>
    <t>[77200] 1606-44 3,0 м, сплав 6063 КР Т6</t>
  </si>
  <si>
    <t>631 +0</t>
  </si>
  <si>
    <r>
      <t xml:space="preserve">4756 хл вывезено? </t>
    </r>
    <r>
      <rPr>
        <sz val="12"/>
        <color rgb="FFFF0000"/>
        <rFont val="Arial Cyr"/>
        <charset val="204"/>
      </rPr>
      <t>1200 хл+ 1348 хл- на складе</t>
    </r>
  </si>
  <si>
    <r>
      <t xml:space="preserve">116 выв , </t>
    </r>
    <r>
      <rPr>
        <sz val="12"/>
        <color rgb="FFFF0000"/>
        <rFont val="Arial Cyr"/>
        <charset val="204"/>
      </rPr>
      <t>9 хл с дробью, 40+16 хл готово</t>
    </r>
  </si>
  <si>
    <r>
      <t xml:space="preserve">34 хл выв, </t>
    </r>
    <r>
      <rPr>
        <sz val="12"/>
        <color rgb="FFFF0000"/>
        <rFont val="Arial Cyr"/>
        <charset val="204"/>
      </rPr>
      <t>16 хл готово</t>
    </r>
    <r>
      <rPr>
        <sz val="12"/>
        <color theme="1"/>
        <rFont val="Arial Cyr"/>
        <family val="2"/>
        <charset val="204"/>
      </rPr>
      <t>,</t>
    </r>
    <r>
      <rPr>
        <sz val="12"/>
        <color rgb="FFFF0000"/>
        <rFont val="Arial Cyr"/>
        <charset val="204"/>
      </rPr>
      <t>15 хл с дробью</t>
    </r>
  </si>
  <si>
    <t>дав 339</t>
  </si>
  <si>
    <t>222912-00</t>
  </si>
  <si>
    <t>[38078] Уголок 10*10*1.2мм, (АВА-1098, АТ-709), 6,0м, БА сплав АД31</t>
  </si>
  <si>
    <t>199 +0</t>
  </si>
  <si>
    <t>162хл</t>
  </si>
  <si>
    <t>готово 60 хл+356хл</t>
  </si>
  <si>
    <t>1988 +0</t>
  </si>
  <si>
    <t>359 +0</t>
  </si>
  <si>
    <t>квант</t>
  </si>
  <si>
    <t>[77155] 1606-62, 6,0 м, 6063 Т6</t>
  </si>
  <si>
    <t>1174 +0</t>
  </si>
  <si>
    <t>397 +0</t>
  </si>
  <si>
    <r>
      <t>6880 хл вывезено,</t>
    </r>
    <r>
      <rPr>
        <sz val="12"/>
        <color rgb="FFFF0000"/>
        <rFont val="Arial Cyr"/>
        <charset val="204"/>
      </rPr>
      <t>готово  2165 хл</t>
    </r>
  </si>
  <si>
    <t>готово 90 хл+90+84</t>
  </si>
  <si>
    <t>387 +0</t>
  </si>
  <si>
    <t>[75458] 0706-95, 3,0м, сплав 6063КР, сост Т6, упаковка Т5</t>
  </si>
  <si>
    <t>405 +0</t>
  </si>
  <si>
    <t>1260хл под отгрузку, ост на склад</t>
  </si>
  <si>
    <t>141хл под техно, ост под склад</t>
  </si>
  <si>
    <t>OPT000614</t>
  </si>
  <si>
    <t>200хл выв+137хл, 1хл брак</t>
  </si>
  <si>
    <t>OPT000597</t>
  </si>
  <si>
    <t>OPT000598</t>
  </si>
  <si>
    <t>OPT000599</t>
  </si>
  <si>
    <t>OPT000601</t>
  </si>
  <si>
    <t>дав 351</t>
  </si>
  <si>
    <t>175.000</t>
  </si>
  <si>
    <t>крылья</t>
  </si>
  <si>
    <t>вывезено  180 хл ,7хл брак+ 20 хл</t>
  </si>
  <si>
    <t>457 +0</t>
  </si>
  <si>
    <t>[77504] 0706-91 4,9 м, БА сплав 6063 Кр</t>
  </si>
  <si>
    <t>Энергозащ сис</t>
  </si>
  <si>
    <t>[77502] 0706-85 4,9 м, сплав 6063Кр, сост Т1, уп. Т5</t>
  </si>
  <si>
    <t>133 +0</t>
  </si>
  <si>
    <t>[77499] 0706-86 4,9м, сплав 6063 Кр, сост Т6, упак Т5</t>
  </si>
  <si>
    <t>50 хл готово+331 хл, 6 хл брак</t>
  </si>
  <si>
    <t>дав 356</t>
  </si>
  <si>
    <t>221199, 2,5м, БЦ анод 9-12мкм, упак в стрейч</t>
  </si>
  <si>
    <t>221162, 2,5м, БЦ анод 9-12мкм, упак в стрейч</t>
  </si>
  <si>
    <t>АВД-1676, 5,2м, БЦ анод 9-12мкм с дробью</t>
  </si>
  <si>
    <t>5.200</t>
  </si>
  <si>
    <t>35.000</t>
  </si>
  <si>
    <t>OPT000618</t>
  </si>
  <si>
    <t>OPT000619</t>
  </si>
  <si>
    <t>8хл брак</t>
  </si>
  <si>
    <t>готово 326 хл+ 33 готово</t>
  </si>
  <si>
    <t>Теплый север</t>
  </si>
  <si>
    <t>195 хл</t>
  </si>
  <si>
    <t>[37634] 0906-85, 4,0м,  6063 КР Т1</t>
  </si>
  <si>
    <t>ФАМ</t>
  </si>
  <si>
    <t>[77162] 1606-45(Кромка 40) 4,5 м, 6063 Т6</t>
  </si>
  <si>
    <t>OPT000631</t>
  </si>
  <si>
    <t>OPT000632</t>
  </si>
  <si>
    <t>322_дав</t>
  </si>
  <si>
    <t>329_дав</t>
  </si>
  <si>
    <t>340_дав</t>
  </si>
  <si>
    <t>348_дав</t>
  </si>
  <si>
    <t>358_дав</t>
  </si>
  <si>
    <t>361_дав</t>
  </si>
  <si>
    <t>362_дав</t>
  </si>
  <si>
    <t>не завезена</t>
  </si>
  <si>
    <t>365_дав</t>
  </si>
  <si>
    <t>ЮП-2656 профиль, 6115мм, анод 15мкм с дробью+оклейка</t>
  </si>
  <si>
    <t>ЮП-2722 профиль, 6115мм, анод 15мкм с дробью+оклейка</t>
  </si>
  <si>
    <t>лпм-комплекс</t>
  </si>
  <si>
    <t>111780-00</t>
  </si>
  <si>
    <t>124200-00</t>
  </si>
  <si>
    <t>вип интеграция</t>
  </si>
  <si>
    <t>367_дав</t>
  </si>
  <si>
    <t>НЧП-7724 3,0</t>
  </si>
  <si>
    <t>440 +0</t>
  </si>
  <si>
    <t>готово 50хл</t>
  </si>
  <si>
    <t>брак 3хл</t>
  </si>
  <si>
    <t>370 дав</t>
  </si>
  <si>
    <t>3900-00</t>
  </si>
  <si>
    <t>11400-00</t>
  </si>
  <si>
    <t>371_дав</t>
  </si>
  <si>
    <t>495 +0</t>
  </si>
  <si>
    <t>[23397] 0506-17, Автоуголок 90*60*2мм, 6,0м, БА сплав АД 31 Т1</t>
  </si>
  <si>
    <t>8808.000</t>
  </si>
  <si>
    <t>1992.000</t>
  </si>
  <si>
    <t>2580.000</t>
  </si>
  <si>
    <t>1620.000</t>
  </si>
  <si>
    <t>1674.000</t>
  </si>
  <si>
    <t>4764.000</t>
  </si>
  <si>
    <t>2238.000</t>
  </si>
  <si>
    <t>152378-40</t>
  </si>
  <si>
    <t>40357-92</t>
  </si>
  <si>
    <t>65325-60</t>
  </si>
  <si>
    <t>51840-00</t>
  </si>
  <si>
    <t>53568-00</t>
  </si>
  <si>
    <t>73908-48</t>
  </si>
  <si>
    <t>90516-00</t>
  </si>
  <si>
    <t>71616-00</t>
  </si>
  <si>
    <t>20+36 хл готово</t>
  </si>
  <si>
    <t>дав 374</t>
  </si>
  <si>
    <t>55.000</t>
  </si>
  <si>
    <t>20650.000</t>
  </si>
  <si>
    <t>15244-00</t>
  </si>
  <si>
    <t>61218-30</t>
  </si>
  <si>
    <t>277329-50</t>
  </si>
  <si>
    <t>готово 419 хл, 18 хл брак</t>
  </si>
  <si>
    <t>переанод</t>
  </si>
  <si>
    <t>23 +0</t>
  </si>
  <si>
    <t>OPT000647</t>
  </si>
  <si>
    <t>[865] 0106-152, полоса 155*4мм, 6,0м, АД31 Т1, БА</t>
  </si>
  <si>
    <t>Трейд Дьюти Фри</t>
  </si>
  <si>
    <t>[45916] 0906-05, 6,1м, БА сплав 6063 под анод Т5</t>
  </si>
  <si>
    <t>99 +0</t>
  </si>
  <si>
    <t>СВЕТЛАНА-ОПТОЭЛЕКТРОНИКА</t>
  </si>
  <si>
    <t>БЦ анод 9-12мкм БЕЗ ДРОБИ, уп.в стрейч. Горит</t>
  </si>
  <si>
    <t>труба 35*2, длина 6,0м, анодирование с дробью</t>
  </si>
  <si>
    <t>1440хл гот+ 1436 хл, 4 бр</t>
  </si>
  <si>
    <t>4308.000</t>
  </si>
  <si>
    <t>НЧП-7724 анод без др 5мкм</t>
  </si>
  <si>
    <t>383_дав</t>
  </si>
  <si>
    <t>369_дав</t>
  </si>
  <si>
    <t xml:space="preserve">384 дав </t>
  </si>
  <si>
    <t>Т 96, 6,0м, Анодировка с дробью</t>
  </si>
  <si>
    <t>385 дав</t>
  </si>
  <si>
    <t>12336-00</t>
  </si>
  <si>
    <t>4165-20</t>
  </si>
  <si>
    <t>2181-60</t>
  </si>
  <si>
    <t>3103-20</t>
  </si>
  <si>
    <t>ускорить</t>
  </si>
  <si>
    <t>386 дав</t>
  </si>
  <si>
    <t>12хл брак БА механ.поврежд.</t>
  </si>
  <si>
    <t>брак 4хл царапины, вмятины</t>
  </si>
  <si>
    <t>2хл брак БА механ.поврежд. в ЛОМА</t>
  </si>
  <si>
    <t>2хл брак БА механ.поврежден.</t>
  </si>
  <si>
    <t>592 +0</t>
  </si>
  <si>
    <t>Балт-металл</t>
  </si>
  <si>
    <t>389 дав</t>
  </si>
  <si>
    <t>4240-00</t>
  </si>
  <si>
    <t>6060-00</t>
  </si>
  <si>
    <t>348 дав</t>
  </si>
  <si>
    <t>30900-00</t>
  </si>
  <si>
    <t>390 дав</t>
  </si>
  <si>
    <t>вывезено 60 хл</t>
  </si>
  <si>
    <t>вывезено 22 хл</t>
  </si>
  <si>
    <t>УПАКОВКА Мини-пачка  в стрейч - Складываем один в один, три пары (всего 6хл)</t>
  </si>
  <si>
    <t>готово 2064 хл</t>
  </si>
  <si>
    <t>190 +0</t>
  </si>
  <si>
    <t>1085 +0</t>
  </si>
  <si>
    <t>[77504] 0706-91 4,9 м, БА сплав 6063 Кр Т6, уп Т-5</t>
  </si>
  <si>
    <t>453 +0</t>
  </si>
  <si>
    <t>394дав</t>
  </si>
  <si>
    <t>552.000</t>
  </si>
  <si>
    <t>35328-00</t>
  </si>
  <si>
    <t xml:space="preserve">396 дав </t>
  </si>
  <si>
    <t>130 +0</t>
  </si>
  <si>
    <t>OPT000698</t>
  </si>
  <si>
    <t xml:space="preserve">397 дав </t>
  </si>
  <si>
    <t>278 хл готово, 10 хл брак пузыри</t>
  </si>
  <si>
    <t>435 вывоз, 60хл брак геометрия</t>
  </si>
  <si>
    <t>вывезено 109 хл,331хл брак геометрия</t>
  </si>
  <si>
    <t>401 дав</t>
  </si>
  <si>
    <t>МТ-Р-0002(11-2743), длина 3,0м, без дроби 10 мкм (98р!!/кг)Упаковка мини пачки по 10шт</t>
  </si>
  <si>
    <t>[69862] 219153,  6,0 м, сплав 6060, БА Т1</t>
  </si>
  <si>
    <t>626 +0</t>
  </si>
  <si>
    <t>Сименс</t>
  </si>
  <si>
    <t>103 +0</t>
  </si>
  <si>
    <t xml:space="preserve">Оказание услуг по бесцветному анодированию с дробью алюминиевого профиля 
Заявка №26, 3 загрузки+1 снятие, зачиска, предвар.травление. </t>
  </si>
  <si>
    <t>39900-00</t>
  </si>
  <si>
    <t>402 дав</t>
  </si>
  <si>
    <t>Строительные системы СПб</t>
  </si>
  <si>
    <t>248 +0</t>
  </si>
  <si>
    <t xml:space="preserve">3 хл брак </t>
  </si>
  <si>
    <t>410 дав</t>
  </si>
  <si>
    <t>лист 1200х500 мм,  двухстороннее анодирование</t>
  </si>
  <si>
    <t xml:space="preserve">вывезено340хл, 2хл брак, </t>
  </si>
  <si>
    <t>412 дав</t>
  </si>
  <si>
    <r>
      <rPr>
        <sz val="12"/>
        <rFont val="Arial Cyr"/>
        <charset val="204"/>
      </rPr>
      <t>вывезено 528 хл</t>
    </r>
    <r>
      <rPr>
        <sz val="12"/>
        <color rgb="FFFF0000"/>
        <rFont val="Arial Cyr"/>
        <family val="2"/>
        <charset val="204"/>
      </rPr>
      <t>, готово 551 хл, 6 хл брак</t>
    </r>
  </si>
  <si>
    <t>48 готово+55 (2 хл под др кл)</t>
  </si>
  <si>
    <t>Т 22-01, 6,0м, Анодировка с дробью</t>
  </si>
  <si>
    <t>Т 24, 6,0м, Анодировка с дробью</t>
  </si>
  <si>
    <t>А 30 прогон , 5,1м, Анодировка с дробью</t>
  </si>
  <si>
    <t>Т-160-03 6,1м, Анодировка с дробью</t>
  </si>
  <si>
    <t>418 дав</t>
  </si>
  <si>
    <t>357.000</t>
  </si>
  <si>
    <t>7855-20</t>
  </si>
  <si>
    <t>1060-80</t>
  </si>
  <si>
    <t>2365-50</t>
  </si>
  <si>
    <t>3710-25</t>
  </si>
  <si>
    <t>41236-00</t>
  </si>
  <si>
    <t>29738-10</t>
  </si>
  <si>
    <t>419 дав</t>
  </si>
  <si>
    <t>ФКГП416 10 01 041 (полурамка) гальваническое покрытие,  15-21мкм</t>
  </si>
  <si>
    <t>эталон</t>
  </si>
  <si>
    <t>[76025] 8507025 (АГС8507025) шир 192мм, бортовой профиль, 6,0м, БА</t>
  </si>
  <si>
    <t>420 дав</t>
  </si>
  <si>
    <t>[77114] 1606-56(кромка 60) 4,5 м, 6063 Т6</t>
  </si>
  <si>
    <t>4240хл-4 паллеты по 1060, 2 хл брак, 8 хл не довоз</t>
  </si>
  <si>
    <t>4 на склад, 3 в эталон</t>
  </si>
  <si>
    <t>Тавр 20х20х2, длина 6,0м, анодировка без дроби</t>
  </si>
  <si>
    <t>Тавр 25х25х2, длина 6,0м, анодировка без дроби</t>
  </si>
  <si>
    <t>Тавр 30х30х1,5,  длина 6,0м, анодировка без дроби</t>
  </si>
  <si>
    <t>труба 10*10*1, длина 6,0м, анодировка без дроби</t>
  </si>
  <si>
    <t>труба 40*40*1,5, длина 6,0м, анодировка без дроби</t>
  </si>
  <si>
    <t>труба 10*1, длина 6,0м, анодировка без дроби</t>
  </si>
  <si>
    <t>уголок 40*10*2, длина 6,0м, анодировка без дроби</t>
  </si>
  <si>
    <t>уголок 50*20*2, длина 6,0м, анодировка без дроби</t>
  </si>
  <si>
    <t>швеллер 15*12*15*2,0, длина 6,0м, анодировка без дроби</t>
  </si>
  <si>
    <t>уголок 10*10*1,2, длина 6,07м, анодировка без дроби</t>
  </si>
  <si>
    <t>423 дав</t>
  </si>
  <si>
    <t>8510.140</t>
  </si>
  <si>
    <t>5247-00</t>
  </si>
  <si>
    <t>5893-00</t>
  </si>
  <si>
    <t>6552-00</t>
  </si>
  <si>
    <t>4420-00</t>
  </si>
  <si>
    <t>8840-00</t>
  </si>
  <si>
    <t>17680-00</t>
  </si>
  <si>
    <t>4725-00</t>
  </si>
  <si>
    <t>5071-00</t>
  </si>
  <si>
    <t>122970-00</t>
  </si>
  <si>
    <t>151 готов, выв 60хл+60</t>
  </si>
  <si>
    <t>[77779] АГС_97082, Автоуголок 50*50 мм, 6,0м,  сплав Ад31 Т1 + упаковка А5</t>
  </si>
  <si>
    <t>346 +0</t>
  </si>
  <si>
    <t>427 дав</t>
  </si>
  <si>
    <t>труба V-slot 30*90, длина 6,0м, анодировка с дробью</t>
  </si>
  <si>
    <t>429_дав</t>
  </si>
  <si>
    <t>[16959] 0306-12, 6,0м, 6063 Т1, упаковка Т-5, БА</t>
  </si>
  <si>
    <t>[22579] 0506-08, 6,0м, сплав 6063КР, БА</t>
  </si>
  <si>
    <t>[78002] 1606-68, 4,0м,  6063 Т1</t>
  </si>
  <si>
    <t>N581 брак БА механ.поврежд.</t>
  </si>
  <si>
    <t>318п.м  готово</t>
  </si>
  <si>
    <t>297 +0</t>
  </si>
  <si>
    <t>317 +0</t>
  </si>
  <si>
    <t>1паллет</t>
  </si>
  <si>
    <t>2паллета</t>
  </si>
  <si>
    <t>-</t>
  </si>
  <si>
    <t>436_дав</t>
  </si>
  <si>
    <t>МТ-4-452238, длина 4,4м, без дроби 10 мкм (44 р/кг)</t>
  </si>
  <si>
    <t>МТ-2-0880, длина 3,240 м, без дроби 9-12 мкм (61,40 !р/кг)</t>
  </si>
  <si>
    <t>МТ-11-3097, длина 4,0м, без дроби 10 мкм (87,80!р/кг)</t>
  </si>
  <si>
    <t>5380.000</t>
  </si>
  <si>
    <t>519.200</t>
  </si>
  <si>
    <t>848.880</t>
  </si>
  <si>
    <t>1124.000</t>
  </si>
  <si>
    <t>55-70</t>
  </si>
  <si>
    <t>41-10</t>
  </si>
  <si>
    <t>72253-40</t>
  </si>
  <si>
    <t>88845-50</t>
  </si>
  <si>
    <t>47282-62</t>
  </si>
  <si>
    <t>46196-40</t>
  </si>
  <si>
    <t>[77780] АГС_97101, Автоуголок 250*40мм, 6,0м, сплав Ад31 Т1 +  упаковка А5</t>
  </si>
  <si>
    <t>298 +0</t>
  </si>
  <si>
    <t>437_дав</t>
  </si>
  <si>
    <t>1506-29,5,3м</t>
  </si>
  <si>
    <t>1хл брак БА в ЛОМА пузыри</t>
  </si>
  <si>
    <t>440_дав</t>
  </si>
  <si>
    <t>15450-00</t>
  </si>
  <si>
    <t>442_дав</t>
  </si>
  <si>
    <t>OPT000766</t>
  </si>
  <si>
    <t>без дроби</t>
  </si>
  <si>
    <t>ДРОБЬ</t>
  </si>
  <si>
    <t>[76552] 1606-38 (197.05) 5,15 м, сплав 6063 КР Т6</t>
  </si>
  <si>
    <t>40 хл Техно, 13 на склад, 1 хл брак</t>
  </si>
  <si>
    <t>537 +0</t>
  </si>
  <si>
    <t>2хл брак БА в ЛОМА мех.повр.</t>
  </si>
  <si>
    <t>435_дав</t>
  </si>
  <si>
    <t>444 дав</t>
  </si>
  <si>
    <t>без дроби 3 хл брак</t>
  </si>
  <si>
    <t>445 дав</t>
  </si>
  <si>
    <t>[23927] А 29 (0073-16), 5,0м, RAL 9005 муар</t>
  </si>
  <si>
    <t xml:space="preserve">448 дав </t>
  </si>
  <si>
    <t>БА в ЛОМА механ.поврежд.</t>
  </si>
  <si>
    <t>Анодирование алюминиевого профиля 18мкм с дробью</t>
  </si>
  <si>
    <t>447 дав</t>
  </si>
  <si>
    <t>уголок 25*25*2,0м,  длина 6,0м, анодирование без дроби</t>
  </si>
  <si>
    <t>446 дав</t>
  </si>
  <si>
    <t>34227-36</t>
  </si>
  <si>
    <t>50342-40</t>
  </si>
  <si>
    <t>74772-00</t>
  </si>
  <si>
    <t>44856-00</t>
  </si>
  <si>
    <t>89712-00</t>
  </si>
  <si>
    <t>29904-00</t>
  </si>
  <si>
    <t>52332-00</t>
  </si>
  <si>
    <t>52335-36</t>
  </si>
  <si>
    <t>78696-00</t>
  </si>
  <si>
    <t>22428-00</t>
  </si>
  <si>
    <t>304хл гот, 96 в работе</t>
  </si>
  <si>
    <t>[77411] 1606-70, 2,98м, 6063  Т6 уп Т-1</t>
  </si>
  <si>
    <t>569 +0</t>
  </si>
  <si>
    <t>15000-00</t>
  </si>
  <si>
    <t>176 хл вывоз,81 хл готов</t>
  </si>
  <si>
    <t>[30344] 8507023 (АА-2064-01, НЧП 5090?) 6,50м, сплав 6063 Т1</t>
  </si>
  <si>
    <t>[30347] 8507029-10 (АА-2064-03, НЧП 5094?), 6,50м, сплав 6063 Т1</t>
  </si>
  <si>
    <t>труба 30*30*3 длина 6,0м, анодировка с дробью</t>
  </si>
  <si>
    <t>1 хл готов</t>
  </si>
  <si>
    <t>212 +0</t>
  </si>
  <si>
    <t>120+180+107 хл готово</t>
  </si>
  <si>
    <t>МТ-11-1294, длина 4,0м, без дроби 10 мкм (98 р/кг)</t>
  </si>
  <si>
    <t>МТ-11-3458, длина 4,7м, без дроби 5 мкм (43,40 р/кг!)</t>
  </si>
  <si>
    <t>97533-84</t>
  </si>
  <si>
    <t>69202-38</t>
  </si>
  <si>
    <t>55-67</t>
  </si>
  <si>
    <t>71-13</t>
  </si>
  <si>
    <t>14-60</t>
  </si>
  <si>
    <t>20+40+40+19 хл готово</t>
  </si>
  <si>
    <t>288+96+183 хл готово</t>
  </si>
  <si>
    <t>192 +0</t>
  </si>
  <si>
    <t>А 22 Н-профиль, 5,1м, Анодировка с дробью</t>
  </si>
  <si>
    <t>А 34 прогон , 5,1м, Анодировка с дробью</t>
  </si>
  <si>
    <t>9300-00</t>
  </si>
  <si>
    <t>[76596] 1606-39 (197.04) 4,85 м, сплав 6063 КР Т6</t>
  </si>
  <si>
    <t>1362 +0</t>
  </si>
  <si>
    <t>640 +0</t>
  </si>
  <si>
    <t>216153.00</t>
  </si>
  <si>
    <t>28800-00</t>
  </si>
  <si>
    <t>11700-00</t>
  </si>
  <si>
    <t>Зачистка поверхности профиля от забоин и царапин, пятен</t>
  </si>
  <si>
    <t>готово 900+460 хл, 2 брак</t>
  </si>
  <si>
    <t>забоины, царапины</t>
  </si>
  <si>
    <t>482 дав</t>
  </si>
  <si>
    <t>450 дав</t>
  </si>
  <si>
    <t>451дав</t>
  </si>
  <si>
    <t>455 дав</t>
  </si>
  <si>
    <t>457 дав</t>
  </si>
  <si>
    <t xml:space="preserve"> 463 дав</t>
  </si>
  <si>
    <t>464 дав</t>
  </si>
  <si>
    <t>468 дав</t>
  </si>
  <si>
    <t>469 дав</t>
  </si>
  <si>
    <t>472 дав</t>
  </si>
  <si>
    <t>473 дав</t>
  </si>
  <si>
    <t>474 дав</t>
  </si>
  <si>
    <t>475 дав</t>
  </si>
  <si>
    <t xml:space="preserve"> 476 дав</t>
  </si>
  <si>
    <t>480 дав</t>
  </si>
  <si>
    <t>МТ-11-4500, длина 5,72м, без дроби 10 мкм (51,20!)р/кг)</t>
  </si>
  <si>
    <t>194 +0</t>
  </si>
  <si>
    <t>[30616] 0706-94 (197.07), 6,0м, сплав 6063 КР, состТ1, упаковка.Т5</t>
  </si>
  <si>
    <t>483 дав</t>
  </si>
  <si>
    <t>крылья большие</t>
  </si>
  <si>
    <t>485 дав</t>
  </si>
  <si>
    <t>МТ-4-452235, длина 4,0м, без дроби 10 мкм (68 ! р/кг) упаковка в стрейч по 2 шт.</t>
  </si>
  <si>
    <t>459155.40</t>
  </si>
  <si>
    <t>129472.00</t>
  </si>
  <si>
    <t>не завезен</t>
  </si>
  <si>
    <t>[35004] 0906-85, 6,0м, 6063 КР Т1</t>
  </si>
  <si>
    <t>OPT000831</t>
  </si>
  <si>
    <t>486 дав</t>
  </si>
  <si>
    <t>уголок 20*20*1,5, длина 3,0м, анодировка без дроби</t>
  </si>
  <si>
    <t>СЗППК (проминдустрия)</t>
  </si>
  <si>
    <t>приход 8 шт</t>
  </si>
  <si>
    <t xml:space="preserve">493 дав </t>
  </si>
  <si>
    <t>ФТМ, уголок  "50", длина 3,1м, с дробью, 15мкм (м.п)</t>
  </si>
  <si>
    <t>ФТМ, профиль "50"длина 3,1м, с дробью,15мкм (м.п)</t>
  </si>
  <si>
    <t>ФТМ, профиль "70", длина 3,1м, с дробью, 15мкм (м.п)</t>
  </si>
  <si>
    <t>1835.200</t>
  </si>
  <si>
    <t>2024.300</t>
  </si>
  <si>
    <t>1525.200</t>
  </si>
  <si>
    <t>1463.200</t>
  </si>
  <si>
    <t>130900-00</t>
  </si>
  <si>
    <t>119000-00</t>
  </si>
  <si>
    <t>142800-00</t>
  </si>
  <si>
    <t>107100-00</t>
  </si>
  <si>
    <t>112000-00</t>
  </si>
  <si>
    <t>490 дав</t>
  </si>
  <si>
    <t>завезен</t>
  </si>
  <si>
    <t>[287] Уголок 20*20*1,5мм, (9999-58, ФС-Д-013, ЮП-012, АТ-548, А-1596, АА-120), 6,0м, БА</t>
  </si>
  <si>
    <t>OPT000835</t>
  </si>
  <si>
    <t>320+320 хл готово</t>
  </si>
  <si>
    <t>на склад Норма</t>
  </si>
  <si>
    <t>полоса 35х2мм, длина 3,0м, анодировка без дроби</t>
  </si>
  <si>
    <t>498 дав</t>
  </si>
  <si>
    <t>ПромСталь</t>
  </si>
  <si>
    <t>499 дав</t>
  </si>
  <si>
    <t>МТ-11-3459, длина 4,7м, без дроби 5 мкм (47,7 ! р/кг)</t>
  </si>
  <si>
    <t>143288-90</t>
  </si>
  <si>
    <t>вывезено 180 хл</t>
  </si>
  <si>
    <t>25-26.10</t>
  </si>
  <si>
    <t>[76124] 8507029-10 (АГС), 6,50м, БА сплав 6063 КР Т1</t>
  </si>
  <si>
    <t>186588.00</t>
  </si>
  <si>
    <t>Т-171, 6,1м, Анодировка с дробью</t>
  </si>
  <si>
    <t>503 дав</t>
  </si>
  <si>
    <t>ДИ 02.02.110.002-01 Планка крепежная, анод без дроби, 15-21мкм</t>
  </si>
  <si>
    <t>ДИ 02.02.210.001 Профиль рамы , анод без дроби, 15-21мкм</t>
  </si>
  <si>
    <t>13125-00</t>
  </si>
  <si>
    <t>4375-00</t>
  </si>
  <si>
    <t>505 дав</t>
  </si>
  <si>
    <t>[61528] 0306-09, 6,0м, сплав 6063КР</t>
  </si>
  <si>
    <t>504 дав</t>
  </si>
  <si>
    <t>9750-00</t>
  </si>
  <si>
    <t>25500-00</t>
  </si>
  <si>
    <t>12750-00</t>
  </si>
  <si>
    <t>МТ-2-3285, длина 3,1 м, с дробью 10 мкм (40,2 р/кг)</t>
  </si>
  <si>
    <t>507 дав</t>
  </si>
  <si>
    <t>249835-20</t>
  </si>
  <si>
    <t>31094-83</t>
  </si>
  <si>
    <t>полоса 30х2мм, длина 6,0 м, анодировка без дроби</t>
  </si>
  <si>
    <t>труба 22*1,5, длина 6,0 м, анодировка, без дроби</t>
  </si>
  <si>
    <t>полоса 20х2мм, длина 6,0м, анодировка без дроби</t>
  </si>
  <si>
    <t>508 дав</t>
  </si>
  <si>
    <t>15126-00</t>
  </si>
  <si>
    <t>75367-20</t>
  </si>
  <si>
    <t>29380-32</t>
  </si>
  <si>
    <t>24660-00</t>
  </si>
  <si>
    <t>завоз 22.10</t>
  </si>
  <si>
    <t>511 дав</t>
  </si>
  <si>
    <t>основания 1111-116, 320мм - 144шт</t>
  </si>
  <si>
    <t>45000-00</t>
  </si>
  <si>
    <t>АЛК-2081, длина 6,1м, БЦ анод 15мкм с
дробью</t>
  </si>
  <si>
    <t>АЛК-2082, длина 6,1м, БЦ анод 15мкм с
дробью</t>
  </si>
  <si>
    <t>АЛК-2083, длина 6,1м, БЦ анод 15мкм с
дробью</t>
  </si>
  <si>
    <t>2616.900</t>
  </si>
  <si>
    <t>6484.300</t>
  </si>
  <si>
    <t>5136.200</t>
  </si>
  <si>
    <t>105827-44</t>
  </si>
  <si>
    <t>295035-65</t>
  </si>
  <si>
    <t>122138-84</t>
  </si>
  <si>
    <t xml:space="preserve">489 дав </t>
  </si>
  <si>
    <t>509 дав</t>
  </si>
  <si>
    <t>5320-00</t>
  </si>
  <si>
    <t>3740-00</t>
  </si>
  <si>
    <t>19360-00</t>
  </si>
  <si>
    <t>9856-00</t>
  </si>
  <si>
    <t>завезен 22.10</t>
  </si>
  <si>
    <t>512 дав</t>
  </si>
  <si>
    <t xml:space="preserve">513 дав </t>
  </si>
  <si>
    <t xml:space="preserve">514 дав </t>
  </si>
  <si>
    <t>[72635] 0106-107, 4,2м, 6063 КР5</t>
  </si>
  <si>
    <t>дав 518</t>
  </si>
  <si>
    <t>6058-00</t>
  </si>
  <si>
    <t>4242-00</t>
  </si>
  <si>
    <t>282 +0</t>
  </si>
  <si>
    <t>[77115] 1606-55 (197.14)(кромка 40) 4,5 м, 6063 Т6</t>
  </si>
  <si>
    <t>готово 20+20хл+14</t>
  </si>
  <si>
    <t>готово 92 хл+6</t>
  </si>
  <si>
    <t>нотово 48</t>
  </si>
  <si>
    <t>дав 521</t>
  </si>
  <si>
    <t>[78287] АТ-4868 (плинтус 60) 6,0 м, сплав 6063 Т1</t>
  </si>
  <si>
    <t>224 +0</t>
  </si>
  <si>
    <t>Проминдустрия</t>
  </si>
  <si>
    <t>524 дав</t>
  </si>
  <si>
    <t>523 дав</t>
  </si>
  <si>
    <t>1257760-80</t>
  </si>
  <si>
    <t>[30346] 8507025-2 (АГС), бортовой профиль, 6,50м, Ад31 Т1</t>
  </si>
  <si>
    <t>швеллер 40*30*43*1,5, длина 6,2 м, анодировка с дробью 9-12 мкм</t>
  </si>
  <si>
    <t>Гесфер групп</t>
  </si>
  <si>
    <t>526 дав</t>
  </si>
  <si>
    <t>40хл упаковать</t>
  </si>
  <si>
    <t>[75616] 1606-14 (коробка 50) L= 4,7 м, 6063 Кр Т6, упаковка Т5</t>
  </si>
  <si>
    <t>OPT000898</t>
  </si>
  <si>
    <t>горит!</t>
  </si>
  <si>
    <t>528 дав</t>
  </si>
  <si>
    <t>Анодирование алюминиевого профиля с дробью (м.п)</t>
  </si>
  <si>
    <t>95402-50</t>
  </si>
  <si>
    <t>[48094] 0106-136, 5,1м, 6063 Т1, упаковка Т-5, БА</t>
  </si>
  <si>
    <t>1 шт утопили</t>
  </si>
  <si>
    <t>156 готово 2 хл брак, 7 хл геометрия</t>
  </si>
  <si>
    <t>1488.000</t>
  </si>
  <si>
    <t>28272-00</t>
  </si>
  <si>
    <t>Анодирование алюминиевого профиля АВА-4938, длина 6,1м, с дробью</t>
  </si>
  <si>
    <t>анодирование алюминиевого профиля АВА-4750, длина 6,1м, с дробью</t>
  </si>
  <si>
    <t>3745.4</t>
  </si>
  <si>
    <t>74 420-00</t>
  </si>
  <si>
    <t>102 698-87</t>
  </si>
  <si>
    <t>труба 32*1,5, длина 3,0м, анодировка без дроби</t>
  </si>
  <si>
    <t>530 дав</t>
  </si>
  <si>
    <t>[78590] 1606-82, 6,2м,  6063 Т1 БА</t>
  </si>
  <si>
    <t>Авгит</t>
  </si>
  <si>
    <t>296 +0</t>
  </si>
  <si>
    <t>89 +0</t>
  </si>
  <si>
    <t>готово 235 хл+44, 3 хл  брак</t>
  </si>
  <si>
    <t>Z 310 АП, 5,1 м, Анодировка с дробью</t>
  </si>
  <si>
    <t>535.500</t>
  </si>
  <si>
    <t>532 дав</t>
  </si>
  <si>
    <t>вывезено 34 хл+ готово 20+70</t>
  </si>
  <si>
    <t>579 +0</t>
  </si>
  <si>
    <t>ост 4 хл</t>
  </si>
  <si>
    <t>швеллер 15*12*15*2,0, длина 3,0м, анодировка без дроби</t>
  </si>
  <si>
    <t>537 дав</t>
  </si>
  <si>
    <t>1хл брак БА в ЛОМА мех.повр.</t>
  </si>
  <si>
    <t>2хл брак БА в ЛОМА во</t>
  </si>
  <si>
    <t>15.11-16.11</t>
  </si>
  <si>
    <t>123 +0</t>
  </si>
  <si>
    <t>76 +0</t>
  </si>
  <si>
    <t>OPT000911</t>
  </si>
  <si>
    <t>538 дав</t>
  </si>
  <si>
    <t>540 дав</t>
  </si>
  <si>
    <t>150013-10</t>
  </si>
  <si>
    <t>вывезено 3*1280,готово на складе3* 1280 хл, 1 п-929, 45 хл брак, 1829 хл готово</t>
  </si>
  <si>
    <t>[33879] 0906-63, 6,0м, 6063КР, БА</t>
  </si>
  <si>
    <t>Анодирование алюминиевого профиля без дроби (ус), 320мм</t>
  </si>
  <si>
    <t>545 дав</t>
  </si>
  <si>
    <t>СОЭ</t>
  </si>
  <si>
    <t>544 дав</t>
  </si>
  <si>
    <t>660 +0</t>
  </si>
  <si>
    <t>336 +0</t>
  </si>
  <si>
    <t>21600.00</t>
  </si>
  <si>
    <t xml:space="preserve">Анодирование алюминиевого профиля без дроби (ус), ТИС-24шт+ТИС-47шт. </t>
  </si>
  <si>
    <r>
      <t xml:space="preserve">вывезено 313, </t>
    </r>
    <r>
      <rPr>
        <sz val="12"/>
        <color rgb="FFFF0000"/>
        <rFont val="Arial Cyr"/>
        <charset val="204"/>
      </rPr>
      <t>готово 33 хл,</t>
    </r>
    <r>
      <rPr>
        <sz val="12"/>
        <color theme="1"/>
        <rFont val="Arial Cyr"/>
        <family val="2"/>
        <charset val="204"/>
      </rPr>
      <t xml:space="preserve"> 10 брак</t>
    </r>
  </si>
  <si>
    <t>4900-00</t>
  </si>
  <si>
    <t>1180-00</t>
  </si>
  <si>
    <t>21120-00</t>
  </si>
  <si>
    <t>254 +0</t>
  </si>
  <si>
    <t>[78036] 197.09 поручень, 6,115 м, 6063 КР Т4 под гибку</t>
  </si>
  <si>
    <t>ЛПМ</t>
  </si>
  <si>
    <t>548 дав</t>
  </si>
  <si>
    <t>18.11-19.11</t>
  </si>
  <si>
    <t>549 дав</t>
  </si>
  <si>
    <t>799.100</t>
  </si>
  <si>
    <t>102.000</t>
  </si>
  <si>
    <t>8 +0</t>
  </si>
  <si>
    <t>60 +12готово</t>
  </si>
  <si>
    <t xml:space="preserve">ДК Джет </t>
  </si>
  <si>
    <t>полоса 15х2мм, длина 6,0м, анодировка без дроби</t>
  </si>
  <si>
    <t>550 дав</t>
  </si>
  <si>
    <t>2760.000</t>
  </si>
  <si>
    <t>6768.000</t>
  </si>
  <si>
    <t>88000-00</t>
  </si>
  <si>
    <t>79200-00</t>
  </si>
  <si>
    <t>76800-00</t>
  </si>
  <si>
    <t>[76123] 8507023 (АГС), 6,50м, БА сплав 6063 Т1</t>
  </si>
  <si>
    <t>[48347] 1406-77, 3,0м, сплав 6063 Кр</t>
  </si>
  <si>
    <t>888 +0</t>
  </si>
  <si>
    <t>281 +0</t>
  </si>
  <si>
    <t>134 хл</t>
  </si>
  <si>
    <r>
      <t>готово 473 хл, 7хл брак,</t>
    </r>
    <r>
      <rPr>
        <sz val="12"/>
        <color rgb="FFFF0000"/>
        <rFont val="Arial Cyr"/>
        <charset val="204"/>
      </rPr>
      <t xml:space="preserve"> ост 53 хл</t>
    </r>
  </si>
  <si>
    <t>Т-125, 6,0м, Анодировка с дробью</t>
  </si>
  <si>
    <t>Т-102-01, 6,0м, Анодировка с дробью</t>
  </si>
  <si>
    <t>555 дав</t>
  </si>
  <si>
    <t>10600-00</t>
  </si>
  <si>
    <t>554 дав</t>
  </si>
  <si>
    <t>5400.000</t>
  </si>
  <si>
    <t>800.000</t>
  </si>
  <si>
    <t>151200-00</t>
  </si>
  <si>
    <t>Т 75-15, 6,0м, Анодировка с дробью</t>
  </si>
  <si>
    <t>556 дав</t>
  </si>
  <si>
    <t>119 хл</t>
  </si>
  <si>
    <t>[43281] 0216-91 6,1 м БА сплав 6063 Кр, под анод</t>
  </si>
  <si>
    <t>Актрос /Навигационные системы</t>
  </si>
  <si>
    <t>44шт брак-замена</t>
  </si>
  <si>
    <t>1120хл на складе, готова полностью</t>
  </si>
  <si>
    <t>6 - хл?</t>
  </si>
  <si>
    <t>11 хл брак</t>
  </si>
  <si>
    <t xml:space="preserve">4 хл брак </t>
  </si>
  <si>
    <t>травление листов (обезжиривание) 1200*500</t>
  </si>
  <si>
    <t>529 дав</t>
  </si>
  <si>
    <t>завоз 23.11</t>
  </si>
  <si>
    <t>31200-00</t>
  </si>
  <si>
    <t>34400-00</t>
  </si>
  <si>
    <t>14760-00</t>
  </si>
  <si>
    <t>23.11/24.11 готовность</t>
  </si>
  <si>
    <t>561 дав</t>
  </si>
  <si>
    <t>Гесфер Групп</t>
  </si>
  <si>
    <t>шина 30х2 длина 6,0м, анодировка без дроби</t>
  </si>
  <si>
    <t>84+84 хл гот+86</t>
  </si>
  <si>
    <t>562 дав</t>
  </si>
  <si>
    <t>13600-00</t>
  </si>
  <si>
    <t>563 дав</t>
  </si>
  <si>
    <t>6000-00</t>
  </si>
  <si>
    <t>34440-00</t>
  </si>
  <si>
    <t>5040-00</t>
  </si>
  <si>
    <t>30720-00</t>
  </si>
  <si>
    <t>OPT000972</t>
  </si>
  <si>
    <t>OPT000971</t>
  </si>
  <si>
    <t>211 +0</t>
  </si>
  <si>
    <t>153 +0</t>
  </si>
  <si>
    <t>OPT000973</t>
  </si>
  <si>
    <t>[77114] 1606-56 (197.13) (кромка 60) 4,5 м, 6063 Т6</t>
  </si>
  <si>
    <t>467 +0</t>
  </si>
  <si>
    <t>506 +0</t>
  </si>
  <si>
    <t>41 хл готов</t>
  </si>
  <si>
    <t>23 хл готово</t>
  </si>
  <si>
    <t>294 +0</t>
  </si>
  <si>
    <r>
      <t>вывезено 80 хл,</t>
    </r>
    <r>
      <rPr>
        <sz val="12"/>
        <color rgb="FFFF0000"/>
        <rFont val="Arial Cyr"/>
        <charset val="204"/>
      </rPr>
      <t xml:space="preserve"> остаток на складе 20</t>
    </r>
  </si>
  <si>
    <t xml:space="preserve">536 дав </t>
  </si>
  <si>
    <t>366.000</t>
  </si>
  <si>
    <t>ост 118 хл на складе</t>
  </si>
  <si>
    <r>
      <t>готово 81 хл,</t>
    </r>
    <r>
      <rPr>
        <sz val="12"/>
        <color rgb="FFFF0000"/>
        <rFont val="Arial Cyr"/>
        <charset val="204"/>
      </rPr>
      <t xml:space="preserve">  25 на складе</t>
    </r>
  </si>
  <si>
    <t>39 хл брак</t>
  </si>
  <si>
    <t>0983/553</t>
  </si>
  <si>
    <t>1830.000</t>
  </si>
  <si>
    <t>408.000</t>
  </si>
  <si>
    <t>33920-00</t>
  </si>
  <si>
    <t>1510-00</t>
  </si>
  <si>
    <t>26500-00</t>
  </si>
  <si>
    <t>15900-00</t>
  </si>
  <si>
    <t>74200-00</t>
  </si>
  <si>
    <t>21200-00</t>
  </si>
  <si>
    <t>568 дав</t>
  </si>
  <si>
    <t>241255-80</t>
  </si>
  <si>
    <t>Санвек</t>
  </si>
  <si>
    <t>573 дав</t>
  </si>
  <si>
    <t>423.280</t>
  </si>
  <si>
    <t>533046-00</t>
  </si>
  <si>
    <t>24931-19</t>
  </si>
  <si>
    <t>АГС 221162, L=3,0м, БЦ анод 15мкм с дробью</t>
  </si>
  <si>
    <t>АВА-6141, L=6,1м, БЦ анод 15мкм с дробью</t>
  </si>
  <si>
    <t>551 дав</t>
  </si>
  <si>
    <t>9760.000</t>
  </si>
  <si>
    <t>930.000</t>
  </si>
  <si>
    <t>2135.000</t>
  </si>
  <si>
    <t>106 +0</t>
  </si>
  <si>
    <t>424 +0</t>
  </si>
  <si>
    <t>[77162] 1606-45 (197.15 ) Кромка 40 4,5 м, 6063 Т6</t>
  </si>
  <si>
    <t>225 +0</t>
  </si>
  <si>
    <t>OPT000995</t>
  </si>
  <si>
    <t>OPT000996</t>
  </si>
  <si>
    <t>OPT000998</t>
  </si>
  <si>
    <t>14хл еще в работе</t>
  </si>
  <si>
    <t>235495-05</t>
  </si>
  <si>
    <t>576 дав</t>
  </si>
  <si>
    <t>МТ-4-452238-1, длина 4,4м, с дробью 10 мкм (50,6р/кг)</t>
  </si>
  <si>
    <t>МТ-Р-0010, длина 3,0м, без дроби 10 мкм ( 108 ! р/кг) упаковка по 10-20 шт</t>
  </si>
  <si>
    <t>172978-40</t>
  </si>
  <si>
    <t>104350-40</t>
  </si>
  <si>
    <t>61603-20</t>
  </si>
  <si>
    <t xml:space="preserve"> готоао</t>
  </si>
  <si>
    <t>АВД-1676, L=5,2м, БЦ анод 10мкм с дробью</t>
  </si>
  <si>
    <t>436.800</t>
  </si>
  <si>
    <t>2342.400</t>
  </si>
  <si>
    <t>29261-23</t>
  </si>
  <si>
    <t>114121-73</t>
  </si>
  <si>
    <t>575 дав</t>
  </si>
  <si>
    <t xml:space="preserve"> 7 хл брак </t>
  </si>
  <si>
    <t>567/OPT001001</t>
  </si>
  <si>
    <t>578 дав</t>
  </si>
  <si>
    <t>выв 20 хл</t>
  </si>
  <si>
    <t>120 хл вывезено+63 хл готово</t>
  </si>
  <si>
    <t>150 брак, 57 хл  готово</t>
  </si>
  <si>
    <t>кандела</t>
  </si>
  <si>
    <t>вывезена часть. Остаток - 23 хл</t>
  </si>
  <si>
    <t>МТ-1-3020, длина 3,0м, без дроби 10-15 мкм (74 р/кг)</t>
  </si>
  <si>
    <t>МТ-6-7451, длина 3,82м, без дроби 10-15 мкм (39,5р/кг)</t>
  </si>
  <si>
    <t>МТ-6-7451, длина 3,87м, без дроби 15 мкм (39,0р/кг)</t>
  </si>
  <si>
    <t>579Д</t>
  </si>
  <si>
    <t>[33556] 0906-58 6,0м, 6063 КР Т1 уп. Т-5</t>
  </si>
  <si>
    <t>306 +0</t>
  </si>
  <si>
    <t>[78969] 1606-88, 6,0м,  6063 анод 4-5мкм с дробью,  уп в мини пачки</t>
  </si>
  <si>
    <t>433 +0</t>
  </si>
  <si>
    <t>580 дав</t>
  </si>
  <si>
    <t>Немецко-Балтийский Альянс</t>
  </si>
  <si>
    <t>582 дав</t>
  </si>
  <si>
    <t>581 дав</t>
  </si>
  <si>
    <t>МТ-1-2469-1, длина 3,0м, с дробью 10 мкм (56 р/кг)</t>
  </si>
  <si>
    <t>[77850] 1606-62, 3,0 м, 6063 Т6</t>
  </si>
  <si>
    <t>Парацельс</t>
  </si>
  <si>
    <t>36 хл в работе</t>
  </si>
  <si>
    <t>10хл выв</t>
  </si>
  <si>
    <t>588 Д</t>
  </si>
  <si>
    <t>Y3040 профиль 5,1 м анод с дробью+окл</t>
  </si>
  <si>
    <t>[14006] 0106-290, 6,0м, БЦ анод с дробью</t>
  </si>
  <si>
    <t>OPT001002</t>
  </si>
  <si>
    <t xml:space="preserve">[35197] 0106-238, 6,0м, 6063 Т1, упаковка Т-5, БА </t>
  </si>
  <si>
    <t>33 хл упаковать отдельно</t>
  </si>
  <si>
    <t>58 +0</t>
  </si>
  <si>
    <t>591 дав</t>
  </si>
  <si>
    <t>[78539] 1606-87, 6,0м,  6063 Т1 БА</t>
  </si>
  <si>
    <t>3 брак</t>
  </si>
  <si>
    <t>593 д</t>
  </si>
  <si>
    <t>594 Д</t>
  </si>
  <si>
    <t>360+298выв</t>
  </si>
  <si>
    <t>261хл</t>
  </si>
  <si>
    <t>2050 +0</t>
  </si>
  <si>
    <t>Акма</t>
  </si>
  <si>
    <t>[78540] 1606-89, 6,0м,  6063 Т1 БА</t>
  </si>
  <si>
    <t>114+119+195 хл гот, 5хл брак</t>
  </si>
  <si>
    <t>41 +0</t>
  </si>
  <si>
    <t>465 +0</t>
  </si>
  <si>
    <t>труба V-slot 80*80(Р-0,632), длина 6,0м, без дроби</t>
  </si>
  <si>
    <t>СТО САМ</t>
  </si>
  <si>
    <t xml:space="preserve">1 хл брак </t>
  </si>
  <si>
    <t>601 дав</t>
  </si>
  <si>
    <t>Т-176, 5,6м, Анодировка с дробью</t>
  </si>
  <si>
    <t>22.400</t>
  </si>
  <si>
    <t>67.200</t>
  </si>
  <si>
    <t>602 дав</t>
  </si>
  <si>
    <t>1054 +0</t>
  </si>
  <si>
    <t>251 +0</t>
  </si>
  <si>
    <t>4 брак</t>
  </si>
  <si>
    <t>2хл выв</t>
  </si>
  <si>
    <t>462 +0</t>
  </si>
  <si>
    <t>598 д</t>
  </si>
  <si>
    <t>8 хл брак БА</t>
  </si>
  <si>
    <t xml:space="preserve">706-92 Анодирование алюминиевого профиля с дробью </t>
  </si>
  <si>
    <t>51750.00</t>
  </si>
  <si>
    <t>607 Д</t>
  </si>
  <si>
    <t>НТ Контакт</t>
  </si>
  <si>
    <t>984.000</t>
  </si>
  <si>
    <t>88914-24</t>
  </si>
  <si>
    <t>611 Д</t>
  </si>
  <si>
    <t>Корпус КУДР.676621.014.02_1708мм_анод 15-20 мкм</t>
  </si>
  <si>
    <t>612 дав</t>
  </si>
  <si>
    <t>1150.200</t>
  </si>
  <si>
    <t>64066-14</t>
  </si>
  <si>
    <t>706549-20</t>
  </si>
  <si>
    <t>213624-73</t>
  </si>
  <si>
    <t>1232 хл выв</t>
  </si>
  <si>
    <t>выв 140 хл</t>
  </si>
  <si>
    <t>140+160хл выв, 4 хл выв</t>
  </si>
  <si>
    <t>613 дав</t>
  </si>
  <si>
    <t>Т 75-15, 6,1м, Анодировка с дробью</t>
  </si>
  <si>
    <t>1531.100</t>
  </si>
  <si>
    <t xml:space="preserve">609 дав </t>
  </si>
  <si>
    <t>194449-70</t>
  </si>
  <si>
    <t>616 дав</t>
  </si>
  <si>
    <t xml:space="preserve"> 2 хл брак</t>
  </si>
  <si>
    <t>165хл готово на складе</t>
  </si>
  <si>
    <t>614 дав</t>
  </si>
  <si>
    <t>615 дав</t>
  </si>
  <si>
    <t>618 дав</t>
  </si>
  <si>
    <t>[13620] 0106-290, 6,0м, 6063 Т1, тип 1, упаковка Т-5, БА</t>
  </si>
  <si>
    <t>OPT001100</t>
  </si>
  <si>
    <t>220645-26</t>
  </si>
  <si>
    <t>622 дав</t>
  </si>
  <si>
    <t>624 дав</t>
  </si>
  <si>
    <t>готова 108 хл</t>
  </si>
  <si>
    <t>623 дав</t>
  </si>
  <si>
    <t>Т-150, 6,0м, Анодировка с дробью</t>
  </si>
  <si>
    <t>2040.000</t>
  </si>
  <si>
    <t>64800-00</t>
  </si>
  <si>
    <t>[76388] 8507042 (0680-06),  АА-2064-04 бортовой профиль, 6,0м,  АД 31 Т1</t>
  </si>
  <si>
    <t>АЛК-2081, L=6,1м, БЦ анод 15мкм с дробью</t>
  </si>
  <si>
    <t>АЛК-2082, L=6,1м, БЦ анод 15мкм с дробью</t>
  </si>
  <si>
    <t>АЛК-2083, L=6,1м, БЦ анод 15мкм с дробью</t>
  </si>
  <si>
    <t>600 дав</t>
  </si>
  <si>
    <t>620 дав</t>
  </si>
  <si>
    <t>7588.400</t>
  </si>
  <si>
    <t>2208.200</t>
  </si>
  <si>
    <t>14432.600</t>
  </si>
  <si>
    <t>306874-90</t>
  </si>
  <si>
    <t>100473-10</t>
  </si>
  <si>
    <t>343207-23</t>
  </si>
  <si>
    <t>626 дав</t>
  </si>
  <si>
    <t>625 дав</t>
  </si>
  <si>
    <t xml:space="preserve">ФТМ </t>
  </si>
  <si>
    <t>627 дав</t>
  </si>
  <si>
    <t>264.000</t>
  </si>
  <si>
    <t>124950-00</t>
  </si>
  <si>
    <t>170 хл</t>
  </si>
  <si>
    <t>628 дав</t>
  </si>
  <si>
    <t>Аскон</t>
  </si>
  <si>
    <t>готово 48+48</t>
  </si>
  <si>
    <t>630дав</t>
  </si>
  <si>
    <t>47ХЛ, ОСТ НА СКЛАД ДЕЛАТЬ</t>
  </si>
  <si>
    <t xml:space="preserve">готово 120 хл+304 хл </t>
  </si>
  <si>
    <t>632 дав</t>
  </si>
  <si>
    <t>300 хл выв, 24 хл недовоз</t>
  </si>
  <si>
    <t xml:space="preserve">Наименование            </t>
  </si>
  <si>
    <t>[69453] 1506-44, 6,0м, 6063 Т1, тип 2,  БА</t>
  </si>
  <si>
    <t>3 дав</t>
  </si>
  <si>
    <t>[78541] 1606-90, 3,25 м,  6063 Т1 БА</t>
  </si>
  <si>
    <t>3 +0</t>
  </si>
  <si>
    <t>[386] А 21 (0073-08), Направляющая для раздвижных стекол, 5,0м, 6063 КР</t>
  </si>
  <si>
    <t>ЕВРОШОП</t>
  </si>
  <si>
    <t>OPT000002</t>
  </si>
  <si>
    <t>OPT000001</t>
  </si>
  <si>
    <t>[38436] 0506-21, 6,0м, 6063 Т1, тип 1, упаковка Т-5, БА</t>
  </si>
  <si>
    <t>5 дав</t>
  </si>
  <si>
    <t>ПРОБА</t>
  </si>
  <si>
    <t>4 дав</t>
  </si>
  <si>
    <t>241209-36</t>
  </si>
  <si>
    <t>581769-45</t>
  </si>
  <si>
    <t>8 дав</t>
  </si>
  <si>
    <t>13235-40</t>
  </si>
  <si>
    <t>1 дав</t>
  </si>
  <si>
    <t>6 дав</t>
  </si>
  <si>
    <t>11дав</t>
  </si>
  <si>
    <t xml:space="preserve">12 дав </t>
  </si>
  <si>
    <t>13 дав</t>
  </si>
  <si>
    <t>21735-00</t>
  </si>
  <si>
    <t>58 хл вывезено</t>
  </si>
  <si>
    <t xml:space="preserve"> OPT000997</t>
  </si>
  <si>
    <t>7 дав</t>
  </si>
  <si>
    <t>14 дав</t>
  </si>
  <si>
    <t>OPT000019</t>
  </si>
  <si>
    <t>OPT000020</t>
  </si>
  <si>
    <t>пром сталь</t>
  </si>
  <si>
    <t>15 дав</t>
  </si>
  <si>
    <t>17 дав</t>
  </si>
  <si>
    <t>меньше минималки, ждем допресса</t>
  </si>
  <si>
    <t>360хл - готово. 2хл брак БА на возврат</t>
  </si>
  <si>
    <t>18 дав</t>
  </si>
  <si>
    <t>19 дав</t>
  </si>
  <si>
    <t>20 дав</t>
  </si>
  <si>
    <t>700-00</t>
  </si>
  <si>
    <t>860-00</t>
  </si>
  <si>
    <t>16568-00</t>
  </si>
  <si>
    <t>180-00</t>
  </si>
  <si>
    <t>1190-00</t>
  </si>
  <si>
    <t>2968-00</t>
  </si>
  <si>
    <t>13200-00</t>
  </si>
  <si>
    <t>10080-00</t>
  </si>
  <si>
    <t>1790-00</t>
  </si>
  <si>
    <t>2060-00</t>
  </si>
  <si>
    <t>2140-00</t>
  </si>
  <si>
    <t>4440-00</t>
  </si>
  <si>
    <t>4480-00</t>
  </si>
  <si>
    <t>2446-00</t>
  </si>
  <si>
    <t>7710-00</t>
  </si>
  <si>
    <t>59800-00</t>
  </si>
  <si>
    <t>2640-00</t>
  </si>
  <si>
    <t>39480-00</t>
  </si>
  <si>
    <t>76020-00</t>
  </si>
  <si>
    <t>22 дав</t>
  </si>
  <si>
    <t>23 дав</t>
  </si>
  <si>
    <t>756хл вывезено. 1610хл готово</t>
  </si>
  <si>
    <t xml:space="preserve">27 дав </t>
  </si>
  <si>
    <t>труба V-slot 40*120 (P-0.633), длина 6,0м, анодировка с дробью</t>
  </si>
  <si>
    <t>[38530] 0906-19  2,6 м, БА сплав АД 31</t>
  </si>
  <si>
    <t>4-5мкм</t>
  </si>
  <si>
    <t>9-12 мкм</t>
  </si>
  <si>
    <t>29 дав</t>
  </si>
  <si>
    <t>OPT000029</t>
  </si>
  <si>
    <t>OPT000033</t>
  </si>
  <si>
    <t>OPT000034</t>
  </si>
  <si>
    <t>коррект</t>
  </si>
  <si>
    <t>32 дав</t>
  </si>
  <si>
    <t>367250-00</t>
  </si>
  <si>
    <t>швеллер 15х15х1,5, длина 6,0м, анодировка без дроби</t>
  </si>
  <si>
    <t>1368.000</t>
  </si>
  <si>
    <t>1536.000</t>
  </si>
  <si>
    <t>1200.000</t>
  </si>
  <si>
    <t>3696.000</t>
  </si>
  <si>
    <t>1656.000</t>
  </si>
  <si>
    <t>25294-32</t>
  </si>
  <si>
    <t>38461-44</t>
  </si>
  <si>
    <t>37572-00</t>
  </si>
  <si>
    <t>60115-20</t>
  </si>
  <si>
    <t>105188-16</t>
  </si>
  <si>
    <t>18845-28</t>
  </si>
  <si>
    <t>38 дав</t>
  </si>
  <si>
    <t>48 вывезено</t>
  </si>
  <si>
    <t>37 дав</t>
  </si>
  <si>
    <t>АВА-4750 профиль, 6,1м, анод с дробью</t>
  </si>
  <si>
    <t>6148.800</t>
  </si>
  <si>
    <t>1903.200</t>
  </si>
  <si>
    <t>34-49</t>
  </si>
  <si>
    <t>31-95</t>
  </si>
  <si>
    <t>212072-11</t>
  </si>
  <si>
    <t>60807-24</t>
  </si>
  <si>
    <t>[53104] 0706-17, 6,0м, БА сплав 6063 КР</t>
  </si>
  <si>
    <t>[78293] 1606-88, 6,0м,  6063 Т1 БА</t>
  </si>
  <si>
    <t>[79364] 197.22 (PF14.1), 6,0м, 6063 Т1, БА</t>
  </si>
  <si>
    <t>40 дав</t>
  </si>
  <si>
    <t xml:space="preserve">43 дав </t>
  </si>
  <si>
    <t>[11318] Труба прямоугольная 80*40*2 (9999-30, АТ-705), 6,0м, БА сплав  6063 под анод</t>
  </si>
  <si>
    <t>ИП Мареев</t>
  </si>
  <si>
    <t>0106-235, 6,0м, 6063 Т6, упаковка Т-5, под анод тип 2, БА (прессовать на плюсовом допуске)</t>
  </si>
  <si>
    <t>[34252] 0906-64, 6,0м, 6063 Т1, упаковка Т-5, БА (4000 пресс)</t>
  </si>
  <si>
    <t>44 дав</t>
  </si>
  <si>
    <t>46 дав</t>
  </si>
  <si>
    <t>[22839] 0506-12, 6,0м, БА сплав 6063 КР под анод</t>
  </si>
  <si>
    <t xml:space="preserve">49 дав </t>
  </si>
  <si>
    <t>АЛКЕННИ</t>
  </si>
  <si>
    <t>45 дав</t>
  </si>
  <si>
    <t>полоса 35х2мм, длина 6,0м, анодировка без дроби</t>
  </si>
  <si>
    <t>труба 16*2, длина 6,0м, анодировка без дроби</t>
  </si>
  <si>
    <t>уголок 15*10*2, длина 6,0м, анодировка без дроби</t>
  </si>
  <si>
    <t>уголок 25*15*2,0м,  длина 6,0м, анодирование без дроби</t>
  </si>
  <si>
    <t>уголок 35*35*2,0, длина 6,0м, анодировка без дроби</t>
  </si>
  <si>
    <t>швеллер 10*15*10*1,2, длина 6,0м, анодировка без дроби</t>
  </si>
  <si>
    <t>3370-00</t>
  </si>
  <si>
    <t>3655-00</t>
  </si>
  <si>
    <t>3855-00</t>
  </si>
  <si>
    <t>9200-00</t>
  </si>
  <si>
    <t>3576-00</t>
  </si>
  <si>
    <t>4140-00</t>
  </si>
  <si>
    <t xml:space="preserve">2 хл брак </t>
  </si>
  <si>
    <t>[11564] 0106-235, 6,0м, 6063 Т6, упаковка Т-5, под анод тип 2, БА (прессовать на плюсовом допуске)</t>
  </si>
  <si>
    <t>OPT000051</t>
  </si>
  <si>
    <t>срочно</t>
  </si>
  <si>
    <t>Т 149, 6,0м, Анодировка с дробью</t>
  </si>
  <si>
    <t>Т 72-12, 6,2м, анодировка с дробью</t>
  </si>
  <si>
    <t>Т 72-19, 6,2м, анодировка с дробью</t>
  </si>
  <si>
    <t>50 дав</t>
  </si>
  <si>
    <t>607.600</t>
  </si>
  <si>
    <t>272.800</t>
  </si>
  <si>
    <t>217.000</t>
  </si>
  <si>
    <t>105.400</t>
  </si>
  <si>
    <t>51 дав</t>
  </si>
  <si>
    <t>МТ-11-3459, длина 4,7м, без дроби 5 мкм (51 ! р/кг)</t>
  </si>
  <si>
    <t>[75461] 1506-79, 3,7м, 6063 Т1, уп Т-5, под анод тип 2, БА</t>
  </si>
  <si>
    <t>[79281] 1506-80, 3,1м, 6063 Т1, уп.Т5, под анод тип 2, БА</t>
  </si>
  <si>
    <t>[75460] 1506-80, 3,7м, 6063 Т1, уп. Т5, под анод тип 2, БА</t>
  </si>
  <si>
    <t>не подтверждено</t>
  </si>
  <si>
    <t>52 дав</t>
  </si>
  <si>
    <t>198.000</t>
  </si>
  <si>
    <t>56700-00</t>
  </si>
  <si>
    <t>8505-00</t>
  </si>
  <si>
    <t>OPT000078</t>
  </si>
  <si>
    <t>53 дав</t>
  </si>
  <si>
    <t>54 дав</t>
  </si>
  <si>
    <t>55 дав</t>
  </si>
  <si>
    <t>30 дав</t>
  </si>
  <si>
    <t>АСКОН</t>
  </si>
  <si>
    <t>[30616] 0706-94 (197.07, АА-2050-50), 6,0м, сплав 6063 КР, состТ1, упаковка.Т5</t>
  </si>
  <si>
    <t>56 дав</t>
  </si>
  <si>
    <t xml:space="preserve">59 дав </t>
  </si>
  <si>
    <t xml:space="preserve">      103738 ,32</t>
  </si>
  <si>
    <t>[79270] 1506-79, 3,1м, 6063 Т1, уп. Т-5, под анод тип 2, БА</t>
  </si>
  <si>
    <t>14 хл возврат</t>
  </si>
  <si>
    <t>60 ДАВ</t>
  </si>
  <si>
    <t>61 ДАВ</t>
  </si>
  <si>
    <t>вывезено 88</t>
  </si>
  <si>
    <t>OPT000095</t>
  </si>
  <si>
    <t>56640.00</t>
  </si>
  <si>
    <t>66 дав</t>
  </si>
  <si>
    <t xml:space="preserve">67 дав </t>
  </si>
  <si>
    <t>[76096] 1606-26 (крышка 1), 6,0м, 6063 Т1, упаковка Т-5, БА</t>
  </si>
  <si>
    <t>[76097] 1606-27 (крышка 2), 6,0м, 6063 Т1, упаковка Т-5, БА</t>
  </si>
  <si>
    <t>[76098] 1606-28 (полка L), 6,0м, 6063 Т1, упаковка Т-5, БА</t>
  </si>
  <si>
    <t>[76099] 1606-29 (проставка Н), 6,0м, 6063 Т1, упаковка Т-5, БА</t>
  </si>
  <si>
    <t>[78712] 1606-73 (п-образный), 6,0м, 6063 Т1, упаковка Т-5, БА</t>
  </si>
  <si>
    <t>73 дав</t>
  </si>
  <si>
    <t>167 +0</t>
  </si>
  <si>
    <t>завод синергия</t>
  </si>
  <si>
    <t>с др</t>
  </si>
  <si>
    <t>280-00</t>
  </si>
  <si>
    <t>2320-00</t>
  </si>
  <si>
    <t>360-00</t>
  </si>
  <si>
    <t>8520-00</t>
  </si>
  <si>
    <t>1324-00</t>
  </si>
  <si>
    <t>6160-00</t>
  </si>
  <si>
    <t>950-00</t>
  </si>
  <si>
    <t>1223-00</t>
  </si>
  <si>
    <t>1240-00</t>
  </si>
  <si>
    <t>5140-00</t>
  </si>
  <si>
    <t>37500-00</t>
  </si>
  <si>
    <t>2644-00</t>
  </si>
  <si>
    <t>26640-00</t>
  </si>
  <si>
    <t>47250-00</t>
  </si>
  <si>
    <t>68 дав</t>
  </si>
  <si>
    <t>69 дав</t>
  </si>
  <si>
    <t>76 дав</t>
  </si>
  <si>
    <t>77 дав</t>
  </si>
  <si>
    <t>89 дав</t>
  </si>
  <si>
    <t>15200-00</t>
  </si>
  <si>
    <t>15300-00</t>
  </si>
  <si>
    <t xml:space="preserve"> вывезено 20168 хл , 6*1220, 1*1326готово</t>
  </si>
  <si>
    <t>пром-сталь</t>
  </si>
  <si>
    <t>Пром-сталь</t>
  </si>
  <si>
    <t>промсталь</t>
  </si>
  <si>
    <t>79 дав</t>
  </si>
  <si>
    <t>под техноагрегат</t>
  </si>
  <si>
    <t>3хл брак</t>
  </si>
  <si>
    <t>80 дав</t>
  </si>
  <si>
    <t xml:space="preserve">есть соль на хлыстах где вроссыпь - надо перебирать
* уг 15х15 - 232 - поступило. Из них брак 19хл
213хл - с травлением - доп счет
* уг 30х30 = 200хл - тех дробь - доп счет
</t>
  </si>
  <si>
    <t>OPT000101</t>
  </si>
  <si>
    <t>[68756] 219132, КРОМКА, 6,0 м, сплав 6060 Т6 (поставка по ТУ от 20.10.20)</t>
  </si>
  <si>
    <t>Двери лайн</t>
  </si>
  <si>
    <t>87 дав</t>
  </si>
  <si>
    <t>300+359 вывезено, гот 178 хл</t>
  </si>
  <si>
    <t>10*60, 1*35 готово, 3 хл брак</t>
  </si>
  <si>
    <t>91 дав</t>
  </si>
  <si>
    <t>92 дав</t>
  </si>
  <si>
    <t>10860-00</t>
  </si>
  <si>
    <t>OPT000110</t>
  </si>
  <si>
    <t>[69453] 1506-44, 6,0м, 6063 Т1, тип 2,  упак. Т5, БА</t>
  </si>
  <si>
    <t>[79552] 1606-68, 2,1м, 6063 Т1, упаковка Т-5, БА</t>
  </si>
  <si>
    <t>[79554] 1606-68, 3,5м, 6063 Т1, упаковка Т-5, БА</t>
  </si>
  <si>
    <t>120хл выв, 46 готово</t>
  </si>
  <si>
    <t>32 хл</t>
  </si>
  <si>
    <t>вывезено 160, готово 40, 2 готово</t>
  </si>
  <si>
    <t>вывоз 10+120, готово 34 хл</t>
  </si>
  <si>
    <t>93 дав</t>
  </si>
  <si>
    <t>МТ-4-452238-1, длина 4,4м, с дробью 10 мкм (53 р/кг)</t>
  </si>
  <si>
    <t>НП-573-01, длина 5,3м, с дробью 10 мкм 39 !р/кг)</t>
  </si>
  <si>
    <t>МТ-2-1018, длина 3,0 м, с дробью 10 мкм (45 ! р/кг)</t>
  </si>
  <si>
    <t>МТ-2-1020, длина 3,0 м, без дроби 10 мкм (41 ! р/кг)</t>
  </si>
  <si>
    <t>МТ-12-3582, длина 6,0 м, без дроби 21  мкм (51,4 ! р/кг)</t>
  </si>
  <si>
    <t>501.600</t>
  </si>
  <si>
    <t>848.000</t>
  </si>
  <si>
    <t>276.000</t>
  </si>
  <si>
    <t>103389-79</t>
  </si>
  <si>
    <t>40084-96</t>
  </si>
  <si>
    <t>22947-84</t>
  </si>
  <si>
    <t>22665-12</t>
  </si>
  <si>
    <t>40514-40</t>
  </si>
  <si>
    <t>[76033] 220650 (1606-52)  бортовой боковой 4,0м сплав 6063 Т1</t>
  </si>
  <si>
    <t>[76034] 220650 (1606-52)  бортовой боковой 6,0м сплав 6063 Т1</t>
  </si>
  <si>
    <t>96 дав</t>
  </si>
  <si>
    <t>97 дав</t>
  </si>
  <si>
    <t>29600-00</t>
  </si>
  <si>
    <t>СТАЛЬПАК</t>
  </si>
  <si>
    <t>98 дав</t>
  </si>
  <si>
    <t>Полоса , 1500*300*мм, 15мкм, анод</t>
  </si>
  <si>
    <t>пластина , 500*300*мм, 15мкм, анод</t>
  </si>
  <si>
    <t>4220-00</t>
  </si>
  <si>
    <t>41710-00</t>
  </si>
  <si>
    <t>94 дав</t>
  </si>
  <si>
    <t>ФТМ, уголок "120", длина 3,1м, с дробью, 15мкм (хл)</t>
  </si>
  <si>
    <t>267.000</t>
  </si>
  <si>
    <t>247.000</t>
  </si>
  <si>
    <t>117450-00</t>
  </si>
  <si>
    <t>54000-00</t>
  </si>
  <si>
    <t>99 дав</t>
  </si>
  <si>
    <t>Корпус КУДР.676621.017.01(изделие 676621.017.02)_1705 мм_15-20 мкм</t>
  </si>
  <si>
    <t>Корпус КУДР.676621.017.01-02(изделие 67621.017-02)_1660 мм_15-20 мкм</t>
  </si>
  <si>
    <t>Корпус КУДР.676621.018.02 (изделие 676621.018.03)_1418 мм_15-20 мкм</t>
  </si>
  <si>
    <t>3120-00</t>
  </si>
  <si>
    <t>1608-00</t>
  </si>
  <si>
    <t>32760-00</t>
  </si>
  <si>
    <t>100 дав</t>
  </si>
  <si>
    <t>12960-00</t>
  </si>
  <si>
    <t>1250-00</t>
  </si>
  <si>
    <t>4370-00</t>
  </si>
  <si>
    <t>[41030] 1406-05, 6,0м, БА сплав 6063КР под анод тип 2, Т1, уп.Т5</t>
  </si>
  <si>
    <t>102 дав</t>
  </si>
  <si>
    <t>Анодирование алюминиевого профиля 4,0м</t>
  </si>
  <si>
    <t>приход с Лайт Констр</t>
  </si>
  <si>
    <t>[71638] 1406-47, 3,0м, сплав 6063КР Т 1</t>
  </si>
  <si>
    <t>OPT000120</t>
  </si>
  <si>
    <t>105ДАВ</t>
  </si>
  <si>
    <t>108 дав</t>
  </si>
  <si>
    <t>18400-00</t>
  </si>
  <si>
    <t>Полоса АМГ5, 3000*100*1,0мм, 9-12мкм, анод</t>
  </si>
  <si>
    <t>107 дав</t>
  </si>
  <si>
    <t>[38435] 0506-20, 6,0м, 6063 Т1, упаковка Т-5, под анод тип 1, БА</t>
  </si>
  <si>
    <t>готово 90 хл+90 хл+168</t>
  </si>
  <si>
    <t>88+110хл выв+ 120 хл выв+143 хл, 1 бр</t>
  </si>
  <si>
    <t>110ДАВ</t>
  </si>
  <si>
    <t>437 - готовы</t>
  </si>
  <si>
    <t>5хл брак БА</t>
  </si>
  <si>
    <t>264хл из 288хл - отгружено
264хл - в работе
36хл недопоставка
39 брак БА</t>
  </si>
  <si>
    <t>доп травление!!! 
Осталось 373хл + 5хл брак
вывезено 422хл + 444хл готово - только УПД</t>
  </si>
  <si>
    <t>111ДАВ</t>
  </si>
  <si>
    <t>6120-00</t>
  </si>
  <si>
    <t>7600-00</t>
  </si>
  <si>
    <t>5288-00</t>
  </si>
  <si>
    <t>40800-00</t>
  </si>
  <si>
    <t>уголок 50*50*2, длина 6,0м, анодировка с дробью</t>
  </si>
  <si>
    <t>уголок 40*60*2, длина 6,0м, анодировка с дробью</t>
  </si>
  <si>
    <t>113 дав</t>
  </si>
  <si>
    <t>31462-00</t>
  </si>
  <si>
    <t>3338-00</t>
  </si>
  <si>
    <t>120 выв+260</t>
  </si>
  <si>
    <t>готово 99 хл+103 хл+29 п/покр,2 бр</t>
  </si>
  <si>
    <t>118 дав</t>
  </si>
  <si>
    <t>117 дав</t>
  </si>
  <si>
    <t>22500-00</t>
  </si>
  <si>
    <t>116 дав</t>
  </si>
  <si>
    <t>33000-00</t>
  </si>
  <si>
    <t>21000-00</t>
  </si>
  <si>
    <t>16500-00</t>
  </si>
  <si>
    <t>120 дав</t>
  </si>
  <si>
    <t>121 дав</t>
  </si>
  <si>
    <t>ФКГП416 10 01 041(полурамка) 15-21мкм, гальваническое покрытие (780р)</t>
  </si>
  <si>
    <t>лист АМГ3,  860*360*1,5 мм (облицовка) 9-12 мкм, анод</t>
  </si>
  <si>
    <t>лист АМГ3,  890*330*1,5 мм (облицовка) 9-12 мкм, анод</t>
  </si>
  <si>
    <t>лист АМГ3,  1570*405*1,5 мм (облицовка) 9-12 мкм, анод</t>
  </si>
  <si>
    <t>лист АМГ3,  1500*875*1,5 мм (облицовка) 9-12 мкм, анод</t>
  </si>
  <si>
    <t>лист АМГ3,  1560*820*1,5 мм (облицовка) 9-12 мкм, анод</t>
  </si>
  <si>
    <t>лист АМГ3,  1500*855*1,5 мм (облицовка) 9-12 мкм, анод</t>
  </si>
  <si>
    <t>лист АМГ3,  1560*818*1,5 мм (облицовка) 9-12 мкм, анод</t>
  </si>
  <si>
    <t>119 дав</t>
  </si>
  <si>
    <t>1900-00</t>
  </si>
  <si>
    <t>лист АМГ3,  1610*1202*1,5 мм (облицовка) 9-12 мкм, анод</t>
  </si>
  <si>
    <t>124 ДАВ</t>
  </si>
  <si>
    <t>ПРОМ-СТАЛЬ</t>
  </si>
  <si>
    <t xml:space="preserve">OPT000135 </t>
  </si>
  <si>
    <t>[76551] 1606-37, 5,3 м, сплав 6063 КР Т6, упаковка Т-5</t>
  </si>
  <si>
    <t>[78764] 8507027 ( МАК 0680-04) бортовой профиль, 6,50м, сплав  АД 31 Т1</t>
  </si>
  <si>
    <t>125Д</t>
  </si>
  <si>
    <t>брак коррозия</t>
  </si>
  <si>
    <t>129 дав</t>
  </si>
  <si>
    <t>134 дав</t>
  </si>
  <si>
    <t>136 дав</t>
  </si>
  <si>
    <t>1657.500</t>
  </si>
  <si>
    <t>195.590</t>
  </si>
  <si>
    <t>81342-00</t>
  </si>
  <si>
    <t>5867-70</t>
  </si>
  <si>
    <t>акма/рск</t>
  </si>
  <si>
    <t>137 дав</t>
  </si>
  <si>
    <t>ФКГП416 10 01 041(полурамка) 15-21мкм, гальваническое покрытие (842,71 р)</t>
  </si>
  <si>
    <t>1 брак</t>
  </si>
  <si>
    <t>138 дав</t>
  </si>
  <si>
    <t>[77162] 1606-45, (197.15 ) Кромка 40 4,5 м, 6063 Т6</t>
  </si>
  <si>
    <t>[77115] 1606-55, (197.14)(кромка 40) 4,5 м, 6063 Т6</t>
  </si>
  <si>
    <t>[865] 0106-152, полоса 155*4мм, 6,0м, АД31 Т1, БА уп Т5</t>
  </si>
  <si>
    <t>142 дав</t>
  </si>
  <si>
    <t>3306.000</t>
  </si>
  <si>
    <t>70184-00</t>
  </si>
  <si>
    <t>[14596] 0216-31, 6,0м, Без покрытия</t>
  </si>
  <si>
    <t>1716.000</t>
  </si>
  <si>
    <t>131625-00</t>
  </si>
  <si>
    <t>Техноагрегат/на склад</t>
  </si>
  <si>
    <t>152 дав</t>
  </si>
  <si>
    <t>ЛК 111.02, L=3,42м, БЦ анодирование 15мкм</t>
  </si>
  <si>
    <t>АГС 221507, L=3,075м, БЦ анодирование 15мкм</t>
  </si>
  <si>
    <t>ЛК 111.02, L=3,42м, БЦ анодирование 15мкм с дробью</t>
  </si>
  <si>
    <t>АГС 221507, L=3,075м, БЦ анодирование 15мкм с дробью</t>
  </si>
  <si>
    <t>150 дав</t>
  </si>
  <si>
    <t>54.720</t>
  </si>
  <si>
    <t>9.230</t>
  </si>
  <si>
    <t>99-60</t>
  </si>
  <si>
    <t>590-79</t>
  </si>
  <si>
    <t>118-79</t>
  </si>
  <si>
    <t>704-61</t>
  </si>
  <si>
    <t>151 дав</t>
  </si>
  <si>
    <t>корр. 608 с уч доп.работ брак</t>
  </si>
  <si>
    <t>240.000</t>
  </si>
  <si>
    <t>27-54</t>
  </si>
  <si>
    <t>34-44</t>
  </si>
  <si>
    <t>6609-60</t>
  </si>
  <si>
    <t>14051-52</t>
  </si>
  <si>
    <t>5450-11</t>
  </si>
  <si>
    <t>5452-99</t>
  </si>
  <si>
    <t>6500-19</t>
  </si>
  <si>
    <t>6503-55</t>
  </si>
  <si>
    <t>12хл - брак БА в лома</t>
  </si>
  <si>
    <t>4хл - брак БА в лома</t>
  </si>
  <si>
    <t>156 дав</t>
  </si>
  <si>
    <t>ФКГП416 10 01 041-01полурамка ,  гальваническое покрытие 15-21мкм (679.17р)</t>
  </si>
  <si>
    <t>[69317] АП 2138, 6,0м, 6063 Т1, БА</t>
  </si>
  <si>
    <t>608 дав</t>
  </si>
  <si>
    <t xml:space="preserve">84 дав </t>
  </si>
  <si>
    <t>165 дав</t>
  </si>
  <si>
    <t>206 дав</t>
  </si>
  <si>
    <t>209 дав</t>
  </si>
  <si>
    <t>222 дав</t>
  </si>
  <si>
    <t>352 дав</t>
  </si>
  <si>
    <t>357 дав</t>
  </si>
  <si>
    <t>515 дав</t>
  </si>
  <si>
    <t>213+19</t>
  </si>
  <si>
    <t>269+2</t>
  </si>
  <si>
    <t>1хл брака</t>
  </si>
  <si>
    <t>2хл брака - не восстановить</t>
  </si>
  <si>
    <t>[22872] 0506-06, 3,1м, БА сплав 6063 Кр, Упаковка Т-5, ПОД АНОД</t>
  </si>
  <si>
    <t>[76596] 1606-39 (197.04) 4,85 м, сплав 6063 КР Т6, упковка Т5</t>
  </si>
  <si>
    <t>[79289] 2606-02, 6,0м,  6063 Т1 БА</t>
  </si>
  <si>
    <t>[79290] 2606-03, 6,0 м, 6063 Т1 БА</t>
  </si>
  <si>
    <t>[79288] 2606-04, 6,0м, 6063 Т1 БА</t>
  </si>
  <si>
    <t>[61440] 0106-289, 6,0м, 6063 Т1, упаковка Т-5, под анод тип 1, БА</t>
  </si>
  <si>
    <t>OPT000169</t>
  </si>
  <si>
    <t>OPT000171</t>
  </si>
  <si>
    <t>OPT000170</t>
  </si>
  <si>
    <t>44400-00</t>
  </si>
  <si>
    <t>2 брак</t>
  </si>
  <si>
    <t>56407-50</t>
  </si>
  <si>
    <t>18802-50</t>
  </si>
  <si>
    <t>164 дав</t>
  </si>
  <si>
    <t>16 брак</t>
  </si>
  <si>
    <t>26 брак</t>
  </si>
  <si>
    <t>170 дав</t>
  </si>
  <si>
    <t>169 дав</t>
  </si>
  <si>
    <t>2 бр</t>
  </si>
  <si>
    <t>[35197] 0106-238, 6,0м, 6063 Т1, упаковка Т-5, под анод тип 1 ,БА</t>
  </si>
  <si>
    <t>OPT000200</t>
  </si>
  <si>
    <t>OPT000201</t>
  </si>
  <si>
    <t>OPT000202</t>
  </si>
  <si>
    <t>МТ-1-2560, длина 5,72м, без дроби 10 мкм (55р/кг)</t>
  </si>
  <si>
    <t>МТ-12-3582, длина 6,0 м, без дроби 20-21  мкм (55 р/кг)</t>
  </si>
  <si>
    <t>МТ-Р-0003, длина 5,0м, без дроби 10 мкм (121 р/кг) упаковка по 10 шт</t>
  </si>
  <si>
    <t>МТ-7-0950-02, длина 3,0 м, с дробью 10 мкм (57р/кг)</t>
  </si>
  <si>
    <t>171 дав</t>
  </si>
  <si>
    <t>652.080</t>
  </si>
  <si>
    <t>47341-01</t>
  </si>
  <si>
    <t>40471-20</t>
  </si>
  <si>
    <t>770-00</t>
  </si>
  <si>
    <t>720-00</t>
  </si>
  <si>
    <t>5 520-00</t>
  </si>
  <si>
    <t>5 680-00</t>
  </si>
  <si>
    <t>14250-00</t>
  </si>
  <si>
    <t>18750-00</t>
  </si>
  <si>
    <t>23750-00</t>
  </si>
  <si>
    <t>17500-00</t>
  </si>
  <si>
    <t>[79824] 220650 (1606-52)  бортовой боковой 3,2 м сплав 6063 Т1</t>
  </si>
  <si>
    <t>[79700] 1606-39 (197.04) 4,95 м, сплав 6063 КР Т6, упковка Т5</t>
  </si>
  <si>
    <t>173 дав</t>
  </si>
  <si>
    <t>64 вывезено, 9 -брак, 79 готово</t>
  </si>
  <si>
    <t>брак 6</t>
  </si>
  <si>
    <t>133 дав</t>
  </si>
  <si>
    <t>52217.00</t>
  </si>
  <si>
    <t>18495.000</t>
  </si>
  <si>
    <t>27370-00</t>
  </si>
  <si>
    <t>177 дав</t>
  </si>
  <si>
    <t>176 дав</t>
  </si>
  <si>
    <t>66.000</t>
  </si>
  <si>
    <t>25070-00</t>
  </si>
  <si>
    <t>3917-10</t>
  </si>
  <si>
    <t>8617-90</t>
  </si>
  <si>
    <t>178 дав</t>
  </si>
  <si>
    <t>Исправл
6 пог.м брак</t>
  </si>
  <si>
    <t>коррект (забирали ТеплоЭнерго)</t>
  </si>
  <si>
    <t>повторный анод (отгружен без обработки)</t>
  </si>
  <si>
    <t>с др 1 бр</t>
  </si>
  <si>
    <t>181 дав</t>
  </si>
  <si>
    <t>без дроби 158 хл</t>
  </si>
  <si>
    <t>с дробью 49 хл</t>
  </si>
  <si>
    <t>182 дав</t>
  </si>
  <si>
    <t>[79390] 2606-05, 6,0м,  6063 Т1 БА</t>
  </si>
  <si>
    <t>183 дав</t>
  </si>
  <si>
    <t>16 хл брак</t>
  </si>
  <si>
    <t>72 пог.м закрыто</t>
  </si>
  <si>
    <t>OPT000221</t>
  </si>
  <si>
    <t>184 дав</t>
  </si>
  <si>
    <t>63000-00</t>
  </si>
  <si>
    <t>187 дав</t>
  </si>
  <si>
    <t>[79553] 1606-68, 2,95м, 6063 Т1, упаковка Т-5, БА</t>
  </si>
  <si>
    <t>[79555] 1606-68, 3,85м, 6063 Т1, упаковка Т-5, БА</t>
  </si>
  <si>
    <t>110 хл отдельно</t>
  </si>
  <si>
    <t xml:space="preserve">с дробью </t>
  </si>
  <si>
    <t xml:space="preserve">191 дав </t>
  </si>
  <si>
    <t>Наименование</t>
  </si>
  <si>
    <t>193 дав</t>
  </si>
  <si>
    <t>брак 1хл БА механ.поврежд.</t>
  </si>
  <si>
    <t>труба V-slot 40*40 (Р=0,30826; m=1,49), длина 6,1м, анодировка с дробью</t>
  </si>
  <si>
    <t>488.000</t>
  </si>
  <si>
    <t>195.200</t>
  </si>
  <si>
    <t>129-10</t>
  </si>
  <si>
    <t>лист АМГ3, ДИ.10.08.000.000-01.002,  850*1020*1,5 мм, 9-12мкм, анод</t>
  </si>
  <si>
    <t>лист АМГ3, ДИ.10.08.000.000-01.003,  850*1020*1,5 мм, 9-12мкм, анод</t>
  </si>
  <si>
    <t>лист АМГ3, ДИ.10.08.000.000-02.002 ,  780*850*1,5 мм, 9-12мкм, анод</t>
  </si>
  <si>
    <t>лист АМГ3, ДИ.10.08.000.000-02.003 ,  780*850*1,5 мм, 9-12мкм, анод</t>
  </si>
  <si>
    <t>194 дав</t>
  </si>
  <si>
    <t>12535-00</t>
  </si>
  <si>
    <t>Анодирование алюминиевого профиля с дробью (ус)
ИП Мещеряков_БЦ анод с дробью, 10мкм, Профиль 3213, длина 3200мм-216шт (на загрузку 43шт)</t>
  </si>
  <si>
    <t>Мещеряков</t>
  </si>
  <si>
    <t>157 дав</t>
  </si>
  <si>
    <t>труба V-slot 45*45 (Р=0,3461; m=1,85), длина 6,1м, анодировка с дробью (14хл)</t>
  </si>
  <si>
    <t>! в длине 6,0м и 6,1м - 14хл - 6загр</t>
  </si>
  <si>
    <t xml:space="preserve"> - 2 загр</t>
  </si>
  <si>
    <t>травление листов (обезжиривание) 1500*500*2,5 мм</t>
  </si>
  <si>
    <t>198 дав</t>
  </si>
  <si>
    <t>Трейд Лайн</t>
  </si>
  <si>
    <t>[79577] 1706-07, 6,0м,  6063 Т6 упаковка Т5</t>
  </si>
  <si>
    <t>[79578] 1706-08, 6,0м,  6063 Т6 упаковка Т5</t>
  </si>
  <si>
    <t>195 дав</t>
  </si>
  <si>
    <t>[80127] 8507025-2 ( (АА -2064-05 АЛ5) шир 222мм,  6,50м, 6063 Т1</t>
  </si>
  <si>
    <t>пятн</t>
  </si>
  <si>
    <t>20хл на склад</t>
  </si>
  <si>
    <t>141 дав</t>
  </si>
  <si>
    <t>203 дав</t>
  </si>
  <si>
    <t>204 дав</t>
  </si>
  <si>
    <t xml:space="preserve">
7359,30</t>
  </si>
  <si>
    <t>шина 20х2 длина 4,0м, анодировка без дроби</t>
  </si>
  <si>
    <t>шина 20х2 длина 2,0м, анодировка без дроби</t>
  </si>
  <si>
    <t>4192-00</t>
  </si>
  <si>
    <t>6708-00</t>
  </si>
  <si>
    <t>159 дав</t>
  </si>
  <si>
    <t>Петропрофиль</t>
  </si>
  <si>
    <t>4хл - повтор
5хл - риска</t>
  </si>
  <si>
    <t>4 хл брак</t>
  </si>
  <si>
    <t>30 хл брак</t>
  </si>
  <si>
    <t>211 дав</t>
  </si>
  <si>
    <t>Т 21, 6,0м, Анодировка с дробью</t>
  </si>
  <si>
    <t>2089-00</t>
  </si>
  <si>
    <t>8356-00</t>
  </si>
  <si>
    <t>213 дав</t>
  </si>
  <si>
    <t xml:space="preserve">Энергозащитные </t>
  </si>
  <si>
    <t>[68773] 0906-71, 5,8 м, сплав 6063 КР Т1</t>
  </si>
  <si>
    <t>[78539] 1606-87, 6,1м,  6063 Т1 БА</t>
  </si>
  <si>
    <t>[78293] 1606-88, 6,1м,  6063 Т1 БА</t>
  </si>
  <si>
    <t>[78540] 1606-89, 6,1 м,  6063 Т1 БА</t>
  </si>
  <si>
    <t>27шт на выпил+ 1хл брак БА</t>
  </si>
  <si>
    <t>6182  х готова</t>
  </si>
  <si>
    <t>102п.м брак бц+30п.м брак БА</t>
  </si>
  <si>
    <t>219 дав</t>
  </si>
  <si>
    <t>1хл брак БЦ</t>
  </si>
  <si>
    <t>229 дав</t>
  </si>
  <si>
    <t>Энергозащитные системы</t>
  </si>
  <si>
    <t>OPT000284</t>
  </si>
  <si>
    <t>брак 31 хл</t>
  </si>
  <si>
    <t>12 хл брак</t>
  </si>
  <si>
    <t>228 дав</t>
  </si>
  <si>
    <t>230 дав</t>
  </si>
  <si>
    <t>ФКГП416 10 01 041(полурамка) 15-21мкм,</t>
  </si>
  <si>
    <t>233 дав</t>
  </si>
  <si>
    <t>труба 12*12*1,2, длина 6,0м, анодировка без дроби</t>
  </si>
  <si>
    <t>труба 40*20*1,5, длина 6,0м, анодировка без дроби</t>
  </si>
  <si>
    <t>труба 50*20*2, длина 6,0м, анодировка без дроби</t>
  </si>
  <si>
    <t>труба 50*50*2, длина 6,0м, анодировка, без дроби</t>
  </si>
  <si>
    <t>труба 8*1, длина 6,0м, анодировка без дроби</t>
  </si>
  <si>
    <t>труба 25*1,5, длина 6,0 м, анодировка, без дроби</t>
  </si>
  <si>
    <t>234 дав</t>
  </si>
  <si>
    <t xml:space="preserve">235 дав </t>
  </si>
  <si>
    <t>19-80</t>
  </si>
  <si>
    <t>2 376-00</t>
  </si>
  <si>
    <t>22-20</t>
  </si>
  <si>
    <t>3 996-00</t>
  </si>
  <si>
    <t>58-20</t>
  </si>
  <si>
    <t>10 476-00</t>
  </si>
  <si>
    <t>78-95</t>
  </si>
  <si>
    <t>9 474-00</t>
  </si>
  <si>
    <t>89-45</t>
  </si>
  <si>
    <t>5 367-00</t>
  </si>
  <si>
    <t>4 530-00</t>
  </si>
  <si>
    <t>23-15</t>
  </si>
  <si>
    <t>6 945-00</t>
  </si>
  <si>
    <t>65-20</t>
  </si>
  <si>
    <t>19 560-00</t>
  </si>
  <si>
    <t>24-15</t>
  </si>
  <si>
    <t>7 245-00</t>
  </si>
  <si>
    <t>26-25</t>
  </si>
  <si>
    <t>7 875-00</t>
  </si>
  <si>
    <t>МТ-Р-0003, длина 3,42 м, без дроби 10 мкм (174,3 р/кг) упаковка по 10 шт</t>
  </si>
  <si>
    <t>9450.000</t>
  </si>
  <si>
    <t>435.600</t>
  </si>
  <si>
    <t>2736.000</t>
  </si>
  <si>
    <t>237 дав</t>
  </si>
  <si>
    <t>196000-00</t>
  </si>
  <si>
    <t>102000-00</t>
  </si>
  <si>
    <t>73500-00</t>
  </si>
  <si>
    <t>239 дав</t>
  </si>
  <si>
    <t>240 дав</t>
  </si>
  <si>
    <t>243 дав</t>
  </si>
  <si>
    <t>[80399] 1606-68, 3,9м, 6063 Т1, уп.Т5, БА</t>
  </si>
  <si>
    <t>OPT000320</t>
  </si>
  <si>
    <t>[80364] 1706-10, 6,15м, 6063 Т6 под анод, уп. Т5, БА</t>
  </si>
  <si>
    <t>244 дав</t>
  </si>
  <si>
    <t>791.01, профиль 3,0м,  Анодировка с дробью 9-12мкм+упаковка в мини-пачки</t>
  </si>
  <si>
    <t>брак -35хл</t>
  </si>
  <si>
    <t xml:space="preserve">МТ-Р-0002(11-2743), длина 3,0м, без дроби 10 мкм </t>
  </si>
  <si>
    <t>2хл брак + 6хл под выпил</t>
  </si>
  <si>
    <t>РП Мареев</t>
  </si>
  <si>
    <t>10 брак</t>
  </si>
  <si>
    <t>252 дав</t>
  </si>
  <si>
    <t>253 дав</t>
  </si>
  <si>
    <t>254 дав</t>
  </si>
  <si>
    <t>Т 32, 6,1м, Анодировка с дробью</t>
  </si>
  <si>
    <t>Т-181, 6,0м, Анодировка с дробью</t>
  </si>
  <si>
    <t>Т-182, 6,0м, Анодировка с дробью</t>
  </si>
  <si>
    <t>780.800</t>
  </si>
  <si>
    <t>255 дав</t>
  </si>
  <si>
    <t>37605-00</t>
  </si>
  <si>
    <t>23749-20</t>
  </si>
  <si>
    <t>1320-80</t>
  </si>
  <si>
    <t>257 дав</t>
  </si>
  <si>
    <t>OPT000354</t>
  </si>
  <si>
    <t xml:space="preserve"> ВКЛ дробь!!!! 279 хл готово 1 брак</t>
  </si>
  <si>
    <t xml:space="preserve"> 1 брак</t>
  </si>
  <si>
    <t>259 дав</t>
  </si>
  <si>
    <t>260 дав</t>
  </si>
  <si>
    <t>261 дав</t>
  </si>
  <si>
    <t>263 дав</t>
  </si>
  <si>
    <t>265 дав</t>
  </si>
  <si>
    <t>2800-00</t>
  </si>
  <si>
    <t>5600-00</t>
  </si>
  <si>
    <t>40040-00</t>
  </si>
  <si>
    <t>5880-00</t>
  </si>
  <si>
    <t>ЭСМ. 1111-116, 320мм - 5шт.; 1111-116, 475мм - 50шт,  БЦ анод  15мкм без дроби + упак. каждого  основания в стрейч и укладка на паллет.</t>
  </si>
  <si>
    <t>ГОРИТ</t>
  </si>
  <si>
    <t>15 хл брак приход с Лайт Констр</t>
  </si>
  <si>
    <t>16 хл найдены</t>
  </si>
  <si>
    <t>Количество</t>
  </si>
  <si>
    <t xml:space="preserve"> 1606-37, 6,1 м, сплав 6063 КР Т6</t>
  </si>
  <si>
    <t xml:space="preserve"> 0506-12, 6,0м, БА сплав 6063 КР под анод</t>
  </si>
  <si>
    <t xml:space="preserve"> 8507023 (МАК 0680-03), 6,50м, БА сплав 6063 Т1</t>
  </si>
  <si>
    <t xml:space="preserve"> 0506-17, Автоуголок 90*60*2мм, 6,0м, 6063 Т1, БА</t>
  </si>
  <si>
    <t xml:space="preserve"> 8507027 (АА-2064-02 АЛ5) 6,50м,  сплав 6063 Т1</t>
  </si>
  <si>
    <t xml:space="preserve"> А 15 (0072-04 или 0072-10) Прогон однополочный, 5,0м, 6063 Кр</t>
  </si>
  <si>
    <t xml:space="preserve"> 1606-39 (197.04) 4,85 м, сплав 6063 КР Т6</t>
  </si>
  <si>
    <t xml:space="preserve"> 0706-94 (197.07, АА-2050-50), 6,0м, сплав 6063 </t>
  </si>
  <si>
    <t xml:space="preserve"> 1606-88, 6,1м,  6063 Т1 БА</t>
  </si>
  <si>
    <t xml:space="preserve"> 0506-75, 3,0м, БА сплав 6063 Кр</t>
  </si>
  <si>
    <t xml:space="preserve"> 8507025-2 (АГС), бортовой профиль, 6,50м, Ад31 Т1</t>
  </si>
  <si>
    <t>лист 1200х500*3 мм,  двухстороннее анодирование</t>
  </si>
  <si>
    <t>271 дав</t>
  </si>
  <si>
    <t>Анодирование алюминиевого профиля с дробью (шт)</t>
  </si>
  <si>
    <t>Зачистка  механическая стекольного фасада</t>
  </si>
  <si>
    <t>270 да</t>
  </si>
  <si>
    <t>ДОКСАЛ</t>
  </si>
  <si>
    <t>73 +0</t>
  </si>
  <si>
    <t>94хл</t>
  </si>
  <si>
    <t xml:space="preserve"> 9 брак</t>
  </si>
  <si>
    <t>134550-00</t>
  </si>
  <si>
    <t>273 дав</t>
  </si>
  <si>
    <t>4хл брак</t>
  </si>
  <si>
    <t>из них 12хл на повт аноде</t>
  </si>
  <si>
    <t>повторная заявка</t>
  </si>
  <si>
    <t>16хл брак на повторную заявку</t>
  </si>
  <si>
    <t>3 хлыста спасаем</t>
  </si>
  <si>
    <t>по 491- 3хл + 13 - 4хл</t>
  </si>
  <si>
    <t>Корпус КУДР.676621.015.01_2080мм_анод 15-20 мкм</t>
  </si>
  <si>
    <t>9579-36</t>
  </si>
  <si>
    <t>4105-64</t>
  </si>
  <si>
    <t>274 дав</t>
  </si>
  <si>
    <t>275 дав</t>
  </si>
  <si>
    <t>276 дав</t>
  </si>
  <si>
    <t>[77411] 1606-70, 3,0м, 6063  Т6 уп Т-1</t>
  </si>
  <si>
    <t>[80504] 1606-30, 3,1м, 6063 под анод, Т1, уп.Т5 (контроль геоментрии), БА</t>
  </si>
  <si>
    <t>[80505] 1606-30, 3,7м, 6063 под анод, Т1, уп.Т5 (контроль геометрии), БА</t>
  </si>
  <si>
    <t>249 +0</t>
  </si>
  <si>
    <t>33хл под отгрузку</t>
  </si>
  <si>
    <r>
      <t xml:space="preserve">15хл брак - грубые мех повреждения - на повтор
</t>
    </r>
    <r>
      <rPr>
        <sz val="12"/>
        <color rgb="FFFF0000"/>
        <rFont val="Arial Cyr"/>
        <charset val="204"/>
      </rPr>
      <t>1хл брак</t>
    </r>
    <r>
      <rPr>
        <sz val="12"/>
        <color theme="1"/>
        <rFont val="Arial Cyr"/>
      </rPr>
      <t xml:space="preserve">
7хл на повторе </t>
    </r>
  </si>
  <si>
    <t>392 +0</t>
  </si>
  <si>
    <t>OPT000405</t>
  </si>
  <si>
    <t>OPT000406</t>
  </si>
  <si>
    <t>OPT000407</t>
  </si>
  <si>
    <t>OPT000408</t>
  </si>
  <si>
    <t>OPT000409</t>
  </si>
  <si>
    <t>13 +0</t>
  </si>
  <si>
    <t>281 дав</t>
  </si>
  <si>
    <t>[80622] 2606-05, 4,15 м,  6063 Т1 БА</t>
  </si>
  <si>
    <t>45 +0</t>
  </si>
  <si>
    <t>[80624] 2606-03, 4,15 м, 6063 Т1 БА</t>
  </si>
  <si>
    <t>402 +0</t>
  </si>
  <si>
    <t>[80626] 2606-04, 4,15 м, 6063 Т1 БА</t>
  </si>
  <si>
    <t>396 +0</t>
  </si>
  <si>
    <t>305 +0</t>
  </si>
  <si>
    <t>544 +0</t>
  </si>
  <si>
    <t>655 +0</t>
  </si>
  <si>
    <t>280 дав</t>
  </si>
  <si>
    <t>5хл брак</t>
  </si>
  <si>
    <t>237 +0</t>
  </si>
  <si>
    <t>(3хл со склада болтаются)</t>
  </si>
  <si>
    <t>213 +0</t>
  </si>
  <si>
    <t>616 +0</t>
  </si>
  <si>
    <t>[80497] АТ-6485, 3,65 м, cплав 6063</t>
  </si>
  <si>
    <t>116 +0</t>
  </si>
  <si>
    <t xml:space="preserve"> + доп.обработка</t>
  </si>
  <si>
    <t xml:space="preserve"> + доп.обработка
2хл брака</t>
  </si>
  <si>
    <t xml:space="preserve"> + доп.обработка
3хл брак вмятины</t>
  </si>
  <si>
    <t>МТ-10-0095, длина  3 ,41м, без дроби 10 мкм</t>
  </si>
  <si>
    <t>299 дав</t>
  </si>
  <si>
    <t xml:space="preserve">Ал-Профи </t>
  </si>
  <si>
    <t>273039.97</t>
  </si>
  <si>
    <t>301 дав</t>
  </si>
  <si>
    <t>25.000</t>
  </si>
  <si>
    <t>17.000</t>
  </si>
  <si>
    <t>11.000</t>
  </si>
  <si>
    <t>302 дав</t>
  </si>
  <si>
    <t>ПК Северо-Запад</t>
  </si>
  <si>
    <t>Анодирование алюминиевого профиля 18мкм с дробью
6 загр по 18мкм с Др + оклейка (бассейн)</t>
  </si>
  <si>
    <t>107199.00</t>
  </si>
  <si>
    <t>13 брак</t>
  </si>
  <si>
    <t>КП 45370, 6,0м, Анодировка с дробью</t>
  </si>
  <si>
    <t>КП 45309, 6,0м, Анодировка с дробью</t>
  </si>
  <si>
    <t>ДЭН</t>
  </si>
  <si>
    <t>59799-00</t>
  </si>
  <si>
    <t>29901-00</t>
  </si>
  <si>
    <t>252 +0</t>
  </si>
  <si>
    <t>[80707] 1706-07, 6,1м,  6063 Т6 упаковка Т5</t>
  </si>
  <si>
    <t>[80708] 1706-08, 6,1м,  6063 Т6 упаковка Т5</t>
  </si>
  <si>
    <t>284 +0</t>
  </si>
  <si>
    <t>[80803] Уголок 20*20*2мм (9999-59, АТ-056, А-1515 ), 5,0м, сплав 6063 Т6</t>
  </si>
  <si>
    <t>461 +0</t>
  </si>
  <si>
    <t>8 брак</t>
  </si>
  <si>
    <t>22900-00</t>
  </si>
  <si>
    <t>307 дав</t>
  </si>
  <si>
    <t>410-00</t>
  </si>
  <si>
    <t>305 дав</t>
  </si>
  <si>
    <t>63 брак</t>
  </si>
  <si>
    <t>2120-00</t>
  </si>
  <si>
    <t>630-00</t>
  </si>
  <si>
    <t>9660-00</t>
  </si>
  <si>
    <t>840-00</t>
  </si>
  <si>
    <t>4600-00</t>
  </si>
  <si>
    <t>1310-00</t>
  </si>
  <si>
    <t>1450-00</t>
  </si>
  <si>
    <t>3100-00</t>
  </si>
  <si>
    <t>1550-00</t>
  </si>
  <si>
    <t>3260-00</t>
  </si>
  <si>
    <t>27200-00</t>
  </si>
  <si>
    <t>13760-00</t>
  </si>
  <si>
    <t>313 дав</t>
  </si>
  <si>
    <t>22250-00</t>
  </si>
  <si>
    <t>Доп. услуги по заявке дав 298</t>
  </si>
  <si>
    <t>дав 266</t>
  </si>
  <si>
    <t>[80618] 2606-02, 5,05 м,  6063 Т1 БА</t>
  </si>
  <si>
    <t>[80620] 2606-02, 5,65 м,  6063 Т1 БА</t>
  </si>
  <si>
    <t>318 дав</t>
  </si>
  <si>
    <t>93643.20</t>
  </si>
  <si>
    <t>1 бр</t>
  </si>
  <si>
    <t>3 хл брак БА 
1хл брак анод прокатная</t>
  </si>
  <si>
    <t>319 дав</t>
  </si>
  <si>
    <t>АВА-4750 профиль, 6,1м, анод с дробью
БЦ анод 15мкм с дробью, минипачки по 5шт.</t>
  </si>
  <si>
    <t>70225.88</t>
  </si>
  <si>
    <t>41хл брака, возврат</t>
  </si>
  <si>
    <t>АВА-4938 профиль, 6,1м, анод с дробью_БЦ анод 15мкм с дробью, минипачки по 8шт.
299_дав_Доп услуги - 76000руюб перетравливание</t>
  </si>
  <si>
    <t>321 дав</t>
  </si>
  <si>
    <t>5698-20</t>
  </si>
  <si>
    <t>1139-52</t>
  </si>
  <si>
    <t>2279-04</t>
  </si>
  <si>
    <t>3418-24</t>
  </si>
  <si>
    <t>726 +0</t>
  </si>
  <si>
    <t>6 брак</t>
  </si>
  <si>
    <t>без дроби 3 брак</t>
  </si>
  <si>
    <t>4хл брак БА механ.поврежд.</t>
  </si>
  <si>
    <t>1хл брак БА механ.поврежд.</t>
  </si>
  <si>
    <t>86 +0</t>
  </si>
  <si>
    <t xml:space="preserve">325 дав </t>
  </si>
  <si>
    <t>326 дав</t>
  </si>
  <si>
    <t>327 дав</t>
  </si>
  <si>
    <t>112815-00</t>
  </si>
  <si>
    <t>7359-30</t>
  </si>
  <si>
    <t>7,4пог.м брак</t>
  </si>
  <si>
    <t>18,5пог.м брак</t>
  </si>
  <si>
    <t>4 бр</t>
  </si>
  <si>
    <t>труба V-slot 45*45 (Р=0,3461; m=1,85), длина 6,1м, анодировка с дробью</t>
  </si>
  <si>
    <t>37605-52</t>
  </si>
  <si>
    <t>268.400</t>
  </si>
  <si>
    <t>322 дав</t>
  </si>
  <si>
    <t>брак 2</t>
  </si>
  <si>
    <t>брак 8</t>
  </si>
  <si>
    <t>15 брак</t>
  </si>
  <si>
    <t>16 хл бр</t>
  </si>
  <si>
    <t>1 хлыст - задиры по всей поверхности (откладываем на возврат, окончательный брак)
10 хлыстов - саблевидный профиль - берем в работу
21 хлыст - потёртости (пойдёт под мех шлифовку)</t>
  </si>
  <si>
    <t>75 +0</t>
  </si>
  <si>
    <t>завоз 19.07</t>
  </si>
  <si>
    <t>330 дав</t>
  </si>
  <si>
    <t>299 +0</t>
  </si>
  <si>
    <t>[38898] 1206-75, 6,0м, сплав 6063</t>
  </si>
  <si>
    <t>[80614] 2606-02, 4,25 м,  6063 Т1 БА</t>
  </si>
  <si>
    <t>[80616] 2606-02, 4,65 м,  6063 Т1 БА</t>
  </si>
  <si>
    <t>[14596] 0216-31, 6,0м, 6063 Т1, упаковка Т-5, БА</t>
  </si>
  <si>
    <t>8хл повтор - 95руб.
35хл предвар 95руб.
11хл - брак БА</t>
  </si>
  <si>
    <t>341 дав</t>
  </si>
  <si>
    <t>труба 25*25*3, длина 6,0м, анодировка с дробью</t>
  </si>
  <si>
    <t>342 дав</t>
  </si>
  <si>
    <t xml:space="preserve">331 дав </t>
  </si>
  <si>
    <t>МТ-2-0524, длина 3,270 м, с дробью 10 мкм (54,9 р/кг)</t>
  </si>
  <si>
    <t>340 дав</t>
  </si>
  <si>
    <t>[81149] Корпус радиатора 172мм, длина 856мм</t>
  </si>
  <si>
    <t>Ленсвет</t>
  </si>
  <si>
    <t>345 дав</t>
  </si>
  <si>
    <t>346 дав</t>
  </si>
  <si>
    <t>347 дав</t>
  </si>
  <si>
    <t>[80201] 1606-99, 6,0м,  6063 Т1 БА</t>
  </si>
  <si>
    <t xml:space="preserve">мак </t>
  </si>
  <si>
    <t>349 дав</t>
  </si>
  <si>
    <t>полоса 30х2мм, длина 2,0м, анодировка без дроби</t>
  </si>
  <si>
    <t>338 дав</t>
  </si>
  <si>
    <t>Защита электронных технологий</t>
  </si>
  <si>
    <t>125353.00</t>
  </si>
  <si>
    <t>травление листов (обезжиривание) 1200*500*2</t>
  </si>
  <si>
    <t>354 дав</t>
  </si>
  <si>
    <t>58000-00</t>
  </si>
  <si>
    <t>БЦ анод с дробью 18-20мкм_отливы</t>
  </si>
  <si>
    <t>ВСГ</t>
  </si>
  <si>
    <t>[69453] 1506-44, 6,0м, 6063 Т1, тип 1,  упак. Т5, БА</t>
  </si>
  <si>
    <t>Корпус КУДР.676621.015.01-01_1418 мм_анод 15-20 мкм</t>
  </si>
  <si>
    <t>356 дав</t>
  </si>
  <si>
    <t>10860-96</t>
  </si>
  <si>
    <t>355 дав</t>
  </si>
  <si>
    <t>427 +0</t>
  </si>
  <si>
    <t>2063 +0</t>
  </si>
  <si>
    <t>534 +0</t>
  </si>
  <si>
    <t>332 +0</t>
  </si>
  <si>
    <t>267 дав</t>
  </si>
  <si>
    <t>забракована</t>
  </si>
  <si>
    <t>ЛК</t>
  </si>
  <si>
    <t>360 дав</t>
  </si>
  <si>
    <t>361 дав</t>
  </si>
  <si>
    <t>МТ-4-452238-1, длина 4,4м, с дробью 10 мкм (59,6 р/кг)</t>
  </si>
  <si>
    <t>431.200</t>
  </si>
  <si>
    <t>362 дав</t>
  </si>
  <si>
    <t>ПРОМСТАЛЬ</t>
  </si>
  <si>
    <t>364 дав</t>
  </si>
  <si>
    <t>Анодирование алюминиевого профиля (ус) швеллер  6м \10х18х1мм</t>
  </si>
  <si>
    <t>365 дав</t>
  </si>
  <si>
    <t>321 +0</t>
  </si>
  <si>
    <t>368 дав</t>
  </si>
  <si>
    <t>на согласовании заявка</t>
  </si>
  <si>
    <t>Уголок АД31т1 30х15х1,5 L-6m - 18 хлыстов_ БЦ анод (9-12мкм) с дробью, упак в стрейч</t>
  </si>
  <si>
    <t>371 дав</t>
  </si>
  <si>
    <t>373 дав</t>
  </si>
  <si>
    <t>377 дав</t>
  </si>
  <si>
    <t>35750-00</t>
  </si>
  <si>
    <t>12500-00</t>
  </si>
  <si>
    <t>376 дав</t>
  </si>
  <si>
    <t>31.000</t>
  </si>
  <si>
    <t>25000-00</t>
  </si>
  <si>
    <t>55800-00</t>
  </si>
  <si>
    <t>27900-00</t>
  </si>
  <si>
    <t xml:space="preserve"> + 66 хл 95 руб/м2</t>
  </si>
  <si>
    <t>379 дав</t>
  </si>
  <si>
    <t xml:space="preserve">  </t>
  </si>
  <si>
    <t>387 дав</t>
  </si>
  <si>
    <t>386 ДАВ</t>
  </si>
  <si>
    <t>БАЛТМЕТАЛЛ</t>
  </si>
  <si>
    <t>Труба 80*40*4, длина 6,0м, анодировка с дробью</t>
  </si>
  <si>
    <t>9600-00
16500-00
13512-00</t>
  </si>
  <si>
    <t>388 дав</t>
  </si>
  <si>
    <t>профиль 3,0м</t>
  </si>
  <si>
    <t>391 дав</t>
  </si>
  <si>
    <t>Корпус КУДР.676621.015.01_1886мм_анод 15-20 мкм</t>
  </si>
  <si>
    <t>392 дав</t>
  </si>
  <si>
    <t>лист 1200х500*2,5 мм,  двухстороннее анодирование</t>
  </si>
  <si>
    <t>полоса 50х2мм, длина 6,0м, анодировка без дроби</t>
  </si>
  <si>
    <t>труба кругл  12*1, длина 6,0м, анодировка без дроби</t>
  </si>
  <si>
    <t>уголок 70*70*2,5, длина 6,0м, анодировка без дроби</t>
  </si>
  <si>
    <t>394 дав</t>
  </si>
  <si>
    <t>420.000</t>
  </si>
  <si>
    <t>63 +0</t>
  </si>
  <si>
    <t>398 дав</t>
  </si>
  <si>
    <t>388 +0</t>
  </si>
  <si>
    <t>[81438] 1206-76, 3,0м, сплав 6063 Т1</t>
  </si>
  <si>
    <t>[81357] 1606-37, 4,45 м, сплав 6063 КР Т6, упаковка Т-5</t>
  </si>
  <si>
    <t>270 +0</t>
  </si>
  <si>
    <t>[81356] 1606-37, 5,05 м, сплав 6063 КР Т6, упаковка Т-5</t>
  </si>
  <si>
    <t>бездроби</t>
  </si>
  <si>
    <t>МТ-11-3025, длина 5,8м, с дробью 10 мкм (66,20р/кг)</t>
  </si>
  <si>
    <t>МТ-2-3287, длина 3,0 м, с дробью 10 мкм ( 67,30р/кг)</t>
  </si>
  <si>
    <t>203.000</t>
  </si>
  <si>
    <t>БЦ анод 15мкм с дробью, мини пачки по 8шт</t>
  </si>
  <si>
    <t>4532.300</t>
  </si>
  <si>
    <t>43-97</t>
  </si>
  <si>
    <t>199285-23</t>
  </si>
  <si>
    <t>АГС 221507, L=3,075м, БЦ анодирование 15мкм БЦ анод 15мкм без Др + стрейч</t>
  </si>
  <si>
    <t>239.850</t>
  </si>
  <si>
    <t>266-17</t>
  </si>
  <si>
    <t>63841-92</t>
  </si>
  <si>
    <t>216 +0</t>
  </si>
  <si>
    <t>5хл брак - не переделать</t>
  </si>
  <si>
    <t>9хлбрак 
(6пятна, 3хл световая полоса)
1хл брак - экст.полоса</t>
  </si>
  <si>
    <t>59 хл +95руб м2
18+18+18+26?</t>
  </si>
  <si>
    <t>шина 20х2 длина 3,0м, БЦ анод 5мкм без дроби</t>
  </si>
  <si>
    <t>уголок 10*10*1,2, длина 3,0м, БЦ анод 5мкм без дроби</t>
  </si>
  <si>
    <t>уголок 15*15*1,2, длина 3,0м, БЦ анод 5мкм без дроби</t>
  </si>
  <si>
    <t>уголок 25*25*1,2, длина 3,0м, БЦ анод 5мкм без дроби</t>
  </si>
  <si>
    <t>уголок 40*20*2, длина 3,0м, БЦ анод 5мкм без дроби</t>
  </si>
  <si>
    <t>труба V-slot 40*80 (Р-0,474), длина 6,1м, анодировка с дробью</t>
  </si>
  <si>
    <t>570.000</t>
  </si>
  <si>
    <t>282.000</t>
  </si>
  <si>
    <t>122.000</t>
  </si>
  <si>
    <t>9302-40</t>
  </si>
  <si>
    <t>9303-18</t>
  </si>
  <si>
    <t>9299-61</t>
  </si>
  <si>
    <t>23129-98</t>
  </si>
  <si>
    <t>266.200</t>
  </si>
  <si>
    <t>23130-12</t>
  </si>
  <si>
    <t>28+28+22</t>
  </si>
  <si>
    <t>405 дав</t>
  </si>
  <si>
    <t>ПК СЕВЕРО-ЗАПАД УПР</t>
  </si>
  <si>
    <t>Анодирование алюминиевого профиля 18мкм с дробью
БЦ анод 18мкм с Др + оклейка (бассейн) - 1 хл. 6,0м</t>
  </si>
  <si>
    <t>[80768] Т77 (АТ- 7617) Стойка квадратная 4-хпазная (29х29 под замок еврошоп), 5,0м, 6063 КР</t>
  </si>
  <si>
    <t>3840-00</t>
  </si>
  <si>
    <t>5760-00</t>
  </si>
  <si>
    <t>3600-00</t>
  </si>
  <si>
    <t>408 дав</t>
  </si>
  <si>
    <t>5 хл брак мех.повр.</t>
  </si>
  <si>
    <t>4хл на возврат
с дробью</t>
  </si>
  <si>
    <t>[79492] 1606-73 (п-образный), 4,0м, 6063 Т1, упаковка Т-5, БА</t>
  </si>
  <si>
    <t>уголок 40*40*3, длина 6,0м, анодировка с дробью</t>
  </si>
  <si>
    <t>409 дав</t>
  </si>
  <si>
    <t>[81080] 1706-72, 3,0 м,  6063 Т6 упаковка Т5</t>
  </si>
  <si>
    <t>6267-50</t>
  </si>
  <si>
    <t>1хл брак БА механич.поврежд.</t>
  </si>
  <si>
    <t>65169-00</t>
  </si>
  <si>
    <t>Перетравливание алюминия (ус.)
360_дав_Доп услуги</t>
  </si>
  <si>
    <t>407 дав</t>
  </si>
  <si>
    <t>швеллер 30*50*30*2 , длина 6,0м, анодировка с дробью</t>
  </si>
  <si>
    <t>414 дав</t>
  </si>
  <si>
    <t>Искон</t>
  </si>
  <si>
    <t>413 дав</t>
  </si>
  <si>
    <t>8100-00</t>
  </si>
  <si>
    <t>5250-00</t>
  </si>
  <si>
    <t>Компания "Металл-1</t>
  </si>
  <si>
    <t>411 дав</t>
  </si>
  <si>
    <t>415 дав</t>
  </si>
  <si>
    <t>416 дав</t>
  </si>
  <si>
    <t>27.000</t>
  </si>
  <si>
    <t>38.000</t>
  </si>
  <si>
    <t>19.000</t>
  </si>
  <si>
    <t>29700-00</t>
  </si>
  <si>
    <t>26600-00</t>
  </si>
  <si>
    <t>20900-00</t>
  </si>
  <si>
    <t>30500-00</t>
  </si>
  <si>
    <t>Анодирование алюминиевого профиля без дроби (ус) рамки</t>
  </si>
  <si>
    <t>лист 1200х500*2 мм,  двухстороннее анодирование</t>
  </si>
  <si>
    <t>424 дав</t>
  </si>
  <si>
    <t>425 дав</t>
  </si>
  <si>
    <t>51 брак</t>
  </si>
  <si>
    <t>[81035] 1606-65, 6,0м, 6063 Т1</t>
  </si>
  <si>
    <t>139 +0</t>
  </si>
  <si>
    <t>Тавр 20х15х2, длина 2,0м, анодировка без дроби</t>
  </si>
  <si>
    <t>430 дав</t>
  </si>
  <si>
    <t>434 дав</t>
  </si>
  <si>
    <t>[80871] 1706-13 (нижний 217), 6,0м, 6063 Т1, упаковка Т-5, БА</t>
  </si>
  <si>
    <t>466 +0</t>
  </si>
  <si>
    <t>OPT000615</t>
  </si>
  <si>
    <t>227 +0</t>
  </si>
  <si>
    <t>OPT000616</t>
  </si>
  <si>
    <t>174 +0</t>
  </si>
  <si>
    <t>труба V-slot 40*40 (Р=0,30826; m=1,49), длина 3,05м, анодировка с дробью</t>
  </si>
  <si>
    <t>61.000</t>
  </si>
  <si>
    <t>97.600</t>
  </si>
  <si>
    <t>11564-99</t>
  </si>
  <si>
    <t>10859-95</t>
  </si>
  <si>
    <t>326 +0</t>
  </si>
  <si>
    <t>Т 23-01, 6,0м, Анодировка с дробью</t>
  </si>
  <si>
    <t>436 дав</t>
  </si>
  <si>
    <t>Корпус КУДР.676621.015.01_1885 мм_анод 15-20 мкм</t>
  </si>
  <si>
    <t>437 дав</t>
  </si>
  <si>
    <t>с дробью/ брак 7 хл</t>
  </si>
  <si>
    <t>54 740-00</t>
  </si>
  <si>
    <t>438 дав</t>
  </si>
  <si>
    <t>НордФасад</t>
  </si>
  <si>
    <t>OPT000629</t>
  </si>
  <si>
    <t>[52379] 0906-65, 6,0м, БА сплав 6063КР Д</t>
  </si>
  <si>
    <t>Брабансон</t>
  </si>
  <si>
    <t>[82007] 1706-68, 5,0м, 6063 Т1, упаковка Т-5, БА</t>
  </si>
  <si>
    <t>[82008] 1706-69, 5,0м, 6063 Т1, упаковка Т-5, БА</t>
  </si>
  <si>
    <t>[82009] 1706-70, 5,0м, 6063 Т1, упаковка Т-5, БА</t>
  </si>
  <si>
    <t xml:space="preserve"> завезен</t>
  </si>
  <si>
    <t>МП</t>
  </si>
  <si>
    <t>441 дав</t>
  </si>
  <si>
    <t>15220.00</t>
  </si>
  <si>
    <t>ручная зачистка +дробь+ПТ+Дробь и финишный анод-3/4мкм. 191187, СПБ, ул. Чайковского, д. 12, лит. А</t>
  </si>
  <si>
    <t>36пог.м брак БА в ЛОМА механич.поврежд.</t>
  </si>
  <si>
    <t>621 +0</t>
  </si>
  <si>
    <t>443 дав</t>
  </si>
  <si>
    <t>386 +0</t>
  </si>
  <si>
    <t>МТ-2-01123, длина 4,1м, без дроби 10 мкм ( 55,6 р/кг)</t>
  </si>
  <si>
    <t>МТ-2-01092, длина 4,1м, без дроби 10 мкм ( 59,4р/кг)</t>
  </si>
  <si>
    <t>завоз 22.09</t>
  </si>
  <si>
    <t>завоз 26.09</t>
  </si>
  <si>
    <t>449 дав</t>
  </si>
  <si>
    <t>97900-00</t>
  </si>
  <si>
    <t>80800-00</t>
  </si>
  <si>
    <t>429 дав</t>
  </si>
  <si>
    <t>Альпика</t>
  </si>
  <si>
    <t>лист 1500х500*2,5 мм,  двухстороннее анодирование</t>
  </si>
  <si>
    <t>брак БА механич.поврежд. - 4хл+2хл брак БЦ (экструз.раковины)</t>
  </si>
  <si>
    <t>счет!</t>
  </si>
  <si>
    <t>профиль 3,0м 15-18мкм</t>
  </si>
  <si>
    <t>[78287] 1706-80 (плинтус 60, АТ-4868-сломана) 6,0 м, сплав 6063 Т1</t>
  </si>
  <si>
    <t>[80921] 2606-06, 4,15 м,  6063 Т1 БА</t>
  </si>
  <si>
    <t>366 +0</t>
  </si>
  <si>
    <t xml:space="preserve"> +ПТ</t>
  </si>
  <si>
    <t>519 +0</t>
  </si>
  <si>
    <t>50+44</t>
  </si>
  <si>
    <t xml:space="preserve">[77278] 1606-37, 5,3 м, анод 4-5мкм БЕЗ дроби +стрейч </t>
  </si>
  <si>
    <t>459 дав</t>
  </si>
  <si>
    <t>452 дав</t>
  </si>
  <si>
    <t>461 дав</t>
  </si>
  <si>
    <t>462 дав</t>
  </si>
  <si>
    <t>Анодирование алюминиевого листа АМГ3, ЦГТВ 741124.003, 947*790*1,5мм</t>
  </si>
  <si>
    <t>Анодирование алюминиевого листа АМГ3, ЦГТВ 741124.003-01, 947*790*1,5мм</t>
  </si>
  <si>
    <t>Анодирование алюминиевого листа АМГ3, ЦГТВ 741124.003-02, 1495*790*1,5мм</t>
  </si>
  <si>
    <t>Анодирование алюминиевого листа АМГ3, ЦГТВ 741124.003-04, 777*285*1,5мм</t>
  </si>
  <si>
    <t>Анодирование алюминиевого листа АМГ3, ЦГТВ 741124.003-05, 777*285*1,5мм</t>
  </si>
  <si>
    <t>Анодирование алюминиевого листа АМГ3, ЦГТВ 741124.003-06, 777*285*1,5мм</t>
  </si>
  <si>
    <t>Анодирование алюминиевого листа АМГ3, ЦГТВ 741124.003-07, 925*790*1,5мм</t>
  </si>
  <si>
    <t>Анодирование алюминиевого листа АМГ3, ЦГТВ 741124.003-08, 925*790*1,5мм</t>
  </si>
  <si>
    <t>Анодирование алюминиевого листа АМГ3, ЦГТВ 741124.003-10, 1495*790*1,5мм</t>
  </si>
  <si>
    <t>Анодирование алюминиевого листа АМГ3, ЦГТВ 741124.003-11, 1495*790*1,5мм</t>
  </si>
  <si>
    <t>463 дав</t>
  </si>
  <si>
    <t>МТ-11-2342, длина 3,5м, без дроби 10 мкм</t>
  </si>
  <si>
    <t>МТ-2-01092, длина 4,1м, без дроби 10 мкм</t>
  </si>
  <si>
    <t>1120.000</t>
  </si>
  <si>
    <t>828.200</t>
  </si>
  <si>
    <t>465 дав</t>
  </si>
  <si>
    <t xml:space="preserve">  профиль 650.07 3,0 15-18мкм без дроби</t>
  </si>
  <si>
    <t>458 дав</t>
  </si>
  <si>
    <t>466 дав</t>
  </si>
  <si>
    <t>6190-20</t>
  </si>
  <si>
    <t>труба V-slot 40*80 (Р-0,474), длина 6,05м, анодировка с дробью</t>
  </si>
  <si>
    <t>труба V-slot 30*30 (Р-0,230), длина 6,05м, анодировка с дробью</t>
  </si>
  <si>
    <t>БЦ анод 10мкм с дробью</t>
  </si>
  <si>
    <t>1206-37, 3,6м, тех.анод</t>
  </si>
  <si>
    <t>1206-38, 3,6м, тех.анод</t>
  </si>
  <si>
    <t>1206-39, 3,6м, тех.анод</t>
  </si>
  <si>
    <t>1206-40, 3,6м, тех.анод</t>
  </si>
  <si>
    <t>460 дав</t>
  </si>
  <si>
    <t>Мастер-Про</t>
  </si>
  <si>
    <t>7616-78</t>
  </si>
  <si>
    <t>7620-48</t>
  </si>
  <si>
    <t>7862-70</t>
  </si>
  <si>
    <t>8128-51</t>
  </si>
  <si>
    <t>1 загр</t>
  </si>
  <si>
    <t>245 +0</t>
  </si>
  <si>
    <t>[23954] 0106-206, 4,8м, АД31 Т1, уп.Т4, БА</t>
  </si>
  <si>
    <t>БЦ анод 5 мкм без дроби под покраску. Упаковка в бумагу. Далее в ИНЛУК.</t>
  </si>
  <si>
    <t>[82071] 1706-78, 6,2м, 6063 Т6</t>
  </si>
  <si>
    <t>ЛПМ-Комплекс</t>
  </si>
  <si>
    <t>57 +0</t>
  </si>
  <si>
    <t>[80922] 2606-07, 4,15 м,  6063 Т1 БА</t>
  </si>
  <si>
    <t>10мкм общестрой</t>
  </si>
  <si>
    <t>1314.000</t>
  </si>
  <si>
    <t>864.000</t>
  </si>
  <si>
    <t>43631-95</t>
  </si>
  <si>
    <t>40571-95</t>
  </si>
  <si>
    <t>26179-17</t>
  </si>
  <si>
    <t>5заг</t>
  </si>
  <si>
    <t>5загр</t>
  </si>
  <si>
    <t>3загр</t>
  </si>
  <si>
    <t>477 дав</t>
  </si>
  <si>
    <t>Двери Холл</t>
  </si>
  <si>
    <t>[69916] 97082, Автоуголок 50*50 мм, 6,0м,  сплав 6063 Т6 + упаковка А5</t>
  </si>
  <si>
    <t>142 +0</t>
  </si>
  <si>
    <t>[82152] 219132 (197.01), КРОМКА, 6,15 м, сплав 6063 Т6, упаковка по чертежу</t>
  </si>
  <si>
    <t>479 дав</t>
  </si>
  <si>
    <t>40560-00</t>
  </si>
  <si>
    <t>AL16х5, 6,2м, 5мкм с дробью, уп.мини-пачки стрейч (100ШТ НА ЗАГРУЗКУ)</t>
  </si>
  <si>
    <t>2070.800</t>
  </si>
  <si>
    <t>21 брак</t>
  </si>
  <si>
    <t>239 +0</t>
  </si>
  <si>
    <t>[62126] А 22 (0073-15), Н-профиль, 5,0м, 6063 Кр</t>
  </si>
  <si>
    <t>481 дав</t>
  </si>
  <si>
    <t>537.100</t>
  </si>
  <si>
    <t>220517-15</t>
  </si>
  <si>
    <t>[81585] 1706-71, 6,0м, 6063 Т1, упаковка Т-5, БА</t>
  </si>
  <si>
    <t>Стиком</t>
  </si>
  <si>
    <t>OPT000701</t>
  </si>
  <si>
    <t>[82279] 1506-80, 3,05м, 6063 Т1, уп.Т5, тип анод 2</t>
  </si>
  <si>
    <t>Трейд Дьюти фри</t>
  </si>
  <si>
    <t>[866] 0106-153, уголок 150*55*3мм, 6,0м, АД31 Т1, уп. Т5</t>
  </si>
  <si>
    <t>лист 1500х500*2,5 мм, одностороннее анодирование</t>
  </si>
  <si>
    <t>484 дав</t>
  </si>
  <si>
    <t>487 дав</t>
  </si>
  <si>
    <t>86.000</t>
  </si>
  <si>
    <t>489 дав</t>
  </si>
  <si>
    <t>581.400</t>
  </si>
  <si>
    <t>68.610</t>
  </si>
  <si>
    <t>2401-35</t>
  </si>
  <si>
    <t>6900-00</t>
  </si>
  <si>
    <t>18900-00</t>
  </si>
  <si>
    <t>2900-00</t>
  </si>
  <si>
    <t>491 дав</t>
  </si>
  <si>
    <t>Уголок 30х30х1,5, длина 6,0м, БЦ анодирование с дробью</t>
  </si>
  <si>
    <t>10900-08</t>
  </si>
  <si>
    <t>Прочная Сталь</t>
  </si>
  <si>
    <t>БЦ анод (5мкм) с дробью, уп. бумага/мини-пачки</t>
  </si>
  <si>
    <t>[56993] 0506-17 (97083), Автоуголок 90*60*2мм, 6,0м, 6063 Т1, БА</t>
  </si>
  <si>
    <t>494 дав</t>
  </si>
  <si>
    <t>КПС 6,0м - 19хл, 4,745м -6хл, КП 6,0м - 3хл, БЦ анод 9-12мкм, уп.стрейч</t>
  </si>
  <si>
    <t>12535.00</t>
  </si>
  <si>
    <t>[74363] 1506-79, 3,05м, 6063 Т1, уп.Т5, БА</t>
  </si>
  <si>
    <t>722.000</t>
  </si>
  <si>
    <t>41055-00</t>
  </si>
  <si>
    <t>68425-00</t>
  </si>
  <si>
    <t>497 дав</t>
  </si>
  <si>
    <t>OPT000722</t>
  </si>
  <si>
    <t>214 +0</t>
  </si>
  <si>
    <t>OPT000723</t>
  </si>
  <si>
    <t>203 +0</t>
  </si>
  <si>
    <t>OPT000724</t>
  </si>
  <si>
    <t>209 +0</t>
  </si>
  <si>
    <t>[77780] 97101  (1706-75), Автоуголок 250*40мм, 6,0м, сплав Ад31 Т1 +  упаковка А5</t>
  </si>
  <si>
    <t>дьюти фри</t>
  </si>
  <si>
    <t>52 брак на покраску</t>
  </si>
  <si>
    <t>502дав</t>
  </si>
  <si>
    <t>167835-00</t>
  </si>
  <si>
    <t>МТ-2-01160, длина 6,0 м, без дроби 10 мкм (49,20 р/кг)</t>
  </si>
  <si>
    <t>труба V-slot 80*80(Р-0,632), длина 6,1м, анодировка с дробью</t>
  </si>
  <si>
    <t>128-43</t>
  </si>
  <si>
    <t>12534-77</t>
  </si>
  <si>
    <t>73.200</t>
  </si>
  <si>
    <t>342-49</t>
  </si>
  <si>
    <t>25070-27</t>
  </si>
  <si>
    <t>506 дав</t>
  </si>
  <si>
    <t>15000-12</t>
  </si>
  <si>
    <t>Анодирование алюминиевого профиля БЦ анод 18-21мкм без дроби, упак веером через бумагу</t>
  </si>
  <si>
    <t>АНЭП-МЕТАЛЛ-СПБ УПР</t>
  </si>
  <si>
    <t>501 дав</t>
  </si>
  <si>
    <t>222289, 4,0м, анод без дроби 9-12мкм</t>
  </si>
  <si>
    <t>АГС</t>
  </si>
  <si>
    <t>6 паллет</t>
  </si>
  <si>
    <t xml:space="preserve">2 паллета </t>
  </si>
  <si>
    <t>1 паллета</t>
  </si>
  <si>
    <t>5 паллет</t>
  </si>
  <si>
    <t>Корпус КУДР.676621.017.01(изделие 676621.017.01)_1705 мм_15-20 мкм</t>
  </si>
  <si>
    <t>Корпус КУДР.676621.017.01-02(изделие 676621.017.01-02)_1660 мм_15-20 мкм</t>
  </si>
  <si>
    <t>Корпус КУДР.676621.017.01-01(изделие 676621.017.01-01)_1810 мм_15-20 мкм</t>
  </si>
  <si>
    <t>Корпус КУДР.676621.018.02(изделие 676621.018.02)_1418 мм_15-20 мкм</t>
  </si>
  <si>
    <t>2382-60</t>
  </si>
  <si>
    <t>5739-90</t>
  </si>
  <si>
    <t>2815-80</t>
  </si>
  <si>
    <t>43801-70</t>
  </si>
  <si>
    <t>302.500</t>
  </si>
  <si>
    <t>37603-78</t>
  </si>
  <si>
    <t>513 дав</t>
  </si>
  <si>
    <t>520 +0</t>
  </si>
  <si>
    <t>Лайт Констр</t>
  </si>
  <si>
    <t>OPT000754</t>
  </si>
  <si>
    <t>OPT000755</t>
  </si>
  <si>
    <t>250 +0</t>
  </si>
  <si>
    <t>[82065] 1706-86, 3,0м, 6063 Т 6</t>
  </si>
  <si>
    <t>Лед БиАЙ</t>
  </si>
  <si>
    <t>143 +0</t>
  </si>
  <si>
    <t>151.200</t>
  </si>
  <si>
    <t>129.600</t>
  </si>
  <si>
    <t>517 дав</t>
  </si>
  <si>
    <t>171990-00</t>
  </si>
  <si>
    <t>141614-00</t>
  </si>
  <si>
    <t>52000-00</t>
  </si>
  <si>
    <t>519 дав</t>
  </si>
  <si>
    <t>521 дав</t>
  </si>
  <si>
    <t>525 дав</t>
  </si>
  <si>
    <t>25070.00</t>
  </si>
  <si>
    <t>Ручка барьера алюм. Труба 20х20 мм(дуга)</t>
  </si>
  <si>
    <t xml:space="preserve">Труба алюм. Ø80х3 мм </t>
  </si>
  <si>
    <t>Труба алюм. 60х60х3 мм</t>
  </si>
  <si>
    <t xml:space="preserve">Пластина алюм. 100х5 мм </t>
  </si>
  <si>
    <t>Уголок алюм. 60х60х6 мм</t>
  </si>
  <si>
    <t xml:space="preserve">Уголок алюм. 50х50х5 мм </t>
  </si>
  <si>
    <t>30х30R B-Rxrt (Р-0,1657), длина 6,05м, анодировка с дробью
 дав_ БЦ анод 10мкм с Дробью
упаковка - веерная укладка в бумагу</t>
  </si>
  <si>
    <t>Профиль 3213, длина 3200мм - 86 хлыстов (на загрузку 43хл)</t>
  </si>
  <si>
    <t>БЦ анод с дробью, 10мкм</t>
  </si>
  <si>
    <t xml:space="preserve"> +доп</t>
  </si>
  <si>
    <t>2ой привоз 03.11</t>
  </si>
  <si>
    <t>Корпус КУДР.676621.015.01_1886 мм_анод 15-20 мкм</t>
  </si>
  <si>
    <t>OPT000768</t>
  </si>
  <si>
    <t>[72635] 0106-107, 4,2м, 6063 КР Т5</t>
  </si>
  <si>
    <t>459 +0</t>
  </si>
  <si>
    <t>1989 +0</t>
  </si>
  <si>
    <t>[82644] 2606-06, 5,65 м,  6063 Т1 БА</t>
  </si>
  <si>
    <t>534 дав</t>
  </si>
  <si>
    <t>труба 40*2 длина 6,0м, анодировка без дроби</t>
  </si>
  <si>
    <t>труба 40*3 длина 6,0м, анодировка без дроби</t>
  </si>
  <si>
    <t>труба 60*2 длина 6,0м, анодировка без дроби</t>
  </si>
  <si>
    <t>труба 60*3 длина 6,0м, анодировка без дроби</t>
  </si>
  <si>
    <t>536 дав</t>
  </si>
  <si>
    <t>2502.000</t>
  </si>
  <si>
    <t>732.000</t>
  </si>
  <si>
    <t>960.000</t>
  </si>
  <si>
    <t>34000-00</t>
  </si>
  <si>
    <t>51000-00</t>
  </si>
  <si>
    <t>42500-00</t>
  </si>
  <si>
    <t>1180 под заказ ост склад</t>
  </si>
  <si>
    <t>МТ-4-452238-1, длина 4,3м, с дробью 10 мкм (37р/кг)</t>
  </si>
  <si>
    <t>541 дав</t>
  </si>
  <si>
    <t>542 дав</t>
  </si>
  <si>
    <t>543 дав</t>
  </si>
  <si>
    <t>8600-00</t>
  </si>
  <si>
    <t>32600-00</t>
  </si>
  <si>
    <t>Перегородки</t>
  </si>
  <si>
    <t>546 дав</t>
  </si>
  <si>
    <t>Бесцветное анодирование Основания ТИС-Р-3А (профиль 1111-116), 485мм</t>
  </si>
  <si>
    <t>Бесцветное анодирование Основания ТИС-Р-2А (профиль 1111-116), 320мм</t>
  </si>
  <si>
    <t>353-25</t>
  </si>
  <si>
    <t>60759-00</t>
  </si>
  <si>
    <t>4239-00</t>
  </si>
  <si>
    <t>15мкм, уп - каждое Основание в стретч-плёнку.</t>
  </si>
  <si>
    <t>[14596] 0216-31, 6,0м, 6063 Т1, упаковка Т-5</t>
  </si>
  <si>
    <t>552 дав</t>
  </si>
  <si>
    <t>44500-00</t>
  </si>
  <si>
    <t>14хл на загрузку, упаковка 42хл
42пог.м брак БЦ
114пог.м брак БА</t>
  </si>
  <si>
    <t>МТ-4-452238-1, длина 4,1м, без дроби 10 мкм (37р/кг)</t>
  </si>
  <si>
    <t>МТ-4-452238-1, длина 4,4м, с дробью 10 мкм+ оклейка (59,6 р/кг)</t>
  </si>
  <si>
    <t>[82182] 1706-83, 3,0 м,  6063 Т6 упаковка Т5</t>
  </si>
  <si>
    <t>[82183] 1706-84, 3,0 м,  6063 Т6 упаковка Т5</t>
  </si>
  <si>
    <t>[73882] 1606-06, 3,05м, 6063 Т1, упаковка Т-5, БА</t>
  </si>
  <si>
    <t>319 +0</t>
  </si>
  <si>
    <t>[76221] 220650 (АГС)  бортовой боковой 3,2м сплав 6063 Т 1</t>
  </si>
  <si>
    <t>[76222] 220650 (АГС)  бортовой боковой 4,0м сплав 6063 Т 1</t>
  </si>
  <si>
    <t>[82797] 1606-06, 3,7м, 6063 Т1, упак.Т-5, БА</t>
  </si>
  <si>
    <t>558 дав</t>
  </si>
  <si>
    <t>30хл на распил</t>
  </si>
  <si>
    <t>559 дав</t>
  </si>
  <si>
    <t>3*12</t>
  </si>
  <si>
    <t>5*12</t>
  </si>
  <si>
    <t>3*12, 2*8</t>
  </si>
  <si>
    <t>Анодирование алюминиевого профиля с дробью (м.п) Y.3040(5)</t>
  </si>
  <si>
    <t>564 дав</t>
  </si>
  <si>
    <t>5 бр</t>
  </si>
  <si>
    <t>9 бр</t>
  </si>
  <si>
    <t>5 хл</t>
  </si>
  <si>
    <t>[82643] 2606-06, 5,05 м,  6063 Т1 БА</t>
  </si>
  <si>
    <t>82 +0</t>
  </si>
  <si>
    <t>884 +0</t>
  </si>
  <si>
    <t>571 дав</t>
  </si>
  <si>
    <t>572 дав</t>
  </si>
  <si>
    <t>БЦ анод 15мкм, упак в стретч, 2 загр.
Бесцветное анодирование Основания ТИС-Р (профиль 1111-116), 900мм</t>
  </si>
  <si>
    <t>Бесцветное анодирование Основания ТИС-Р (профиль 1111-116), 1000мм</t>
  </si>
  <si>
    <t>702-00</t>
  </si>
  <si>
    <t>9828-00</t>
  </si>
  <si>
    <t>23.000</t>
  </si>
  <si>
    <t>16146-00</t>
  </si>
  <si>
    <t>дав_575_ПромКонстр, БЦ анод 10мкм с Др, упаковка - веерная укладка в бумагу</t>
  </si>
  <si>
    <t>536.800</t>
  </si>
  <si>
    <t>70-05</t>
  </si>
  <si>
    <t>37602-84</t>
  </si>
  <si>
    <t>[44723] 0706-93 3,0 м, сплав 6063 КР</t>
  </si>
  <si>
    <t>460 +0</t>
  </si>
  <si>
    <t>584 дав</t>
  </si>
  <si>
    <t>585 дав</t>
  </si>
  <si>
    <t>двухстороннее Анодирование алюминиевого листа 1200х500*2 мм</t>
  </si>
  <si>
    <t>589 дав</t>
  </si>
  <si>
    <t>[69917] 97101(1706-75) Автоуголок 250*40мм, 6,0м, сплав 6063 Т6 +  упаковка А5</t>
  </si>
  <si>
    <t>[82646] 220650 (АГС)  бортовой боковой 6,0м сплав 6063 Т 1</t>
  </si>
  <si>
    <t>Т-128, 6,0м, Анодировка с дробью</t>
  </si>
  <si>
    <t>270пог.м брак</t>
  </si>
  <si>
    <t>18+18</t>
  </si>
  <si>
    <t>6пог.м брак</t>
  </si>
  <si>
    <t>592 дав</t>
  </si>
  <si>
    <t>595 дав</t>
  </si>
  <si>
    <t>627750-00</t>
  </si>
  <si>
    <t>труба 60*25*2, длина 6,0м, анодирование без дроби</t>
  </si>
  <si>
    <t>596 дав</t>
  </si>
  <si>
    <t>597 дав</t>
  </si>
  <si>
    <t>599 дав</t>
  </si>
  <si>
    <t>[82385] 1706-88,  3,0м, 6063 Т 6</t>
  </si>
  <si>
    <t>624 +0</t>
  </si>
  <si>
    <t>233.000</t>
  </si>
  <si>
    <t>603 дав</t>
  </si>
  <si>
    <t>605 дав</t>
  </si>
  <si>
    <t>606 дав</t>
  </si>
  <si>
    <t>607 дав</t>
  </si>
  <si>
    <t>[44722] 0706-92 3,0 м, сплав 6063 КР</t>
  </si>
  <si>
    <t>труба 25*1,0, длина 6,0 м, анодировка, без дроби</t>
  </si>
  <si>
    <t>смк</t>
  </si>
  <si>
    <t xml:space="preserve">616 дав </t>
  </si>
  <si>
    <t>металл комплекс</t>
  </si>
  <si>
    <t>полоса 60х6 мм, длина 6,0м, анодировкабез дроби</t>
  </si>
  <si>
    <t>621 дав</t>
  </si>
  <si>
    <t>уголок 25*25*2  длина 4,0м, анодирование с дробью</t>
  </si>
  <si>
    <t xml:space="preserve">2 хл  брак </t>
  </si>
  <si>
    <t>OPT000944</t>
  </si>
  <si>
    <t>69 +0</t>
  </si>
  <si>
    <t>1180.800</t>
  </si>
  <si>
    <t>1256.400</t>
  </si>
  <si>
    <t>982.800</t>
  </si>
  <si>
    <t>72000-00</t>
  </si>
  <si>
    <t>90000-00</t>
  </si>
  <si>
    <t>МАК 21.12
тех.анод 3-4мкм</t>
  </si>
  <si>
    <t>568 +0</t>
  </si>
  <si>
    <t>[56861] А 16 (0072-05) Прогон двухполочный, 5,0м, 6063 Fe</t>
  </si>
  <si>
    <t>из них 33хл повтор №507
50+47+33</t>
  </si>
  <si>
    <t>[82590] 1706-87,  3,0м, 6063 Т 6</t>
  </si>
  <si>
    <t>51 +0</t>
  </si>
  <si>
    <t>Мэритайм</t>
  </si>
  <si>
    <t>балка АД-35 L=3950мм, анод с дробью  9-12мкм</t>
  </si>
  <si>
    <t>633 дав</t>
  </si>
  <si>
    <t>634 дав</t>
  </si>
  <si>
    <t>635 дав</t>
  </si>
  <si>
    <t>17 брак</t>
  </si>
  <si>
    <t>санвек</t>
  </si>
  <si>
    <t>448 дав</t>
  </si>
  <si>
    <t>труба V-slot 30*30 (Р-0,230), длина 6,1м, анодировка с дробью</t>
  </si>
  <si>
    <t>труба V-slot 30*60 (Р=0,360), длина 6,1м, анодировка с дробью</t>
  </si>
  <si>
    <t>134.200</t>
  </si>
  <si>
    <t>25069-54</t>
  </si>
  <si>
    <t>12534-89</t>
  </si>
  <si>
    <t>12535-62</t>
  </si>
  <si>
    <t>12534-04</t>
  </si>
  <si>
    <t>640 дав</t>
  </si>
  <si>
    <t>[83654] 1706-93, 3,1м, 6063 Т1 под анод, уп. Т5, БА</t>
  </si>
  <si>
    <t>Эдвайс-Турбоинжиниринг</t>
  </si>
  <si>
    <t>1706-94, 5,3 м, 6063 Т 66</t>
  </si>
  <si>
    <t>[15164] А 29 (0073-16) Стойка угловая специальная, 5,0м, АД 31</t>
  </si>
  <si>
    <t>Евростиль</t>
  </si>
  <si>
    <t>верхний профиль, анод с дробью 15-18мкм, 6,045м, вес-0,591, Р-0,130</t>
  </si>
  <si>
    <t>650.04 3,0м</t>
  </si>
  <si>
    <t>лист 1200х3000х2 мм, анод</t>
  </si>
  <si>
    <t>компания металл-1</t>
  </si>
  <si>
    <t>уголок 10*10*1,2, длина 6,0м, анодировка с дробью</t>
  </si>
  <si>
    <t>фмф</t>
  </si>
  <si>
    <t>брак БА в ЛОМА (10 хл-геометрия,+ 2хл-механ.поврежд.)</t>
  </si>
  <si>
    <t>40х40 B-Rxrt, длина 6,0м, БЦ анод 10мкм с дробью</t>
  </si>
  <si>
    <t>30х30 B-Rxrt, длина 6,0м, БЦ анод 10мкм с дробью</t>
  </si>
  <si>
    <t>20х40 V-slot, длина 6,0м, БЦ анод 10мкм с дробью</t>
  </si>
  <si>
    <t>12534-72</t>
  </si>
  <si>
    <t>12534-48</t>
  </si>
  <si>
    <t>9 дав</t>
  </si>
  <si>
    <t>12 дав</t>
  </si>
  <si>
    <t>16 дав</t>
  </si>
  <si>
    <t>НТ контакт</t>
  </si>
  <si>
    <t>АРКТОС</t>
  </si>
  <si>
    <t>ФРАМИР</t>
  </si>
  <si>
    <t>СПЕКТР РС</t>
  </si>
  <si>
    <t>15мкм без дроби  с уплотнением!  профиль 650.09 (8з)</t>
  </si>
  <si>
    <t>21 дав</t>
  </si>
  <si>
    <t>24 дав</t>
  </si>
  <si>
    <t>26 дав</t>
  </si>
  <si>
    <t xml:space="preserve">МТ-2-0480, длина 5,8м, с дробью 10 мкм </t>
  </si>
  <si>
    <t xml:space="preserve">МТ-4-452238-1, длина 4,4м, с дробью 10 мкм </t>
  </si>
  <si>
    <t>1374.600</t>
  </si>
  <si>
    <t>193800-00</t>
  </si>
  <si>
    <t>122400-00</t>
  </si>
  <si>
    <t>МТ-Холдинг</t>
  </si>
  <si>
    <t>58500-00</t>
  </si>
  <si>
    <t>46800-00</t>
  </si>
  <si>
    <t>3750-00</t>
  </si>
  <si>
    <t>73800-00</t>
  </si>
  <si>
    <t>9900-00</t>
  </si>
  <si>
    <t>12600-00</t>
  </si>
  <si>
    <t>27 дав</t>
  </si>
  <si>
    <t>84000-00</t>
  </si>
  <si>
    <t>50400-00</t>
  </si>
  <si>
    <t>42000-00</t>
  </si>
  <si>
    <t>92400-00</t>
  </si>
  <si>
    <t>4560.000</t>
  </si>
  <si>
    <t>4320.000</t>
  </si>
  <si>
    <t>без дроби 10мкм. уп бумага</t>
  </si>
  <si>
    <t>Крышка 12,4,  длина 5,0м, анодировка дробь</t>
  </si>
  <si>
    <t>Гласс Фурнитура</t>
  </si>
  <si>
    <t>27хл отложено рекламация</t>
  </si>
  <si>
    <t xml:space="preserve">из б/др №307 делаем в дроби </t>
  </si>
  <si>
    <t>брак БА в ЛОМА механ.поврежд.</t>
  </si>
  <si>
    <t>12пм брак</t>
  </si>
  <si>
    <t>475.200</t>
  </si>
  <si>
    <t>OPT000050</t>
  </si>
  <si>
    <t xml:space="preserve">долг </t>
  </si>
  <si>
    <t>3 брак БА + 3брак БЦ</t>
  </si>
  <si>
    <t>10 хл брак</t>
  </si>
  <si>
    <t>Мэритайм Монтеринг Рус</t>
  </si>
  <si>
    <t>[83730] 1606-65, 3,0м, 6063 Т1</t>
  </si>
  <si>
    <t>[82393] 1706-90,  6,0м, 6063 Т 6</t>
  </si>
  <si>
    <t>[83277] 1706-95, 6,0 м, 6063 Т 6</t>
  </si>
  <si>
    <t>37604-16</t>
  </si>
  <si>
    <t>брак БА механич.повр.экструз.пузыри.</t>
  </si>
  <si>
    <t>31 дав</t>
  </si>
  <si>
    <t>с дробью, 2хл просмотр</t>
  </si>
  <si>
    <t>статус</t>
  </si>
  <si>
    <t>брак БЦ 38.800</t>
  </si>
  <si>
    <t>2 хл брак БА</t>
  </si>
  <si>
    <t>6600.000</t>
  </si>
  <si>
    <t>БЦ анод 10мкм без Дроби</t>
  </si>
  <si>
    <t>РИАК-4741, длина 5,05м, анодировка с дробью</t>
  </si>
  <si>
    <t>505.000</t>
  </si>
  <si>
    <t>146.400</t>
  </si>
  <si>
    <t>анод21мкм, 26+10 шт крыльев(зач 200р/шт), окл 100р/шт</t>
  </si>
  <si>
    <t>43 дав</t>
  </si>
  <si>
    <t>МЗ Сотранс</t>
  </si>
  <si>
    <t>2-90, 1пал - 85</t>
  </si>
  <si>
    <t>266400.00</t>
  </si>
  <si>
    <t>профиль 650.04, длина 3,0-10з</t>
  </si>
  <si>
    <t>4821.000</t>
  </si>
  <si>
    <t>173556.00</t>
  </si>
  <si>
    <t>[83226] 1606-91, 6,05 м,  6063 под гибку Т64 205-210 Мпа</t>
  </si>
  <si>
    <t>3мя проходами клеится, 2 стороны, 3 части</t>
  </si>
  <si>
    <t>39 дав</t>
  </si>
  <si>
    <t>5хл -брак БА экструз.дефект.механ.повр+1хл БРАК БЦ экструз.риски)</t>
  </si>
  <si>
    <t>Приход с ЛК 23.01_11 хл-лома</t>
  </si>
  <si>
    <t>8 ЗАГР</t>
  </si>
  <si>
    <t>Y.3040(7), 9-12мкм, длина 5,1м ,р-0,118  7з</t>
  </si>
  <si>
    <t>[83659] 1706-97, 3,0м, 6063 Т6, уп. Т5, БА</t>
  </si>
  <si>
    <t>[83501] 1706-99,  3,0м, 6063 Т 6</t>
  </si>
  <si>
    <t>анод проб 3 детали 3,1м №2 АД35, 20мкм+труба  40*60*2,5, 1,5м-3шт Ад31</t>
  </si>
  <si>
    <t>57 дав</t>
  </si>
  <si>
    <t>Металлоцентр</t>
  </si>
  <si>
    <t>8загр</t>
  </si>
  <si>
    <t>58 дав</t>
  </si>
  <si>
    <t>ЮЛТАС</t>
  </si>
  <si>
    <t>15-17 привоз</t>
  </si>
  <si>
    <t>48000-00</t>
  </si>
  <si>
    <t>анод   9-12мкм без дроби - 18загр.; профиль 15мкм без дроби-3загр</t>
  </si>
  <si>
    <t>62 дав</t>
  </si>
  <si>
    <t>60_дав</t>
  </si>
  <si>
    <t>13хл повтор</t>
  </si>
  <si>
    <t>2 хл экструзия</t>
  </si>
  <si>
    <t>24900-00</t>
  </si>
  <si>
    <t>[36868] 8507025-2 (МАК 0680-02), 6,50м, 6063КР Т1</t>
  </si>
  <si>
    <t>OPT000166</t>
  </si>
  <si>
    <t>OPT000167</t>
  </si>
  <si>
    <t xml:space="preserve"> OPT000168</t>
  </si>
  <si>
    <t xml:space="preserve"> OPT000169</t>
  </si>
  <si>
    <t>22200-00</t>
  </si>
  <si>
    <t>47 дав</t>
  </si>
  <si>
    <t>[83727] 1806-01, 2,8м, 6063 Т1, упаковка Т5</t>
  </si>
  <si>
    <t>труба АД31Т1 30х30х6000 — 40шт._анод с др 20мкм+/-2</t>
  </si>
  <si>
    <t>65 дав</t>
  </si>
  <si>
    <t>Профметалл</t>
  </si>
  <si>
    <t>34500-00</t>
  </si>
  <si>
    <t>[83225] 197.10  6,05м, 6063 КР Т5 под гибку 205-210 Мпа</t>
  </si>
  <si>
    <t xml:space="preserve">2 паллеты </t>
  </si>
  <si>
    <t>[33284] 0906-44 (АТ-6052), 6,0м, 6063 под анод</t>
  </si>
  <si>
    <t>Еврошоп</t>
  </si>
  <si>
    <t>40х80 B-Rxrt, длина 6,05м, БЦ анод 10мкм с дробью</t>
  </si>
  <si>
    <t>40х80 B-Rxrt, длина 6,1м, БЦ анод 10мкм с дробью</t>
  </si>
  <si>
    <t>40х40 B-Rxrt, длина 6,05м, БЦ анод 10мкм с дробью</t>
  </si>
  <si>
    <t>45х45 B-Rxrt, длина 6,05м, БЦ анод 10мкм с дробью</t>
  </si>
  <si>
    <t>30х60 B-Rxrt, длина 6,05м, БЦ анод 10мкм с дробью</t>
  </si>
  <si>
    <t>12.100</t>
  </si>
  <si>
    <t>109.800</t>
  </si>
  <si>
    <t>193.600</t>
  </si>
  <si>
    <t>96.800</t>
  </si>
  <si>
    <t>72.600</t>
  </si>
  <si>
    <t>1876-83</t>
  </si>
  <si>
    <t>17031-08</t>
  </si>
  <si>
    <t>30029-30</t>
  </si>
  <si>
    <t>15014-65</t>
  </si>
  <si>
    <t>11260-99</t>
  </si>
  <si>
    <t>1хл брак БА мех.поврежд. в ЛОМА</t>
  </si>
  <si>
    <t>1606-62, 3,0м</t>
  </si>
  <si>
    <t>1706-83, 3,0м</t>
  </si>
  <si>
    <t>оклейка+снятие анрда</t>
  </si>
  <si>
    <t>склад_техноагрегат</t>
  </si>
  <si>
    <t>Бесцветное анодирование Основания ТИС-Р-3
(профиль 1111-116), 475мм</t>
  </si>
  <si>
    <t>БЦ анод 15мкм
Упаковка в стретч-плёнку
3 загрузки</t>
  </si>
  <si>
    <t>3хл брак БА в ЛОМА (экструз.раковины)</t>
  </si>
  <si>
    <t>11хл эус. Раковина</t>
  </si>
  <si>
    <t>3хлбрак БА мех.поврежд.</t>
  </si>
  <si>
    <t>24хл грубые мех повреждения</t>
  </si>
  <si>
    <t>OPT000207</t>
  </si>
  <si>
    <t>OPT000209</t>
  </si>
  <si>
    <t>OPT000210</t>
  </si>
  <si>
    <t>OPT000211</t>
  </si>
  <si>
    <t>88 дав</t>
  </si>
  <si>
    <t>труба 15*15*1,5, длина 6,0м, анодировка без дроби</t>
  </si>
  <si>
    <t>39240-00</t>
  </si>
  <si>
    <t>13080-00</t>
  </si>
  <si>
    <t>6540-00</t>
  </si>
  <si>
    <t>90 дав</t>
  </si>
  <si>
    <t>1524.000</t>
  </si>
  <si>
    <t>[41588] А 29 (0073-16) Стойка угловая специальная, 5,0м, 6063 под анод</t>
  </si>
  <si>
    <t xml:space="preserve">ИБП </t>
  </si>
  <si>
    <t>БЦ анод 15мкм без др., упаковка - веерная укладка в бумагу</t>
  </si>
  <si>
    <t>44850.00</t>
  </si>
  <si>
    <t>75 дав</t>
  </si>
  <si>
    <t>лист 1500х500*2,5 мм, одностороннее анодирование проложка бумагой!!анод 18-21мкм, на 4струб., без уплотнения, без промывки</t>
  </si>
  <si>
    <t>97200-00</t>
  </si>
  <si>
    <t>БЦ анод 10мкм с дробью, уп.бумага</t>
  </si>
  <si>
    <t>95 дав</t>
  </si>
  <si>
    <t>склад/борта_ тех.дробь, анод 8-10мкм+стрейч по 5шт, проложка бумагой</t>
  </si>
  <si>
    <t>Т-156, 6,0м, Анодировка с дробью</t>
  </si>
  <si>
    <t>12534-96</t>
  </si>
  <si>
    <t>полоса 30х2мм, длина 3,0м, анодировка без дроби</t>
  </si>
  <si>
    <t>14170-00</t>
  </si>
  <si>
    <t>2575 стойка, анод 10мкм с дробью</t>
  </si>
  <si>
    <t>2577 стойка, анод 10мкм с дробью</t>
  </si>
  <si>
    <t>1250,13 молдинг, анод 10мкм с дробью, длина 3,5м</t>
  </si>
  <si>
    <t>Форма</t>
  </si>
  <si>
    <t>на три отгрузки-27хл брак</t>
  </si>
  <si>
    <t>83-85</t>
  </si>
  <si>
    <t>103 дав</t>
  </si>
  <si>
    <t>1566-00</t>
  </si>
  <si>
    <t>101 дав</t>
  </si>
  <si>
    <t>156356-36</t>
  </si>
  <si>
    <t>склад/борта</t>
  </si>
  <si>
    <t xml:space="preserve">БЦ анодирование 15мкм с предварительной обработкой Дробью
Упаковка в мини-пачки </t>
  </si>
  <si>
    <t>OPT000255</t>
  </si>
  <si>
    <t>[84761] 1806-01, 2,85м, 6063 Т1, упаковка Т5</t>
  </si>
  <si>
    <t>20х40 V-slot, длина 6,05м, БЦ анод 10мкм с дробью</t>
  </si>
  <si>
    <t>30х30R B-Rxrt (Р-0,1657), длина 6,05м, анодировка с дробью</t>
  </si>
  <si>
    <t>40х80 iTEM, длина 6,05м, БЦ анод 10мкм с дробью</t>
  </si>
  <si>
    <t>19202-70</t>
  </si>
  <si>
    <t>33604-73</t>
  </si>
  <si>
    <t>25603-60</t>
  </si>
  <si>
    <t>16002-25</t>
  </si>
  <si>
    <t>10401-46</t>
  </si>
  <si>
    <t>8001-13</t>
  </si>
  <si>
    <t>анод21мкм, 12 шт крыльев(зач 200р/шт), окл 100р/шт</t>
  </si>
  <si>
    <t>125 дав</t>
  </si>
  <si>
    <t>со сварочным швом</t>
  </si>
  <si>
    <t>42хл+40хлнарушение геометрии</t>
  </si>
  <si>
    <t>[84153] 1706-80 (плинтус скрытый 60) 2,45 м, АД31 Т1</t>
  </si>
  <si>
    <t>26200-00</t>
  </si>
  <si>
    <t>126 дав</t>
  </si>
  <si>
    <t>уголок 20*20*1, длина 6,0м, анодировка без дроби</t>
  </si>
  <si>
    <t>75213-00</t>
  </si>
  <si>
    <t>130 дав</t>
  </si>
  <si>
    <t>сверху 11+13</t>
  </si>
  <si>
    <t>[85087] 1706-96, 3,0м, АД31 Т1,  БА</t>
  </si>
  <si>
    <t>[85119] 1806-06, 6,0м, 6063 Т1, упаковка Т5</t>
  </si>
  <si>
    <t>80х80 B-Rxrt, длина 6,05м, БЦ анод 10мкм с дробью</t>
  </si>
  <si>
    <t>12534-75</t>
  </si>
  <si>
    <t>140 дав</t>
  </si>
  <si>
    <t>1506-77</t>
  </si>
  <si>
    <t>диполь</t>
  </si>
  <si>
    <t>энергосервис</t>
  </si>
  <si>
    <t>0106-290</t>
  </si>
  <si>
    <t>0706-94</t>
  </si>
  <si>
    <t>норма</t>
  </si>
  <si>
    <t>164160-00</t>
  </si>
  <si>
    <t>10680-00</t>
  </si>
  <si>
    <t>1002-00</t>
  </si>
  <si>
    <t>3792-00</t>
  </si>
  <si>
    <t>привоз 11.04</t>
  </si>
  <si>
    <t>41.000</t>
  </si>
  <si>
    <t>39360-00</t>
  </si>
  <si>
    <t>82810-00</t>
  </si>
  <si>
    <t>42750-00</t>
  </si>
  <si>
    <t>143 дав</t>
  </si>
  <si>
    <t>Мареев</t>
  </si>
  <si>
    <t>вывезено на склад</t>
  </si>
  <si>
    <t>30-МЗ сотранс 5-склад</t>
  </si>
  <si>
    <t>пересорт БА и анод!</t>
  </si>
  <si>
    <t>[85155] 0106-107, 4,6м, 6063 Т6, уп.Т5</t>
  </si>
  <si>
    <t>[85118] 1506-29, 6,0м, 6063  Т1, упак.Т5, БА</t>
  </si>
  <si>
    <t>Корешков ИП</t>
  </si>
  <si>
    <t>59хл рекламация</t>
  </si>
  <si>
    <t>1371.000</t>
  </si>
  <si>
    <t>141300-00</t>
  </si>
  <si>
    <t>145 дав</t>
  </si>
  <si>
    <t>650.08 457хл 3.0 анод без др 15-18мкм</t>
  </si>
  <si>
    <t>Бесцветное анодирование Основания ТИС-Р-3 (профиль 1111-116), 475мм</t>
  </si>
  <si>
    <t>65000-52</t>
  </si>
  <si>
    <t>154 дав</t>
  </si>
  <si>
    <t>25071-20</t>
  </si>
  <si>
    <t>169.400</t>
  </si>
  <si>
    <t>153 дав</t>
  </si>
  <si>
    <t>Профиль 40х80 B-Rxrt, длина хлыста 6,05м</t>
  </si>
  <si>
    <t>160 дав</t>
  </si>
  <si>
    <t>50142-40</t>
  </si>
  <si>
    <t>1573.800</t>
  </si>
  <si>
    <t>1152.000</t>
  </si>
  <si>
    <t>70647-88</t>
  </si>
  <si>
    <t>29088-00</t>
  </si>
  <si>
    <t>47822-40</t>
  </si>
  <si>
    <t>54097-92</t>
  </si>
  <si>
    <t>158 дав</t>
  </si>
  <si>
    <t>4-5 паллеты</t>
  </si>
  <si>
    <t>OPT000328</t>
  </si>
  <si>
    <t>труба 35*2, длина 6,0м, анодировка без дроби</t>
  </si>
  <si>
    <t>306.000</t>
  </si>
  <si>
    <t>29400-00</t>
  </si>
  <si>
    <t>Промсталь</t>
  </si>
  <si>
    <t>[84717] 1606-17 (Коробка 40) 4,7 м, АД 31 Т1, уп. Т4, БА</t>
  </si>
  <si>
    <t>полоса 30х2мм, длина 4,0м, анодировка без дроби</t>
  </si>
  <si>
    <t>2220.000</t>
  </si>
  <si>
    <t>99190-00</t>
  </si>
  <si>
    <t>уголок 30*30*2, длина 6,0м, анодировка без дроби</t>
  </si>
  <si>
    <t>15500-00</t>
  </si>
  <si>
    <t>155 дав</t>
  </si>
  <si>
    <t>2хл брак БА механич.поврежд.</t>
  </si>
  <si>
    <t>163 дав</t>
  </si>
  <si>
    <t>труба 25*2, длина 6,0м, анодировка, без дроби</t>
  </si>
  <si>
    <t>26323-00</t>
  </si>
  <si>
    <t>OPT000357</t>
  </si>
  <si>
    <t>OPT000358</t>
  </si>
  <si>
    <t>OPT000359</t>
  </si>
  <si>
    <t>уголок 30*15*2, длина 6,0м, анодировка без дроби</t>
  </si>
  <si>
    <t>55944-00</t>
  </si>
  <si>
    <t>4006-00</t>
  </si>
  <si>
    <t>СМК</t>
  </si>
  <si>
    <t>11445-00</t>
  </si>
  <si>
    <t>185 дав</t>
  </si>
  <si>
    <t>7299.000</t>
  </si>
  <si>
    <t>226269-00</t>
  </si>
  <si>
    <t>повторно 650.10 3,0 15-18мкм -анод с уплотнением (с закрытыми порами)</t>
  </si>
  <si>
    <t>192 дав</t>
  </si>
  <si>
    <t>92050-00</t>
  </si>
  <si>
    <t>190 дав</t>
  </si>
  <si>
    <t>703.800</t>
  </si>
  <si>
    <t>39485-00</t>
  </si>
  <si>
    <t>114 дав</t>
  </si>
  <si>
    <t xml:space="preserve">Y.3040(7), 9-12мкм, длина 5,1м ,р-0,118   325хл
Лишние хлысты 11шт откладываем (не берем в работу). </t>
  </si>
  <si>
    <t>188 дав</t>
  </si>
  <si>
    <t>уголок 60*60*5, длина 6,0м, анодировка без дроби</t>
  </si>
  <si>
    <t>лист 1200х500*2,5 мм,  двухстороннее анодирование_10мкм Д16</t>
  </si>
  <si>
    <t>13780-00</t>
  </si>
  <si>
    <t>БМК ПКФ УПР</t>
  </si>
  <si>
    <t>[84960] 1806-08, 3,0м, Ад31 Т1</t>
  </si>
  <si>
    <t>80хл брак анод</t>
  </si>
  <si>
    <t>12хл на повторе</t>
  </si>
  <si>
    <t>OPT000395</t>
  </si>
  <si>
    <t>OPT000396</t>
  </si>
  <si>
    <t>189 дав</t>
  </si>
  <si>
    <t>16740-00</t>
  </si>
  <si>
    <t>40600-00</t>
  </si>
  <si>
    <t>42570-00</t>
  </si>
  <si>
    <t>25740-00</t>
  </si>
  <si>
    <t>16830-00</t>
  </si>
  <si>
    <t>15554-00</t>
  </si>
  <si>
    <t>60х60 B-Rxrt, длина 6,05м, БЦ анод 10мкм с дробью</t>
  </si>
  <si>
    <t>20х20 V-slot, длина 6,05м, БЦ анод 10мкм с дробью</t>
  </si>
  <si>
    <t>30х30 B-Rxrt, длина 6,05м, БЦ анод 10мкм с дробью</t>
  </si>
  <si>
    <t>78.650</t>
  </si>
  <si>
    <t>363.000</t>
  </si>
  <si>
    <t>217.800</t>
  </si>
  <si>
    <t>133.100</t>
  </si>
  <si>
    <t>60.500</t>
  </si>
  <si>
    <t>8808-80</t>
  </si>
  <si>
    <t>40656-00</t>
  </si>
  <si>
    <t>24393-60</t>
  </si>
  <si>
    <t>14907-20</t>
  </si>
  <si>
    <t>8131-20</t>
  </si>
  <si>
    <t>21683-20</t>
  </si>
  <si>
    <t>6776-00</t>
  </si>
  <si>
    <t>186 дав</t>
  </si>
  <si>
    <t>1866.600</t>
  </si>
  <si>
    <t>83791-67</t>
  </si>
  <si>
    <t>Алюминиевый профиль 3213, длина 3,2м, без
покрытия</t>
  </si>
  <si>
    <t xml:space="preserve">ИП Мещеряков </t>
  </si>
  <si>
    <t>197 дав</t>
  </si>
  <si>
    <t>брак: 6хл мех+34хл экструзия</t>
  </si>
  <si>
    <t>[14141] Швеллер 20*40*20*2мм (АТ-1050) 6,0м, БА</t>
  </si>
  <si>
    <t>Катюша</t>
  </si>
  <si>
    <t>10900-00</t>
  </si>
  <si>
    <t>11990-00</t>
  </si>
  <si>
    <t>202 дав</t>
  </si>
  <si>
    <t>МЗ Сотранс - 49хл, на склад - 24хл</t>
  </si>
  <si>
    <t>на июнь</t>
  </si>
  <si>
    <t>OPT000419</t>
  </si>
  <si>
    <t>OPT000420</t>
  </si>
  <si>
    <t>OPT000421</t>
  </si>
  <si>
    <t>OPT000012</t>
  </si>
  <si>
    <t>уголок 25*25*2,0мм,  длина 6,0м, анодирование без дроби</t>
  </si>
  <si>
    <t>1290.000</t>
  </si>
  <si>
    <t>551.450</t>
  </si>
  <si>
    <t>103466-40</t>
  </si>
  <si>
    <t>51741-90</t>
  </si>
  <si>
    <t>130897-69</t>
  </si>
  <si>
    <t>149500-00</t>
  </si>
  <si>
    <t>205 дав</t>
  </si>
  <si>
    <t>210 дав</t>
  </si>
  <si>
    <t>20х80 V-slot, длина 6,05м, БЦ анод 10мкм с дробью</t>
  </si>
  <si>
    <t>анод21мкм, 12 шт крыльев (зач 200р/шт), окл 100р/шт</t>
  </si>
  <si>
    <t>212 дав</t>
  </si>
  <si>
    <t>брак анод на покраску пробная (без подготовки)</t>
  </si>
  <si>
    <t>Анодирование алюминиевого профиля (м.п.)
профиль 650.04, длина 3,0</t>
  </si>
  <si>
    <t>216 дав</t>
  </si>
  <si>
    <t>32571-00</t>
  </si>
  <si>
    <t>705.000</t>
  </si>
  <si>
    <t>полоса 50х2мм, длина 2,0м, анодировка без дроби</t>
  </si>
  <si>
    <t>14950-00</t>
  </si>
  <si>
    <t>5хл брак БА механ.поврежд.</t>
  </si>
  <si>
    <t>72п.м мех.повр в лома, 2 паллета</t>
  </si>
  <si>
    <t>8 паллет+2 паллета</t>
  </si>
  <si>
    <t>30пог.м брак БА мех.повр.</t>
  </si>
  <si>
    <t>Корпус КУДР.676621.015.01-01_1418 мм_анод 15 мкм</t>
  </si>
  <si>
    <t>Корпус КУДР.676621.015.01_1885 мм_анод 15 мкм</t>
  </si>
  <si>
    <t>Корпус КУДР.676621.018.02 (изделие 676621.018.03)_1418 мм_15мкм</t>
  </si>
  <si>
    <t>225 дав</t>
  </si>
  <si>
    <t>32200-00</t>
  </si>
  <si>
    <t>61600-00</t>
  </si>
  <si>
    <t>20608-00</t>
  </si>
  <si>
    <t>Анод  без дроби  15мкм</t>
  </si>
  <si>
    <t>223 дав</t>
  </si>
  <si>
    <t>1 хл брак? - нет</t>
  </si>
  <si>
    <t>221162, 3,0м, БЦ анод 15мкм с дробью, упак в стрейч</t>
  </si>
  <si>
    <t>82198-35</t>
  </si>
  <si>
    <t>585.000</t>
  </si>
  <si>
    <t>1050-00</t>
  </si>
  <si>
    <t>8880-00</t>
  </si>
  <si>
    <t>2844-00</t>
  </si>
  <si>
    <t>948-00</t>
  </si>
  <si>
    <t>8016-00</t>
  </si>
  <si>
    <t>3006-00</t>
  </si>
  <si>
    <t>1068-00</t>
  </si>
  <si>
    <t>8544-00</t>
  </si>
  <si>
    <t>612.000</t>
  </si>
  <si>
    <t>232 дав</t>
  </si>
  <si>
    <t>3643-00</t>
  </si>
  <si>
    <t>5101-00</t>
  </si>
  <si>
    <t>16396-00</t>
  </si>
  <si>
    <t>10930-00</t>
  </si>
  <si>
    <t>19066-00</t>
  </si>
  <si>
    <t>8500-00</t>
  </si>
  <si>
    <t>17хл на возврат БА</t>
  </si>
  <si>
    <t>227 дав</t>
  </si>
  <si>
    <t>брак!!!!!!!</t>
  </si>
  <si>
    <t>1280+1150+ 3хл возврат+22хл=2455хл</t>
  </si>
  <si>
    <t>[85300] 221148 (ручка боковой защиты) 6,0м сплав 6063 Т6</t>
  </si>
  <si>
    <t>7250-00</t>
  </si>
  <si>
    <t>80х80 B-Rxrt, длина 6,05м, БЦ анод 10мкм с
дробью</t>
  </si>
  <si>
    <t>12535-18</t>
  </si>
  <si>
    <t>242 дав</t>
  </si>
  <si>
    <t>Клиент Цветка</t>
  </si>
  <si>
    <t>27400.80</t>
  </si>
  <si>
    <t>245 дав</t>
  </si>
  <si>
    <t>[73880] 1506-77, 6,0м, БЦ анод с дробью+стрейч</t>
  </si>
  <si>
    <t>ламель , 042,0-145, 6,25м, Анодировка с дробью, 18мкм</t>
  </si>
  <si>
    <t>1464.000</t>
  </si>
  <si>
    <t>Нордфасад</t>
  </si>
  <si>
    <t>ламель , 042,0-145, 1,25м, Анодировка БЕЗ  дроби, 18мкм</t>
  </si>
  <si>
    <t>87.500</t>
  </si>
  <si>
    <t>9550.000</t>
  </si>
  <si>
    <t>150060-00</t>
  </si>
  <si>
    <t>592100-00</t>
  </si>
  <si>
    <t>[85402] АТ-6945 (аналог 1706-85), Профиль тентовый 27мм, 3,0м, без покрытия</t>
  </si>
  <si>
    <t>12.200</t>
  </si>
  <si>
    <t>236 дав</t>
  </si>
  <si>
    <t>2575 стойка, 6,0м, анод 10мкм с дробью</t>
  </si>
  <si>
    <t>2577 стойка, 6,0м, анод 10мкм с дробью</t>
  </si>
  <si>
    <t>1250,27 УГОЛОК, анод 10мкм с дробью, длина 3,1м</t>
  </si>
  <si>
    <t>249 дав</t>
  </si>
  <si>
    <t>лист 1500х500*2,5 мм,  двухстороннее анодирование 18-21мкм БЕЗ уплотнения</t>
  </si>
  <si>
    <t>250 дав</t>
  </si>
  <si>
    <t>АВТОПРАЙМ</t>
  </si>
  <si>
    <t>3хл, остальное на склад</t>
  </si>
  <si>
    <t>А 33,стойка , 5,1м, Анодировка с дробью</t>
  </si>
  <si>
    <t>256 дав</t>
  </si>
  <si>
    <t>привоз 08/06</t>
  </si>
  <si>
    <t>45х45 B-Rxrt, длина 6,05м</t>
  </si>
  <si>
    <t>16452-13</t>
  </si>
  <si>
    <t>45х90 B-Rxrt, длина 6,05м</t>
  </si>
  <si>
    <t>21152-74</t>
  </si>
  <si>
    <t>OPT000493</t>
  </si>
  <si>
    <t>108 хл минимум к 15.06</t>
  </si>
  <si>
    <t>довоз 13/06</t>
  </si>
  <si>
    <t>11 хл возврат БА</t>
  </si>
  <si>
    <t>43шт ранее забрали</t>
  </si>
  <si>
    <t>Еко</t>
  </si>
  <si>
    <t>[85896] 1706-86, 6,0м, 6063 Т6, упак.Т5</t>
  </si>
  <si>
    <t>ЛЕД БИ АЙ</t>
  </si>
  <si>
    <t>Т 72-27, 6,0м, анодировка с дробью</t>
  </si>
  <si>
    <t>75210-00</t>
  </si>
  <si>
    <t>40275-00</t>
  </si>
  <si>
    <t>12 хл</t>
  </si>
  <si>
    <t>Ковалёв Дмитрий</t>
  </si>
  <si>
    <t>оклейка</t>
  </si>
  <si>
    <t>OPT000503</t>
  </si>
  <si>
    <t>213380, алюминиевый профиль, 4,5м, Анод 10мкм без дроби</t>
  </si>
  <si>
    <t>213381, алюминиевый профиль, 5,1м, Анод 10мкм без дроби</t>
  </si>
  <si>
    <t>247.500</t>
  </si>
  <si>
    <t>31531-50</t>
  </si>
  <si>
    <t>72037-50</t>
  </si>
  <si>
    <t>ФАМ-ГРУПП</t>
  </si>
  <si>
    <t>привоз 16/06</t>
  </si>
  <si>
    <t>272 дав</t>
  </si>
  <si>
    <t>119.000</t>
  </si>
  <si>
    <t>трубы немеры</t>
  </si>
  <si>
    <t>215 дав</t>
  </si>
  <si>
    <t>217 Дав</t>
  </si>
  <si>
    <t xml:space="preserve"> анод12 мкм, с дробью - Тп-50345-01 </t>
  </si>
  <si>
    <t>рось</t>
  </si>
  <si>
    <t>[86176] Труба круглая 60*2мм (АА-353, Б-0613,АГС), 3,5м, 6063 Т1</t>
  </si>
  <si>
    <t>[86014] Труба круглая 80*3мм (АА-371, Б-1062) 3,0м, 6063 Т1</t>
  </si>
  <si>
    <t>278 дав_Анод без дроби 18-20 мкм , 14+14 деталей (согласно чертежу)</t>
  </si>
  <si>
    <t>278 дав</t>
  </si>
  <si>
    <t>[82646] 220650 (АГС, 1606-52 МАК)  бортовой боковой 6,0м сплав 6063 Т 1</t>
  </si>
  <si>
    <t>OPT000549</t>
  </si>
  <si>
    <t>[76221] 220650 (АГС, 1606-52 МАК)  бортовой боковой 3,2м сплав 6063 Т 1</t>
  </si>
  <si>
    <t>Т 145, 6,0м, Анодировка с дробью</t>
  </si>
  <si>
    <t>[35197] 0106-238, 6,0м</t>
  </si>
  <si>
    <t>[38435] 0506-20, 6,0м</t>
  </si>
  <si>
    <t>[41030] 1406-05, 6,0м</t>
  </si>
  <si>
    <t>[11564] 0106-235, 6,0м</t>
  </si>
  <si>
    <t>[13620] 0106-290, 6,0м</t>
  </si>
  <si>
    <t>[70484] 1506-77, 6,0м</t>
  </si>
  <si>
    <t>[76859] АТ-6270 (ВР-371), 3,7м</t>
  </si>
  <si>
    <t>[69453] 1506-44, 6,0м</t>
  </si>
  <si>
    <t>[61528] 0306-09, 6,0м</t>
  </si>
  <si>
    <t>[34579] 0906-44, 6,0м, с перфорацией</t>
  </si>
  <si>
    <t>[47166] 0306-75, 6,0м</t>
  </si>
  <si>
    <t>[78712] 1606-73, 6,0м</t>
  </si>
  <si>
    <t>[57128] 0306-74, 6,0м</t>
  </si>
  <si>
    <t>[75461] 1506-79, 3,7м</t>
  </si>
  <si>
    <t>[85118] 1506-29, 6,0м</t>
  </si>
  <si>
    <t>287дав</t>
  </si>
  <si>
    <t>221162, 3,0м</t>
  </si>
  <si>
    <t>Анодирование алюминиевого уголка 30*30*1,5, длина 6,0м, без дроби</t>
  </si>
  <si>
    <t>Анодирование алюминиевого уголка 35*10*1,5, длина 6,0м, без дроби</t>
  </si>
  <si>
    <t>Анодирование алюминиевого уголка 25*25*1,5, длина 6,0м, бз дроби</t>
  </si>
  <si>
    <t>Анодирование алюминиевого уголка 25х25х2мм, длина 6,0м, 10мкм без дроби</t>
  </si>
  <si>
    <t>Анодирование алюминиевого уголка 30*30*2, длина 6,0м, без дроби</t>
  </si>
  <si>
    <t>25 200-00</t>
  </si>
  <si>
    <t>26 100-00</t>
  </si>
  <si>
    <t>19 740-00</t>
  </si>
  <si>
    <t>8 460-00</t>
  </si>
  <si>
    <t>292 дав</t>
  </si>
  <si>
    <t>293 дав</t>
  </si>
  <si>
    <t>293_дав_фото входного контроля_9-12 мкм,   уп в мини-пачку</t>
  </si>
  <si>
    <t>296дав</t>
  </si>
  <si>
    <t>поступит 30/06</t>
  </si>
  <si>
    <t>поступит 05/07</t>
  </si>
  <si>
    <t>54306.00</t>
  </si>
  <si>
    <t>привоз 04/04</t>
  </si>
  <si>
    <t>[86255] 2606-19, 6,0м, 6063 Т6, уп.Т5, БА</t>
  </si>
  <si>
    <t>Сележ</t>
  </si>
  <si>
    <t>59200-00</t>
  </si>
  <si>
    <t>91600-00</t>
  </si>
  <si>
    <t>100000-00</t>
  </si>
  <si>
    <t>15120-00</t>
  </si>
  <si>
    <t>33120-00</t>
  </si>
  <si>
    <t>5520-00</t>
  </si>
  <si>
    <t>[76222] 220650 (АГС, 1606-52 МАК)  бортовой боковой 4,0м сплав 6063 Т 1</t>
  </si>
  <si>
    <t>OPT000574</t>
  </si>
  <si>
    <t>13,35 брак БА механич.поврежд. в ЛОМА</t>
  </si>
  <si>
    <t>1хл на повторе</t>
  </si>
  <si>
    <t>10,1 пог.м брак лома</t>
  </si>
  <si>
    <t>306п.м брак</t>
  </si>
  <si>
    <t>302 дав_Петралюм  А29-5,1 - 
Периметр 0,210
 Вес 0,521</t>
  </si>
  <si>
    <t>132.600</t>
  </si>
  <si>
    <t>брак, все на возврат</t>
  </si>
  <si>
    <t>1706-96, 3,0м, анод без дроби 15мкм</t>
  </si>
  <si>
    <t>650.08 анодирование профиля, 3,0м, без дроби 15 мкм</t>
  </si>
  <si>
    <t>1380.000</t>
  </si>
  <si>
    <t>615.000</t>
  </si>
  <si>
    <t>565хл в работе (2пал)</t>
  </si>
  <si>
    <t>3 пал</t>
  </si>
  <si>
    <t>2 пал</t>
  </si>
  <si>
    <t>66хл - после 14ч</t>
  </si>
  <si>
    <t>2 пал по 54хл.</t>
  </si>
  <si>
    <t>26280-00</t>
  </si>
  <si>
    <t>848хл привоз 14/07</t>
  </si>
  <si>
    <t>114п.м брак+216</t>
  </si>
  <si>
    <t>[81356] 1606-37 (АВА-7227), 5,05 м, сплав 6063 КР Т6, упаковка Т-5</t>
  </si>
  <si>
    <t>[81357] 1606-37 (АВА-7227), 4,45 м, сплав 6063 КР Т6, упаковка Т-5</t>
  </si>
  <si>
    <t>[85792] 2606-18, 3,0 м,  6063 Т6, уп.Т5, БА</t>
  </si>
  <si>
    <t>[85515] 2606-14, 5,05 м,  6063 Т1 БА</t>
  </si>
  <si>
    <t>[86254] 2606-15, 6,0м, 6063 Т6, уп.Т5, БА</t>
  </si>
  <si>
    <t>брак, 1загр готова</t>
  </si>
  <si>
    <t>Приход МАК 28/06</t>
  </si>
  <si>
    <t>OPT000590</t>
  </si>
  <si>
    <t>OPT000589</t>
  </si>
  <si>
    <t>OPT000591</t>
  </si>
  <si>
    <t>Y.3040(5) 5,1 м, Р-,127 анод 10+/-2 мкм с дробью</t>
  </si>
  <si>
    <t>1718.700</t>
  </si>
  <si>
    <t>22,2 - брак
2 паллеты</t>
  </si>
  <si>
    <t>114.000</t>
  </si>
  <si>
    <t>15750-00</t>
  </si>
  <si>
    <t>[86175] Труба круглая 50*2мм (182-12), 3,5м, 6063 Т1</t>
  </si>
  <si>
    <t>Приход АГС 19/07</t>
  </si>
  <si>
    <t>привоз 13/07 - 3шт возврат ба</t>
  </si>
  <si>
    <t>325 дав</t>
  </si>
  <si>
    <t>30х30 B-Rxrt, длина 6,01м, БЦ анод 10мкм с дробью</t>
  </si>
  <si>
    <t>264.440</t>
  </si>
  <si>
    <t>145.200</t>
  </si>
  <si>
    <t>[83659] 1706-97, 3,0м, Ад31 Т1, уп. Т5, БА</t>
  </si>
  <si>
    <t>[83660] 1706-98, 3,0м, Ад31 Т1, уп. Т5, БА</t>
  </si>
  <si>
    <t>650.04 анодирование профиля, 3,0м, без дроби 15 мкм с уплотнением</t>
  </si>
  <si>
    <t>5763.000</t>
  </si>
  <si>
    <t>207108-00</t>
  </si>
  <si>
    <t>привоз 20/07</t>
  </si>
  <si>
    <t>замена брака 20/07</t>
  </si>
  <si>
    <t>20.200 - брак БА</t>
  </si>
  <si>
    <t>OPT000602</t>
  </si>
  <si>
    <t>OPT000603</t>
  </si>
  <si>
    <t>40*80-10шт*6,0м   10мкм, проложка бумагой</t>
  </si>
  <si>
    <t>335 дав</t>
  </si>
  <si>
    <t>40*40-15шт*6,0м,   10мкм, проложка бумагой</t>
  </si>
  <si>
    <t>лишнее 8хл на возврат</t>
  </si>
  <si>
    <t>А 29,стойка угловая, 5,1м, Анодировка с дробью</t>
  </si>
  <si>
    <t>Т 156, 6,0м, Анодировка с дробью</t>
  </si>
  <si>
    <t>332 дав</t>
  </si>
  <si>
    <t>9960-00</t>
  </si>
  <si>
    <t>2490-00</t>
  </si>
  <si>
    <t>336 дав</t>
  </si>
  <si>
    <t>50707-80</t>
  </si>
  <si>
    <t>333 дав</t>
  </si>
  <si>
    <t>анод</t>
  </si>
  <si>
    <t>не довоз</t>
  </si>
  <si>
    <t>[86677] 220650 (АГС, 1606-52 МАК)  бортовой боковой 6,8м сплав 6063 Т 1</t>
  </si>
  <si>
    <t>[85790] 2606-17, 3,0 м,  6063 Т6, уп.Т5, БА</t>
  </si>
  <si>
    <t>ИП Мещеряков</t>
  </si>
  <si>
    <t>БЦ анод с дробью, 10мкм, Профиль 3213, длина 3300мм</t>
  </si>
  <si>
    <t>75210.00</t>
  </si>
  <si>
    <t>33750-00</t>
  </si>
  <si>
    <t>OPT000620</t>
  </si>
  <si>
    <t>OPT000621</t>
  </si>
  <si>
    <t>OPT000622</t>
  </si>
  <si>
    <t>Крышка AZ-69, 100мм,  длина 3,0м, анодировка без дроби</t>
  </si>
  <si>
    <t>профиль AZ-68, 100мм,  длина 3,0м, анодировка без дроби</t>
  </si>
  <si>
    <t>21 800-00</t>
  </si>
  <si>
    <t>[86322] 1806-35, Автоуголок 120*42 мм, 6,0м, АД31 Т1, уп. Т5</t>
  </si>
  <si>
    <t>7535-00</t>
  </si>
  <si>
    <t>46000-00</t>
  </si>
  <si>
    <t>40хл Техноагрегат</t>
  </si>
  <si>
    <t>ш-образный 266 (АТ-3010), длина 6,0м, анодировка без дроби</t>
  </si>
  <si>
    <t>26910-00</t>
  </si>
  <si>
    <t>13455-00</t>
  </si>
  <si>
    <t>40365-00</t>
  </si>
  <si>
    <t>Завод-Ленсвет</t>
  </si>
  <si>
    <t>8хл на склад</t>
  </si>
  <si>
    <t>Профиль No 1 (122х38мм) в распиле</t>
  </si>
  <si>
    <t>382 дав</t>
  </si>
  <si>
    <t>56.000</t>
  </si>
  <si>
    <t>3630-00</t>
  </si>
  <si>
    <t>33.000</t>
  </si>
  <si>
    <t>10320-00</t>
  </si>
  <si>
    <t>12780-00</t>
  </si>
  <si>
    <t>4050-00</t>
  </si>
  <si>
    <t>46200-00</t>
  </si>
  <si>
    <t>383 дав</t>
  </si>
  <si>
    <t>лист АМГ5, 1070*100*1,0мм, 9-12мкм, анод</t>
  </si>
  <si>
    <t>24600-00</t>
  </si>
  <si>
    <t>28200-00</t>
  </si>
  <si>
    <t>60900-00</t>
  </si>
  <si>
    <t>384 дав</t>
  </si>
  <si>
    <t>привоз 22/08</t>
  </si>
  <si>
    <t>[86525] 1406-71, 3,0м, 6063 Т1, уп.Т5</t>
  </si>
  <si>
    <t>96000-00</t>
  </si>
  <si>
    <t>привоз 24/08</t>
  </si>
  <si>
    <t>Корпус КУДР.676621.015.01-02_1358мм_анод 15-20 мкм</t>
  </si>
  <si>
    <t>1788 в работе</t>
  </si>
  <si>
    <t>[85788] 2606-16, 4,9 м,  6063 Т6, уп.Т5, БА</t>
  </si>
  <si>
    <t>OPT000675</t>
  </si>
  <si>
    <t>Уголок АД31Т 60х60х6 — 36 пог.м</t>
  </si>
  <si>
    <t>ИМПЕРИЯ МЕТАЛЛА</t>
  </si>
  <si>
    <t>393 дав</t>
  </si>
  <si>
    <t>с</t>
  </si>
  <si>
    <t>Анодирование алюминиевого профиля (ус) 12 шт крыльев</t>
  </si>
  <si>
    <t>396 дав</t>
  </si>
  <si>
    <t>395 дав</t>
  </si>
  <si>
    <t>1хл на склад</t>
  </si>
  <si>
    <t>уголок 80*40*3, длина 6,0м, анодировка с дробью</t>
  </si>
  <si>
    <t>[86309] 1506-29, 5,4м, 6063  Т1, упак.Т5, БА</t>
  </si>
  <si>
    <t xml:space="preserve">по заявке недовоз </t>
  </si>
  <si>
    <t>[61528] 0306-09, 6,0м, 6063 Т1, упаковка Т-5, БА</t>
  </si>
  <si>
    <t>[81738] 1706-70, 6,0м, 6063 Т1, упаковка Т-5, БА</t>
  </si>
  <si>
    <t>Y.3040(6) 5,1 м, Р-,148, анод 10+/-2 мкм с дробью</t>
  </si>
  <si>
    <t>266 дав</t>
  </si>
  <si>
    <t>121095-00</t>
  </si>
  <si>
    <t>OPT000693</t>
  </si>
  <si>
    <t>6хл брак БА механ.поврежд.</t>
  </si>
  <si>
    <t>283,25-брак БЦ</t>
  </si>
  <si>
    <t>10,1-брак</t>
  </si>
  <si>
    <t>ТПТ 65.06. 01, 6,0м анод с дробью</t>
  </si>
  <si>
    <t>8442-00</t>
  </si>
  <si>
    <t>ждем замену</t>
  </si>
  <si>
    <t>3хл брак ба механ.</t>
  </si>
  <si>
    <t>труба 40*40*2, длина 6,0м, анодировка с дробью</t>
  </si>
  <si>
    <t>6хл брак БА механ. - под выпил??</t>
  </si>
  <si>
    <t>8,9пог.м ?</t>
  </si>
  <si>
    <t>[69453] 1506-44 (АВА-7225), 6,0м, 6063 Т1, тип 1,  упак. Т5, БА</t>
  </si>
  <si>
    <t>OPT000728</t>
  </si>
  <si>
    <t>41,2пог.м ?</t>
  </si>
  <si>
    <t>201825-00</t>
  </si>
  <si>
    <t>426 дав</t>
  </si>
  <si>
    <t>30х90 B-Rxrt, длина 6,05м, БЦ анод 10мкм с дробью</t>
  </si>
  <si>
    <t>45х45 B-Rxrt, длина 6,01м, БЦ анод 10мкм с дробью</t>
  </si>
  <si>
    <t>84.140</t>
  </si>
  <si>
    <t>6хл брак</t>
  </si>
  <si>
    <t>[36868] 8507025-2 (МАК 0680-02) 6,50м, 6063КР Т6</t>
  </si>
  <si>
    <t>[85515] 2606-14 (замена 2606-06), 5,05 м,  6063 Т1, БА</t>
  </si>
  <si>
    <t>[65831] А 21 (0272-61), Направляющая для раздвижных стекол, 5,0м,  6063 КР</t>
  </si>
  <si>
    <t>уголок 30*20*2, длина 6,0м, анодировка без дроби</t>
  </si>
  <si>
    <t>74400-00</t>
  </si>
  <si>
    <t>лист 1200х500*2 мм,  двустороннее анодирование 18-21мкм с уплотнением</t>
  </si>
  <si>
    <t>111000-00</t>
  </si>
  <si>
    <t>завезено 36шт, позднее довоз</t>
  </si>
  <si>
    <t>лист 1200х500 мм, анод</t>
  </si>
  <si>
    <t>завоз 38 неделя</t>
  </si>
  <si>
    <t>30пог.м-?</t>
  </si>
  <si>
    <t>799.200</t>
  </si>
  <si>
    <t>121500.00</t>
  </si>
  <si>
    <t>440 дав</t>
  </si>
  <si>
    <t>БЦ анод 10мкм с дробью, упак через бумагу (змейкой). Профиль №1, №2</t>
  </si>
  <si>
    <t>основания</t>
  </si>
  <si>
    <t>Уголок 30х30х2мм, длина 6,0м, БЦ анод 10мкм
без дроби</t>
  </si>
  <si>
    <t>Уголок 30х10х1,5мм, длина 6,0м, БЦ анод
10мкм без дроби</t>
  </si>
  <si>
    <t>89600-00</t>
  </si>
  <si>
    <t>442 дав</t>
  </si>
  <si>
    <t>93600-00</t>
  </si>
  <si>
    <t>Балткомп</t>
  </si>
  <si>
    <t>привоз 20/09</t>
  </si>
  <si>
    <t>432 дав</t>
  </si>
  <si>
    <t>650.10 анодирование профиля, 3,0м, без дроби 15 мкм с уплотнением</t>
  </si>
  <si>
    <t>143865-00</t>
  </si>
  <si>
    <t>221162, 3,1м, БЦ анод 15мкм с дробью, упак в стрейч</t>
  </si>
  <si>
    <t>192400-00</t>
  </si>
  <si>
    <t>1240.000</t>
  </si>
  <si>
    <t>OPT000756</t>
  </si>
  <si>
    <t>OPT000757</t>
  </si>
  <si>
    <t>ССП</t>
  </si>
  <si>
    <t>451 дав</t>
  </si>
  <si>
    <t>13900-00</t>
  </si>
  <si>
    <t>13.350 - ?</t>
  </si>
  <si>
    <t>5.150 - ?</t>
  </si>
  <si>
    <t>привоз 25/09</t>
  </si>
  <si>
    <t>[87103] 1606-39 (аналог), 3,0 м, 6063 Т1</t>
  </si>
  <si>
    <t>435 дав</t>
  </si>
  <si>
    <t>624.000</t>
  </si>
  <si>
    <t>55хл</t>
  </si>
  <si>
    <t>12п.м-?</t>
  </si>
  <si>
    <t>539500-00</t>
  </si>
  <si>
    <t>[86322] 1806-35 Автоуголок 120*42 мм 6,0м 6063 Т6 уп.Т5</t>
  </si>
  <si>
    <t>[86901] 2606-14 (замена 2606-06), 5,65 м,  6063 Т1, БА</t>
  </si>
  <si>
    <t>лист 1500х500*2,5 мм,  двустороннее анодирование 18-21мкм БЕЗ уплотнения</t>
  </si>
  <si>
    <t>88800-00</t>
  </si>
  <si>
    <t>1хл -?</t>
  </si>
  <si>
    <t>1хл-?</t>
  </si>
  <si>
    <t>1хл?</t>
  </si>
  <si>
    <t>МТ-2-01123, длина 4,1м, без дроби 10 мкм</t>
  </si>
  <si>
    <t>81900.00</t>
  </si>
  <si>
    <t>259900.00</t>
  </si>
  <si>
    <t>557.600</t>
  </si>
  <si>
    <t>561.700</t>
  </si>
  <si>
    <t>470 дав</t>
  </si>
  <si>
    <t>8280-00</t>
  </si>
  <si>
    <t>[76221] 220650 (1606-52, АВА-3665) бортовой боковой 3,2м сплав 6063 Т6</t>
  </si>
  <si>
    <t>[76222] 220650 (1606-52, АВА-3665) бортовой боковой 4,0м сплав 6063 Т6</t>
  </si>
  <si>
    <t>[76034] 220650 (1606-52, АВА-3665) бортовой боковой 6,0м сплав 6063 Т6</t>
  </si>
  <si>
    <t>33930-00</t>
  </si>
  <si>
    <t xml:space="preserve">Анодирование алюминиевого профиля без дроби (ус) </t>
  </si>
  <si>
    <t>24хл на склад</t>
  </si>
  <si>
    <t>лист 1500х500*2,5 мм, одностороннее анодирование БЕЗ уплотнения</t>
  </si>
  <si>
    <t>483_дав</t>
  </si>
  <si>
    <t>Промышленный Конструктор</t>
  </si>
  <si>
    <t>7хл -?</t>
  </si>
  <si>
    <t>175960-00</t>
  </si>
  <si>
    <t>1000х2400 - 5 шт, 1000х1500 - 72 шт</t>
  </si>
  <si>
    <t>[866] 0106-153 уголок 150*55*3мм 6,0м АД31 Т1 уп. Т5</t>
  </si>
  <si>
    <t>15хл брак (14хл на покраску)</t>
  </si>
  <si>
    <t>OPT000807</t>
  </si>
  <si>
    <t>OPT000808</t>
  </si>
  <si>
    <t>[74363] 1506-79 (АВА-7226), 3,05м, 6063 Т1, уп.Т5, БА</t>
  </si>
  <si>
    <t>492 дав</t>
  </si>
  <si>
    <t>493 дав</t>
  </si>
  <si>
    <t>112.000</t>
  </si>
  <si>
    <t>71.000</t>
  </si>
  <si>
    <t>46530-40</t>
  </si>
  <si>
    <t>29496-95</t>
  </si>
  <si>
    <t>42пог.м - ?</t>
  </si>
  <si>
    <t>16хл?</t>
  </si>
  <si>
    <t>[85300] 221148 (НЧП-4546) ручка боковой защит 6,0м сплав 6063 Т6</t>
  </si>
  <si>
    <t>[86677] 220650 (1606-52, АВА-3665) бортовой боковой 6,8м сплав 6063 Т6</t>
  </si>
  <si>
    <t>[56993] 0506-17 (97083) Автоуголок 90*60*2мм 6,0м 6063 Т6</t>
  </si>
  <si>
    <t>23800-00</t>
  </si>
  <si>
    <t>12320-00</t>
  </si>
  <si>
    <t>57400-00</t>
  </si>
  <si>
    <t>900-00</t>
  </si>
  <si>
    <t>[36867] 8507023 (0680-03) 6,50м, БА сплав 6063 Т6</t>
  </si>
  <si>
    <t>130хл - ок, 2хл анод с деф., 5хл возврат ба</t>
  </si>
  <si>
    <t>136хл ок</t>
  </si>
  <si>
    <t>[87940] 1806-97, 6,0м, 6063 Т6</t>
  </si>
  <si>
    <t>ДН</t>
  </si>
  <si>
    <t>496 дав</t>
  </si>
  <si>
    <t>50000-00</t>
  </si>
  <si>
    <t>12 на склад</t>
  </si>
  <si>
    <t>OPT000824</t>
  </si>
  <si>
    <t>516 дав</t>
  </si>
  <si>
    <t>Y.3040(7), 9-12мкм, длина 5,1м ,р-0,118</t>
  </si>
  <si>
    <t>1055.700</t>
  </si>
  <si>
    <t>67275-00</t>
  </si>
  <si>
    <t>лист 1500х500*2,0 мм,  двустороннее анодирование 18-21мкм С УПЛОТНЕНИЕМ</t>
  </si>
  <si>
    <t>22200.00</t>
  </si>
  <si>
    <t>520 дав</t>
  </si>
  <si>
    <t>Прочная сталь</t>
  </si>
  <si>
    <t>БЦ анод 21мкм без дроби, упак в бумагу</t>
  </si>
  <si>
    <t>13хл брак</t>
  </si>
  <si>
    <t>29,1 -?</t>
  </si>
  <si>
    <t>20,2 - ?</t>
  </si>
  <si>
    <t>[87164] Профиль порога AD77 29/16 (17).Y (1806-44) 6,5м,  Б/А</t>
  </si>
  <si>
    <t>[87165] Профиль порога AD77 31/16 (17).X (1806-45) 6,5м,  Б/А</t>
  </si>
  <si>
    <t>Авангард</t>
  </si>
  <si>
    <t>Корпус 150, 5,1м, анод с дробью 10 мкм</t>
  </si>
  <si>
    <t>423.300</t>
  </si>
  <si>
    <t>514 дав</t>
  </si>
  <si>
    <t>467 дав</t>
  </si>
  <si>
    <t>222369, длина 4,5 м, без дроби 10 мкм</t>
  </si>
  <si>
    <t>130770-00</t>
  </si>
  <si>
    <t>223246, длина 6,0м, без дроби 10 мкм</t>
  </si>
  <si>
    <t>220079, 6,05м, анод без дроби 9-12мкм</t>
  </si>
  <si>
    <t>8507023, длина 6,05 м,  10 мкм</t>
  </si>
  <si>
    <t>8507029-10, длина 6,05 м, без дроби 10 мкм</t>
  </si>
  <si>
    <t>730146-00</t>
  </si>
  <si>
    <t>91839-00</t>
  </si>
  <si>
    <t>80283-50</t>
  </si>
  <si>
    <t>221274, 6,16м, анод без дроби 9-12мкм</t>
  </si>
  <si>
    <t>221276, 6,16м, анод без дроби 9-12мкм</t>
  </si>
  <si>
    <t>126497-08</t>
  </si>
  <si>
    <t>115007-20</t>
  </si>
  <si>
    <t>8507029-2, бортовой профиль, 6,05м, анод 10мкм</t>
  </si>
  <si>
    <t>222289, 6,6м, анод без дроби 9-12мкм</t>
  </si>
  <si>
    <t>74750-00</t>
  </si>
  <si>
    <t>92000-00</t>
  </si>
  <si>
    <t>253000-00</t>
  </si>
  <si>
    <t>522 дав</t>
  </si>
  <si>
    <t>Т 64, 6,1м, Анодировка с дробью</t>
  </si>
  <si>
    <t>215475-00</t>
  </si>
  <si>
    <t>470925-00</t>
  </si>
  <si>
    <t>27.10 привоз</t>
  </si>
  <si>
    <t>02.11 привоз</t>
  </si>
  <si>
    <t>уголок 10*10</t>
  </si>
  <si>
    <t>[87626] 0106-107, 4,0м, 6063 Т6, уп.Т5</t>
  </si>
  <si>
    <t>615хл ост</t>
  </si>
  <si>
    <t>40хл ост</t>
  </si>
  <si>
    <t>Корпус КУДР.676621.018.01(изделие 676621.018.03)_1418 мм_15мкм</t>
  </si>
  <si>
    <t>перегородки всем( совр системы)</t>
  </si>
  <si>
    <t>OPT000872</t>
  </si>
  <si>
    <t>OPT000873</t>
  </si>
  <si>
    <t>OPT000875</t>
  </si>
  <si>
    <t>OPT000874</t>
  </si>
  <si>
    <t>OPT000876</t>
  </si>
  <si>
    <t>МДС</t>
  </si>
  <si>
    <t>[88065] 1806-63, 3,4м, 6063 Т1, уп.Т5</t>
  </si>
  <si>
    <t>428 дав</t>
  </si>
  <si>
    <t>Профиль АГС 221505, длина хлыста 2,05м, без покрытия</t>
  </si>
  <si>
    <t>495 дав</t>
  </si>
  <si>
    <t>Панорама</t>
  </si>
  <si>
    <t>Фасадный профиль разных видов</t>
  </si>
  <si>
    <t>29 загр по 21мкм</t>
  </si>
  <si>
    <t>488 дав</t>
  </si>
  <si>
    <t>Профиль АГС 221162, длина хлыста 3,1м, без покрытия</t>
  </si>
  <si>
    <t>Уголок 25х25х2,0мм</t>
  </si>
  <si>
    <t>Уголок 40х40х2,0мм</t>
  </si>
  <si>
    <t>Швеллер 20х20х20х1,5мм</t>
  </si>
  <si>
    <t>[56993] автоуголок 90*60*2мм (0506-17, 97083)6,0м 6063 Т6</t>
  </si>
  <si>
    <t>лист 1200х500*1,5 мм,  двустороннее анодирование 18-21мкм с уплотнением</t>
  </si>
  <si>
    <t>первая половина декабря</t>
  </si>
  <si>
    <t>209247, 6,36м, БЦ анод 10км с дробью</t>
  </si>
  <si>
    <t>210289, 3,75м, БЦ анод 10км с дробью+мини- пачки стрейч</t>
  </si>
  <si>
    <t>97101 (уг 250*40) 6м, АНОД, без дроби, 10-12 мкм</t>
  </si>
  <si>
    <t>zil-1 (уг 125*100) 6м, АНОД, без дроби, 10-12 мкм</t>
  </si>
  <si>
    <t>8507025 (АГС) шир 192мм, 4,2м, БЦ с дробью+стрейч</t>
  </si>
  <si>
    <t>1250,10 ручка, анод 10мкм с дробью , длина 6,0м</t>
  </si>
  <si>
    <t>1250,11 вертикальный, анод 10мкм с дробью , длина 6,0м</t>
  </si>
  <si>
    <t>1250,11 верхний, анод 10мкм с дробью , длина 6,0м</t>
  </si>
  <si>
    <t>1250,31 коробка, анод 10мкм с дробью , длина 6,0м</t>
  </si>
  <si>
    <t>дс поступили</t>
  </si>
  <si>
    <t>OPT000904</t>
  </si>
  <si>
    <t>OPT000905</t>
  </si>
  <si>
    <t>[81578] 1706-68, 6,0м, 6063 Т1, упаковка Т-5, БА</t>
  </si>
  <si>
    <t>12 пог.м - ?</t>
  </si>
  <si>
    <t>6пог.м - ?</t>
  </si>
  <si>
    <t>передать с отгрузкой накладную с привоза от Металл-1</t>
  </si>
  <si>
    <t>45х90 B-Rxrt, длина 6,05м, БЦ анод 10мкм с дробью</t>
  </si>
  <si>
    <t>БЦ анод Основания ТИС-Р-3 (профиль 1111-116), 475мм</t>
  </si>
  <si>
    <t>приход с МАКа 20/11</t>
  </si>
  <si>
    <t>стоп - несоответствие геометрии</t>
  </si>
  <si>
    <t>[78712] 1606-73 (п-образный), 6,0м, 6063 Т6, упаковка Т-5, БА</t>
  </si>
  <si>
    <t>Артель</t>
  </si>
  <si>
    <t>OPT000930</t>
  </si>
  <si>
    <t>[82646] 220650 дубль (1606-52, АВА-3665) бортовой боковой 6,0м сплав 6063 Т6</t>
  </si>
  <si>
    <t>1469хл!+264хл (из них 26хл брак)</t>
  </si>
  <si>
    <t>55+64=119хл</t>
  </si>
  <si>
    <t>АГС сч1908</t>
  </si>
  <si>
    <t>АГС сч1918</t>
  </si>
  <si>
    <t>АГС сч1854</t>
  </si>
  <si>
    <t>сказать когда ему привозить</t>
  </si>
  <si>
    <t>560 дав</t>
  </si>
  <si>
    <t>лист 1200*3000*2</t>
  </si>
  <si>
    <t>трейд Дьюти Фри</t>
  </si>
  <si>
    <t>565 дав</t>
  </si>
  <si>
    <t>187хл (19хл брак)</t>
  </si>
  <si>
    <t>[80660] 1606-45, (197.15 ) Кромка 40 4,7 м, 6063 Т6</t>
  </si>
  <si>
    <t>приход с МАКа 27/11</t>
  </si>
  <si>
    <t>270 пог.м брак - 38хл пойдет на повтор</t>
  </si>
  <si>
    <t>OPT000953</t>
  </si>
  <si>
    <t>OPT000906</t>
  </si>
  <si>
    <t>5хл в лома</t>
  </si>
  <si>
    <t>570 дав</t>
  </si>
  <si>
    <t>фурнитура</t>
  </si>
  <si>
    <t>штапик V14,  5,0м Р-0,0,102, анод без дроби 10-12мкм</t>
  </si>
  <si>
    <t>20хл на склад выв</t>
  </si>
  <si>
    <t>557 дав</t>
  </si>
  <si>
    <t>Альтернативная наука</t>
  </si>
  <si>
    <t>Анодирование алюминиевого профиля 15мкм с дробью</t>
  </si>
  <si>
    <t>576дав</t>
  </si>
  <si>
    <t>ПКФ БМК</t>
  </si>
  <si>
    <t>Лист 1200х500*2,5 мм, двустороннее анодирование</t>
  </si>
  <si>
    <t>1хл -брак БА экструз.пузыри.</t>
  </si>
  <si>
    <t>1хл- брак, мех повреждения</t>
  </si>
  <si>
    <t>579дав</t>
  </si>
  <si>
    <t>580дав</t>
  </si>
  <si>
    <t>Ковалёв</t>
  </si>
  <si>
    <t>брак 4+5=9хл</t>
  </si>
  <si>
    <t>Подготовка под покраску - Анод</t>
  </si>
  <si>
    <t>583дав</t>
  </si>
  <si>
    <t>587дав</t>
  </si>
  <si>
    <t>Корпус КУДР.676621.015.01-04_1703 мм_15-20 мкм</t>
  </si>
  <si>
    <t>[15070] Уголок 25*25*2мм, (GERUG 25x25x2), 6,0м, сплав 6063</t>
  </si>
  <si>
    <t>повтор 150 брак перфорации-7хл</t>
  </si>
  <si>
    <t>2хл - брак БЦ механич.пврежд.</t>
  </si>
  <si>
    <t>584дав</t>
  </si>
  <si>
    <t>1250,12 верхний, анод 10мкм с дробью , длина 6,0м</t>
  </si>
  <si>
    <t>575дав</t>
  </si>
  <si>
    <t>мз сотранс</t>
  </si>
  <si>
    <t>33+21+26=80хл(10загр)</t>
  </si>
  <si>
    <t>в 1С причесать!!!</t>
  </si>
  <si>
    <t>596дав</t>
  </si>
  <si>
    <t>3 загр - доставка с Нормой</t>
  </si>
  <si>
    <t xml:space="preserve">3 загр    </t>
  </si>
  <si>
    <t>[80661] 1606-55, (197.14)(кромка 40) 4,7 м, 6063 Т6</t>
  </si>
  <si>
    <t>290.400</t>
  </si>
  <si>
    <t>40543-47</t>
  </si>
  <si>
    <t>24323-90</t>
  </si>
  <si>
    <t>29729-22</t>
  </si>
  <si>
    <t>32431-87</t>
  </si>
  <si>
    <t>6756-64</t>
  </si>
  <si>
    <t>578дав</t>
  </si>
  <si>
    <t>RE15462, Рельс, 6,6м, анодирование 15 мкм без дроби</t>
  </si>
  <si>
    <t>37+52+28=117хл-8загр</t>
  </si>
  <si>
    <t>Лаборант</t>
  </si>
  <si>
    <t>42пог.м брак</t>
  </si>
  <si>
    <t>техноагрегат/мз сотранс</t>
  </si>
  <si>
    <t>Лигра</t>
  </si>
  <si>
    <t>[81579] 1706-69, 6,0м, 6063 Т1, упаковка Т-5, БА</t>
  </si>
  <si>
    <t>15±2мкм алюминиевого профиля АВК-001, 3,05м</t>
  </si>
  <si>
    <t>АГС не оплаты</t>
  </si>
  <si>
    <t>БМК</t>
  </si>
  <si>
    <t>лист 1200х1500*3 мм,  двустороннее анодирование 15 мкм</t>
  </si>
  <si>
    <t>[88517] 220650 (1606-52) бортовой боковой 4,4м сплав 6063 Т6</t>
  </si>
  <si>
    <t>1хл экстр пузыри</t>
  </si>
  <si>
    <t>[88192] 2606-27, 6,0 м, 6063 Т6</t>
  </si>
  <si>
    <t>отмена (задвоила заявку с 630)</t>
  </si>
  <si>
    <t>223270, длина 6,68 м,с дробью 10 мкм</t>
  </si>
  <si>
    <t>[87827] 223276 6,0м 6063 Т66</t>
  </si>
  <si>
    <t>12п.м брак</t>
  </si>
  <si>
    <t>готов</t>
  </si>
  <si>
    <t>35хл брак возврат ба</t>
  </si>
  <si>
    <t>OPT001016</t>
  </si>
  <si>
    <t>АСА Авангард</t>
  </si>
  <si>
    <t>[80922] 2606-07, 4,15 м,  6063 Т6</t>
  </si>
  <si>
    <t>приход МАК 26/12</t>
  </si>
  <si>
    <t>[47166] 0306-75, 6,0м, 6063 Т6, упаковка Т-5, БА</t>
  </si>
  <si>
    <t>бмк-трейлер</t>
  </si>
  <si>
    <t xml:space="preserve">АГС сч2157 </t>
  </si>
  <si>
    <t>А</t>
  </si>
  <si>
    <t>[13148] D22/24 (0106-104), 6,0м, с перфорацией, БА</t>
  </si>
  <si>
    <t>СПРК</t>
  </si>
  <si>
    <t>RAL 7023</t>
  </si>
  <si>
    <t>[57128] 0306-74, 6,0м, 6063 Т6, упаковка Т-5, БА</t>
  </si>
  <si>
    <t>OPT000004</t>
  </si>
  <si>
    <t>Бесцветное анодирование 21±2мкм алюминиевого профиля ТПСК-6040 (крышка), 6,0м</t>
  </si>
  <si>
    <t>Бесцветное анодирование 21±2мкм алюминиевого профиля ТПСК-6042 (прижим стойки), 6,0м</t>
  </si>
  <si>
    <t>Бесцветное анодирование 21±2мкм алюминиевого профиля ТПСК-6039 (прижим ригеля), 6,0м</t>
  </si>
  <si>
    <t>Бесцветное анодирование 21±2мкм алюминиевого профиля МП-65.01.04 (рама в проём), 6,0м</t>
  </si>
  <si>
    <t>Бесцветное анодирование 21±2мкм алюминиевого профиля МП-64.04.02 (створка), 6,0м</t>
  </si>
  <si>
    <t>Бесцветное анодирование 21±2мкм алюминиевого профиля МП-65.03.02 (импост), 6,0м</t>
  </si>
  <si>
    <t>Бесцветное анодирование 21±2мкм алюминиевого профиля МП-45.10.06 (штапик), 6,0м</t>
  </si>
  <si>
    <t>Бесцветное анодирование 21±2мкм алюминиевого профиля МП-4080, 6,0м</t>
  </si>
  <si>
    <t>12 654-00</t>
  </si>
  <si>
    <t>6 327-00</t>
  </si>
  <si>
    <t>2 109-00</t>
  </si>
  <si>
    <t>1 054-50</t>
  </si>
  <si>
    <t>3 163-50</t>
  </si>
  <si>
    <t>МГСЗ</t>
  </si>
  <si>
    <t>2хл ?</t>
  </si>
  <si>
    <t xml:space="preserve">[69916] 97082, Автоуголок 50*50 мм, 6,0м,  сплав 6063 Т6 </t>
  </si>
  <si>
    <t xml:space="preserve">5хл  брак БЦ </t>
  </si>
  <si>
    <t xml:space="preserve">[81360] 1606-37, 4,45 м, анод 4-5мкм БЕЗ дроби </t>
  </si>
  <si>
    <t xml:space="preserve">[69917] 97101(1706-75) Автоуголок 250*40мм, 6,0м, сплав 6063 Т6 </t>
  </si>
  <si>
    <t xml:space="preserve">зачистка. Цена </t>
  </si>
  <si>
    <t xml:space="preserve">[81550] 1706-75, Автоуголок 250*40мм, 6,0м, сплав 6063 Т6 </t>
  </si>
  <si>
    <t xml:space="preserve">Трейд Дьюти Фри </t>
  </si>
  <si>
    <t xml:space="preserve">221505, длина 2,05м, БЦ анодирование 15мкм без дроби </t>
  </si>
  <si>
    <t xml:space="preserve">повтор, снятие </t>
  </si>
  <si>
    <t xml:space="preserve">[77780] 97101(на АГС -брак)  (1706-75), Автоуголок 250*40мм, 6,0м, сплав 6063 Т6 </t>
  </si>
  <si>
    <t xml:space="preserve">[81550] 1706-75 (97101) Автоуголок 250*40мм 6,0м сплав 6063 Т6 </t>
  </si>
  <si>
    <t xml:space="preserve">8 бол </t>
  </si>
  <si>
    <t xml:space="preserve">повтор_OPT000574 </t>
  </si>
  <si>
    <t xml:space="preserve">Контроль геоментрии </t>
  </si>
  <si>
    <t>6хл ?</t>
  </si>
  <si>
    <t>1хл ?</t>
  </si>
  <si>
    <t>682хл-(17загр-3загр) 24хл брак</t>
  </si>
  <si>
    <t>1328хл-(35загр-7загр)-80+35хл брак</t>
  </si>
  <si>
    <t>[75893] 220450, 2,0м, АД31 Т1, БА, уп в мини-пачки</t>
  </si>
  <si>
    <t>Гараж</t>
  </si>
  <si>
    <t>63280.00</t>
  </si>
  <si>
    <t xml:space="preserve">доп. к 481 дав </t>
  </si>
  <si>
    <t>приход МАК 11/01</t>
  </si>
  <si>
    <t>Команда 5</t>
  </si>
  <si>
    <t>9016 маур AkzoNobel</t>
  </si>
  <si>
    <t>[88698] 1806-86, 6,05м, Ад31 Т1</t>
  </si>
  <si>
    <t>Тред Дьюти Фри</t>
  </si>
  <si>
    <t>Приход АГС 15/01</t>
  </si>
  <si>
    <t>[69916] автоуголок 50*50 мм (97082) 6,0м,  сплав 6063 Т6 + упаковка А5</t>
  </si>
  <si>
    <t>RAL 9003</t>
  </si>
  <si>
    <t>[69237] 219152, 6,0 м, сплав 6063 под анод уп.А5</t>
  </si>
  <si>
    <t>[76223] 220650 (1606-52, АВА-3665) бортовой боковой 6,5м сплав 6063 Т6</t>
  </si>
  <si>
    <t>RAL9005 матовый (ИНВЕР)</t>
  </si>
  <si>
    <t>[85300] ручка боковой защиты (221148) 6,0м сплав 6063 Т6</t>
  </si>
  <si>
    <t>[76123] 8507023 (АГС) 6,50м, БА сплав 6063 Т6</t>
  </si>
  <si>
    <t>склад борта</t>
  </si>
  <si>
    <t>86хл привоз</t>
  </si>
  <si>
    <t>приход МАК 17/01</t>
  </si>
  <si>
    <t>[85402] тентовый профиль 27мм (АТ-6945,1706-85) 3,0м, Ад31 Т1</t>
  </si>
  <si>
    <t>Склад</t>
  </si>
  <si>
    <t>[54218] А 23 (0272-62), Направляющая нижняя под ролики, 5,0м, 6063 Fe</t>
  </si>
  <si>
    <t>52582.20</t>
  </si>
  <si>
    <t>56608.86</t>
  </si>
  <si>
    <t>OPT000028</t>
  </si>
  <si>
    <t>Y.3005(8) 4,1 м, Р-0,300 анод 10+/-2 мкм без дроби</t>
  </si>
  <si>
    <t>Y.3040(8) 5,1 м, Р-,088, анод 10+/-2 мкм с дробью</t>
  </si>
  <si>
    <t>МЗ Сотранс(26хл) + ТЕХНО(30хл)</t>
  </si>
  <si>
    <t>Y.3040(7) 5,1 м, Р-0,118, анод 10+/-2 мкм с дробью</t>
  </si>
  <si>
    <t>арктос</t>
  </si>
  <si>
    <t>[865] автополоса 155*4мм (0106-152)  6,0м  60631 Т6  уп Т5</t>
  </si>
  <si>
    <t>[78490] 197.09 , поручень 6,05 м, 6063 КР Т4 под гибку</t>
  </si>
  <si>
    <t>463.300</t>
  </si>
  <si>
    <t>1892.100</t>
  </si>
  <si>
    <t>загрузки</t>
  </si>
  <si>
    <t>дав</t>
  </si>
  <si>
    <t>ДАВ</t>
  </si>
  <si>
    <t xml:space="preserve">1020хл </t>
  </si>
  <si>
    <t>100+48 (6хл брак)</t>
  </si>
  <si>
    <t>привоз в марте</t>
  </si>
  <si>
    <t>детали по 1 шт. = 5 шт. L = 1,0 м. каждого профиля.</t>
  </si>
  <si>
    <t>[85553] 1606-37, 5,05 м, RAL9005 матовый (ИНВЕР) +стрейч</t>
  </si>
  <si>
    <t>рекламация(по зявке Инлук 411)</t>
  </si>
  <si>
    <t>5хл-брак</t>
  </si>
  <si>
    <t>26+28=54-7загр (2хл-брак мех)</t>
  </si>
  <si>
    <t>[75756] 0106-206, 4,8м, БЦ (5мкм без дроби под покраску)</t>
  </si>
  <si>
    <t>[75754] 0106-206, 4,2м, БЦ (5мкм без дроби под покраску)</t>
  </si>
  <si>
    <t xml:space="preserve">АГС сч2008 </t>
  </si>
  <si>
    <t xml:space="preserve">АГС сч2139 </t>
  </si>
  <si>
    <t>приход с ЛК 22/01</t>
  </si>
  <si>
    <t>567дав</t>
  </si>
  <si>
    <t>Анодирование  профиля 650.07 , 3,0м, двустороннее анодирование с дробью 15 мкм</t>
  </si>
  <si>
    <t>568дав</t>
  </si>
  <si>
    <t>Профиль 650.07 , 3,0м, дробеструйная обработка + травление без анода</t>
  </si>
  <si>
    <t>[88733] 1606-37, 4,45 м,  Ад31 под покраску</t>
  </si>
  <si>
    <t>[88975] 1606-38 (197.05) 5,15 м, сплав Ад31 под покраску</t>
  </si>
  <si>
    <t>[88976] 1606-39 (197.04) 4,85 м, сплав Ад31 под покраску</t>
  </si>
  <si>
    <t>НТ Электро</t>
  </si>
  <si>
    <t>готово, хл</t>
  </si>
  <si>
    <t>вывезено, хл</t>
  </si>
  <si>
    <t>OPT000055</t>
  </si>
  <si>
    <t>OPT000056</t>
  </si>
  <si>
    <t>OPT000057</t>
  </si>
  <si>
    <t>OPT000058</t>
  </si>
  <si>
    <t>OPT000059</t>
  </si>
  <si>
    <t>[86512] 1606-17 (Коробка 40; АВА-3458) 5,1 м, сплав 6063 Кр Т6, ПОД ПОКРАСКУ</t>
  </si>
  <si>
    <t>RAL9005 МАТОВЫЙ (ИНВЕР)</t>
  </si>
  <si>
    <t>[87833] 1806-93, 6,0м, сплав 6063 КР, состТ6, упаковка.Т5</t>
  </si>
  <si>
    <t>[88113] 2606-24, 6,0м, 6063 Т6, уп.Т5</t>
  </si>
  <si>
    <t>2хл-вмятины</t>
  </si>
  <si>
    <t>Крышка  ЛК60 24,5*15,5мм длина 5,0м, с дробью</t>
  </si>
  <si>
    <t>на дроби</t>
  </si>
  <si>
    <t>75 хл - вывезено</t>
  </si>
  <si>
    <t>89 хл - вывезено</t>
  </si>
  <si>
    <t>4хл брак лома</t>
  </si>
  <si>
    <t>108.900</t>
  </si>
  <si>
    <t>399.300</t>
  </si>
  <si>
    <t>20х40 - 2 загрузки</t>
  </si>
  <si>
    <t>45х90 - 2 загрузки</t>
  </si>
  <si>
    <t>40х40 - 2 загрузки</t>
  </si>
  <si>
    <t>30х30 - 3 загрузки</t>
  </si>
  <si>
    <t>578</t>
  </si>
  <si>
    <t>9005 мат инвер</t>
  </si>
  <si>
    <t>[86431] 1806-86, 6,0м, Ад31 Т1</t>
  </si>
  <si>
    <t>RAL 9016 муар AkzoNobel</t>
  </si>
  <si>
    <t>RAL 9005 муар AkzoNobel</t>
  </si>
  <si>
    <t>[64905] 216033, БОК, 6,0 м, сплав АД31Т1, БА</t>
  </si>
  <si>
    <t>[41108] 216074, ВЕРХНЯЯ БАЛКА, 5,95 м, сплав АД31Т1, БА</t>
  </si>
  <si>
    <t>[50071] 216004, рама, 5,3 м, сплав АД 31 Т1 , упаковка А3</t>
  </si>
  <si>
    <t>Брискли</t>
  </si>
  <si>
    <t>RAL9005, глянец 30%;матовая;08020I Pulve</t>
  </si>
  <si>
    <t>2хл-брак</t>
  </si>
  <si>
    <t>[77780] автоуголок 250*40мм (97101,1706-75)  6,0м, сплав 6063 Т6 +  упаковка А5</t>
  </si>
  <si>
    <t>[88286] 2606-07, 4,15 м,  Ад31 под покраску</t>
  </si>
  <si>
    <t>OPT000077</t>
  </si>
  <si>
    <t>[70484] 1506-77 (АА-2050-85), 6,0м, 6063 Т6, упаковка Т-5, без покрытия</t>
  </si>
  <si>
    <t>18 брак мех.</t>
  </si>
  <si>
    <t>Осталось сделать, хлыст</t>
  </si>
  <si>
    <t>193+15+69=277хл (34хл брак)-замена51хл</t>
  </si>
  <si>
    <t>6 загр готово</t>
  </si>
  <si>
    <t>ост 5загр</t>
  </si>
  <si>
    <t xml:space="preserve">2хл - брак </t>
  </si>
  <si>
    <t>длина</t>
  </si>
  <si>
    <t xml:space="preserve">П-обр 13,4*9ммм анодирование алюминиевого профиля (м.п.) </t>
  </si>
  <si>
    <t>6</t>
  </si>
  <si>
    <t>3</t>
  </si>
  <si>
    <t>[82595] 1606-17 (Коробка 40) 4,7 м, сплав Ад31 Т1</t>
  </si>
  <si>
    <t>[88036] 1606-45, (Кромка 40) 4,7 м, декоратиный анод с дробью+стрейч по 2шт</t>
  </si>
  <si>
    <t>RAL9005 МАТОВЫЙ (ИНВЕР)+проложка бумагой</t>
  </si>
  <si>
    <t>RAL9005 МАТОВЫЙ (ИНВЕР)+стрейч</t>
  </si>
  <si>
    <t>Умный свет</t>
  </si>
  <si>
    <t>[76437] АТ-6286, 3,0 м, сплав 6063</t>
  </si>
  <si>
    <t>RAL 9005 МАТ. + оклейка</t>
  </si>
  <si>
    <t>АГС сч2406</t>
  </si>
  <si>
    <t>планируемая отгрузка</t>
  </si>
  <si>
    <t>19хл-мех повр</t>
  </si>
  <si>
    <t>[866] автоуголок 150*55*3мм (0106-153 ) 6,0м АД31 Т1 уп. Т5</t>
  </si>
  <si>
    <t xml:space="preserve">4 шт </t>
  </si>
  <si>
    <t>10 шт</t>
  </si>
  <si>
    <t>5 шт</t>
  </si>
  <si>
    <t>брак 3+8
ранее № 599, 626,631</t>
  </si>
  <si>
    <t>[88977] 2606-14, 5,05 м,  Ад31 под покраску</t>
  </si>
  <si>
    <t>RAL9005 матовый (ИНВЕР) +стрейч</t>
  </si>
  <si>
    <t>OPT000111</t>
  </si>
  <si>
    <t>OPT000112</t>
  </si>
  <si>
    <t>OPT000113</t>
  </si>
  <si>
    <t>Основания ТИС-Р-3
(профиль 1111-116), 475мм</t>
  </si>
  <si>
    <t>Основания
ТИС-Р-2А (профиль 1111-116), 320мм</t>
  </si>
  <si>
    <t>4,5загр</t>
  </si>
  <si>
    <t>1,5загр</t>
  </si>
  <si>
    <t>2загр</t>
  </si>
  <si>
    <t>209246, 3,1м, БЦ анод 10км с дробью</t>
  </si>
  <si>
    <t>90хл</t>
  </si>
  <si>
    <t>привезли 45 хл (270 пм)</t>
  </si>
  <si>
    <t>23хл - брак</t>
  </si>
  <si>
    <t xml:space="preserve"> коробка, анод 10мкм с дробью , длина 6,0м</t>
  </si>
  <si>
    <t>RAL 8025 матовый</t>
  </si>
  <si>
    <t>[88734] 1606-37, 5,05 м,  Ад 31 под покраску</t>
  </si>
  <si>
    <t>[16306] 0216-92, 6,0м, 6063 Т1, упаковка Т-5, без покрытия</t>
  </si>
  <si>
    <t>4хл на отгрузку</t>
  </si>
  <si>
    <t xml:space="preserve">Собко </t>
  </si>
  <si>
    <t>Делфи</t>
  </si>
  <si>
    <t xml:space="preserve">18хл на отгрузку </t>
  </si>
  <si>
    <t>НЧП 7463 (5,9)</t>
  </si>
  <si>
    <t xml:space="preserve">Крышка ригеля ТП-5014М </t>
  </si>
  <si>
    <t>[81550] автоуголок 250*40мм (1706-75, 97101) 6,0м сплав 6063 Т6 + уп А5</t>
  </si>
  <si>
    <t>[89409] 650.08 Д , 3,0м, 6063</t>
  </si>
  <si>
    <t>[89407] профиль70 Д, длина 3,1м, Ад31</t>
  </si>
  <si>
    <t>[89428] Корпус_КУДР.676621.015.01-02 (1358мм) (Д) сплав 6063</t>
  </si>
  <si>
    <t>[89443] Корпус_КУДР.676621.015.01-04 (1703мм) Д сплав 6063</t>
  </si>
  <si>
    <t>[89444] Корпус_КУДР.676621.018.02 (1418мм) Д сплав 6063</t>
  </si>
  <si>
    <t>[88391] 1806-97, 2,7м, 6063 Т6</t>
  </si>
  <si>
    <t>Двери-невидимки</t>
  </si>
  <si>
    <t>RAL9005муар</t>
  </si>
  <si>
    <t>75хл брак</t>
  </si>
  <si>
    <t>OPT000155</t>
  </si>
  <si>
    <t>OPT000156</t>
  </si>
  <si>
    <t>OPT000157</t>
  </si>
  <si>
    <t>OPT000161</t>
  </si>
  <si>
    <t>OPT000159</t>
  </si>
  <si>
    <t>OPT000160</t>
  </si>
  <si>
    <t xml:space="preserve">АГС </t>
  </si>
  <si>
    <t>Декор</t>
  </si>
  <si>
    <t>АртТекникс</t>
  </si>
  <si>
    <t>[32823] 0406-55 2,0 м, Ад31</t>
  </si>
  <si>
    <t>[32822] 0406-55 3,0 м, Ад31</t>
  </si>
  <si>
    <t>АДЦ</t>
  </si>
  <si>
    <t>[89496] 263.15 Д , 6,0м, 6063</t>
  </si>
  <si>
    <t>9хл брак</t>
  </si>
  <si>
    <t>OPT000183</t>
  </si>
  <si>
    <t>OPT000184</t>
  </si>
  <si>
    <t>OPT000185</t>
  </si>
  <si>
    <t>[89501] 1606-37 (аналог), 6,8 м, ЧЕРНЫЙ анод  с дробью (ДАВ 166.566 )</t>
  </si>
  <si>
    <t>[89502] 1606-38 (аналог), 4,15 м, ЧЕРНЫЙ анод  с дробью (ДАВ 166.568)</t>
  </si>
  <si>
    <t>[85876] 1606-39 (аналог), 4,15 м, анод  с  дробью  (ДАВ 166.569)</t>
  </si>
  <si>
    <t>[89494] 1606-39 , 4,15 м, ЧЁРНЫЙ анод  с  дробью  (ДАВ 166.569)</t>
  </si>
  <si>
    <t>[85874] 1606-38 (аналог), 4,15 м, анод 4-5мкм с дробью  (ДАВ 166.568)</t>
  </si>
  <si>
    <t>Готово, хл</t>
  </si>
  <si>
    <t>Вывезено, хл</t>
  </si>
  <si>
    <t>[73377] 215232, рама бок/низ R10, 4,9 м, сплав 6060 Т66, БА</t>
  </si>
  <si>
    <t>[75789] 215234, рама-ручка R10/R8, 5.6 м, сплав 6060 Т66, БА</t>
  </si>
  <si>
    <t>с поступления МАК (март)</t>
  </si>
  <si>
    <t>5+12хл брак</t>
  </si>
  <si>
    <t xml:space="preserve">18+12хл брак </t>
  </si>
  <si>
    <t>10хл брак ба +5хл брак анода</t>
  </si>
  <si>
    <t>[89457] АП 2168 Д, кроншейн большой 2400 (1700х52мм), 6063</t>
  </si>
  <si>
    <t>[89458] АП 2168 Д, кронштейн малый 1580 (1300х52мм), 6063</t>
  </si>
  <si>
    <t>ДУБЛЬ С ЗНОМ 69</t>
  </si>
  <si>
    <t>[89343] 209246 Д, 3,1м, 6063</t>
  </si>
  <si>
    <t>[89335] 221275 Д, 6,16м, 6063Т6</t>
  </si>
  <si>
    <t>[89337] 221276 Д, 6,16м, АД31Т1</t>
  </si>
  <si>
    <t>[89329] 8507029-10 Д, 6,5м, АД31 Т1</t>
  </si>
  <si>
    <t>6,5</t>
  </si>
  <si>
    <t>6,68</t>
  </si>
  <si>
    <t>[88786] 2606-53, 6,05 м, 6063 Т6</t>
  </si>
  <si>
    <t>пробы</t>
  </si>
  <si>
    <t>OPT000954</t>
  </si>
  <si>
    <t>OPT000203</t>
  </si>
  <si>
    <t>OPT000204</t>
  </si>
  <si>
    <t>OPT000205</t>
  </si>
  <si>
    <t>[89250] 1806-97, 5,45м, 6063 Т6</t>
  </si>
  <si>
    <t>[89490] 210322 Д, 3,75 м, сплав 6063 Т6</t>
  </si>
  <si>
    <t>Бесцветное анодирование 21±2мкм алюминиевого профиля ТПСК-6042, 6,0м</t>
  </si>
  <si>
    <t>Бесцветное анодирование 21±2мкм алюминиевого профиля МП-50359, 6,0м</t>
  </si>
  <si>
    <t>Бесцветное анодирование 21±2мкм алюминиевого профиля МП-50311, 6,0м</t>
  </si>
  <si>
    <t>Бесцветное анодирование 21±2мкм алюминиевого профиля МП-50321, 6,0м</t>
  </si>
  <si>
    <t>Бесцветное анодирование 21±2мкм алюминиевого профиля F50.03.06, 6,0м</t>
  </si>
  <si>
    <t>Бесцветное анодирование 21±2мкм алюминиевого профиля F50.04.23, 6,0м</t>
  </si>
  <si>
    <t>Бесцветное анодирование 21±2мкм алюминиевого профиля F50.04.01, 6,0м</t>
  </si>
  <si>
    <t>7772-40</t>
  </si>
  <si>
    <t>10363-20</t>
  </si>
  <si>
    <t>11658-60</t>
  </si>
  <si>
    <t>9067-80</t>
  </si>
  <si>
    <t>15544-80</t>
  </si>
  <si>
    <t>5181-60</t>
  </si>
  <si>
    <t>Металл Спб</t>
  </si>
  <si>
    <t>3хл-брак</t>
  </si>
  <si>
    <t>[89488] 209247 Д, 6,36м, сплав 6063</t>
  </si>
  <si>
    <t>6,05</t>
  </si>
  <si>
    <t>1хл-брак</t>
  </si>
  <si>
    <t>16хл-брак</t>
  </si>
  <si>
    <t>Э</t>
  </si>
  <si>
    <t>[89435] 2606-56, 6,0м, 6063 Т6, БА</t>
  </si>
  <si>
    <t>[87278] 1806-10, 6,1м, 6063 Т1, упаковка Т-5, БА</t>
  </si>
  <si>
    <t>[87279] 1806-11, 6,1м, 6063 Т1, упаковка Т-5, БА</t>
  </si>
  <si>
    <t>RAL 9005 муар</t>
  </si>
  <si>
    <t>RAL 9016 муар</t>
  </si>
  <si>
    <t>возврат брака</t>
  </si>
  <si>
    <t xml:space="preserve">НТ контакт </t>
  </si>
  <si>
    <t>КУДР.676621.015.01-04 (1703мм)Анод без дроби 15 мкм (Д)</t>
  </si>
  <si>
    <t>[89662] конструкционный профиль 40*40, длина 6,0м, 6063</t>
  </si>
  <si>
    <t>16хл брак</t>
  </si>
  <si>
    <t>3хл???</t>
  </si>
  <si>
    <t>Ал-Дизайн</t>
  </si>
  <si>
    <t>АКП-3148_Д, 4,0м, анод 15мкм, без дроби</t>
  </si>
  <si>
    <t>OPT000158</t>
  </si>
  <si>
    <t>1. 320хл - 11 загр
2. 18.12 - завезено 320хл
3. 19/01 - завоз 320хл
4.06/02 - завоз 320хл 
5. 19/02 - завоз 339 хл
38хл брак БА</t>
  </si>
  <si>
    <t>[89691] полоса 12х2мм Д, длина 3,0м, сплав 6063</t>
  </si>
  <si>
    <t>[89680] Y.3040(7) Д 5,1 м, сплав 6063</t>
  </si>
  <si>
    <t>[89520] 2606-58, 6,0м, 6063 Т6, БА</t>
  </si>
  <si>
    <t>OPT000252</t>
  </si>
  <si>
    <t>OPT000253</t>
  </si>
  <si>
    <t>6хл брак бц+19брак</t>
  </si>
  <si>
    <t>124+109+128</t>
  </si>
  <si>
    <t>180+180+126+176</t>
  </si>
  <si>
    <t>408+59=467 хл</t>
  </si>
  <si>
    <t>60+52хл</t>
  </si>
  <si>
    <t xml:space="preserve">123хл </t>
  </si>
  <si>
    <t xml:space="preserve">56+47+11+56хл </t>
  </si>
  <si>
    <t>(13хл)+26+12+26+11=88хл</t>
  </si>
  <si>
    <t>30+32+32=94хл</t>
  </si>
  <si>
    <t>8хл -брак</t>
  </si>
  <si>
    <t>7хл - брак</t>
  </si>
  <si>
    <t>МЗ Сотранс/Дьюти фри</t>
  </si>
  <si>
    <t>апр</t>
  </si>
  <si>
    <t>[89733] ПМ37 (Д), 5м, сплав 6063</t>
  </si>
  <si>
    <t>пробы для Дениса черн анод</t>
  </si>
  <si>
    <t>Декор, 7 брак</t>
  </si>
  <si>
    <t>OPT000287</t>
  </si>
  <si>
    <t>OPT000285</t>
  </si>
  <si>
    <t>И</t>
  </si>
  <si>
    <t>НТ</t>
  </si>
  <si>
    <t>[32437] D22/20 (0906-25, НЧП 612-1), 6,0м, с перфорацией, БА</t>
  </si>
  <si>
    <t>Экоокна</t>
  </si>
  <si>
    <t>[17167] F16 (0306-26), капельник, 6,0м, БА</t>
  </si>
  <si>
    <t>4хл брак ба, 4хл брак ан</t>
  </si>
  <si>
    <t>[89918] Труба АД31Т 25х1х6000 (Д),</t>
  </si>
  <si>
    <t>OPT000293</t>
  </si>
  <si>
    <t xml:space="preserve">Цветков </t>
  </si>
  <si>
    <t>[89023] 2606-54 6,05м 6063 Т6</t>
  </si>
  <si>
    <t>[89750] Стойка АД-3ПФ(Д) (аналог 1606-37) 5,3м, анод без дроби</t>
  </si>
  <si>
    <t>[41109] 216073, НИЖНЯЯ БАЛКА, 5,75 м, сплав АД31Т1, БА</t>
  </si>
  <si>
    <t xml:space="preserve">Спектр РС </t>
  </si>
  <si>
    <t>3х брак, + 2хл брак</t>
  </si>
  <si>
    <t>алюг-5, 3хл брак</t>
  </si>
  <si>
    <t>OPT000302</t>
  </si>
  <si>
    <t>[81579] 1706-69, 6,0м, 6063 Т6, упаковка Т-5, БА</t>
  </si>
  <si>
    <t>(+снятие анода)</t>
  </si>
  <si>
    <t xml:space="preserve"> 4хл брак</t>
  </si>
  <si>
    <t>ЧЕРНЫЙ АНОД</t>
  </si>
  <si>
    <t>[89435] 2606-56, 6,0м, 6063 Т6, уп.Т5, БА</t>
  </si>
  <si>
    <t>травление? Завез 388</t>
  </si>
  <si>
    <t>декор (+доп трав)-9хл брак</t>
  </si>
  <si>
    <t>OPT000288</t>
  </si>
  <si>
    <t>все из брака. Итог 97хл брак</t>
  </si>
  <si>
    <t>[89968] 2606-57, 6,0м, 6063 Т6, уп.Т5, БА</t>
  </si>
  <si>
    <t>OPT000330</t>
  </si>
  <si>
    <t>OPT000331</t>
  </si>
  <si>
    <t>OPT000338</t>
  </si>
  <si>
    <t>OPT000339</t>
  </si>
  <si>
    <t>10хл брак механика</t>
  </si>
  <si>
    <t>[90078] 2577 полотно, Д, 6м</t>
  </si>
  <si>
    <t>[90028] 2575 коробка Д,6м</t>
  </si>
  <si>
    <t>[90075] 1250.31 коробка, Д, 6м</t>
  </si>
  <si>
    <t>[90080] 1250.25 полотно двустворчатое, Д, 6м</t>
  </si>
  <si>
    <t>[90082] 1250.20 торцевая, Д, 3м</t>
  </si>
  <si>
    <t xml:space="preserve">МЗ Сотранс </t>
  </si>
  <si>
    <t>замешать с отгрузкой!!!</t>
  </si>
  <si>
    <t>Самшит</t>
  </si>
  <si>
    <t>[13150] N22/34 (0106-142), 6,0м, с перфорацией, БА</t>
  </si>
  <si>
    <t>покраска/ анод</t>
  </si>
  <si>
    <t>[89327] 8507023 , 6,5м, 6060 Т66</t>
  </si>
  <si>
    <t>[89329] 8507029-10 , 6,5м, АД31 Т1</t>
  </si>
  <si>
    <t>[89331] 223271 , 6,68м, АД31Т1</t>
  </si>
  <si>
    <t>[89333] 221274 , 6,16м, АД31Т1</t>
  </si>
  <si>
    <t>[89339] 223246 , 6,0м, АД31Т1</t>
  </si>
  <si>
    <t>[89341] 223246 , 6,16м, АД31Т1</t>
  </si>
  <si>
    <t>[76223] АВА-3665 бортовой боковой 6,5м сплав 6063 Т6</t>
  </si>
  <si>
    <t>[76552] 1606-38  5,15 м, сплав 6063 КР Т6</t>
  </si>
  <si>
    <t>[76596] 1606-39  4,85 м, сплав 6063 КР Т6, упковка Т5</t>
  </si>
  <si>
    <t>[81356] АВА-7227, 5,05 м, сплав 6063 КР Т6, упаковка Т-5</t>
  </si>
  <si>
    <t>[90172] Корпус_КУДР.676621.017.01-02 (1660мм) (Д) сплав 6063</t>
  </si>
  <si>
    <t>[77197] 1606-41 (L профиль) 3,0м, сплав 6063 КР Т6</t>
  </si>
  <si>
    <t>нт</t>
  </si>
  <si>
    <t>[90033] 1606-89, 6,1 м,  Ад 31 Т1</t>
  </si>
  <si>
    <t>Заказчик</t>
  </si>
  <si>
    <t>82хл брак - надо повтор</t>
  </si>
  <si>
    <t>Нт Контакт</t>
  </si>
  <si>
    <t>[81550] автоуголок 250*40мм ДУБЛЬ! (1706-75) 6,0м, сплав 6063 Т6 + уп А5</t>
  </si>
  <si>
    <r>
      <rPr>
        <sz val="12"/>
        <rFont val="Arial"/>
        <family val="2"/>
        <charset val="204"/>
      </rPr>
      <t>36+36=72+47=119хл</t>
    </r>
  </si>
  <si>
    <r>
      <t xml:space="preserve">7хл брак лома-в 1с!!!, </t>
    </r>
    <r>
      <rPr>
        <sz val="12"/>
        <color rgb="FFFF0000"/>
        <rFont val="Arial"/>
        <family val="2"/>
        <charset val="204"/>
      </rPr>
      <t>7хл ???</t>
    </r>
  </si>
  <si>
    <r>
      <t xml:space="preserve">[81357] 1606-37 </t>
    </r>
    <r>
      <rPr>
        <b/>
        <sz val="12"/>
        <color theme="1"/>
        <rFont val="Arial"/>
        <family val="2"/>
        <charset val="204"/>
      </rPr>
      <t>(АВА-7227)</t>
    </r>
    <r>
      <rPr>
        <sz val="12"/>
        <color theme="1"/>
        <rFont val="Arial"/>
        <family val="2"/>
        <charset val="204"/>
      </rPr>
      <t>, 4,45 м, сплав 6063 КР Т6, упаковка Т-5</t>
    </r>
  </si>
  <si>
    <r>
      <t xml:space="preserve">[89520] 2606-58, 6,0м, 6063 </t>
    </r>
    <r>
      <rPr>
        <sz val="12"/>
        <color rgb="FFFF0000"/>
        <rFont val="Arial Cyr"/>
      </rPr>
      <t>Т6</t>
    </r>
    <r>
      <rPr>
        <sz val="12"/>
        <color theme="1"/>
        <rFont val="Arial Cyr"/>
      </rPr>
      <t>, уп.Т5, БА</t>
    </r>
  </si>
  <si>
    <r>
      <t xml:space="preserve">[89761] 2606-58, 6,0м, сплав 6063 </t>
    </r>
    <r>
      <rPr>
        <sz val="12"/>
        <color rgb="FFFF0000"/>
        <rFont val="Arial Cyr"/>
      </rPr>
      <t>Т5 (под гибку)</t>
    </r>
    <r>
      <rPr>
        <sz val="12"/>
        <color theme="1"/>
        <rFont val="Arial Cyr"/>
      </rPr>
      <t>, упак. Т5</t>
    </r>
  </si>
  <si>
    <t>9хл брак анод</t>
  </si>
  <si>
    <t>[90361] Труба 45*45 (Д) 6м , Амг</t>
  </si>
  <si>
    <t>[89648] балка Ад-35 Д, L=300</t>
  </si>
  <si>
    <t>[90220] балка Ад-35 Д, L=700</t>
  </si>
  <si>
    <t>[90217] балка Ад-35 Д, L=1030</t>
  </si>
  <si>
    <t>[89644] балка Ад-35 Д, L=1070</t>
  </si>
  <si>
    <t>[90216] балка Ад-35 Д, L=1361</t>
  </si>
  <si>
    <t>[89646] балка Ад-35 Д, L=1370</t>
  </si>
  <si>
    <t>[90218] балка Ад-35 Д, L=2675</t>
  </si>
  <si>
    <t>[89933] балка Ад-35 Д, L=3085</t>
  </si>
  <si>
    <t>[90215] балка Ад-35 Д, L=3950</t>
  </si>
  <si>
    <t>[90214] балка Ад-35 Д, L=4200</t>
  </si>
  <si>
    <t>[89935] балка Ад-35 Д, L=4570</t>
  </si>
  <si>
    <t>[89937] балка Ад-35 Д, L=4940</t>
  </si>
  <si>
    <t>[89938] балка Ад-35 Д, L=5005</t>
  </si>
  <si>
    <t>[90213] балка Ад-35 Д, L=5090</t>
  </si>
  <si>
    <t>[89940] балка Ад-35 Д, L=5135</t>
  </si>
  <si>
    <t>[89650] Полоса Амг5 3000*100*1 Д</t>
  </si>
  <si>
    <t>[89956] ПКФ (176) 5050 Д L=1100 АД31Т1</t>
  </si>
  <si>
    <t>[89957] ПКФ (177) 5033 Д L=1100 АД31Т1</t>
  </si>
  <si>
    <t>[89958] ПКФ (176) 5050 Д L=1250 АД31Т1</t>
  </si>
  <si>
    <t>[89959] ПКФ (177) 5033 Д L=1250 АД31Т1</t>
  </si>
  <si>
    <t>[89960] ПКФ (176) 5050 Д L=1560 АД31Т1</t>
  </si>
  <si>
    <t>[89961] ПКФ (177) 5033 Д L=1560 АД31Т1</t>
  </si>
  <si>
    <t>[90179] Полоса Амг3 2360*907*1,5 Д</t>
  </si>
  <si>
    <t>[90184] Полоса Амг3 2124,5*1149,5*1,5 Д</t>
  </si>
  <si>
    <t>[90186] Полоса Амг3 1385,5*1147*1,5 Д</t>
  </si>
  <si>
    <t>[90188] Полоса Амг3 1144*907*1,5 Д</t>
  </si>
  <si>
    <t>[90190] Полоса Амг3 1051*613,5*1,5 Д</t>
  </si>
  <si>
    <t>1хл недовоз??</t>
  </si>
  <si>
    <t>МЗ Сотранс/Трейд ДФ</t>
  </si>
  <si>
    <t>[77780] автоуголок 250*40мм (97101) 6,0м, сплав 6063 Т6 +  упаковка А5</t>
  </si>
  <si>
    <t>алюг-5
5хл брак БА
41хл брак анод</t>
  </si>
  <si>
    <t>под гибку
черный анод Элоксал</t>
  </si>
  <si>
    <t>[86915] 1706-70, 6,0м, БЦ анод 5мкм (тех) без дроби, упак.стрейч</t>
  </si>
  <si>
    <t>повтор №81</t>
  </si>
  <si>
    <t>145хл брак БА
47хл брак анод</t>
  </si>
  <si>
    <t>повтор № 239</t>
  </si>
  <si>
    <t>из брака №122</t>
  </si>
  <si>
    <t>БК,2хл брак</t>
  </si>
  <si>
    <t>Кучин</t>
  </si>
  <si>
    <t>[90467] Д Основания ТИС-Р-3 (профиль 1111-116), 475мм, БА</t>
  </si>
  <si>
    <t>[90466] Д Основания ТИС-Р-2А (профиль 1111-116), 320мм БА</t>
  </si>
  <si>
    <t>[90549] Труба 50*1 (Д) 6м , ад31</t>
  </si>
  <si>
    <t>4хл-брак</t>
  </si>
  <si>
    <t>15хл-брак</t>
  </si>
  <si>
    <t>23хл-брак</t>
  </si>
  <si>
    <t>АВиК</t>
  </si>
  <si>
    <t>[79126] 0406-34 4,25м, БА сплав АД 31 Т1</t>
  </si>
  <si>
    <t>[89761] 2606-58, 6,0м, сплав 6063 Т5 (под гибку), упак. Т5</t>
  </si>
  <si>
    <t>[89736] 209247 Д, 3,75м, сплав 6063</t>
  </si>
  <si>
    <t xml:space="preserve">Агс </t>
  </si>
  <si>
    <t>11хл брак</t>
  </si>
  <si>
    <t>5хл брак механ.</t>
  </si>
  <si>
    <t>из брака  №81
2хл брак</t>
  </si>
  <si>
    <t>[89022] 2606-54 5,30м 6063 Т6, упак.Т5</t>
  </si>
  <si>
    <t>[90398] 2606-54 6,1м 6063 Т6, упак.Т5</t>
  </si>
  <si>
    <t>[69346] 0906-20, 3,65 м, 6063 КР уп Т-5</t>
  </si>
  <si>
    <t>[35674] 0906-20, 3,2 м, сплав 6063 КР уп Т-5</t>
  </si>
  <si>
    <t>Склад еврошоп</t>
  </si>
  <si>
    <t>OPT000484</t>
  </si>
  <si>
    <t>МЗ Сотранс/Тред Дьюти Фри</t>
  </si>
  <si>
    <t>из брака №256</t>
  </si>
  <si>
    <t>7хл-брак</t>
  </si>
  <si>
    <t>1хл брак механика</t>
  </si>
  <si>
    <t>[90660] Профиль Т23 (Д) 6м, АД31</t>
  </si>
  <si>
    <t>[90661] Профиль Т165 (Д) 6м, АД31</t>
  </si>
  <si>
    <t>[89747] Лист 2,5*1500*500 (Д),  сплав 5005/АМГ1</t>
  </si>
  <si>
    <t>[90827] д труба 80х3мм, АД31 Т1, 6м</t>
  </si>
  <si>
    <t>48,0 пог.м</t>
  </si>
  <si>
    <t>[90828] д кольцо 115х75мм,  АД31 Т1, 5мм</t>
  </si>
  <si>
    <t>10 штук</t>
  </si>
  <si>
    <t>[90829] д кольцо 230х75мм, АД31 Т1, 5мм</t>
  </si>
  <si>
    <t>5 штук</t>
  </si>
  <si>
    <t>[90879] Д дверной притвор FS.C-57, АД31 Т1, 2,25м БА</t>
  </si>
  <si>
    <t>[90880] Д дверной притвор FS.C-57, АД31 Т1, 3,1м БА</t>
  </si>
  <si>
    <t>[90881] Крыло большое (Д)</t>
  </si>
  <si>
    <t>[39525] 215233, рама верх R8/R10, 5,1 м, сплав 6060 Т66, БА</t>
  </si>
  <si>
    <t>[90486] 1706-90,  4,5 м, 6063 Т 6</t>
  </si>
  <si>
    <t>[90677] Лист АМГ2М 2*1200*500 (Д),</t>
  </si>
  <si>
    <t>OPT000528</t>
  </si>
  <si>
    <t>[88733] 1606-37 (АВА-7227), 4,45 м,  Ад31 под покраску</t>
  </si>
  <si>
    <t>[90993] д крышка ригельная ТП-5014М, 6м , БА</t>
  </si>
  <si>
    <t>[90994] д стоечный прижим ТПСК-6038, 5м, БА</t>
  </si>
  <si>
    <t>[90995] д ригельный прижим ТПСК-6039, 5м, БА</t>
  </si>
  <si>
    <t>[90996] д крышка ТПСК-6040, 6м, БА</t>
  </si>
  <si>
    <t>[90997] д стойка ТПСК-60523, 5м, БА</t>
  </si>
  <si>
    <t>[90999] д ригель ТПСК-60532, 6м БА</t>
  </si>
  <si>
    <t>[90998] д ригель ТПСК-60533, 6м, БА</t>
  </si>
  <si>
    <t>[91000] д стойка ТПСК-50312, 6м, БА</t>
  </si>
  <si>
    <t>[91001] д ригель ТП-50324, 6м, БА</t>
  </si>
  <si>
    <t>[91002] д крышка ТП-50183, 6м, БА</t>
  </si>
  <si>
    <t>[90988] Д 30х30 B-Rxtr 6,05м, БА</t>
  </si>
  <si>
    <t>[90989] д 40х40 B-Rxtr, 6,05м БА</t>
  </si>
  <si>
    <t>[89936] балка Ад-35 Д, L=4677</t>
  </si>
  <si>
    <t>[89934] балка Ад-35 Д, L=4042</t>
  </si>
  <si>
    <t>[89921] балка Ад-35 Д, L=2036</t>
  </si>
  <si>
    <t>[90977] балка Ад-35 Д, L=4755</t>
  </si>
  <si>
    <t>[89956] ПКФ (177 5050 Д L=1100 АД31Т1</t>
  </si>
  <si>
    <t>[89957] ПКФ (176) 5033 Д L=1100 АД31Т1</t>
  </si>
  <si>
    <t>[89958] ПКФ (177) 5050 Д L=1250 АД31Т1</t>
  </si>
  <si>
    <t>[89959] ПКФ (176) 5033 Д L=1250 АД31Т1</t>
  </si>
  <si>
    <t>[89960] ПКФ (177) 5050 Д L=1560 АД31Т1</t>
  </si>
  <si>
    <t>[89961] ПКФ (176) 5033 Д L=1560 АД31Т1</t>
  </si>
  <si>
    <t>[91032] Т149 (Д) 6м АД31</t>
  </si>
  <si>
    <t>[77780] автоуголок 250*40мм (97101-плохое качество) 6,0м, сплав 6063 Т6 +  упаковка А5</t>
  </si>
  <si>
    <t>[90588] 1606-30, 2,95м, 6063 Т6 под анод, упак.Т5</t>
  </si>
  <si>
    <t>отмена, задвоила с 308</t>
  </si>
  <si>
    <t>забракован</t>
  </si>
  <si>
    <t>91хл брак</t>
  </si>
  <si>
    <t>[30664] НЕ ИСПОЛЬЗОВАТЬ! Труба прямоугольная 30*50*2мм,  6,0м, БА (см.код  30662 !!!)</t>
  </si>
  <si>
    <t>2 ХЛ БРАК</t>
  </si>
  <si>
    <t>[91191] Д Основания ТИС-Р-3 (профиль 1111-116), 485мм, БА</t>
  </si>
  <si>
    <t>6хл-брак</t>
  </si>
  <si>
    <t>OPT000607</t>
  </si>
  <si>
    <t>3хл брак механ</t>
  </si>
  <si>
    <t>[91034] 1506-79, 3,6м, 6063 Т6, упак.Т5, БА</t>
  </si>
  <si>
    <t>[18639] 0306-68 3,0м, 6063 Т6, упаковка Т-5, БА</t>
  </si>
  <si>
    <r>
      <rPr>
        <sz val="12"/>
        <color rgb="FFFF0000"/>
        <rFont val="Arial Cyr"/>
      </rPr>
      <t>86хл -брак полоса</t>
    </r>
    <r>
      <rPr>
        <sz val="12"/>
        <color theme="1"/>
        <rFont val="Arial Cyr"/>
      </rPr>
      <t xml:space="preserve">
1хл-брак вмятина</t>
    </r>
  </si>
  <si>
    <t>[90786] Лист (Д) АМг2М 0,8*1000*1500</t>
  </si>
  <si>
    <t>[77780] автоуголок 250*40мм (1706-75, 97101-плохое качество) 6,0м, сплав 6063 Т6 +  упаковка А5</t>
  </si>
  <si>
    <t>13хл-брак</t>
  </si>
  <si>
    <t>[91323] д 40х80 B-Rxtr, 6,05м БА</t>
  </si>
  <si>
    <t>[91324] д 45х45 B-Rxtr, 6,05м БА</t>
  </si>
  <si>
    <t>[91325] д 45х90 B-Rxtr, 6,05м БА</t>
  </si>
  <si>
    <t>[91326] д 60х60 B-Rxtr, 6,05м БА</t>
  </si>
  <si>
    <t>[90827] Д Труба круглая 80х3мм, АД31 Т1, 6,0м</t>
  </si>
  <si>
    <t>Строительные Системы СПб</t>
  </si>
  <si>
    <t>[73119] 1606-01,  3,0 м, БА сплав: АД 31 состояние Т1</t>
  </si>
  <si>
    <t>Инлук</t>
  </si>
  <si>
    <t>[91472] Кронштейн (Д) 250*55*250, 6м, АД31</t>
  </si>
  <si>
    <t>[91475] Профиль А24.4 (Д), 6м, сплав 6060</t>
  </si>
  <si>
    <t>[90056] 2606-73, 6,05м, 6063 Т6, уп.Т5, без покрытия</t>
  </si>
  <si>
    <t>СТ Груп</t>
  </si>
  <si>
    <t>OPT000665</t>
  </si>
  <si>
    <t xml:space="preserve">[11564] 0106-235, 6,0м, 6063 Т6, упаковка Т-5, под анод тип 2, БА </t>
  </si>
  <si>
    <t>OPT000666</t>
  </si>
  <si>
    <t>[22872] 0506-06, 3,1м, 6063 Т1, упаковка Т-5, без покрытия</t>
  </si>
  <si>
    <t>рекламация</t>
  </si>
  <si>
    <t>[86423] 1606-17 (Коробка 40) 5,1 м, RAL9005 МАТОВЫЙ (ИНВЕР)+проложка  вспененным полиэтиленом  змейкой</t>
  </si>
  <si>
    <t>[91473] Кронштейн (Д) 280*55*280, 4м, АД31</t>
  </si>
  <si>
    <t>[91491] Полоса 30мм*3 (Д) 4,6м, 6060</t>
  </si>
  <si>
    <t>[41591] А 19 (0073-19), Стойка трёхпазная, 5,0м, сплав 6063Fe</t>
  </si>
  <si>
    <t>Алупро Рус</t>
  </si>
  <si>
    <t>[91478] Швеллер (Д) 14,8*25*14,8мм, 6м, АД31 Т1</t>
  </si>
  <si>
    <t>[91479] Д Труба 40х40х1,5мм, 6,0м, 18-21мкм, веерная прокладка бумагой</t>
  </si>
  <si>
    <t>[91221] А27 5,1м, сплав 6063</t>
  </si>
  <si>
    <t>[91517] Т139-01 (Д) 3м, сплав 6063</t>
  </si>
  <si>
    <t>80хл брак</t>
  </si>
  <si>
    <t>брак БА ( 3хл-мех.поврежд.+ 3хл- экструз.дефект.+ 9хл.-коррозия</t>
  </si>
  <si>
    <t>25хл брак БА коррозион.пятна.</t>
  </si>
  <si>
    <t>[73120] 1606-02,  3,0 м, БА сплав: АД 31 состояние Т1</t>
  </si>
  <si>
    <t>[91589] Полоса Амг3 2305*912*1,5 Д,</t>
  </si>
  <si>
    <t>[91587] Полоса Амг3 2069,5*1154,5*1,5 Д</t>
  </si>
  <si>
    <t>[91586] Полоса Амг3 1330*1152*1,5 Д,</t>
  </si>
  <si>
    <t>[91588] Полоса Амг3 1089*912*1,5 Д</t>
  </si>
  <si>
    <t>[91590] Полоса Амг3 996*618*1,5 Д</t>
  </si>
  <si>
    <t>[89971] 2606-68, 3,1м, 6063 Т6, уп.Т5, без покрытия</t>
  </si>
  <si>
    <t>STR000173</t>
  </si>
  <si>
    <t>Атомтех</t>
  </si>
  <si>
    <t>[91564] ПМ47 (Д), 5м, сплав 6063</t>
  </si>
  <si>
    <t>4хл брак БА МЕХ.ПОВРЕЖД.</t>
  </si>
  <si>
    <t>[91637] Крышка профиля ЛК60, 6+6 мм, 5м, АД31</t>
  </si>
  <si>
    <t>[91645] труба 200х50х2мм Д, 2,0м БА</t>
  </si>
  <si>
    <t>БВБ-АЛЬЯНС СЗ</t>
  </si>
  <si>
    <t>9хл в цветке</t>
  </si>
  <si>
    <t>OPT000721</t>
  </si>
  <si>
    <t>[30688] 0706-92 6,0м, 6063</t>
  </si>
  <si>
    <t>OPT000753</t>
  </si>
  <si>
    <t>14хл брак</t>
  </si>
  <si>
    <t>OPT000761</t>
  </si>
  <si>
    <t>нт Контакт</t>
  </si>
  <si>
    <t>[91534] Корпус_КУДР.676621.015.01-01 (1418мм) 6063</t>
  </si>
  <si>
    <t>[91532] Корпус_КУДР.676621.015.01 (1885мм) 6063</t>
  </si>
  <si>
    <t>[77780] автоуголок 250*40мм (1706-75, 97101) 6,0м, сплав 6063 Т6 +  упаковка А5</t>
  </si>
  <si>
    <t>[24798] ФС-Д-001, Крышка декоративная ригельная, (0253-10 или ТП-5014М), 6,0м, БА</t>
  </si>
  <si>
    <t>Четвертков</t>
  </si>
  <si>
    <t>OPT000769</t>
  </si>
  <si>
    <t>[90452] 2606-58, 6,0м, чёрный анод 10мкм без дроби, упак.стрейч</t>
  </si>
  <si>
    <t>1хл брак БА МЕХАН.ПОВРЕЖД.</t>
  </si>
  <si>
    <t>Трейд ДФ/МЗ Сотранс</t>
  </si>
  <si>
    <t>12хл брак механика</t>
  </si>
  <si>
    <t>OPT000794</t>
  </si>
  <si>
    <t>OPT000795</t>
  </si>
  <si>
    <t>OPT000796</t>
  </si>
  <si>
    <t>[30617] 0706-99, 6,0м, АД 31, сост.Т1, упаковка Т3</t>
  </si>
  <si>
    <t>[30853] 0906-04, 6,0м, сплав АД 31 Т1</t>
  </si>
  <si>
    <t>[30652] 0706-98, 6,0м, сплав АД 31, состТ1, упаковка Т3</t>
  </si>
  <si>
    <t>КС-М Инвест</t>
  </si>
  <si>
    <t>[92044] А28 (Д),  6м, 6060 Т6</t>
  </si>
  <si>
    <t>[92011] НПЧ 703, 89*45 (стойка) Д, 2,3м, АД31</t>
  </si>
  <si>
    <t>[92013] НПЧ 703, 89*45 (обвязка 3*3) Д, 2,81м, АД31</t>
  </si>
  <si>
    <t>[92015] НПЧ 703, 89*45 (обвязка 5*5) Д, 4,805м, АД31</t>
  </si>
  <si>
    <t>[92017] НПЧ 703, 89*45 (стойка деревяная) Д, 3м, АД31</t>
  </si>
  <si>
    <t>[92019] НПЧ 2857-А, 110*68 (обвязка) Д, 5,764м,АД31</t>
  </si>
  <si>
    <t>[92021] НПЧ 2857-А, 110*68 (стойка) Д, 2,98м, АД31</t>
  </si>
  <si>
    <t>Тенториум</t>
  </si>
  <si>
    <t>трей дьюти фри</t>
  </si>
  <si>
    <t>[92124] А-967.1 (Д), 6м, 6060Т6</t>
  </si>
  <si>
    <t>[89946] Полоса Амг5 1070*100*1 Д</t>
  </si>
  <si>
    <t>[89949] Полоса Амг5 4440*100*1 Д</t>
  </si>
  <si>
    <t>[89947] Полоса Амг5 4677*100*1 Д</t>
  </si>
  <si>
    <t>[89948] Полоса Амг5 4940*100*1 Д</t>
  </si>
  <si>
    <t>[89658] Полоса АМГ5 Д, 90*100*1</t>
  </si>
  <si>
    <t>78хл привезли</t>
  </si>
  <si>
    <t>100хл-брак</t>
  </si>
  <si>
    <r>
      <t>2+</t>
    </r>
    <r>
      <rPr>
        <sz val="12"/>
        <color rgb="FFFF0000"/>
        <rFont val="Arial Cyr"/>
      </rPr>
      <t>9 - брак</t>
    </r>
  </si>
  <si>
    <t>16хл повтор</t>
  </si>
  <si>
    <t>еврошоп</t>
  </si>
  <si>
    <t>12хл-брак</t>
  </si>
  <si>
    <t>[92099] ТР 25*2 (Д) 6м, АД31</t>
  </si>
  <si>
    <t>[59210] 0906-89, 6,05м, сплав 6063КР Т6, упак.Т5</t>
  </si>
  <si>
    <t>OPT000811</t>
  </si>
  <si>
    <t>OPT000812</t>
  </si>
  <si>
    <t>4хл-недовоз</t>
  </si>
  <si>
    <t>6хл-недовоз</t>
  </si>
  <si>
    <t>1 хл из брака-необходимо использовать для образцов(просьба оформить)</t>
  </si>
  <si>
    <t>[89733] ПМ47 (Д), 5м, сплав 6063</t>
  </si>
  <si>
    <t>переделка с Элоксал</t>
  </si>
  <si>
    <t>[53060] 0706-94, 6,0м, сплав 6063</t>
  </si>
  <si>
    <t>привоз270+278+300+308+344</t>
  </si>
  <si>
    <t>8хл-брак в покр, 2хл-брак</t>
  </si>
  <si>
    <t>[91785] 1606-06, 3,6м, 6063 Т6, упак.Т5, БА</t>
  </si>
  <si>
    <t>[69317] АП 2138 (2606-65), 6,0м, 6063 Т1, БА</t>
  </si>
  <si>
    <t>OPT000828</t>
  </si>
  <si>
    <t xml:space="preserve">брак </t>
  </si>
  <si>
    <t>и</t>
  </si>
  <si>
    <t>[81358] 1606-37, 4,45 м, анод 4-5мкм с дробью,уп в стрейч каждого хл, прокладка между рядами картоном</t>
  </si>
  <si>
    <t>[76671] 1606-38, 5,15 м, анод 4-5мкм с дробью, уп в стрейч по 2хл</t>
  </si>
  <si>
    <t>[36869] 8507029-10 (0680-01), 6,50м, БА сплав 6063 КР Т1</t>
  </si>
  <si>
    <t>[91475] А24.4 (Д), Профиль, 6м, сплав 6060</t>
  </si>
  <si>
    <t>[92167] Шина 3*30 (Д) 4,6 м, 6060 Т6</t>
  </si>
  <si>
    <t>[92165] А 03.17 (Д) 4 м, 6060 Т6</t>
  </si>
  <si>
    <t>[92159] А03.9 (Д) 6м, 6060 Т6</t>
  </si>
  <si>
    <t>[92164] А 03.10 (Д) 6 м, 6060 Т6</t>
  </si>
  <si>
    <t>[92166] А24.5 (Д),  6м, 6060 Т6</t>
  </si>
  <si>
    <t>3хл брак БА механич.поврежд.</t>
  </si>
  <si>
    <t>17хл-брак</t>
  </si>
  <si>
    <t>перекрас</t>
  </si>
  <si>
    <t>[69917] автоуголок 250*40мм (1706-75) 6,0м, сплав Ад31+  упаковка Т5</t>
  </si>
  <si>
    <t>Повтор OPT000761</t>
  </si>
  <si>
    <t>OPT000851</t>
  </si>
  <si>
    <t>[92539] 1906-20, 3,15м, 6063 Т6, упаковка Т-5 под анод, БА</t>
  </si>
  <si>
    <t>не удалять лист!!!! Напоминалка Геращенко</t>
  </si>
  <si>
    <t>18хл брак</t>
  </si>
  <si>
    <t>спектр РС</t>
  </si>
  <si>
    <t>забрал БА</t>
  </si>
  <si>
    <t>[91744] 1606-30, 3,55м, 6063 Т6, упак.Т5 под анод, БА</t>
  </si>
  <si>
    <t>[89520] 2606-58, 6,0м, 6063 Т6, уп.Т5, БА</t>
  </si>
  <si>
    <t>[92707] д 20х20 V-slot, 6,05м, БА</t>
  </si>
  <si>
    <t>[92708] Д 30х60 B-Rxtr 6,05м, БА</t>
  </si>
  <si>
    <t>[92711] д 90х90 B-Rxtr, 6,05м, БА</t>
  </si>
  <si>
    <t>[92307] ГЛКС 110510.110 Д, с обработкой 40 отв., без покрытия, 3300мм</t>
  </si>
  <si>
    <t>Гэллакс</t>
  </si>
  <si>
    <t>[16959] 0306-12, 6,0м, 6063 Т1 под анод, упаковка Т-5, БА</t>
  </si>
  <si>
    <t>OPT000889</t>
  </si>
  <si>
    <t>[92750] д Труба алюм. (дуга) 20х20х1,5мм, АД31 Т1, 2,0м</t>
  </si>
  <si>
    <t>[90827] д Труба круглая 80х3мм, АД31 Т1, 6,0м</t>
  </si>
  <si>
    <t>[92752] д Труба алюм. 80х3мм, АД31 Т1, 3,5м</t>
  </si>
  <si>
    <t>[92754] д Уголок алюм. 30х30х3мм, АД31 Т1, 6,0м</t>
  </si>
  <si>
    <t>[92756] д Полоса алюм. 100х5мм, АД31 Т1, 6,0м</t>
  </si>
  <si>
    <t>[92758] д Труба алюм. 60х60х2мм, АД31 Т1, 6,0м</t>
  </si>
  <si>
    <t>[92760] д Уголок алюм. 30х15х1,5мм, АД31 Т1, 6,0м</t>
  </si>
  <si>
    <t>1хл брак экстр.пузыри</t>
  </si>
  <si>
    <t>[91194] 1606-37, 5,05 м, RAL9011 матовый уп в стрейч каждого хл, прокладка между рядами картоном</t>
  </si>
  <si>
    <t>[91195] 1606-38, 5,15 м, RAL9011 матовый уп в стрейч 2хл, проложка картоном</t>
  </si>
  <si>
    <t>[91196] 1606-39, 4,85 м, RAL9011 матовый оклейка каждого хл, уп в мини-пачку стрейч</t>
  </si>
  <si>
    <t>11хл брак мех.</t>
  </si>
  <si>
    <t>14хл - Условно годный с доп. Обработкой
33хл - На повторный анод с удалением
1хл - брак</t>
  </si>
  <si>
    <t>[54218] А 23 (0272-62), Направляющая нижняя под ролики, 5,0м, сплав 6063</t>
  </si>
  <si>
    <t>по факту завезено 260хл</t>
  </si>
  <si>
    <t>[93010] д труба прямоуг. 160х80х4мм, 6м,  АД31 Т1, БА</t>
  </si>
  <si>
    <t>МЕТАЛЛИЧЕСКИЕ СИСТЕМЫ</t>
  </si>
  <si>
    <t>фам</t>
  </si>
  <si>
    <t>9хл-брак</t>
  </si>
  <si>
    <t>OPT000961</t>
  </si>
  <si>
    <t>[16958] 0306-11, 6,0м, 6063 Т1 (под анод), упаковка Т-5, БА</t>
  </si>
  <si>
    <t>[92063] 0906-44, 6,05м, с перфорацией, БА</t>
  </si>
  <si>
    <t>[92807] 1406-05, 5,45м,6063 Т6 под анод, упак. Т-5</t>
  </si>
  <si>
    <t>OPT000997</t>
  </si>
  <si>
    <t>15хл механ брак</t>
  </si>
  <si>
    <t>2хл мех брак</t>
  </si>
  <si>
    <t>6хл мех брак</t>
  </si>
  <si>
    <t>предварительная</t>
  </si>
  <si>
    <t>АС Авангард</t>
  </si>
  <si>
    <t>[90371] Профиль створки внешний A112 23/X, 6.0м, (АТ-10864) БА</t>
  </si>
  <si>
    <t>OPT001015</t>
  </si>
  <si>
    <t>[93227] Лист 830*380 (Д) Амг3</t>
  </si>
  <si>
    <t>[93233] Лист 380*1230 (Д), Амг3</t>
  </si>
  <si>
    <t>[93231] Лист 630*170 (Д), Амг3</t>
  </si>
  <si>
    <t>[93229] Лист 967*850 (Д), Амг3</t>
  </si>
  <si>
    <t>[93235] Лист 1498*850 (Д), Амг3</t>
  </si>
  <si>
    <t>1хл брак испр</t>
  </si>
  <si>
    <t>ПРАЙС 01.10 455р/м2 ИЛИ 124.03р/пог.м
брак 2хл</t>
  </si>
  <si>
    <t>OPT001053</t>
  </si>
  <si>
    <t>OPT001057</t>
  </si>
  <si>
    <t xml:space="preserve">дав </t>
  </si>
  <si>
    <t>МЗ Сотранс/дьюти</t>
  </si>
  <si>
    <t>[93390] д 80х80 B-Rxtr, 6,05м, АД31 Т1, БА</t>
  </si>
  <si>
    <t>[1112] автоуголок 80*43,5*2,35 мм (220570) 6,0м 6063</t>
  </si>
  <si>
    <t>[866] автоуголок 150*55*3мм (0106-153) 6,0м АД31 Т1 уп. Т5</t>
  </si>
  <si>
    <t>общестрой</t>
  </si>
  <si>
    <t>[16952] Уголок 10*20*2, 6,0м, БА сплав 6063</t>
  </si>
  <si>
    <t>4хл брак БЦ (экструз.дефект)
+2 брак БА механич.поврежд.</t>
  </si>
  <si>
    <t>№ ЗНОМ</t>
  </si>
  <si>
    <t>Дата ЗНОМ</t>
  </si>
  <si>
    <t>Сырье</t>
  </si>
  <si>
    <t>Кол-во м.п.</t>
  </si>
  <si>
    <t>ЗНП</t>
  </si>
  <si>
    <t>Бр-е под перемещ</t>
  </si>
  <si>
    <t>ЗНС</t>
  </si>
  <si>
    <t>Перемещ</t>
  </si>
  <si>
    <t>Продукция</t>
  </si>
  <si>
    <t>Кол-во продукц</t>
  </si>
  <si>
    <t>Цена за м.п.</t>
  </si>
  <si>
    <t>Сумму обработки</t>
  </si>
  <si>
    <t>Бронирование под обработку</t>
  </si>
  <si>
    <t>Обработка материалов м.п.</t>
  </si>
  <si>
    <t>1</t>
  </si>
  <si>
    <t>[76928] V017-8156, 3,05м, БЦ анод 10мкм (струбцины), упак в стрейч</t>
  </si>
  <si>
    <t>[50587] 074-36 (МАК 0306-74), 6,0м, БЦ анод без дроби, уп.стрейч</t>
  </si>
  <si>
    <t>[68770] 0906-71, 5,8 м, БЦ 8-10мкм без  дроби( ТЕХНИЧЕСКАЯ ДРОБЬ), стрейч каждый хл</t>
  </si>
  <si>
    <t>8</t>
  </si>
  <si>
    <t>[88230] 1706-69, 6,0м, БЦ анод 5мкм без дроби, упак.стрейч</t>
  </si>
  <si>
    <t>[69261] автоуголок 50*50 мм (97082) 6,0м,  анод с дробью + стрейч</t>
  </si>
  <si>
    <t>[1110] Труба круглая 32*1мм (АВА 2544,0106-146, АТ-1327, ВАС-8, 219064) 6,0м БА</t>
  </si>
  <si>
    <t>[1056] Труба круглая 32*1мм  6,0м БЦ без дроби</t>
  </si>
  <si>
    <t>[85860] ручка боковой защиты (221148) 6,0м анод, веерная  бумагой,  стрейч каждый хлыст (10хл/загрг)</t>
  </si>
  <si>
    <t>[76124] 8507029-10 (АГС), 6,50м, БА сплав 6063 Т6</t>
  </si>
  <si>
    <t>[36868] 8507025-2 (0680-02) 6,50м, 6063КР Т6</t>
  </si>
  <si>
    <t>[84541] 8507025-2 (МАК 0680-02) шир 222мм, 6,50м, анод с дробью+стрейч</t>
  </si>
  <si>
    <t>[65948] ВАС-1 (219057), 6,0м, БА</t>
  </si>
  <si>
    <t>[70367] ВАС-1 (219057), 6,0м, БЦ</t>
  </si>
  <si>
    <t>[69318] 0906-20, 3,65 м, БЦ без дроби+стрейч</t>
  </si>
  <si>
    <t>[35857] 0906-20, 3,2 м, БЦ без дроби+стрейч</t>
  </si>
  <si>
    <t>[1041] А 22 (0073-15), Н-профиль, 5,0м, анод с дробью+ОКЛЕЙКА</t>
  </si>
  <si>
    <t>[54578] А 23 (0272-62), Направляющая нижняя под ролики, 5,0м, анод с дробью+ОКЛЕЙКА</t>
  </si>
  <si>
    <t>[87593] 0106-107, 4,0м, анод с дробью+ проложка бумагой</t>
  </si>
  <si>
    <t>[85136] 0106-107, 4,6м, анод с дробью+ проложка бумагой</t>
  </si>
  <si>
    <t>[35713] А- 2477( 0706-59 ,ВАС-4, 219060) 6,0м, БА</t>
  </si>
  <si>
    <t>[35789] Б-1310(0706-60,ВАС-5, 219061) 6,0м ,БА</t>
  </si>
  <si>
    <t>[79536] 1606-73 (п-образный), 6,0м, БЦ анод (5мкм) без дроби, упак стрейч</t>
  </si>
  <si>
    <t>[87834] 1806-93, 6,0м, анод с дробью, стрейч по 2шт</t>
  </si>
  <si>
    <t>[34685] 0906-44, 6,0м, с перфорацией, БЦ анод 4-5мкм БЕЗ ДРОБИ, упак в стрейч (1 в 1, 3 пары = 6хл)</t>
  </si>
  <si>
    <t>[30285] 0706-64,(ВАС-2,НЧП-3197, АТ-6015, 219058) 6,0м, БА</t>
  </si>
  <si>
    <t>[30332] 0706-64,(НЧП-3197, АТ-6015)  6,0м, БЦ</t>
  </si>
  <si>
    <t>[848] Труба круглая 35*1мм, 6м БА (0106-83, Б-1292, АТ-3314, 219065)</t>
  </si>
  <si>
    <t>[49454] Труба круглая 35*1мм, 6м БЦ (0106-83, Б-1292, АТ -3314)</t>
  </si>
  <si>
    <t>[29801] 0706-58,(НЧП-5537, АТ-6014, ВАС-6, 219062),  6,0м, БА</t>
  </si>
  <si>
    <t>[76001] 220650 (1606-52) бортовой боковой 6,0м БЦ анод (15хл/загр.) +стрейч по 2шт</t>
  </si>
  <si>
    <t>[69260] автоуголок 250*40мм (1706-75, 97101) 6,0м анод (8хл/загр.) с дробью+стрейч</t>
  </si>
  <si>
    <t>[87860] 1706-68, 6,0м, БЦ анод 5мкм (тех) без дроби, упак.стрейч</t>
  </si>
  <si>
    <t>[32326] автоуголок 90*60*2мм (0506-17) 6,0м анод с дробью+стрейч</t>
  </si>
  <si>
    <t>[89455] АП 2168 Д, кроншейн большой 2400 (1700х52мм), анод 18-21мкм_с дробью_упаковка каждого хл в стрейч</t>
  </si>
  <si>
    <t>[89456] АП 2168 Д, кронштейн малый 1580 (1300х52мм), анод 18-21мкм_с дробью_упаковка каждого хл в стрейч</t>
  </si>
  <si>
    <t>[1161] Труба круглая 35*1,2 (АВА Б-1274,0106-177, АТ-992, ВАС-10, 219066), 6,0м БА</t>
  </si>
  <si>
    <t>[29739] Труба круглая 35*1,2 (АВА Б-1274,0106-177), 6,0м БЦ</t>
  </si>
  <si>
    <t>[37551] 0906-85 (GFF-000) 4,0м, БЦ без дроби+стрейч</t>
  </si>
  <si>
    <t>[81359] 1606-37, 5,05 м, анод 4-5мкм с дробью,уп в стрейч каждого хл, прокладка между рядами картоном</t>
  </si>
  <si>
    <t>[29864] 0106-280 (Б-1275) 6,0 БА</t>
  </si>
  <si>
    <t>[29614] 0106-280 (Б-1275) 6,0 БЦ</t>
  </si>
  <si>
    <t>[29800] 0706-55,  6,0м, БА</t>
  </si>
  <si>
    <t>[29871] 0706-55,  6,0м, БЦ</t>
  </si>
  <si>
    <t>[29755] 0706-57, (НЧП-5538, АТ-6013, ВАС-7, 219063) 6,0м, БА</t>
  </si>
  <si>
    <t>[919] Труба круглая 22*1,5мм (9999-45,АТ-600)  6,0м , сплав АД31 Т1, упаковка Т3</t>
  </si>
  <si>
    <t>[35876] Труба круглая 22*1,5мм (9999-45,АТ-600)  6,0м БЦ</t>
  </si>
  <si>
    <t>[34253] 0906-64, 6,0м, БЦ анод 8-10мкм с дробью (4000 пресс), упак.стрейч</t>
  </si>
  <si>
    <t>[65949] ВАС-2, (219058) 6,0м, БА</t>
  </si>
  <si>
    <t>[73383] ВАС-2, (219058 ,0706-64) 6,0м, БЦ</t>
  </si>
  <si>
    <t>[89620] 2606-58, 6,0м, БЦ анод 5мкм (тех) без дроби, упак.стрейч</t>
  </si>
  <si>
    <t>[90079] 2577 полотно, Д, 6м, 15мкм с дробью</t>
  </si>
  <si>
    <t>[90030] 2575 коробка, Д, 6м, анод 15мкм с дробью</t>
  </si>
  <si>
    <t>[89619] 2606-57, 6,0м, БЦ анод 5мкм (тех) без дроби</t>
  </si>
  <si>
    <t>[89950] ПКФ (177) 5050 Д L=1100, анод 15мкм, без дроби, стрейч мини пачки</t>
  </si>
  <si>
    <t>[89951] ПКФ (176) 5033 Д L=1100, анод 15мкм, без дроби, стрейч мини пачки</t>
  </si>
  <si>
    <t>[89952] ПКФ (177) 5050 Д L=1250, анод 15мкм, без дроби, стрейч мини пачки</t>
  </si>
  <si>
    <t>[89953] ПКФ (176) 5033 Д L=1250, анод 15мкм, без дроби, стрейч мини пачки</t>
  </si>
  <si>
    <t>[89954] ПКФ (177) 5050 Д L=1560, анод 15мкм, без дроби, стрейч мини пачки</t>
  </si>
  <si>
    <t>[89955] ПКФ (176) 5033 Д L=1560, анод 15мкм, без дроби, стрейч мини пачки</t>
  </si>
  <si>
    <t>[77166] 1606-41 (L профиль) 3,0 м, технический анод 5мкм без дроби+стрейч мини пачки</t>
  </si>
  <si>
    <t>[69087] АТ-6485, 4,5 м, анод без дроби+стрейч</t>
  </si>
  <si>
    <t>[80498] АТ-6485, 3,65 м, анод без дроби+стрейч</t>
  </si>
  <si>
    <t>[28835] А 14 (0072-09) Прогон бесполочный, 5,0м, анод с дробью+ОКЛЕЙКА</t>
  </si>
  <si>
    <t>[30372] 0706-56, (НЧП-3934) 6,0м, БА</t>
  </si>
  <si>
    <t>[30482] 0706-56,(НЧП-3934)  6,0м, БЦ</t>
  </si>
  <si>
    <t>[3285] 0706-63,  6,0м, БА</t>
  </si>
  <si>
    <t>[30331] 0706-63,  6,0м, БЦ</t>
  </si>
  <si>
    <t>[30346] 8507025-2 (АГС) шир 222мм, 6,50м, 6063 Т6</t>
  </si>
  <si>
    <t>[90361] Профиль 253.02 (45*45) (Д) 6м , 6063 Т6</t>
  </si>
  <si>
    <t>[90360] Профиль 253.02 (45*45) (Д) 6м , анод 8-10 мкм с дробью, уп веерная укладка бумагой</t>
  </si>
  <si>
    <t>[89647] балка Ад-35 Д L=300, анод 8-10мкм, с дробью, веерная упаковка в бумагу</t>
  </si>
  <si>
    <t>[90219] балка Ад-35 Д L=700, анод 8-10мкм, с дробью, веерная упаковка в бумагу</t>
  </si>
  <si>
    <t>[89642] балка Ад-35 Д L=1070, анод 8-10мкм, с дробью, веерная упаковка в бумагу</t>
  </si>
  <si>
    <t>[90210] балка Ад-35 Д L=1361, анод 8-10мкм, с дробью, веерная упаковка в бумагу</t>
  </si>
  <si>
    <t>[89645] балка Ад-35 Д L=1370, анод 8-10мкм, с дробью, веерная упаковка в бумагу</t>
  </si>
  <si>
    <t>[89925] балка Ад-35 Д L=3085, анод 8-10мкм, с дробью, веерная упаковка в бумагу</t>
  </si>
  <si>
    <t>[90209] балка Ад-35 Д L=3950, анод 8-10мкм, с дробью, веерная упаковка в бумагу</t>
  </si>
  <si>
    <t>[90207] балка Ад-35 Д L=4200, анод 8-10мкм, с дробью, веерная упаковка в бумагу</t>
  </si>
  <si>
    <t>[89927] балка Ад-35 Д L=4570, анод 8-10мкм, с дробью, веерная упаковка в бумагу</t>
  </si>
  <si>
    <t>[89930] балка Ад-35 Д L=4940, анод 8-10мкм, с дробью, веерная упаковка в бумагу</t>
  </si>
  <si>
    <t>[89931] балка Ад-35 Д L=5005 анод 8-10мкм, с дробью, веерная упаковка в бумагу</t>
  </si>
  <si>
    <t>[90208] балка Ад-35 Д L=5090, анод 8-10мкм, с дробью, веерная упаковка в бумагу</t>
  </si>
  <si>
    <t>[89932] балка Ад-35 Д L=5135 анод 8-10мкм, с дробью, веерная упаковка в бумагу</t>
  </si>
  <si>
    <t>[33926] 0906-65, 6,0м, БЦ анод 8-10мкм с дробью + стретч-плёнка</t>
  </si>
  <si>
    <t>[90464] Д Основания ТИС-Р-3 (профиль 1111-116), 475мм, БЦ</t>
  </si>
  <si>
    <t>[90548] Труба 50*1 (Д) 6м , анод 8-10 мкм с дробью, уп веерная укладка бумагой</t>
  </si>
  <si>
    <t>[76666] 1606-48, 6,0 м, анод 8-12мкм с дробью+стрейч</t>
  </si>
  <si>
    <t>[68378] 0906-63, 6,0м, БЦ анод (8-10мкм) с дробью + стретч-плёнка</t>
  </si>
  <si>
    <t>[21764] А 31 (0072-06) Прогон бесполочный однопазовый, 5,0м, анод с дробью+ОКЛЕЙКА</t>
  </si>
  <si>
    <t>[90660] Т23 (Д) 6м, АД31</t>
  </si>
  <si>
    <t>[90661] Т165 (Д) 6м, АД31</t>
  </si>
  <si>
    <t>[90793] д Труба круглая 80х3мм, 6,0м, анод 10мкм с дробью (струбцины)</t>
  </si>
  <si>
    <t>[90795] д кольцо 115х75мм, анод 10мкм</t>
  </si>
  <si>
    <t>[90796] д кольцо 230х75мм, анод 10мкм</t>
  </si>
  <si>
    <t>[90994] д стоечный прижим ТПСК-6038, 6м, БА</t>
  </si>
  <si>
    <t>[90995] д ригельный прижим ТПСК-6039, 6м, БА</t>
  </si>
  <si>
    <t>[90997] д стойка ТПСК-60523, 6м, БА</t>
  </si>
  <si>
    <t>[90261] 1706-69, 6,0м, чёрный анод 10мкм без дроби, упак.стрейч</t>
  </si>
  <si>
    <t>[90614] 1506-79, 3,6м, БЦ анод 5мкм без дроби, упак в бумагу</t>
  </si>
  <si>
    <t>[44661] 0706-93 3,0 м, БЦ с дробью+стрейч</t>
  </si>
  <si>
    <t>[25954] 0306-68, 3,0м, БЦ с дробью + стрейч</t>
  </si>
  <si>
    <t>[90785] Лист (Д) АМг2М 0,8*1000*1500 анод 4-5 мкм,  укладка в ящики через бумагу</t>
  </si>
  <si>
    <t>[77534] 8507029-10, (МАК 0680-01)  6,50м, анод с дробью_стрейч</t>
  </si>
  <si>
    <t>[30637] 0706-94, 6,0м, анод с дробью+стрейч</t>
  </si>
  <si>
    <t>[91319] д 40х80 B-Rxtr, 6,05м 9-12мкм с дробью, бумага</t>
  </si>
  <si>
    <t>[91324] д 45х45 B-Rxtr, 6,05м, АД31 Т1, БА</t>
  </si>
  <si>
    <t>[91320] д 45х45 B-Rxtr, 6,05м 9-12мкм с дробью, бумага</t>
  </si>
  <si>
    <t>[91321] д 45х90 B-Rxtr, 6,05м 9-12мкм с дробью, бумага</t>
  </si>
  <si>
    <t>[92081] Полоса Амг3 3000*100*1 Д</t>
  </si>
  <si>
    <t>[77501] 0706-85 4,9 м, анод с дробью + оклейка</t>
  </si>
  <si>
    <t>[69431] 1506-44, 6,0м, БЦ анод (9-12мкм) без дроби, упак.стрейч</t>
  </si>
  <si>
    <t>[91533] Корпус_КУДР.676621.015.01-01 (1418мм) Д анод 15мкм</t>
  </si>
  <si>
    <t>[91531] Корпус_КУДР.676621.015.01 (1885мм) Д анод 15мкм</t>
  </si>
  <si>
    <t>[91916] 0906-44, 6,05м, с перфорацией, БЦ анод 4-5мкм, упак в стрейч (1 в 1, 3 пары = 6хл)</t>
  </si>
  <si>
    <t>[89946] Полоса Амг3 1070*100*1 Д</t>
  </si>
  <si>
    <t>[89949] Полоса Амг3 4440*100*1 Д</t>
  </si>
  <si>
    <t>[89947] Полоса Амг3 4677*100*1 Д</t>
  </si>
  <si>
    <t>[89948] Полоса Амг3 4940*100*1 Д</t>
  </si>
  <si>
    <t>[89658] Полоса АМГ3 Д, 90*100*1</t>
  </si>
  <si>
    <t>[28133] А 12 (0072-08) Угловая стойка, 5,0м, анод с дробью+ОКЛЕЙКА</t>
  </si>
  <si>
    <t>[49229] 0306-70, 6,05м, БЦ анод без дроби</t>
  </si>
  <si>
    <t>[92161] А 03.17 (Д) 4 м, анод 4-5 мкм (под покраску) без дроби, уп в корзины заказчика</t>
  </si>
  <si>
    <t>[92162] А 03.10 (Д) 250*55  6 м, анод 4-5 мкм (под покраску) без дроби, уп в корзины заказчика</t>
  </si>
  <si>
    <t>[79535] 1606-29 (проставка Н), 6,0м, БЦ анод (5мкм) без дроби, упак мини-пачка</t>
  </si>
  <si>
    <t>[76672] 1606-39, 4,85 м, анод 4-5мкм с дробью, уп в стрейч мини-пачки</t>
  </si>
  <si>
    <t>[89746] Лист АМГ2М 2,5*1500*500 (Д), анод 18-21 мкм, двустороннее (без упл)</t>
  </si>
  <si>
    <t>[67335] 1406-05, 6,0м, БЦ анод (8-10мкм) с дробью + стретч-плёнка</t>
  </si>
  <si>
    <t>[91682] 1606-30, 3,55м, БЦ анод 5мкм без дроби, бумага веер</t>
  </si>
  <si>
    <t>[92690] Корпус_КУДР.676621.017.01-01 (1810мм) (Д) сплав 6063</t>
  </si>
  <si>
    <t>[92691] Корпус_КУДР.676621.017.01-01 (1810мм) Анод без дроби 15 мкм (Д)</t>
  </si>
  <si>
    <t>[92709] д 30х60 B-Rxtr, 6,05м 9-12мкм с дробью, бумага</t>
  </si>
  <si>
    <t>[92999] д 90х90 B-Rxtr, 6,1м, БА</t>
  </si>
  <si>
    <t>508</t>
  </si>
  <si>
    <t>[92751] д Труба алюм. (дуга) 20х20х1,5мм, 2,0м, анод 10 мкм, с дробью</t>
  </si>
  <si>
    <t>[92753] д Труба алюм. 80х3мм,  3,5м, анод 10 мкм, с дробью</t>
  </si>
  <si>
    <t>[92755] д Уголок алюм. 30х30х3мм,  6,0м, анод 10 мкм, с дробью</t>
  </si>
  <si>
    <t>[92757] д Полоса алюм. 100х5мм, 6,0м, анод 10 мкм, с дробью</t>
  </si>
  <si>
    <t>[92759] д Труба алюм. 60х60х2мм, 6,0м, анод 10 мкм, с дробью</t>
  </si>
  <si>
    <t>[92761] д Уголок алюм. 30х15х1,5мм, 6,0м, анод 10 мкм, с дробью</t>
  </si>
  <si>
    <t>509</t>
  </si>
  <si>
    <t>510</t>
  </si>
  <si>
    <t>511</t>
  </si>
  <si>
    <t>513</t>
  </si>
  <si>
    <t>514</t>
  </si>
  <si>
    <t>515</t>
  </si>
  <si>
    <t>516</t>
  </si>
  <si>
    <t>[87828] 223276 6,0м анод с дробью+стрейч</t>
  </si>
  <si>
    <t>512</t>
  </si>
  <si>
    <t>[42276] 0106-136, 6,05м, БЦ анод без дроби (теперь с дробью 15мкм)</t>
  </si>
  <si>
    <t>517</t>
  </si>
  <si>
    <t>518</t>
  </si>
  <si>
    <t>[93009] д труба прямоуг. 160х80х4мм, 6м, БЦ анод 15мкм без дроби, упак.стрейч</t>
  </si>
  <si>
    <t>519</t>
  </si>
  <si>
    <t>[92830] Профиль СВРГ-0050 (6000 мм) АД31</t>
  </si>
  <si>
    <t>[92832] Профиль СВРГ-0050 (6000 мм) АД31</t>
  </si>
  <si>
    <t>521</t>
  </si>
  <si>
    <t>522</t>
  </si>
  <si>
    <t>525</t>
  </si>
  <si>
    <t>526</t>
  </si>
  <si>
    <t>527</t>
  </si>
  <si>
    <t>[59871] 1506-28,  6,0м  сплав 6063 т6, упаковка т5</t>
  </si>
  <si>
    <t>[59870] 1506-28,  6,0м БЦ с дробью</t>
  </si>
  <si>
    <t>528</t>
  </si>
  <si>
    <t>529</t>
  </si>
  <si>
    <t>531</t>
  </si>
  <si>
    <t>530</t>
  </si>
  <si>
    <t>532</t>
  </si>
  <si>
    <t>533</t>
  </si>
  <si>
    <t>[17113] 0306-11, 6,0м, БЦ анод 12-15мкм без дроби</t>
  </si>
  <si>
    <t>535</t>
  </si>
  <si>
    <t>506</t>
  </si>
  <si>
    <t>[17117] 0306-12, 6,0м, БЦ анод 12-15мкм без дроби</t>
  </si>
  <si>
    <t>536</t>
  </si>
  <si>
    <t>537</t>
  </si>
  <si>
    <t>[92667] 1406-05, 5,45м, БЦ анод (8-10мкм) с дробью + стретч-плёнка</t>
  </si>
  <si>
    <t>539</t>
  </si>
  <si>
    <t>541</t>
  </si>
  <si>
    <t>543</t>
  </si>
  <si>
    <t>542</t>
  </si>
  <si>
    <t>[93253] автоуголок 150*55*3 (0106-153) 6,0м анод с дробью_стрейч (11хл/загр)</t>
  </si>
  <si>
    <t>544</t>
  </si>
  <si>
    <t>545</t>
  </si>
  <si>
    <t>546</t>
  </si>
  <si>
    <t>547</t>
  </si>
  <si>
    <t>548</t>
  </si>
  <si>
    <t>[93154] 1706-70, 6,0м, чёрный анод 10мкм без дроби, упак.стрейч</t>
  </si>
  <si>
    <t>[91256] 2606-57, 6,0м, чёрный анод 10мкм без дроби, упак.стрейч</t>
  </si>
  <si>
    <t>549</t>
  </si>
  <si>
    <t>[93268] автоуголок 80*43,5*2,35 мм (220570) 6,0м анод с дробью, стрейч (18хл/загр)</t>
  </si>
  <si>
    <t>551</t>
  </si>
  <si>
    <t>552</t>
  </si>
  <si>
    <t>553</t>
  </si>
  <si>
    <t>554</t>
  </si>
  <si>
    <t>555</t>
  </si>
  <si>
    <t>556</t>
  </si>
  <si>
    <t>550</t>
  </si>
  <si>
    <t>558</t>
  </si>
  <si>
    <t>[93351] д 80х80 B-Rxtr, 6,05м 9-12мкм с дробью, бумага</t>
  </si>
  <si>
    <t>559</t>
  </si>
  <si>
    <t>561</t>
  </si>
  <si>
    <t>560</t>
  </si>
  <si>
    <t>[67700] Уголок 10*20*2мм, (АТ-730), 6,0м, анод без дроби</t>
  </si>
  <si>
    <t>562</t>
  </si>
  <si>
    <t>[25868] А 29 (0073-16) Стойка угловая специальная, 5,0м, анод с дробью+ОКЛЕЙКА</t>
  </si>
  <si>
    <t>565</t>
  </si>
  <si>
    <t>[93441] д 80х65 2,6м без покрытия</t>
  </si>
  <si>
    <t>[93348] д 80х65 2,6м с дробью, упак. стрейч каждый хлыст</t>
  </si>
  <si>
    <t>[93442] д 80х65 6м без покрытия</t>
  </si>
  <si>
    <t>[93349] д 80х65 6м с дробью, упак. стрейч каждый хлыст</t>
  </si>
  <si>
    <t>566</t>
  </si>
  <si>
    <t>Забронировано из 1С</t>
  </si>
  <si>
    <t>Обработано из 1С</t>
  </si>
  <si>
    <t>Уникодзномпрофиль</t>
  </si>
  <si>
    <t>508[92750] д Труба алюм. (дуга) 20х20х1,5мм, АД31 Т1, 2,0м</t>
  </si>
  <si>
    <t>508[90827] д Труба круглая 80х3мм, АД31 Т1, 6,0м</t>
  </si>
  <si>
    <t>508[92752] д Труба алюм. 80х3мм, АД31 Т1, 3,5м</t>
  </si>
  <si>
    <t>508[92754] д Уголок алюм. 30х30х3мм, АД31 Т1, 6,0м</t>
  </si>
  <si>
    <t>508[92756] д Полоса алюм. 100х5мм, АД31 Т1, 6,0м</t>
  </si>
  <si>
    <t>508[92758] д Труба алюм. 60х60х2мм, АД31 Т1, 6,0м</t>
  </si>
  <si>
    <t>508[90828] д кольцо 115х75мм,  АД31 Т1, 5мм</t>
  </si>
  <si>
    <t>508[90829] д кольцо 230х75мм, АД31 Т1, 5мм</t>
  </si>
  <si>
    <t>508[92760] д Уголок алюм. 30х15х1,5мм, АД31 Т1, 6,0м</t>
  </si>
  <si>
    <t>510[87626] 0106-107, 4,0м, 6063 Т6, уп.Т5</t>
  </si>
  <si>
    <t>511[87833] 1806-93, 6,0м, сплав 6063 КР, состТ6, упаковка.Т5</t>
  </si>
  <si>
    <t>513[33879] 0906-63, 6,0м, 6063КР, БА</t>
  </si>
  <si>
    <t>514[69453] 1506-44 (АВА-7225), 6,0м, 6063 Т1, тип 1,  упак. Т5, БА</t>
  </si>
  <si>
    <t>515[91034] 1506-79, 3,6м, 6063 Т6, упак.Т5, БА</t>
  </si>
  <si>
    <t>516[87827] 223276 6,0м 6063 Т66</t>
  </si>
  <si>
    <t>512[61781] 0106-136, 6,05м, 6063 Т1, упаковка Т-5, БА</t>
  </si>
  <si>
    <t>517[76744] V017-8156, 3,05м, БА</t>
  </si>
  <si>
    <t>518[93010] д труба прямоуг. 160х80х4мм, 6м,  АД31 Т1, БА</t>
  </si>
  <si>
    <t>519[92830] Профиль СВРГ-0050 (6000 мм) АД31</t>
  </si>
  <si>
    <t>521[87626] 0106-107, 4,0м, 6063 Т6, уп.Т5</t>
  </si>
  <si>
    <t>521[85155] 0106-107, 4,6м, 6063 Т6, уп.Т5</t>
  </si>
  <si>
    <t>525[34579] 0906-44 (АТ-6052), 6,0м, БА с перфорацией</t>
  </si>
  <si>
    <t>526[54218] А 23 (0272-62), Направляющая нижняя под ролики, 5,0м, сплав 6063</t>
  </si>
  <si>
    <t>527[59871] 1506-28,  6,0м  сплав 6063 т6, упаковка т5</t>
  </si>
  <si>
    <t>528[59871] 1506-28,  6,0м  сплав 6063 т6, упаковка т5</t>
  </si>
  <si>
    <t>529[34252] 0906-64, 6,0м, 6063 Т1, упаковка Т-5, БА (4000 пресс)</t>
  </si>
  <si>
    <t>531[76034] 220650 (1606-52, АВА-3665) бортовой боковой 6,0м сплав 6063 Т6</t>
  </si>
  <si>
    <t>530[76552] 1606-38 (197.05) 5,15 м, сплав 6063 КР Т6</t>
  </si>
  <si>
    <t>530[76596] 1606-39 (197.04) 4,85 м, сплав 6063 КР Т6, упковка Т5</t>
  </si>
  <si>
    <t>532[85300] ручка боковой защиты (221148) 6,0м сплав 6063 Т6</t>
  </si>
  <si>
    <t>533[16958] 0306-11, 6,0м, 6063 Т1 (под анод), упаковка Т-5, БА</t>
  </si>
  <si>
    <t>535[92063] 0906-44, 6,05м, с перфорацией, БА</t>
  </si>
  <si>
    <t>506[16959] 0306-12, 6,0м, 6063 Т1 под анод, упаковка Т-5, БА</t>
  </si>
  <si>
    <t>536[76596] 1606-39 (197.04) 4,85 м, сплав 6063 КР Т6, упковка Т5</t>
  </si>
  <si>
    <t>537[92807] 1406-05, 5,45м,6063 Т6 под анод, упак. Т-5</t>
  </si>
  <si>
    <t>539[87827] 223276 6,0м 6063 Т66</t>
  </si>
  <si>
    <t>541[1110] Труба круглая 32*1мм (АВА 2544,0106-146, АТ-1327, ВАС-8, 219064) 6,0м БА</t>
  </si>
  <si>
    <t>541[29801] 0706-58,(НЧП-5537, АТ-6014, ВАС-6, 219062),  6,0м, БА</t>
  </si>
  <si>
    <t>541[3285] 0706-63,  6,0м, БА</t>
  </si>
  <si>
    <t>542[36869] 8507029-10 (0680-01), 6,50м, БА сплав 6063 КР Т1</t>
  </si>
  <si>
    <t>542[36868] 8507025-2 (0680-02) 6,50м, 6063КР Т6</t>
  </si>
  <si>
    <t>542[36867] 8507023 (0680-03) 6,50м, БА сплав 6063 Т6</t>
  </si>
  <si>
    <t>542[866] автоуголок 150*55*3мм (0106-153) 6,0м АД31 Т1 уп. Т5</t>
  </si>
  <si>
    <t>544[65948] ВАС-1 (219057), 6,0м, БА</t>
  </si>
  <si>
    <t>545[76124] 8507029-10 (АГС), 6,50м, БА сплав 6063 Т6</t>
  </si>
  <si>
    <t>545[30346] 8507025-2 (АГС) шир 222мм, 6,50м, 6063 Т6</t>
  </si>
  <si>
    <t>545[76123] 8507023 (АГС) 6,50м, БА сплав 6063 Т6</t>
  </si>
  <si>
    <t>546[76529] 1606-48, 6,0 м, сплав 6063 КР Т6</t>
  </si>
  <si>
    <t>547[76596] 1606-39 (197.04) 4,85 м, сплав 6063 КР Т6, упковка Т5</t>
  </si>
  <si>
    <t>548[81579] 1706-69, 6,0м, 6063 Т6, упаковка Т-5, БА</t>
  </si>
  <si>
    <t>548[81738] 1706-70, 6,0м, 6063 Т1, упаковка Т-5, БА</t>
  </si>
  <si>
    <t>548[89968] 2606-57, 6,0м, 6063 Т6, уп.Т5, БА</t>
  </si>
  <si>
    <t>548[89761] 2606-58, 6,0м, сплав 6063 Т5 (под гибку), упак. Т5</t>
  </si>
  <si>
    <t>549[1112] автоуголок 80*43,5*2,35 мм (220570) 6,0м 6063</t>
  </si>
  <si>
    <t>549[866] автоуголок 150*55*3мм (0106-153) 6,0м АД31 Т1 уп. Т5</t>
  </si>
  <si>
    <t>551[16958] 0306-11, 6,0м, 6063 Т1 (под анод), упаковка Т-5, БА</t>
  </si>
  <si>
    <t>552[57675] 0306-70, 6,05м, 6063 Т1, упаковка Т-5, БА</t>
  </si>
  <si>
    <t>553[92807] 1406-05, 5,45м,6063 Т6 под анод, упак. Т-5</t>
  </si>
  <si>
    <t>554[91034] 1506-79, 3,6м, 6063 Т6, упак.Т5, БА</t>
  </si>
  <si>
    <t>555[76099] 1606-29 (проставка Н), 6,0м, 6063 Т1, упаковка Т-5, БА</t>
  </si>
  <si>
    <t>556[81738] 1706-70, 6,0м, 6063 Т1, упаковка Т-5, БА</t>
  </si>
  <si>
    <t>556[89761] 2606-58, 6,0м, сплав 6063 Т5 (под гибку), упак. Т5</t>
  </si>
  <si>
    <t>550[89457] АП 2168 Д, кроншейн большой 2400 (1700х52мм), 6063</t>
  </si>
  <si>
    <t>550[89458] АП 2168 Д, кронштейн малый 1580 (1300х52мм), 6063</t>
  </si>
  <si>
    <t>558[93390] д 80х80 B-Rxtr, 6,05м, АД31 Т1, БА</t>
  </si>
  <si>
    <t>558[91325] д 45х90 B-Rxtr, 6,05м БА</t>
  </si>
  <si>
    <t>559[919] Труба круглая 22*1,5мм (9999-45,АТ-600)  6,0м , сплав АД31 Т1, упаковка Т3</t>
  </si>
  <si>
    <t>561[34579] 0906-44 (АТ-6052), 6,0м, БА с перфорацией</t>
  </si>
  <si>
    <t>560[16952] Уголок 10*20*2, 6,0м, БА сплав 6063</t>
  </si>
  <si>
    <t>562[41588] А 29 (0073-16) Стойка угловая специальная, 5,0м, 6063 под анод</t>
  </si>
  <si>
    <t>565[93441] д 80х65 2,6м без покрытия</t>
  </si>
  <si>
    <t>565[93442] д 80х65 6м без покрытия</t>
  </si>
  <si>
    <t>566[69916] автоуголок 50*50 мм (97082) 6,0м,  сплав 6063 Т6 + упаковка А5</t>
  </si>
  <si>
    <t>Корректировка</t>
  </si>
  <si>
    <t>567[76123] 8507023 (АГС) 6,50м, БА сплав 6063 Т6</t>
  </si>
  <si>
    <t>567</t>
  </si>
  <si>
    <t>567[76124] 8507029-10 (АГС), 6,50м, БА сплав 6063 Т6</t>
  </si>
  <si>
    <t>567[36867] 8507023 (0680-03) 6,50м, БА сплав 6063 Т6</t>
  </si>
  <si>
    <t>567[36869] 8507029-10 (0680-01), 6,50м, БА сплав 6063 КР Т1</t>
  </si>
  <si>
    <t>568[36867] 8507023 (0680-03) 6,50м, БА сплав 6063 Т6</t>
  </si>
  <si>
    <t>568</t>
  </si>
  <si>
    <t>568[76123] 8507023 (АГС) 6,50м, БА сплав 6063 Т6</t>
  </si>
  <si>
    <t>568[76124] 8507029-10 (АГС), 6,50м, БА сплав 6063 Т6</t>
  </si>
  <si>
    <t>568[30346] 8507025-2 (АГС) шир 222мм, 6,50м, 6063 Т6</t>
  </si>
  <si>
    <t>569[35713] А- 2477( 0706-59 ,ВАС-4, 219060) 6,0м, БА</t>
  </si>
  <si>
    <t>569</t>
  </si>
  <si>
    <t>569[35789] Б-1310(0706-60,ВАС-5, 219061) 6,0м ,БА</t>
  </si>
  <si>
    <t>Акустические конструкции</t>
  </si>
  <si>
    <t>571</t>
  </si>
  <si>
    <t>572</t>
  </si>
  <si>
    <t>573</t>
  </si>
  <si>
    <t>574</t>
  </si>
  <si>
    <t>575</t>
  </si>
  <si>
    <t>571[76596] 1606-39 (197.04) 4,85 м, сплав 6063 КР Т6, упковка Т5</t>
  </si>
  <si>
    <t>571[76552] 1606-38 (197.05) 5,15 м, сплав 6063 КР Т6</t>
  </si>
  <si>
    <t>572[87626] 0106-107, 4,0м, 6063 Т6, уп.Т5</t>
  </si>
  <si>
    <t>573[34252] 0906-64, 6,0м, 6063 Т1, упаковка Т-5, БА (4000 пресс)</t>
  </si>
  <si>
    <t>574[92807] 1406-05, 5,45м,6063 Т6 под анод, упак. Т-5</t>
  </si>
  <si>
    <t>575[81578] 1706-68, 6,0м, 6063 Т1, упаковка Т-5, БА</t>
  </si>
  <si>
    <t>575[89761] 2606-58, 6,0м, сплав 6063 Т5 (под гибку), упак. Т5</t>
  </si>
  <si>
    <t>10хл брак рекламация</t>
  </si>
  <si>
    <t>Обработано в 1С</t>
  </si>
  <si>
    <t>Бронь обработки из 1С</t>
  </si>
  <si>
    <t>Пермещение на склад анода</t>
  </si>
  <si>
    <t>OPT001129</t>
  </si>
  <si>
    <t>520</t>
  </si>
  <si>
    <t>520[92690] Корпус_КУДР.676621.017.01-01 (1810мм) (Д) сплав 6063</t>
  </si>
  <si>
    <t>брак -лома экстркз дефекта</t>
  </si>
  <si>
    <t>RAL9005 МАТ(ИНВЕР)</t>
  </si>
  <si>
    <t>[93277] Лист АМГ2М 2,5*1500*500 (Д)</t>
  </si>
  <si>
    <t>[91221] А27 (Д) 5,1м, сплав 6063</t>
  </si>
  <si>
    <t>брак БА механич.поврежд.</t>
  </si>
  <si>
    <t>3х брак</t>
  </si>
  <si>
    <t>16хл повтор, 4хл брак</t>
  </si>
  <si>
    <t>576</t>
  </si>
  <si>
    <t>576[1110] Труба круглая 32*1мм (АВА 2544,0106-146, АТ-1327, ВАС-8, 219064) 6,0м БА</t>
  </si>
  <si>
    <t>Протех М</t>
  </si>
  <si>
    <t>[93748] Лист алюминиевый 2х1200х3000 АМГ2Н</t>
  </si>
  <si>
    <t>[13620] 0106-290 (6158), 6,0м, 6063 Т1, тип 1, упаковка Т-5, БА</t>
  </si>
  <si>
    <t>брак БАдефект.перфорации</t>
  </si>
  <si>
    <t>брак 27хл коррозия</t>
  </si>
  <si>
    <t>6хл брак механ.</t>
  </si>
  <si>
    <t>4хл брак механ.</t>
  </si>
  <si>
    <t>579[77502] 0706-85 4,9 м, сплав 6063Кр, сост Т1, уп. Т5</t>
  </si>
  <si>
    <t>579</t>
  </si>
  <si>
    <t>580</t>
  </si>
  <si>
    <t>581</t>
  </si>
  <si>
    <t>581[92099] ТР 25*2 (Д) 6м, АД31</t>
  </si>
  <si>
    <t>OPT001166</t>
  </si>
  <si>
    <t>584[89457] АП 2168 Д, кроншейн большой 2400 (1700х52мм), 6063</t>
  </si>
  <si>
    <t>584</t>
  </si>
  <si>
    <t>585[35789] Б-1310(0706-60,ВАС-5, 219061) 6,0м ,БА</t>
  </si>
  <si>
    <t>585</t>
  </si>
  <si>
    <t>ИП Сидоров</t>
  </si>
  <si>
    <t>[81523] СЛ-Л-04, Ламель Z образная (АТ-8033) 100*90, 6,0м, Ад31 Т1</t>
  </si>
  <si>
    <t>21хл в покр, 3 хл брак</t>
  </si>
  <si>
    <t>перенос в зном 440</t>
  </si>
  <si>
    <t>[93891] 221505 д, АД31 Т1, 2,05м без покрытия</t>
  </si>
  <si>
    <t>3хл - выпустили по др.заявке</t>
  </si>
  <si>
    <t>Трейд ДФ/склад</t>
  </si>
  <si>
    <t>587</t>
  </si>
  <si>
    <t>[93892] 221505 д, АД31 Т1, 2,05м, БЦ анод 15мкм без дроби</t>
  </si>
  <si>
    <t>588</t>
  </si>
  <si>
    <t>587[93891] 221505 д, АД31 Т1, 2,05м без покрытия</t>
  </si>
  <si>
    <t>7хл-экструз,1хл-вмятины</t>
  </si>
  <si>
    <t>[82186] 1706-83, 3,0 м, ПД, односторонний анод лицевой 15мкм, с дробью, термо-пленка</t>
  </si>
  <si>
    <t>591</t>
  </si>
  <si>
    <t>593</t>
  </si>
  <si>
    <t>592</t>
  </si>
  <si>
    <t>591[44723] 0706-93 3,0 м, сплав 6063 КР</t>
  </si>
  <si>
    <t>593[80497] АТ-6485, 3,65 м, cплав 6063</t>
  </si>
  <si>
    <t>593[69152] АТ-6485, 4,5 м, cплав 6063</t>
  </si>
  <si>
    <t>592[82182] 1706-83, 3,0 м,  6063 Т6 упаковка Т5</t>
  </si>
  <si>
    <t>595</t>
  </si>
  <si>
    <t>[93906] А-48.150 (Д), 6м, 6060 Т6</t>
  </si>
  <si>
    <t>[93911] Труба 50*50*2 (Д) 6 м, 6060 Т6</t>
  </si>
  <si>
    <t>[93913] А153 (Д), профиль,  6м, 6060 Т66</t>
  </si>
  <si>
    <t>[93916] А176 (Д), профиль,  6м, 6060 Т66</t>
  </si>
  <si>
    <t>[93918] А18 (Д), профиль,  6м, 6060 Т6</t>
  </si>
  <si>
    <t>[93920] А-389 (Д), профиль,  6060 Т6</t>
  </si>
  <si>
    <t>[93923] А 47.1 (Д), профиль,  6м, 6060 Т66</t>
  </si>
  <si>
    <t>[93928] А 76 (Д), профиль,  6м, 6060 Т66</t>
  </si>
  <si>
    <t>597</t>
  </si>
  <si>
    <t>598</t>
  </si>
  <si>
    <t>[93922] А 47.1 (Д), профиль,  6м, анод 4-5 мкм без дроби, уп в корзины заказчика</t>
  </si>
  <si>
    <t>[93927] А 76 (Д), профиль,  6м, анод 4-5 мкм без дроби, уп в корзины заказчика</t>
  </si>
  <si>
    <t>597[92164] А 03.10 (Д) 6 м, 6060 Т6</t>
  </si>
  <si>
    <t>597[92167] Шина 3*30 (Д) 4,6 м, 6060 Т6</t>
  </si>
  <si>
    <t>597[92159] А03.9 (Д) 6м, 6060 Т6</t>
  </si>
  <si>
    <t>597[93906] А-48.150 (Д), 6м, 6060 Т6</t>
  </si>
  <si>
    <t>597[92044] А28 (Д),  6м, 6060 Т6</t>
  </si>
  <si>
    <t>597[92165] А 03.17 (Д) 4 м, 6060 Т6</t>
  </si>
  <si>
    <t>597[92124] А-967.1 (Д), 6м, 6060Т6</t>
  </si>
  <si>
    <t>598[93911] Труба 50*50*2 (Д) 6 м, 6060 Т6</t>
  </si>
  <si>
    <t>598[93913] А153 (Д), профиль,  6м, 6060 Т66</t>
  </si>
  <si>
    <t>598[93916] А176 (Д), профиль,  6м, 6060 Т66</t>
  </si>
  <si>
    <t>598[93918] А18 (Д), профиль,  6м, 6060 Т6</t>
  </si>
  <si>
    <t>598[91475] А24.4 (Д), Профиль, 6м, сплав 6060</t>
  </si>
  <si>
    <t>598[92166] А24.5 (Д),  6м, 6060 Т6</t>
  </si>
  <si>
    <t>598[92044] А28 (Д),  6м, 6060 Т6</t>
  </si>
  <si>
    <t>598[93920] А-389 (Д), профиль,  6060 Т6</t>
  </si>
  <si>
    <t>598[93923] А 47.1 (Д), профиль,  6м, 6060 Т66</t>
  </si>
  <si>
    <t>598[93928] А 76 (Д), профиль,  6м, 6060 Т66</t>
  </si>
  <si>
    <t>599</t>
  </si>
  <si>
    <t>601</t>
  </si>
  <si>
    <t>602</t>
  </si>
  <si>
    <t>603</t>
  </si>
  <si>
    <t>600</t>
  </si>
  <si>
    <t>604</t>
  </si>
  <si>
    <t>605</t>
  </si>
  <si>
    <t>599[1110] Труба круглая 32*1мм (АВА 2544,0106-146, АТ-1327, ВАС-8, 219064) 6,0м БА</t>
  </si>
  <si>
    <t>601[52379] 0906-65, 6,0м, БА сплав 6063КР Д</t>
  </si>
  <si>
    <t>602[70484] 1506-77 (АА-2050-85), 6,0м, 6063 Т6, упаковка Т-5, без покрытия</t>
  </si>
  <si>
    <t>603[81578] 1706-68, 6,0м, 6063 Т1, упаковка Т-5, БА</t>
  </si>
  <si>
    <t>603[81579] 1706-69, 6,0м, 6063 Т6, упаковка Т-5, БА</t>
  </si>
  <si>
    <t>603[89968] 2606-57, 6,0м, 6063 Т6, уп.Т5, БА</t>
  </si>
  <si>
    <t>604[89957] ПКФ (176) 5033 Д L=1100 АД31Т1</t>
  </si>
  <si>
    <t>604[89958] ПКФ (177) 5050 Д L=1250 АД31Т1</t>
  </si>
  <si>
    <t>604[89959] ПКФ (176) 5033 Д L=1250 АД31Т1</t>
  </si>
  <si>
    <t>604[89960] ПКФ (177) 5050 Д L=1560 АД31Т1</t>
  </si>
  <si>
    <t>604[89961] ПКФ (176) 5033 Д L=1560 АД31Т1</t>
  </si>
  <si>
    <t>605[89644] балка Ад-35 Д, L=1070</t>
  </si>
  <si>
    <t>605[89646] балка Ад-35 Д, L=1370</t>
  </si>
  <si>
    <t>605[89648] балка Ад-35 Д, L=300</t>
  </si>
  <si>
    <t>605[89933] балка Ад-35 Д, L=3085</t>
  </si>
  <si>
    <t>605[89935] балка Ад-35 Д, L=4570</t>
  </si>
  <si>
    <t>605[89937] балка Ад-35 Д, L=4940</t>
  </si>
  <si>
    <t>605[89938] балка Ад-35 Д, L=5005</t>
  </si>
  <si>
    <t>605[89940] балка Ад-35 Д, L=5135</t>
  </si>
  <si>
    <t>605[90213] балка Ад-35 Д, L=5090</t>
  </si>
  <si>
    <t>605[90214] балка Ад-35 Д, L=4200</t>
  </si>
  <si>
    <t>605[90215] балка Ад-35 Д, L=3950</t>
  </si>
  <si>
    <t>605[90216] балка Ад-35 Д, L=1361</t>
  </si>
  <si>
    <t>605[90220] балка Ад-35 Д, L=700</t>
  </si>
  <si>
    <t>Панов</t>
  </si>
  <si>
    <t>[1055] Уголок 30*15*2, ФС-Д-017, (9999-61), 6м, БА</t>
  </si>
  <si>
    <t>606</t>
  </si>
  <si>
    <t>[93407] Уголок 30*15*2, ФС-Д-017, (9999-61), 6м, АНОД с дробью</t>
  </si>
  <si>
    <t>606[1055] Уголок 30*15*2, ФС-Д-017, (9999-61), 6м, БА</t>
  </si>
  <si>
    <t>2+9 - брак</t>
  </si>
  <si>
    <t>86хл -брак полоса
1хл-брак вмятина</t>
  </si>
  <si>
    <t>[94089] Лист АМГ2М 1200*500*1,5 (Д)</t>
  </si>
  <si>
    <t>594</t>
  </si>
  <si>
    <t>608</t>
  </si>
  <si>
    <t>607</t>
  </si>
  <si>
    <t>594[81357] 1606-37 (АВА-7227), 4,45 м, сплав 6063 КР Т6, упаковка Т-5</t>
  </si>
  <si>
    <t>608[91323] д 40х80 B-Rxtr, 6,05м БА</t>
  </si>
  <si>
    <t>607[56993] автоуголок 90*60*2мм (0506-17, 97083)6,0м 6063 Т6</t>
  </si>
  <si>
    <t>OPT001244</t>
  </si>
  <si>
    <t>OPT001246</t>
  </si>
  <si>
    <t>612</t>
  </si>
  <si>
    <t>612[90361] Профиль 253.02 (45*45) (Д) 6м , 6063 Т6</t>
  </si>
  <si>
    <t>[91474] А24.4 (Д), профиль,  6м, анод 4-5 мкм без дроби</t>
  </si>
  <si>
    <t>[92123] А-967.1 (Д), 6м, анод 4-5 мкм(под покраску) без дроби</t>
  </si>
  <si>
    <t>[92043] А28 (Д), 6м, анод 4-5 мкм(под покраску) без дроби</t>
  </si>
  <si>
    <t>[92160] Шина 3*30 (Д) 4,6 м, анод 4-5 мкм (под покраску) без дроби</t>
  </si>
  <si>
    <t>[92168] А03.9 (Д) 6м, анод 4-5 мкм (под покраску) без дроби</t>
  </si>
  <si>
    <t>[92163] А24.5 (Д),  6м, анод 4-5 мкм без дроби</t>
  </si>
  <si>
    <t>[93905] А-48.150 (Д), 6м, анод 4-5 мкм(под покраску) без дроби</t>
  </si>
  <si>
    <t>[93910] Труба 50*50*2 (Д) 6 м, анод 4-5 мкм (под покраску) без дроби</t>
  </si>
  <si>
    <t>[93912] А153 (Д), профиль,  6м, анод 4-5 мкм без дроби</t>
  </si>
  <si>
    <t>[93914] А176 (Д), профиль,  6м, анод 4-5 мкм без дроби</t>
  </si>
  <si>
    <t>[93917] А18 (Д), профиль,  6м, анод 4-5 мкм без дроби</t>
  </si>
  <si>
    <t>[93919] А-389 (Д), профиль,  6м, анод 4-5 мкм без дроби</t>
  </si>
  <si>
    <t>613</t>
  </si>
  <si>
    <t>613[41589] А 14 (0072-09) Прогон бесполочный, 5,0м, 6063 КР</t>
  </si>
  <si>
    <t>613[62126] А 22 (0073-15), Н-профиль, 5,0м, 6063 Кр</t>
  </si>
  <si>
    <t>613[42543] А 31 (0072-06) Прогон бесполочный однопазовый, 5,0м, 6063 КР</t>
  </si>
  <si>
    <t>24 - отмена</t>
  </si>
  <si>
    <t>брак БА механ.поврежд.</t>
  </si>
  <si>
    <t>брак БА КОРРОЗИЯ+ МЕХАНИЧ.ПОВРЕЖД.</t>
  </si>
  <si>
    <t>брак БА механич.поврежд. (рекламация)</t>
  </si>
  <si>
    <t>Энергостроймонтаж</t>
  </si>
  <si>
    <t>616</t>
  </si>
  <si>
    <t>616[90467] Д Основания ТИС-Р-3 (профиль 1111-116), 475мм, БА</t>
  </si>
  <si>
    <t>брак БА ЭКСТРУЗ.ДЕФЕКТ</t>
  </si>
  <si>
    <t>[70302] автополоса 155*4мм (0106-152) 6,0м БЦ анод с дробью+стрейч (15хл./загр.)</t>
  </si>
  <si>
    <t>619</t>
  </si>
  <si>
    <t>619[1110] Труба круглая 32*1мм (АВА 2544,0106-146, АТ-1327, ВАС-8, 219064) 6,0м БА</t>
  </si>
  <si>
    <t>14з.</t>
  </si>
  <si>
    <t>8з.</t>
  </si>
  <si>
    <t>3з.</t>
  </si>
  <si>
    <t>621</t>
  </si>
  <si>
    <t>620</t>
  </si>
  <si>
    <t>[80984] 1606-65, 3,0м, анод с дробью 15мкм , упаковка в мини-пачки</t>
  </si>
  <si>
    <t>622</t>
  </si>
  <si>
    <t>621[87833] 1806-93, 6,0м, сплав 6063 КР, состТ6, упаковка.Т5</t>
  </si>
  <si>
    <t>620[83730] 1606-65, 3,0м, 6063 Т1</t>
  </si>
  <si>
    <t>622[76596] 1606-39 (197.04) 4,85 м, сплав 6063 КР Т6, упковка Т5</t>
  </si>
  <si>
    <t>OPT001284</t>
  </si>
  <si>
    <t>623</t>
  </si>
  <si>
    <t>625</t>
  </si>
  <si>
    <t>624</t>
  </si>
  <si>
    <t>623[92807] 1406-05, 5,45м,6063 Т6 под анод, упак. Т-5</t>
  </si>
  <si>
    <t>625[81578] 1706-68, 6,0м, 6063 Т1, упаковка Т-5, БА</t>
  </si>
  <si>
    <t>625[81738] 1706-70, 6,0м, 6063 Т1, упаковка Т-5, БА</t>
  </si>
  <si>
    <t>625[89761] 2606-58, 6,0м, сплав 6063 Т5 (под гибку), упак. Т5</t>
  </si>
  <si>
    <t>624[59210] 0906-89, 6,05м, сплав 6063КР Т6, упак.Т5</t>
  </si>
  <si>
    <t>Трейд ДФ</t>
  </si>
  <si>
    <t>[91049] автоуголок  полукруглый 100х100 (219152) , алюминиевый профиль, 6,0 м, анод с дробью + стрейч</t>
  </si>
  <si>
    <t>анулирована</t>
  </si>
  <si>
    <t>?</t>
  </si>
  <si>
    <t>628</t>
  </si>
  <si>
    <t>628[77780] автоуголок 250*40мм (1706-75, 97101) 6,0м, сплав 6063 Т6 +  упаковка А5</t>
  </si>
  <si>
    <t>628[69917] автоуголок 250*40мм (1706-75) 6,0м, сплав Ад31+  упаковка Т5</t>
  </si>
  <si>
    <t>122 - коррозия, 8- брак механ</t>
  </si>
  <si>
    <t>экструзия+мех.повреждения</t>
  </si>
  <si>
    <t>[865] автополоса 155*4мм (0106-152)  6,0м  6063 Т6  уп Т5</t>
  </si>
  <si>
    <t>630</t>
  </si>
  <si>
    <t>[91255] 2606-56, 6,0м, чёрный анод 10мкм без дроби, упак.стрейч</t>
  </si>
  <si>
    <t>629</t>
  </si>
  <si>
    <t>509[865] автополоса 155*4мм (0106-152)  6,0м  6063 Т6  уп Т5</t>
  </si>
  <si>
    <t>588[865] автополоса 155*4мм (0106-152)  6,0м  6063 Т6  уп Т5</t>
  </si>
  <si>
    <t>628[865] автополоса 155*4мм (0106-152)  6,0м  6063 Т6  уп Т5</t>
  </si>
  <si>
    <t>630[81738] 1706-70, 6,0м, 6063 Т1, упаковка Т-5, БА</t>
  </si>
  <si>
    <t>630[89435] 2606-56, 6,0м, 6063 Т6, уп.Т5, БА</t>
  </si>
  <si>
    <t>630[89761] 2606-58, 6,0м, сплав 6063 Т5 (под гибку), упак. Т5</t>
  </si>
  <si>
    <t>629[1110] Труба круглая 32*1мм (АВА 2544,0106-146, АТ-1327, ВАС-8, 219064) 6,0м БА</t>
  </si>
  <si>
    <t>629[1161] Труба круглая 35*1,2 (АВА Б-1274,0106-177, АТ-992, ВАС-10, 219066), 6,0м БА</t>
  </si>
  <si>
    <t>629[848] Труба круглая 35*1мм, 6м БА (0106-83, Б-1292, АТ-3314, 219065)</t>
  </si>
  <si>
    <t>629[29800] 0706-55,  6,0м, БА</t>
  </si>
  <si>
    <t>629[30372] 0706-56, (НЧП-3934) 6,0м, БА</t>
  </si>
  <si>
    <t>629[29755] 0706-57, (НЧП-5538, АТ-6013, ВАС-7, 219063) 6,0м, БА</t>
  </si>
  <si>
    <t>629[29801] 0706-58,(НЧП-5537, АТ-6014, ВАС-6, 219062),  6,0м, БА</t>
  </si>
  <si>
    <t>629[3285] 0706-63,  6,0м, БА</t>
  </si>
  <si>
    <t>629[30285] 0706-64,(ВАС-2,НЧП-3197, АТ-6015, 219058) 6,0м, БА</t>
  </si>
  <si>
    <t>[94349] Д 10,4х15,9мм, 3,06м, БА</t>
  </si>
  <si>
    <t>[93002] 1906-26, 3,05м, Ад31 Т1</t>
  </si>
  <si>
    <t>[93735] 1906-27, 3,1м, 6063 Т6, упаковка Т-5 под анод, БА</t>
  </si>
  <si>
    <t>OPT001314</t>
  </si>
  <si>
    <t>Метех</t>
  </si>
  <si>
    <t>633</t>
  </si>
  <si>
    <t>638</t>
  </si>
  <si>
    <t>[79534] 1606-28 (полка L), 6,0м, БЦ анод (5мкм) без дроби, упак мини-пачка</t>
  </si>
  <si>
    <t>639</t>
  </si>
  <si>
    <t>[94351] 1906-27, 3,1м, БЦ анод 8-10мкм, упак. стрейч</t>
  </si>
  <si>
    <t>640</t>
  </si>
  <si>
    <t>641</t>
  </si>
  <si>
    <t>632</t>
  </si>
  <si>
    <t>635</t>
  </si>
  <si>
    <t>[78968] 1606-87, 6,1 м, анод 4-5мкм с дробью, уп в мини пачки стрейч</t>
  </si>
  <si>
    <t>636</t>
  </si>
  <si>
    <t>633[92807] 1406-05, 5,45м,6063 Т6 под анод, упак. Т-5</t>
  </si>
  <si>
    <t>638[76098] 1606-28 (полка L), 6,0м, 6063 Т1, упаковка Т-5, БА</t>
  </si>
  <si>
    <t>639[93735] 1906-27, 3,1м, 6063 Т6, упаковка Т-5 под анод, БА</t>
  </si>
  <si>
    <t>640[89968] 2606-57, 6,0м, 6063 Т6, уп.Т5, БА</t>
  </si>
  <si>
    <t>641[41030] 1406-05, 6,0м, БА сплав 6063КР под анод тип 2, Т1, уп.Т5</t>
  </si>
  <si>
    <t>632[68773] 0906-71, 5,8 м, сплав 6063 КР Т1</t>
  </si>
  <si>
    <t>635[78539] 1606-87, 6,1м,  6063 Т1 БА</t>
  </si>
  <si>
    <t>636[87833] 1806-93, 6,0м, сплав 6063 КР, состТ6, упаковка.Т5</t>
  </si>
  <si>
    <t>642</t>
  </si>
  <si>
    <t>[94088] Профиль СВРГ-0050 (5600мм) АД31</t>
  </si>
  <si>
    <t>[94087] Профиль СВРГ-0050 (5600 мм) анод 5мкм, упак.веерн. бум.</t>
  </si>
  <si>
    <t>642[94088] Профиль СВРГ-0050 (5600мм) АД31</t>
  </si>
  <si>
    <t>643</t>
  </si>
  <si>
    <t>643[90549] Труба 50*1 (Д) 6м , ад31</t>
  </si>
  <si>
    <t>644</t>
  </si>
  <si>
    <t>644[76034] 220650 (1606-52, АВА-3665) бортовой боковой 6,0м сплав 6063 Т6</t>
  </si>
  <si>
    <t>брак БА, проверить по 1с</t>
  </si>
  <si>
    <t>645</t>
  </si>
  <si>
    <t>646</t>
  </si>
  <si>
    <t>647</t>
  </si>
  <si>
    <t>648</t>
  </si>
  <si>
    <t>649</t>
  </si>
  <si>
    <t>[78969] 1606-88, 6,1 м, анод 4-5мкм с дробью, уп в мини пачки стрейч</t>
  </si>
  <si>
    <t>645[376] А 12 (0072-08) Угловая стойка, 5,0м, 6063 КР</t>
  </si>
  <si>
    <t>646[91532] Корпус_КУДР.676621.015.01 (1885мм) 6063</t>
  </si>
  <si>
    <t>646[91534] Корпус_КУДР.676621.015.01-01 (1418мм) 6063</t>
  </si>
  <si>
    <t>647[76552] 1606-38 (197.05) 5,15 м, сплав 6063 КР Т6</t>
  </si>
  <si>
    <t>648[81357] 1606-37 (АВА-7227), 4,45 м, сплав 6063 КР Т6, упаковка Т-5</t>
  </si>
  <si>
    <t>649[78293] 1606-88, 6,1м,  6063 Т1 БА</t>
  </si>
  <si>
    <t>651</t>
  </si>
  <si>
    <t>651[77780] автоуголок 250*40мм (1706-75, 97101) 6,0м, сплав 6063 Т6 +  упаковка А5</t>
  </si>
  <si>
    <t>631[94349] Д 10,4х15,9мм, 3,06м, БА</t>
  </si>
  <si>
    <t>631</t>
  </si>
  <si>
    <t>[94348] Д 10,4х15,9мм, 3,06м, БЦ анод 10мкм без дроби, упак.мини-пачки</t>
  </si>
  <si>
    <t>предварит</t>
  </si>
  <si>
    <t>653</t>
  </si>
  <si>
    <t>653[93891] 221505 д, АД31 Т1, 2,05м без покрытия</t>
  </si>
  <si>
    <t>[94387] 1250.28 профиль накладки угловой_Д_3м</t>
  </si>
  <si>
    <t>ФОРМА (ип Дворецкий)</t>
  </si>
  <si>
    <t>654</t>
  </si>
  <si>
    <t>655</t>
  </si>
  <si>
    <t>[94388] 1250.28 профиль накладки угловой_Д_3м_анод15мкм с дробью</t>
  </si>
  <si>
    <t>654[35789] Б-1310(0706-60,ВАС-5, 219061) 6,0м ,БА</t>
  </si>
  <si>
    <t>654[35713] А- 2477( 0706-59 ,ВАС-4, 219060) 6,0м, БА</t>
  </si>
  <si>
    <t>655[90028] 2575 коробка Д,6м</t>
  </si>
  <si>
    <t>655[90078] 2577 полотно, Д, 6м</t>
  </si>
  <si>
    <t>655[94387] 1250.28 профиль накладки угловой_Д_3м</t>
  </si>
  <si>
    <t>OPT001390</t>
  </si>
  <si>
    <t>ЭКСТРУЗ.РИСКИ</t>
  </si>
  <si>
    <t>[94503] Швеллер 6м, АД31</t>
  </si>
  <si>
    <t>658</t>
  </si>
  <si>
    <t>[94504] Швеллер 6м (Д) ,анод 9-12 мкм, без дроби, уп стрейч пленка</t>
  </si>
  <si>
    <t>658[94503] Швеллер 6м, АД31</t>
  </si>
  <si>
    <t>[86933] 0706-96 (Современные системы 221374), 6,0м, Ад31 Т1</t>
  </si>
  <si>
    <t>[30654] 0706-97, 6,0м, сплав АД 31, сост Т1, упаковка Т3</t>
  </si>
  <si>
    <t>[31517] 0706-87 2,0м, АД31 Т1</t>
  </si>
  <si>
    <t>АРТ ТЕКНИКС</t>
  </si>
  <si>
    <t>667</t>
  </si>
  <si>
    <t>668</t>
  </si>
  <si>
    <t>669</t>
  </si>
  <si>
    <t>[77503] 0706-91 4,9 м, БЦ с дробью+стрейч</t>
  </si>
  <si>
    <t>668[865] автополоса 155*4мм (0106-152)  6,0м  6063 Т6  уп Т5</t>
  </si>
  <si>
    <t>669[77502] 0706-85 4,9 м, сплав 6063Кр, сост Т1, уп. Т5</t>
  </si>
  <si>
    <t>669[77504] 0706-91 4,9 м, БА сплав 6063 Кр Т6, уп Т-5</t>
  </si>
  <si>
    <t>[94751] 20х20х2 дав, длина 1,75м. БА</t>
  </si>
  <si>
    <t>670</t>
  </si>
  <si>
    <t>[94733] 20х20х2 дав, длина 1,75м. БЦ анод 15мкм без дроби, упак. стрейч каждый хлыст</t>
  </si>
  <si>
    <t>670[94751] 20х20х2 дав, длина 1,75м. БА</t>
  </si>
  <si>
    <t>672</t>
  </si>
  <si>
    <t>671</t>
  </si>
  <si>
    <t>[94121] 0306-70, 6,05м, БЦ анод с дробью (теперь всегда)</t>
  </si>
  <si>
    <t>672[57128] 0306-74, 6,0м, 6063 Т6, упаковка Т-5, БА</t>
  </si>
  <si>
    <t>671[57675] 0306-70, 6,05м, 6063 Т1, упаковка Т-5, БА</t>
  </si>
  <si>
    <t>673</t>
  </si>
  <si>
    <t>674</t>
  </si>
  <si>
    <t>[94011] 2606-61, 3,0м, 6063 Т6, уп.Т5, без покрытия</t>
  </si>
  <si>
    <t>[94061] 2606-61, 3,0м, анод + стрейч</t>
  </si>
  <si>
    <t>673[90028] 2575 коробка Д,6м</t>
  </si>
  <si>
    <t>674[94011] 2606-61, 3,0м, 6063 Т6, уп.Т5, без покрытия</t>
  </si>
  <si>
    <t>675</t>
  </si>
  <si>
    <t>675[865] автополоса 155*4мм (0106-152)  6,0м  6063 Т6  уп Т5</t>
  </si>
  <si>
    <t>[14005] 0106-289, 6,0м, БЦ анод с дробью</t>
  </si>
  <si>
    <t>[11858] 0106-238, 6,0м, БЦ анод с дробью</t>
  </si>
  <si>
    <t>[23418] 0506-21, 6,0м, БЦ с дробью</t>
  </si>
  <si>
    <t>[93217] Профиль створки внешний A112 23/X, 6.0м, (АТ-10864) анод серебро</t>
  </si>
  <si>
    <t>OPT000889[38436] 0506-21, 6,0м, 6063 Т1, тип 1, упаковка Т-5, БА</t>
  </si>
  <si>
    <t>OPT000961[13620] 0106-290 (6158), 6,0м, 6063 Т1, тип 1, упаковка Т-5, БА</t>
  </si>
  <si>
    <t>OPT000971[13620] 0106-290 (6158), 6,0м, 6063 Т1, тип 1, упаковка Т-5, БА</t>
  </si>
  <si>
    <t>OPT000997[13620] 0106-290 (6158), 6,0м, 6063 Т1, тип 1, упаковка Т-5, БА</t>
  </si>
  <si>
    <t>OPT001015[90371] Профиль створки внешний A112 23/X, 6.0м, (АТ-10864) БА</t>
  </si>
  <si>
    <t>OPT001053[13620] 0106-290 (6158), 6,0м, 6063 Т1, тип 1, упаковка Т-5, БА</t>
  </si>
  <si>
    <t>OPT001057[90371] Профиль створки внешний A112 23/X, 6.0м, (АТ-10864) БА</t>
  </si>
  <si>
    <t>OPT001129[13620] 0106-290 (6158), 6,0м, 6063 Т1, тип 1, упаковка Т-5, БА</t>
  </si>
  <si>
    <t>OPT001166[13620] 0106-290 (6158), 6,0м, 6063 Т1, тип 1, упаковка Т-5, БА</t>
  </si>
  <si>
    <t>OPT001244[61440] 0106-289, 6,0м, 6063 Т1, упаковка Т-5, под анод тип 1, БА</t>
  </si>
  <si>
    <t>OPT001246[35197] 0106-238, 6,0м, 6063 Т1, упаковка Т-5, под анод тип 1 ,БА</t>
  </si>
  <si>
    <t>OPT001284[13620] 0106-290 (6158), 6,0м, 6063 Т1, тип 1, упаковка Т-5, БА</t>
  </si>
  <si>
    <t>OPT001314[13620] 0106-290 (6158), 6,0м, 6063 Т1, тип 1, упаковка Т-5, БА</t>
  </si>
  <si>
    <t>OPT001390[13620] 0106-290 (6158), 6,0м, 6063 Т1, тип 1, упаковка Т-5, БА</t>
  </si>
  <si>
    <t>677</t>
  </si>
  <si>
    <t>678</t>
  </si>
  <si>
    <t>677[30616] 0706-94 (197.07, АА-2050-50), 6,0м, сплав 6063 КР, состТ1, упаковка.Т5</t>
  </si>
  <si>
    <t>678[76552] 1606-38 (197.05) 5,15 м, сплав 6063 КР Т6</t>
  </si>
  <si>
    <t>678[76596] 1606-39 (197.04) 4,85 м, сплав 6063 КР Т6, упковка Т5</t>
  </si>
  <si>
    <t>[94395] 1906-44, 3,05м, 6063, упаковка Т-5</t>
  </si>
  <si>
    <t>[94251] 1906-45, 3,05м, 6063, упаковка Т-5</t>
  </si>
  <si>
    <t>Норд инвест</t>
  </si>
  <si>
    <t>[94866] д 20х20 V-slot, 6,0м , БА</t>
  </si>
  <si>
    <t>[35989] А- 2477( 0706-59, 219060) 6,0м, БЦ</t>
  </si>
  <si>
    <t>[36084] Б-1310(0706-60, 219061)  6,0м ,БЦ</t>
  </si>
  <si>
    <t>[29803] 0706-58,(НЧП-5537, АТ-6014, 219062)  6,0м, БЦ</t>
  </si>
  <si>
    <t>[81356] 1606-37 (АВА-7227, 6200), 5,05 м, сплав 6063 КР Т6, упаковка Т-5</t>
  </si>
  <si>
    <t>681</t>
  </si>
  <si>
    <t>[94666] д 20х20 V-slot, 6,0м 9-12мкм с дробью, бумага</t>
  </si>
  <si>
    <t>580[81356] 1606-37 (АВА-7227, 6200), 5,05 м, сплав 6063 КР Т6, упаковка Т-5</t>
  </si>
  <si>
    <t>594[81356] 1606-37 (АВА-7227, 6200), 5,05 м, сплав 6063 КР Т6, упаковка Т-5</t>
  </si>
  <si>
    <t>667[81356] 1606-37 (АВА-7227, 6200), 5,05 м, сплав 6063 КР Т6, упаковка Т-5</t>
  </si>
  <si>
    <t>681[94866] д 20х20 V-slot, 6,0м , БА</t>
  </si>
  <si>
    <t>681[92708] Д 30х60 B-Rxtr 6,05м, БА</t>
  </si>
  <si>
    <t>681[91324] д 45х45 B-Rxtr, 6,05м, АД31 Т1, БА</t>
  </si>
  <si>
    <t>681[91325] д 45х90 B-Rxtr, 6,05м БА</t>
  </si>
  <si>
    <t>[29802] 0706-57,(НЧП-5538, АТ-6013, 219063)  6,0м, БЦ</t>
  </si>
  <si>
    <t>[34817] 0906-20, 3,2 м,  6063 Fe</t>
  </si>
  <si>
    <t>682</t>
  </si>
  <si>
    <t>683</t>
  </si>
  <si>
    <t>682[90786] Лист (Д) АМг2М 0,8*1000*1500</t>
  </si>
  <si>
    <t>683[34817] 0906-20, 3,2 м,  6063 Fe</t>
  </si>
  <si>
    <t>683[69346] 0906-20, 3,65 м, 6063 КР уп Т-5</t>
  </si>
  <si>
    <t>[77533] 8507023 (0680-03) 6,5м анод с дробью + стрейч</t>
  </si>
  <si>
    <t>687</t>
  </si>
  <si>
    <t>687[77504] 0706-91 4,9 м, БА сплав 6063 Кр Т6, уп Т-5</t>
  </si>
  <si>
    <t>[32823] 0406-55 2,0 м, Ад31 уп Т1</t>
  </si>
  <si>
    <t>[94803] 1906-42, 6,05м,  6063 Т6, упак.Т5, БА</t>
  </si>
  <si>
    <t>[94804] 1906-43, 6,05м, 6063 Т6, упак.Т5, БА</t>
  </si>
  <si>
    <t>690</t>
  </si>
  <si>
    <t>691</t>
  </si>
  <si>
    <t>690[70484] 1506-77 (АА-2050-85), 6,0м, 6063 Т6, упаковка Т-5, без покрытия</t>
  </si>
  <si>
    <t>691[78712] 1606-73 (п-образный), 6,0м, 6063 Т6, упаковка Т-5, БА</t>
  </si>
  <si>
    <t>692</t>
  </si>
  <si>
    <t>[93205] 1906-42, 6,05м, БЦ анод 15мкм с Дробью, упак в бумагу</t>
  </si>
  <si>
    <t>[93206] 1906-43, 6,05м, БЦ анод 15мкм с Дробью, упак в бумагу</t>
  </si>
  <si>
    <t>693</t>
  </si>
  <si>
    <t>692[94803] 1906-42, 6,05м,  6063 Т6, упак.Т5, БА</t>
  </si>
  <si>
    <t>692[94804] 1906-43, 6,05м, 6063 Т6, упак.Т5, БА</t>
  </si>
  <si>
    <t>693[29864] 0106-280 (Б-1275) 6,0 БА</t>
  </si>
  <si>
    <t>693[919] Труба круглая 22*1,5мм (9999-45,АТ-600)  6,0м , сплав АД31 Т1, упаковка Т3</t>
  </si>
  <si>
    <t>695[81356] 1606-37 (АВА-7227, 6200), 5,05 м, сплав 6063 КР Т6, упаковка Т-5</t>
  </si>
  <si>
    <t>695</t>
  </si>
  <si>
    <t>OPT001498</t>
  </si>
  <si>
    <t>OPT001499</t>
  </si>
  <si>
    <t>697</t>
  </si>
  <si>
    <t>698</t>
  </si>
  <si>
    <t>699</t>
  </si>
  <si>
    <t>697[33879] 0906-63, 6,0м, 6063КР, БА</t>
  </si>
  <si>
    <t>698[91744] 1606-30, 3,55м, 6063 Т6, упак.Т5 под анод, БА</t>
  </si>
  <si>
    <t>699[81579] 1706-69, 6,0м, 6063 Т6, упаковка Т-5, БА</t>
  </si>
  <si>
    <t>699[89968] 2606-57, 6,0м, 6063 Т6, уп.Т5, БА</t>
  </si>
  <si>
    <t>OPT001498[35197] 0106-238, 6,0м, 6063 Т1, упаковка Т-5, под анод тип 1 ,БА</t>
  </si>
  <si>
    <t>[94501] Профиль 15*15*2, 1,34м, АД31</t>
  </si>
  <si>
    <t>ПОСМ С-З</t>
  </si>
  <si>
    <t>701</t>
  </si>
  <si>
    <t>701[94501] Профиль 15*15*2, 1,34м, АД31</t>
  </si>
  <si>
    <t>10-брак БА механич.поврежд.+3 экструз.пузыри</t>
  </si>
  <si>
    <t>703</t>
  </si>
  <si>
    <t>[30349] 8507042 (0680-06 нет, АА-2064-04) 6,0м, 6063 КР</t>
  </si>
  <si>
    <t>[30670] 8507042 (0680-06 нет, АА-2064-04) 6,0м, БЦ+стрейч по 2 шт</t>
  </si>
  <si>
    <t>[85402] тентовый профиль 27мм (АТ-6945,аналог 1706-85, 221332) 3,0м, Ад31 Т1</t>
  </si>
  <si>
    <t>[94989] тентовый профиль 27мм (АТ-6945,аналог 1706-85, 221332) 3,0м, анод 8-10 с дробью</t>
  </si>
  <si>
    <t>703[30349] 8507042 (0680-06 нет, АА-2064-04) 6,0м, 6063 КР</t>
  </si>
  <si>
    <t>703[85402] тентовый профиль 27мм (АТ-6945,аналог 1706-85, 221332) 3,0м, Ад31 Т1</t>
  </si>
  <si>
    <t>OPT001520</t>
  </si>
  <si>
    <t>2шт мех.поврежд.</t>
  </si>
  <si>
    <t>OPT001520[13620] 0106-290 (6158), 6,0м, 6063 Т1, тип 1, упаковка Т-5, БА</t>
  </si>
  <si>
    <t>705</t>
  </si>
  <si>
    <t>706</t>
  </si>
  <si>
    <t>707</t>
  </si>
  <si>
    <t>708</t>
  </si>
  <si>
    <t>706[77196] 1606-40 (Н профиль) 3,0 м, сплав 6063 КР Т6</t>
  </si>
  <si>
    <t>706[77197] 1606-41 (L профиль) 3,0 м, сплав 6063 КР Т6</t>
  </si>
  <si>
    <t>707[76596] 1606-39 (197.04) 4,85 м, сплав 6063 КР Т6, упковка Т5</t>
  </si>
  <si>
    <t>708[81357] 1606-37 (АВА-7227), 4,45 м, сплав 6063 КР Т6, упаковка Т-5</t>
  </si>
  <si>
    <t>711</t>
  </si>
  <si>
    <t>711[65949] ВАС-2, (219058) 6,0м, БА</t>
  </si>
  <si>
    <t>[95023] Уголок 50*50*3 (Д) 6 м, 6060 Т6</t>
  </si>
  <si>
    <t>[95024] Уголок 50*50*3 (Д) 6 м, анод 4-5 мкм (под покраску) без дроби</t>
  </si>
  <si>
    <t>1[93906] А-48.150 (Д), 6м, 6060 Т6</t>
  </si>
  <si>
    <t>1[95023] Уголок 50*50*3 (Д) 6 м, 6060 Т6</t>
  </si>
  <si>
    <t>1[91475] А24.4 (Д), Профиль, 6м, сплав 6060</t>
  </si>
  <si>
    <t>1[92044] А28 (Д),  6м, 6060 Т6</t>
  </si>
  <si>
    <t>1[92124] А-967.1 (Д), 6м, 6060Т6</t>
  </si>
  <si>
    <t>[32822] 0406-55 3,0 м, Ад31 Т1</t>
  </si>
  <si>
    <t>9</t>
  </si>
  <si>
    <t>8[93277] Лист АМГ2М 2,5*1500*500 (Д)</t>
  </si>
  <si>
    <t>9[89435] 2606-56, 6,0м, 6063 Т6, уп.Т5, БА</t>
  </si>
  <si>
    <t>9[89761] 2606-58, 6,0м, сплав 6063 Т5 (под гибку), упак. Т5</t>
  </si>
  <si>
    <t>4</t>
  </si>
  <si>
    <t>4[69346] 0906-20, 3,65 м, 6063 КР уп Т-5</t>
  </si>
  <si>
    <t>4[35674] 0906-20, 3,2 м, сплав 6063 КР уп Т-5</t>
  </si>
  <si>
    <t>10</t>
  </si>
  <si>
    <t>10[76034] 220650 (1606-52, АВА-3665) бортовой боковой 6,0м сплав 6063 Т6</t>
  </si>
  <si>
    <t>12</t>
  </si>
  <si>
    <t>11</t>
  </si>
  <si>
    <t>14</t>
  </si>
  <si>
    <t>[48902] АТ-5871 6,0м, БА</t>
  </si>
  <si>
    <t>[48905] АТ-5871 6,0м, БЦ</t>
  </si>
  <si>
    <t>[77165] 1606-40 (Н профиль) 3,0 м, технический анод 5мкм без дроби+стрейч мини пачки</t>
  </si>
  <si>
    <t>[94918] 1906-61, сплав 6063 Т6, L=5,0м,  уп.Т5 под анод, без покрытия</t>
  </si>
  <si>
    <t>[95285] 1906-61 Профиль алюминиевый,5,0м, анод 15 мкм</t>
  </si>
  <si>
    <t>[95300] 1606-61 дав, 3,1м, 6063 Т1 под анод тип 2, уп. Т5, БА</t>
  </si>
  <si>
    <t>[95214] 1606-61 дав, 3,1м, БЦ анод 5мкм, упак.стрейч</t>
  </si>
  <si>
    <t>13</t>
  </si>
  <si>
    <t>11[94918] 1906-61, сплав 6063 Т6, L=5,0м,  уп.Т5 под анод, без покрытия</t>
  </si>
  <si>
    <t>12[95300] 1606-61 дав, 3,1м, 6063 Т1 под анод тип 2, уп. Т5, БА</t>
  </si>
  <si>
    <t>13[48902] АТ-5871 6,0м, БА</t>
  </si>
  <si>
    <t>14[76034] 220650 (1606-52, АВА-3665) бортовой боковой 6,0м сплав 6063 Т6</t>
  </si>
  <si>
    <t>15</t>
  </si>
  <si>
    <t>15[81356] 1606-37 (АВА-7227, 6200), 5,05 м, сплав 6063 КР Т6, упаковка Т-5</t>
  </si>
  <si>
    <t>[23416] 0506-20, 6,0м, БЦ с дробью</t>
  </si>
  <si>
    <t>[11600] 0106-235, 6,0м, БЦ анод (9-12мкм) с дробью + стретч пленка</t>
  </si>
  <si>
    <t>[89970] 2606-68, 3,1м, БЦ анод 15мкм с дробью, упак волной через бумагу</t>
  </si>
  <si>
    <t>[75791] 0506-93 (АТ-6458, 224350), 3,0м, БА сплав 6063 Т1</t>
  </si>
  <si>
    <t>[75790] 0506-93 (АТ-6458), 3,0м, анод + дробь</t>
  </si>
  <si>
    <t>[57149] АА-2048, (ВАС-3, 219059)  6,0м, БА</t>
  </si>
  <si>
    <t>[57151] АА-2048 (219059) 6,0м, БЦ</t>
  </si>
  <si>
    <t>[75999] 220650 (1606-52) бортовой боковой 4,4м БЦ анод +стрейч по 2шт</t>
  </si>
  <si>
    <t>[89408] 650.08 Д , 3,0м, анод15 мкм без дроби, уп мини пачки-стрейч</t>
  </si>
  <si>
    <t>[89618] 2606-56, 6,0м, БЦ анод 5мкм (тех) без дроби, упак.стрейч</t>
  </si>
  <si>
    <t>[89844] Анодирование трубы АД31Т 25х1х6000 (Д), 18-21 мкм без дроби, уп мини пачки</t>
  </si>
  <si>
    <t>[90465] Д Основания ТИС-Р-2А (профиль 1111-116), 320мм, БЦ</t>
  </si>
  <si>
    <t>[89745] Лист АМГ2М 2,5*1500*500 (Д), анод 18-21 мкм, одностороннее (без упл)</t>
  </si>
  <si>
    <t>[90809] Анодирование крыло большое (Д) 18-21 мкм, с дробью, стрейч аждый хлыст</t>
  </si>
  <si>
    <t>[90885] д 30х30 B-Rxtr, 6,05м 9-12мкм с дробью, бумага</t>
  </si>
  <si>
    <t>[90886] д 40х40 B-Rxtr, 6,05м 9-12мкм с дробью, бумага</t>
  </si>
  <si>
    <t>[89928] балка Ад-35 Д L=4677, анод 8-10мкм, с дробью, веерная упаковка в бумагу</t>
  </si>
  <si>
    <t>[89926] балка Ад-35 Д L=4042, анод 8-10мкм, с дробью, веерная упаковка в бумагу</t>
  </si>
  <si>
    <t>[89920] балка Ад-35 Д L=2036, анод 8-10мкм, с дробью, веерная упаковка в бумагу</t>
  </si>
  <si>
    <t>[90975] балка Ад-35 Д L=4755, анод 8-10мкм, с дробью, веерная упаковка в бумагу</t>
  </si>
  <si>
    <t>385</t>
  </si>
  <si>
    <t>389</t>
  </si>
  <si>
    <t>392</t>
  </si>
  <si>
    <t>393</t>
  </si>
  <si>
    <t>394</t>
  </si>
  <si>
    <t>395</t>
  </si>
  <si>
    <t>382</t>
  </si>
  <si>
    <t>[91562] ПМ47 (Д), 5м, анод 15 мкм без дроби, уп стрейч мини пачка</t>
  </si>
  <si>
    <t>397</t>
  </si>
  <si>
    <t>[91644] труба 200х50х2мм Д, 2,0м анод 8-10 мкм</t>
  </si>
  <si>
    <t>398</t>
  </si>
  <si>
    <t>[91497] 220650 (1606-52) бортовой боковой 3,2м БЦ анод +стрейч</t>
  </si>
  <si>
    <t>399</t>
  </si>
  <si>
    <t>400</t>
  </si>
  <si>
    <t>405</t>
  </si>
  <si>
    <t>410</t>
  </si>
  <si>
    <t>411</t>
  </si>
  <si>
    <t>412</t>
  </si>
  <si>
    <t>413</t>
  </si>
  <si>
    <t>401</t>
  </si>
  <si>
    <t>414</t>
  </si>
  <si>
    <t>415</t>
  </si>
  <si>
    <t>416</t>
  </si>
  <si>
    <t>417</t>
  </si>
  <si>
    <t>419</t>
  </si>
  <si>
    <t>421</t>
  </si>
  <si>
    <t>422</t>
  </si>
  <si>
    <t>423</t>
  </si>
  <si>
    <t>424</t>
  </si>
  <si>
    <t>426</t>
  </si>
  <si>
    <t>396</t>
  </si>
  <si>
    <t>[91636] Крышка профиля ЛК60, 6+6 мм, 5м, анод 15 мкм с дробью, уп  стейч мини пачки</t>
  </si>
  <si>
    <t>427</t>
  </si>
  <si>
    <t>[56861] А 16 (0072-05) Прогон двухполочный, 5,0м, сплав 6063</t>
  </si>
  <si>
    <t>[1035] А 16 (0072-05) Прогон двухполочный, 5,0м, анод с дробью+ОКЛЕЙКА</t>
  </si>
  <si>
    <t>428</t>
  </si>
  <si>
    <t>429</t>
  </si>
  <si>
    <t>391</t>
  </si>
  <si>
    <t>425</t>
  </si>
  <si>
    <t>[48346] 1406-77, 3,0 м, сплав БЦ анод с дробью+упаковка в мини-пачки стрейч</t>
  </si>
  <si>
    <t>430</t>
  </si>
  <si>
    <t>390</t>
  </si>
  <si>
    <t>388</t>
  </si>
  <si>
    <t>432</t>
  </si>
  <si>
    <t>431</t>
  </si>
  <si>
    <t>433</t>
  </si>
  <si>
    <t>434</t>
  </si>
  <si>
    <t>437</t>
  </si>
  <si>
    <t>435</t>
  </si>
  <si>
    <t>441</t>
  </si>
  <si>
    <t>442</t>
  </si>
  <si>
    <t>[92010] НПЧ 703, 89*45 (стойка) Д, 2,3м, анод 8-10 мкм, без дроби, веерное прокл.бумагой</t>
  </si>
  <si>
    <t>[92012] НПЧ 703, 89*45 (обвязка 3*3) Д, 2,81м, анод 8-10 мкм, без дроби, веерное прокл.бумагой</t>
  </si>
  <si>
    <t>[92014] НПЧ 703, 89*45 (обвязка 5*5) Д, 4,805м, анод 8-10 мкм, без дроби, веерное прокл.бумагой</t>
  </si>
  <si>
    <t>[92016] НПЧ 703, 89*45 (стойка деревяная) Д, 3м, анод 8-10 мкм, без дроби, веерное прокл.бумагой</t>
  </si>
  <si>
    <t>[92018] НПЧ 2857-А, 110*68 (обвязка) Д, 5,764м, анод 8-10 мкм, без дроби, веерное прокл.бумагой</t>
  </si>
  <si>
    <t>[92020] НПЧ 2857-А, 110*68 (стойка) Д, 2,98м, анод 8-10 мкм, без дроби, веерное прокл.бумагой</t>
  </si>
  <si>
    <t>445</t>
  </si>
  <si>
    <t>403</t>
  </si>
  <si>
    <t>443</t>
  </si>
  <si>
    <t>444</t>
  </si>
  <si>
    <t>440</t>
  </si>
  <si>
    <t>446</t>
  </si>
  <si>
    <t>448</t>
  </si>
  <si>
    <t>449</t>
  </si>
  <si>
    <t>436</t>
  </si>
  <si>
    <t>451</t>
  </si>
  <si>
    <t>[86887] 2606-14 (замена 2606-06), 5,65 м,  анод 4-5мкм с дробью +стрейч</t>
  </si>
  <si>
    <t>454</t>
  </si>
  <si>
    <t>459</t>
  </si>
  <si>
    <t>456</t>
  </si>
  <si>
    <t>[33730] 0906-58 6,0м, анод с дробью+стрейч</t>
  </si>
  <si>
    <t>458</t>
  </si>
  <si>
    <t>455</t>
  </si>
  <si>
    <t>460</t>
  </si>
  <si>
    <t>[81584] 1606-73 (п-образный), 4,0м, БЦ анод (5мкм) без дроби, упак стрейч</t>
  </si>
  <si>
    <t>461</t>
  </si>
  <si>
    <t>463</t>
  </si>
  <si>
    <t>465</t>
  </si>
  <si>
    <t>464</t>
  </si>
  <si>
    <t>467</t>
  </si>
  <si>
    <t>468</t>
  </si>
  <si>
    <t>469</t>
  </si>
  <si>
    <t>[91731] 1606-06, 3,6м, БЦ анод 5мкм без дроби, стретч-плёнка</t>
  </si>
  <si>
    <t>470</t>
  </si>
  <si>
    <t>471</t>
  </si>
  <si>
    <t>447</t>
  </si>
  <si>
    <t>474</t>
  </si>
  <si>
    <t>475</t>
  </si>
  <si>
    <t>477</t>
  </si>
  <si>
    <t>476</t>
  </si>
  <si>
    <t>479</t>
  </si>
  <si>
    <t>481</t>
  </si>
  <si>
    <t>483</t>
  </si>
  <si>
    <t>485</t>
  </si>
  <si>
    <t>[92540] 1906-20, 3,15м, БЦ анод 5мкм с дробью, упак. стрейч</t>
  </si>
  <si>
    <t>487</t>
  </si>
  <si>
    <t>488</t>
  </si>
  <si>
    <t>491</t>
  </si>
  <si>
    <t>492</t>
  </si>
  <si>
    <t>[20617] 0306-75, 6,0м, БЦ анод без дроби</t>
  </si>
  <si>
    <t>493</t>
  </si>
  <si>
    <t>494</t>
  </si>
  <si>
    <t>495</t>
  </si>
  <si>
    <t>496</t>
  </si>
  <si>
    <t>497</t>
  </si>
  <si>
    <t>498</t>
  </si>
  <si>
    <t>499</t>
  </si>
  <si>
    <t>500</t>
  </si>
  <si>
    <t>[92706] д 20х20 V-slot, 6,05м 9-12мкм с дробью, бумага</t>
  </si>
  <si>
    <t>[92997] д 90х90 B-Rxtr, 6,1м 9-12мкм с дробью, бумага</t>
  </si>
  <si>
    <t>[93000] д 90х90 B-Rxtr, 4,8м, БА</t>
  </si>
  <si>
    <t>[92998] д 90х90 B-Rxtr, 4,8м 9-12мкм с дробью, бумага</t>
  </si>
  <si>
    <t>501</t>
  </si>
  <si>
    <t>503</t>
  </si>
  <si>
    <t>504</t>
  </si>
  <si>
    <t>[92303] ГЛКС 110510.110 Д, с обработкой 40 отв., БЦ анод 15мкм без дроби + струбцины, упак. стрейч, 3300мм</t>
  </si>
  <si>
    <t>505</t>
  </si>
  <si>
    <t>507</t>
  </si>
  <si>
    <t>385[90467] Д Основания ТИС-Р-3 (профиль 1111-116), 475мм, БА</t>
  </si>
  <si>
    <t>385[90466] Д Основания ТИС-Р-2А (профиль 1111-116), 320мм БА</t>
  </si>
  <si>
    <t>392[57128] 0306-74, 6,0м, 6063 Т6, упаковка Т-5, БА</t>
  </si>
  <si>
    <t>393[70484] 1506-77 (АА-2050-85), 6,0м, 6063 Т6, упаковка Т-5, без покрытия</t>
  </si>
  <si>
    <t>394[91034] 1506-79, 3,6м, 6063 Т6, упак.Т5, БА</t>
  </si>
  <si>
    <t>395[81578] 1706-68, 6,0м, 6063 Т1, упаковка Т-5, БА</t>
  </si>
  <si>
    <t>382[91564] ПМ47 (Д), 5м, сплав 6063</t>
  </si>
  <si>
    <t>397[91645] труба 200х50х2мм Д, 2,0м БА</t>
  </si>
  <si>
    <t>398[76221] 220650 (1606-52, АВА-3665) бортовой боковой 3,2м сплав 6063 Т6</t>
  </si>
  <si>
    <t>399[88517] 220650 (1606-52) бортовой боковой 4,4м сплав 6063 Т6</t>
  </si>
  <si>
    <t>400[77780] автоуголок 250*40мм (1706-75, 97101) 6,0м, сплав 6063 Т6 +  упаковка А5</t>
  </si>
  <si>
    <t>400[69916] автоуголок 50*50 мм (97082) 6,0м,  сплав 6063 Т6 + упаковка А5</t>
  </si>
  <si>
    <t>405[77502] 0706-85 4,9 м, сплав 6063Кр, сост Т1, уп. Т5</t>
  </si>
  <si>
    <t>410[68773] 0906-71, 5,8 м, сплав 6063 КР Т1</t>
  </si>
  <si>
    <t>411[81578] 1706-68, 6,0м, 6063 Т1, упаковка Т-5, БА</t>
  </si>
  <si>
    <t>411[81738] 1706-70, 6,0м, 6063 Т1, упаковка Т-5, БА</t>
  </si>
  <si>
    <t>411[89435] 2606-56, 6,0м, 6063 Т6, уп.Т5, БА</t>
  </si>
  <si>
    <t>412[70484] 1506-77 (АА-2050-85), 6,0м, 6063 Т6, упаковка Т-5, без покрытия</t>
  </si>
  <si>
    <t>413[91034] 1506-79, 3,6м, 6063 Т6, упак.Т5, БА</t>
  </si>
  <si>
    <t>401[90881] Крыло большое (Д)</t>
  </si>
  <si>
    <t>414[69453] 1506-44 (АВА-7225), 6,0м, 6063 Т1, тип 1,  упак. Т5, БА</t>
  </si>
  <si>
    <t>415[81578] 1706-68, 6,0м, 6063 Т1, упаковка Т-5, БА</t>
  </si>
  <si>
    <t>415[81738] 1706-70, 6,0м, 6063 Т1, упаковка Т-5, БА</t>
  </si>
  <si>
    <t>416[91534] Корпус_КУДР.676621.015.01-01 (1418мм) 6063</t>
  </si>
  <si>
    <t>416[91532] Корпус_КУДР.676621.015.01 (1885мм) 6063</t>
  </si>
  <si>
    <t>417[34579] 0906-44 (АТ-6052), 6,0м, БА с перфорацией</t>
  </si>
  <si>
    <t>419[77780] автоуголок 250*40мм (1706-75, 97101) 6,0м, сплав 6063 Т6 +  упаковка А5</t>
  </si>
  <si>
    <t>421[90452] 2606-58, 6,0м, чёрный анод 10мкм без дроби, упак.стрейч</t>
  </si>
  <si>
    <t>422[81357] 1606-37 (АВА-7227), 4,45 м, сплав 6063 КР Т6, упаковка Т-5</t>
  </si>
  <si>
    <t>424[865] автополоса 155*4мм (0106-152)  6,0м  6063 Т6  уп Т5</t>
  </si>
  <si>
    <t>426[77502] 0706-85 4,9 м, сплав 6063Кр, сост Т1, уп. Т5</t>
  </si>
  <si>
    <t>396[91637] Крышка профиля ЛК60, 6+6 мм, 5м, АД31</t>
  </si>
  <si>
    <t>427[56861] А 16 (0072-05) Прогон двухполочный, 5,0м, сплав 6063</t>
  </si>
  <si>
    <t>428[90988] Д 30х30 B-Rxtr 6,05м, БА</t>
  </si>
  <si>
    <t>428[90989] д 40х40 B-Rxtr, 6,05м БА</t>
  </si>
  <si>
    <t>429[90028] 2575 коробка Д,6м</t>
  </si>
  <si>
    <t>429[90078] 2577 полотно, Д, 6м</t>
  </si>
  <si>
    <t>391[89957] ПКФ (176) 5033 Д L=1100 АД31Т1</t>
  </si>
  <si>
    <t>391[89958] ПКФ (177) 5050 Д L=1250 АД31Т1</t>
  </si>
  <si>
    <t>391[89959] ПКФ (176) 5033 Д L=1250 АД31Т1</t>
  </si>
  <si>
    <t>391[89960] ПКФ (177) 5050 Д L=1560 АД31Т1</t>
  </si>
  <si>
    <t>391[89961] ПКФ (176) 5033 Д L=1560 АД31Т1</t>
  </si>
  <si>
    <t>425[48347] 1406-77, 3,0м, сплав 6063 Кр</t>
  </si>
  <si>
    <t>430[68773] 0906-71, 5,8 м, сплав 6063 КР Т1</t>
  </si>
  <si>
    <t>388[89938] балка Ад-35 Д, L=5005</t>
  </si>
  <si>
    <t>388[89940] балка Ад-35 Д, L=5135</t>
  </si>
  <si>
    <t>388[90213] балка Ад-35 Д, L=5090</t>
  </si>
  <si>
    <t>388[89937] балка Ад-35 Д, L=4940</t>
  </si>
  <si>
    <t>388[90977] балка Ад-35 Д, L=4755</t>
  </si>
  <si>
    <t>388[89935] балка Ад-35 Д, L=4570</t>
  </si>
  <si>
    <t>388[89936] балка Ад-35 Д, L=4677</t>
  </si>
  <si>
    <t>388[89934] балка Ад-35 Д, L=4042</t>
  </si>
  <si>
    <t>388[90214] балка Ад-35 Д, L=4200</t>
  </si>
  <si>
    <t>388[90215] балка Ад-35 Д, L=3950</t>
  </si>
  <si>
    <t>388[89933] балка Ад-35 Д, L=3085</t>
  </si>
  <si>
    <t>388[89644] балка Ад-35 Д, L=1070</t>
  </si>
  <si>
    <t>388[90216] балка Ад-35 Д, L=1361</t>
  </si>
  <si>
    <t>388[89646] балка Ад-35 Д, L=1370</t>
  </si>
  <si>
    <t>388[89921] балка Ад-35 Д, L=2036</t>
  </si>
  <si>
    <t>388[90220] балка Ад-35 Д, L=700</t>
  </si>
  <si>
    <t>388[89648] балка Ад-35 Д, L=300</t>
  </si>
  <si>
    <t>432[91034] 1506-79, 3,6м, 6063 Т6, упак.Т5, БА</t>
  </si>
  <si>
    <t>431[76552] 1606-38 (197.05) 5,15 м, сплав 6063 КР Т6</t>
  </si>
  <si>
    <t>433[92063] 0906-44, 6,05м, с перфорацией, БА</t>
  </si>
  <si>
    <t>434[81579] 1706-69, 6,0м, 6063 Т6, упаковка Т-5, БА</t>
  </si>
  <si>
    <t>434[89435] 2606-56, 6,0м, 6063 Т6, уп.Т5, БА</t>
  </si>
  <si>
    <t>437[81738] 1706-70, 6,0м, 6063 Т1, упаковка Т-5, БА</t>
  </si>
  <si>
    <t>435[29755] 0706-57, (НЧП-5538, АТ-6013, ВАС-7, 219063) 6,0м, БА</t>
  </si>
  <si>
    <t>435[1161] Труба круглая 35*1,2 (АВА Б-1274,0106-177, АТ-992, ВАС-10, 219066), 6,0м БА</t>
  </si>
  <si>
    <t>435[3285] 0706-63,  6,0м, БА</t>
  </si>
  <si>
    <t>441[81357] 1606-37 (АВА-7227), 4,45 м, сплав 6063 КР Т6, упаковка Т-5</t>
  </si>
  <si>
    <t>441[81356] 1606-37 (АВА-7227, 6200), 5,05 м, сплав 6063 КР Т6, упаковка Т-5</t>
  </si>
  <si>
    <t>442[92011] НПЧ 703, 89*45 (стойка) Д, 2,3м, АД31</t>
  </si>
  <si>
    <t>442[92013] НПЧ 703, 89*45 (обвязка 3*3) Д, 2,81м, АД31</t>
  </si>
  <si>
    <t>442[92015] НПЧ 703, 89*45 (обвязка 5*5) Д, 4,805м, АД31</t>
  </si>
  <si>
    <t>442[92017] НПЧ 703, 89*45 (стойка деревяная) Д, 3м, АД31</t>
  </si>
  <si>
    <t>442[92019] НПЧ 2857-А, 110*68 (обвязка) Д, 5,764м,АД31</t>
  </si>
  <si>
    <t>442[92021] НПЧ 2857-А, 110*68 (стойка) Д, 2,98м, АД31</t>
  </si>
  <si>
    <t>445[92124] А-967.1 (Д), 6м, 6060Т6</t>
  </si>
  <si>
    <t>403[91564] ПМ47 (Д), 5м, сплав 6063</t>
  </si>
  <si>
    <t>443[89409] 650.08 Д , 3,0м, 6063</t>
  </si>
  <si>
    <t>444[76034] 220650 (1606-52, АВА-3665) бортовой боковой 6,0м сплав 6063 Т6</t>
  </si>
  <si>
    <t>440[92044] А28 (Д),  6м, 6060 Т6</t>
  </si>
  <si>
    <t>440[92124] А-967.1 (Д), 6м, 6060Т6</t>
  </si>
  <si>
    <t>448[34579] 0906-44 (АТ-6052), 6,0м, БА с перфорацией</t>
  </si>
  <si>
    <t>449[89918] Труба АД31Т 25х1х6000 (Д),</t>
  </si>
  <si>
    <t>436[65948] ВАС-1 (219057), 6,0м, БА</t>
  </si>
  <si>
    <t>436[35789] Б-1310(0706-60,ВАС-5, 219061) 6,0м ,БА</t>
  </si>
  <si>
    <t>436[57149] АА-2048, (ВАС-3, 219059)  6,0м, БА</t>
  </si>
  <si>
    <t>436[35713] А- 2477( 0706-59 ,ВАС-4, 219060) 6,0м, БА</t>
  </si>
  <si>
    <t>451[86901] 2606-14 (замена 2606-06), 5,65 м,  6063 Т1, БА</t>
  </si>
  <si>
    <t>454[376] А 12 (0072-08) Угловая стойка, 5,0м, 6063 КР</t>
  </si>
  <si>
    <t>459[92099] ТР 25*2 (Д) 6м, АД31</t>
  </si>
  <si>
    <t>456[33556] 0906-58 6,0м, 6063 КР Т1 уп. Т-5</t>
  </si>
  <si>
    <t>458[86901] 2606-14 (замена 2606-06), 5,65 м,  6063 Т1, БА</t>
  </si>
  <si>
    <t>455[59210] 0906-89, 6,05м, сплав 6063КР Т6, упак.Т5</t>
  </si>
  <si>
    <t>460[78712] 1606-73 (п-образный), 6,0м, 6063 Т6, упаковка Т-5, БА</t>
  </si>
  <si>
    <t>460[79492] 1606-73 (п-образный), 4,0м, 6063 Т1, упаковка Т-5, БА</t>
  </si>
  <si>
    <t>461[29864] 0106-280 (Б-1275) 6,0 БА</t>
  </si>
  <si>
    <t>461[29800] 0706-55,  6,0м, БА</t>
  </si>
  <si>
    <t>461[30285] 0706-64,(ВАС-2,НЧП-3197, АТ-6015, 219058) 6,0м, БА</t>
  </si>
  <si>
    <t>461[1110] Труба круглая 32*1мм (АВА 2544,0106-146, АТ-1327, ВАС-8, 219064) 6,0м БА</t>
  </si>
  <si>
    <t>463[90786] Лист (Д) АМг2М 0,8*1000*1500</t>
  </si>
  <si>
    <t>465[30616] 0706-94 (197.07, АА-2050-50), 6,0м, сплав 6063 КР, состТ1, упаковка.Т5</t>
  </si>
  <si>
    <t>464[75791] 0506-93 (АТ-6458, 224350), 3,0м, БА сплав 6063 Т1</t>
  </si>
  <si>
    <t>467[57675] 0306-70, 6,05м, 6063 Т1, упаковка Т-5, БА</t>
  </si>
  <si>
    <t>468[91034] 1506-79, 3,6м, 6063 Т6, упак.Т5, БА</t>
  </si>
  <si>
    <t>469[91785] 1606-06, 3,6м, 6063 Т6, упак.Т5, БА</t>
  </si>
  <si>
    <t>470[78712] 1606-73 (п-образный), 6,0м, 6063 Т6, упаковка Т-5, БА</t>
  </si>
  <si>
    <t>470[79492] 1606-73 (п-образный), 4,0м, 6063 Т1, упаковка Т-5, БА</t>
  </si>
  <si>
    <t>447[91475] А24.4 (Д), Профиль, 6м, сплав 6060</t>
  </si>
  <si>
    <t>447[92167] Шина 3*30 (Д) 4,6 м, 6060 Т6</t>
  </si>
  <si>
    <t>447[92165] А 03.17 (Д) 4 м, 6060 Т6</t>
  </si>
  <si>
    <t>447[92159] А03.9 (Д) 6м, 6060 Т6</t>
  </si>
  <si>
    <t>447[92164] А 03.10 (Д) 6 м, 6060 Т6</t>
  </si>
  <si>
    <t>447[92166] А24.5 (Д),  6м, 6060 Т6</t>
  </si>
  <si>
    <t>474[919] Труба круглая 22*1,5мм (9999-45,АТ-600)  6,0м , сплав АД31 Т1, упаковка Т3</t>
  </si>
  <si>
    <t>474[1110] Труба круглая 32*1мм (АВА 2544,0106-146, АТ-1327, ВАС-8, 219064) 6,0м БА</t>
  </si>
  <si>
    <t>474[848] Труба круглая 35*1мм, 6м БА (0106-83, Б-1292, АТ-3314, 219065)</t>
  </si>
  <si>
    <t>477[76099] 1606-29 (проставка Н), 6,0м, 6063 Т1, упаковка Т-5, БА</t>
  </si>
  <si>
    <t>476[76596] 1606-39 (197.04) 4,85 м, сплав 6063 КР Т6, упковка Т5</t>
  </si>
  <si>
    <t>479[77780] автоуголок 250*40мм (1706-75, 97101) 6,0м, сплав 6063 Т6 +  упаковка А5</t>
  </si>
  <si>
    <t>481[69917] автоуголок 250*40мм (1706-75) 6,0м, сплав Ад31+  упаковка Т5</t>
  </si>
  <si>
    <t>481[76034] 220650 (1606-52, АВА-3665) бортовой боковой 6,0м сплав 6063 Т6</t>
  </si>
  <si>
    <t>483[65948] ВАС-1 (219057), 6,0м, БА</t>
  </si>
  <si>
    <t>483[65949] ВАС-2, (219058) 6,0м, БА</t>
  </si>
  <si>
    <t>485[92539] 1906-20, 3,15м, 6063 Т6, упаковка Т-5 под анод, БА</t>
  </si>
  <si>
    <t>487[93277] Лист АМГ2М 2,5*1500*500 (Д)</t>
  </si>
  <si>
    <t>488[76034] 220650 (1606-52, АВА-3665) бортовой боковой 6,0м сплав 6063 Т6</t>
  </si>
  <si>
    <t>491[76552] 1606-38 (197.05) 5,15 м, сплав 6063 КР Т6</t>
  </si>
  <si>
    <t>492[57128] 0306-74, 6,0м, 6063 Т6, упаковка Т-5, БА</t>
  </si>
  <si>
    <t>492[47166] 0306-75, 6,0м, 6063 Т6, упаковка Т-5, БА</t>
  </si>
  <si>
    <t>493[41030] 1406-05, 6,0м, БА сплав 6063КР под анод тип 2, Т1, уп.Т5</t>
  </si>
  <si>
    <t>494[91744] 1606-30, 3,55м, 6063 Т6, упак.Т5 под анод, БА</t>
  </si>
  <si>
    <t>495[91034] 1506-79, 3,6м, 6063 Т6, упак.Т5, БА</t>
  </si>
  <si>
    <t>496[78712] 1606-73 (п-образный), 6,0м, 6063 Т6, упаковка Т-5, БА</t>
  </si>
  <si>
    <t>497[89761] 2606-58, 6,0м, сплав 6063 Т5 (под гибку), упак. Т5</t>
  </si>
  <si>
    <t>498[90467] Д Основания ТИС-Р-3 (профиль 1111-116), 475мм, БА</t>
  </si>
  <si>
    <t>498[90466] Д Основания ТИС-Р-2А (профиль 1111-116), 320мм БА</t>
  </si>
  <si>
    <t>499[92690] Корпус_КУДР.676621.017.01-01 (1810мм) (Д) сплав 6063</t>
  </si>
  <si>
    <t>500[92707] д 20х20 V-slot, 6,05м, БА</t>
  </si>
  <si>
    <t>500[92708] Д 30х60 B-Rxtr 6,05м, БА</t>
  </si>
  <si>
    <t>500[91323] д 40х80 B-Rxtr, 6,05м БА</t>
  </si>
  <si>
    <t>500[92999] д 90х90 B-Rxtr, 6,1м, БА</t>
  </si>
  <si>
    <t>500[93000] д 90х90 B-Rxtr, 4,8м, БА</t>
  </si>
  <si>
    <t>501[68773] 0906-71, 5,8 м, сплав 6063 КР Т1</t>
  </si>
  <si>
    <t>503[1110] Труба круглая 32*1мм (АВА 2544,0106-146, АТ-1327, ВАС-8, 219064) 6,0м БА</t>
  </si>
  <si>
    <t>504[92307] ГЛКС 110510.110 Д, с обработкой 40 отв., без покрытия, 3300мм</t>
  </si>
  <si>
    <t>505[34579] 0906-44 (АТ-6052), 6,0м, БА с перфорацией</t>
  </si>
  <si>
    <t>507[91744] 1606-30, 3,55м, 6063 Т6, упак.Т5 под анод, БА</t>
  </si>
  <si>
    <t>STR000173[89971] 2606-68, 3,1м, 6063 Т6, уп.Т5, без покрытия</t>
  </si>
  <si>
    <t>OPT000721[13620] 0106-290 (6158), 6,0м, 6063 Т1, тип 1, упаковка Т-5, БА</t>
  </si>
  <si>
    <t>OPT000722[38435] 0506-20, 6,0м, 6063 Т1, упаковка Т-5, под анод тип 1, БА</t>
  </si>
  <si>
    <t>OPT000753[11564] 0106-235, 6,0м, 6063 Т6, упаковка Т-5, под анод тип 2, БА (прессовать на плюсовом допуске)</t>
  </si>
  <si>
    <t>OPT000754[38435] 0506-20, 6,0м, 6063 Т1, упаковка Т-5, под анод тип 1, БА</t>
  </si>
  <si>
    <t>OPT000755[38436] 0506-21, 6,0м, 6063 Т1, тип 1, упаковка Т-5, БА</t>
  </si>
  <si>
    <t>OPT000761[13620] 0106-290 (6158), 6,0м, 6063 Т1, тип 1, упаковка Т-5, БА</t>
  </si>
  <si>
    <t>OPT000794[11564] 0106-235, 6,0м, 6063 Т6, упаковка Т-5, под анод тип 2, БА (прессовать на плюсовом допуске)</t>
  </si>
  <si>
    <t>OPT000795[13620] 0106-290 (6158), 6,0м, 6063 Т1, тип 1, упаковка Т-5, БА</t>
  </si>
  <si>
    <t>OPT000796[38436] 0506-21, 6,0м, 6063 Т1, тип 1, упаковка Т-5, БА</t>
  </si>
  <si>
    <t>OPT000811[11564] 0106-235, 6,0м, 6063 Т6, упаковка Т-5, под анод тип 2, БА (прессовать на плюсовом допуске)</t>
  </si>
  <si>
    <t>OPT000812[38436] 0506-21, 6,0м, 6063 Т1, тип 1, упаковка Т-5, БА</t>
  </si>
  <si>
    <t>OPT000828[61440] 0106-289, 6,0м, 6063 Т1, упаковка Т-5, под анод тип 1, БА</t>
  </si>
  <si>
    <t>OPT001499[11564] 0106-235, 6,0м, 6063 Т6, упаковка Т-5, под анод тип 2, БА (прессовать на плюсовом допуске)</t>
  </si>
  <si>
    <t>[95303] 1706-06 дав. (нов.горизонт), 3,05м, 6063 Т1, упаковка Т-5, БА</t>
  </si>
  <si>
    <t>[95215] 1706-06 дав, 3,05м, БЦ анод 5мкм, упак.стрейч</t>
  </si>
  <si>
    <t>[95305] 1506-68 дав крышка, 3,05м, 6063 Т1, БА</t>
  </si>
  <si>
    <t>[95216] 1506-68 дав, 3,05м, БЦ анод 5мкм, упак.стрейч</t>
  </si>
  <si>
    <t>17</t>
  </si>
  <si>
    <t>16</t>
  </si>
  <si>
    <t>[64444] 1506-29(Коробка 270717-1) 5,4 м, анод с дробью + оклейка</t>
  </si>
  <si>
    <t>12[95303] 1706-06 дав. (нов.горизонт), 3,05м, 6063 Т1, упаковка Т-5, БА</t>
  </si>
  <si>
    <t>12[95305] 1506-68 дав крышка, 3,05м, 6063 Т1, БА</t>
  </si>
  <si>
    <t>17[865] автополоса 155*4мм (0106-152)  6,0м  6063 Т6  уп Т5</t>
  </si>
  <si>
    <t>16[86309] 1506-29, 5,4м, 6063  Т1, упак.Т5, БА</t>
  </si>
  <si>
    <t>19</t>
  </si>
  <si>
    <t>20</t>
  </si>
  <si>
    <t>21</t>
  </si>
  <si>
    <t>22</t>
  </si>
  <si>
    <t>23</t>
  </si>
  <si>
    <t>25</t>
  </si>
  <si>
    <t>27</t>
  </si>
  <si>
    <t>[82081] 2606-07, 4,15 м, анод 4-5мкм с дробью, стрейч каждый хл</t>
  </si>
  <si>
    <t>18</t>
  </si>
  <si>
    <t>[95124] Профиль 80*80 (221013), L=6м, сплав 6063 Т6 + уп А5</t>
  </si>
  <si>
    <t>18[65949] ВАС-2, (219058) 6,0м, БА</t>
  </si>
  <si>
    <t>18[35789] Б-1310(0706-60,ВАС-5, 219061) 6,0м ,БА</t>
  </si>
  <si>
    <t>18[35713] А- 2477( 0706-59 ,ВАС-4, 219060) 6,0м, БА</t>
  </si>
  <si>
    <t>18[29801] 0706-58,(НЧП-5537, АТ-6014, ВАС-6, 219062),  6,0м, БА</t>
  </si>
  <si>
    <t>18[29755] 0706-57, (НЧП-5538, АТ-6013, ВАС-7, 219063) 6,0м, БА</t>
  </si>
  <si>
    <t>18[57149] АА-2048, (ВАС-3, 219059)  6,0м, БА</t>
  </si>
  <si>
    <t>18[65948] ВАС-1 (219057), 6,0м, БА</t>
  </si>
  <si>
    <t>19[3285] 0706-63,  6,0м, БА</t>
  </si>
  <si>
    <t>19[1110] Труба круглая 32*1мм (АВА 2544,0106-146, АТ-1327, ВАС-8, 219064) 6,0м БА</t>
  </si>
  <si>
    <t>20[95124] Профиль 80*80 (221013), L=6м, сплав 6063 Т6 + уп А5</t>
  </si>
  <si>
    <t>21[61781] 0106-136, 6,05м, 6063 Т1, упаковка Т-5, БА</t>
  </si>
  <si>
    <t>22[34252] 0906-64, 6,0м, 6063 Т1, упаковка Т-5, БА (4000 пресс)</t>
  </si>
  <si>
    <t>23[91744] 1606-30, 3,55м, 6063 Т6, упак.Т5 под анод, БА</t>
  </si>
  <si>
    <t>25[68773] 0906-71, 5,8 м, сплав 6063 КР Т1</t>
  </si>
  <si>
    <t>27[80922] 2606-07, 4,15 м,  6063 Т6</t>
  </si>
  <si>
    <t>OPT000051[61440] 0106-289, 6,0м, 6063 Т1, упаковка Т-5, под анод тип 1, БА</t>
  </si>
  <si>
    <t>28</t>
  </si>
  <si>
    <t>31</t>
  </si>
  <si>
    <t>33</t>
  </si>
  <si>
    <t>34</t>
  </si>
  <si>
    <t>35</t>
  </si>
  <si>
    <t>36</t>
  </si>
  <si>
    <t>[84100] 197.10  6,05 м, анод с дробью 15мкм+оклейка, Т5 под гибку</t>
  </si>
  <si>
    <t>37</t>
  </si>
  <si>
    <t>[89411] Корпус_КУДР.676621.015.01-04 (1703мм) Д анод 15мкм</t>
  </si>
  <si>
    <t>[37634] 0906-85, 4,0м,  6063 КР Т1 проверка геометрии при анодировании</t>
  </si>
  <si>
    <t>[48907] АТ-5838 6,0м, БА сплав АД31 ликпаз</t>
  </si>
  <si>
    <t>[48908] АТ-5838 6,0м, БЦ (лик ПАЗ)</t>
  </si>
  <si>
    <t>522[37634] 0906-85, 4,0м,  6063 КР Т1 проверка геометрии при анодировании</t>
  </si>
  <si>
    <t>705[37634] 0906-85, 4,0м,  6063 КР Т1 проверка геометрии при анодировании</t>
  </si>
  <si>
    <t>29</t>
  </si>
  <si>
    <t>28[89443] Корпус_КУДР.676621.015.01-04 (1703мм) Д сплав 6063</t>
  </si>
  <si>
    <t>29[83225] 197.10  6,05м, 6063 КР Т5 под гибку 205-210 Мпа</t>
  </si>
  <si>
    <t>18хл - брак экстр.
10хл - брак механ</t>
  </si>
  <si>
    <t>30</t>
  </si>
  <si>
    <t>[95450] Швеллер дав 10х10х10х1,5мм, БА</t>
  </si>
  <si>
    <t>[95218] Швеллер дав 10х10х10х1,5мм, БЦ анод 9-12мкм с дробью, упак.мини-пачки</t>
  </si>
  <si>
    <t>32</t>
  </si>
  <si>
    <t>30[95450] Швеллер дав 10х10х10х1,5мм, БА</t>
  </si>
  <si>
    <t>31[48907] АТ-5838 6,0м, БА сплав АД31 ликпаз</t>
  </si>
  <si>
    <t>32[57149] АА-2048, (ВАС-3, 219059)  6,0м, БА</t>
  </si>
  <si>
    <t>32[65948] ВАС-1 (219057), 6,0м, БА</t>
  </si>
  <si>
    <t>[75451] 0706-95, 3,0м, анод с дробью + стрейч</t>
  </si>
  <si>
    <t>[95189] 1506-44 (АВА-7225), 3,0м, 6063 Т1, тип 1,  упак. Т5, БА</t>
  </si>
  <si>
    <t>[94987] 1506-44, 3,0м, БЦ анод 10мкм без дроби, упак.стрейч</t>
  </si>
  <si>
    <t>[73567] 1506-73, 6,05м, 6063 Т1, БА</t>
  </si>
  <si>
    <t>[93063] 1506-73, 6,05м, БЦ анод 15мкм с Дробью, упаковка в бумагу</t>
  </si>
  <si>
    <t>34[34252] 0906-64, 6,0м, 6063 Т1, упаковка Т-5, БА (4000 пресс)</t>
  </si>
  <si>
    <t>33[75458] 0706-95, 3,0м, сплав 6063КР, сост Т6, упаковка Т5</t>
  </si>
  <si>
    <t>35[95189] 1506-44 (АВА-7225), 3,0м, 6063 Т1, тип 1,  упак. Т5, БА</t>
  </si>
  <si>
    <t>36[73567] 1506-73, 6,05м, 6063 Т1, БА</t>
  </si>
  <si>
    <t>37[376] А 12 (0072-08) Угловая стойка, 5,0м, 6063 КР</t>
  </si>
  <si>
    <t>38</t>
  </si>
  <si>
    <t>[94502] Профиль (Д) 15*15*2, 1,34м, 15 мкм, без дроби, веерное прокл. бумагов</t>
  </si>
  <si>
    <t>OPT000078[13620] 0106-290 (6158), 6,0м, 6063 Т1, тип 1, упаковка Т-5, БА</t>
  </si>
  <si>
    <t>38[70484] 1506-77 (АА-2050-85), 6,0м, 6063 Т6, упаковка Т-5, без покрытия</t>
  </si>
  <si>
    <t>39</t>
  </si>
  <si>
    <t>40</t>
  </si>
  <si>
    <t>39[76034] 220650 (1606-52, АВА-3665) бортовой боковой 6,0м сплав 6063 Т6</t>
  </si>
  <si>
    <t>2025 год ведем в P:\2_Обменные документы\ЦВЕТОК\Сермус Виктор (снабжение ЦВЕТОК)\Отчеты BI</t>
  </si>
  <si>
    <t>[95502] д 45х45 B-Rxtr, 3,0м, БА</t>
  </si>
  <si>
    <t>[95498] д 45х45 B-Rxtr, 3,0м 9-12мкм с дробью, бумага</t>
  </si>
  <si>
    <t>[95503] д 45х90 B-Rxtr, 3,0м, БА</t>
  </si>
  <si>
    <t>[95499] д 45х90 B-Rxtr, 3,0м 9-12мкм с дробью, бумага</t>
  </si>
  <si>
    <t>41</t>
  </si>
  <si>
    <t>40[95502] д 45х45 B-Rxtr, 3,0м, БА</t>
  </si>
  <si>
    <t>40[95503] д 45х90 B-Rxtr, 3,0м, БА</t>
  </si>
  <si>
    <t>41[90028] 2575 коробка Д,6м</t>
  </si>
  <si>
    <t>44</t>
  </si>
  <si>
    <t>44[90786] Лист (Д) АМг2М 0,8*1000*1500</t>
  </si>
  <si>
    <t>OPT000093[13620] 0106-290 (6158), 6,0м, 6063 Т1, тип 1, упаковка Т-5, БА</t>
  </si>
  <si>
    <t>[69283] АП 2138, 6,0м, БЦ анод 10мкм без дроби, уп стрейч (для этикетки 2606-65)</t>
  </si>
  <si>
    <t>47</t>
  </si>
  <si>
    <t>[84485] 1706-80 (плинтус скрытый 60) 2,45 м, технический анод 5мкм без дроби+проложка бумагой</t>
  </si>
  <si>
    <t>47[84153] 1706-80 (плинтус скрытый 60) 2,45 м, АД31 Т1</t>
  </si>
  <si>
    <t>[92081] Полоса 3000*100*1 (Д) Амг3</t>
  </si>
  <si>
    <t>[92082] Полоса 3000*100*1 (Д) Амг3, анод 8-10мкм, уп мини пачки</t>
  </si>
  <si>
    <t>[89956] ПКФ (177) 5050 Д L=1100 АД31Т1</t>
  </si>
  <si>
    <t>[91589] Лист 2305*912*1,5 (Д) Амг3</t>
  </si>
  <si>
    <t>[91587] Лист 2069,5*1154,5*1,5  (Д) Амг3</t>
  </si>
  <si>
    <t>[91586] Лист 1330*1152*1,5 (Д) Амг3</t>
  </si>
  <si>
    <t>[91588] Лист 1089*912*1,5 (Д) Амг3</t>
  </si>
  <si>
    <t>[91590] Лист 996*618*1,5 (Д) Амг3</t>
  </si>
  <si>
    <t>[89946] Полоса 1070*100*1 (Д) Амг3</t>
  </si>
  <si>
    <t>[89942] Полоса 1070*100*1 (Д) Амг3, анод 8-10мкм, уп мини-пачки стрейч</t>
  </si>
  <si>
    <t>[89949] Полоса 4440*100*1 (Д) Амг3</t>
  </si>
  <si>
    <t>[89945] Полоса 4440*100*1 (Д) Амг3, анод 8-10мкм, уп мини пачки</t>
  </si>
  <si>
    <t>[89947] Полоса 4677*100*1 (Д) Амг3</t>
  </si>
  <si>
    <t>[89943] Полоса 4677*100*1 (Д) Амг3, анод 8-10мкм, уп мини пачки</t>
  </si>
  <si>
    <t>[89948] Полоса 4940*100*1 (Д) Амг3</t>
  </si>
  <si>
    <t>[89944] Полоса 4940*100*1 (Д) Амг3, анод 8-10мкм, уп мини пачки</t>
  </si>
  <si>
    <t>[89658] Полоса 90*100*1 (Д) Амг3</t>
  </si>
  <si>
    <t>[89657] Полоса 90*100*1 (Д) Амг3, анод 8-10 мкм, уп мини пачки</t>
  </si>
  <si>
    <t>[69317] АП 2138 (2606-65), 6,0м, 6063 Т6, БА</t>
  </si>
  <si>
    <t>[93227] Лист 830*380*1,5 (Д) Амг3</t>
  </si>
  <si>
    <t>[93233] Лист 380*1230*1,5 (Д), Амг3</t>
  </si>
  <si>
    <t>[93231] Лист 630*170*1,5 (Д), Амг3</t>
  </si>
  <si>
    <t>[93229] Лист 967*850*1,5 (Д), Амг3 (ЦГТВ.741124.003)</t>
  </si>
  <si>
    <t>[93235] Лист 1498*850*1,5 (Д), Амг3 (ЦГТВ.741124.003-02)</t>
  </si>
  <si>
    <t>[89649] Полоса 3000*100*1 (Д) Амг3, анод 8-10мкм, уп мини пачки</t>
  </si>
  <si>
    <t>46</t>
  </si>
  <si>
    <t>[25817] 0506-75, 3,0м, БЦ без дроби 8-10 мкм, уп в мини-пасчки стрейч,</t>
  </si>
  <si>
    <t>389[92081] Полоса 3000*100*1 (Д) Амг3</t>
  </si>
  <si>
    <t>423[92081] Полоса 3000*100*1 (Д) Амг3</t>
  </si>
  <si>
    <t>391[89956] ПКФ (177) 5050 Д L=1100 АД31Т1</t>
  </si>
  <si>
    <t>390[91589] Лист 2305*912*1,5 (Д) Амг3</t>
  </si>
  <si>
    <t>390[91587] Лист 2069,5*1154,5*1,5  (Д) Амг3</t>
  </si>
  <si>
    <t>390[91586] Лист 1330*1152*1,5 (Д) Амг3</t>
  </si>
  <si>
    <t>390[91588] Лист 1089*912*1,5 (Д) Амг3</t>
  </si>
  <si>
    <t>390[91590] Лист 996*618*1,5 (Д) Амг3</t>
  </si>
  <si>
    <t>446[89946] Полоса 1070*100*1 (Д) Амг3</t>
  </si>
  <si>
    <t>446[89949] Полоса 4440*100*1 (Д) Амг3</t>
  </si>
  <si>
    <t>446[89947] Полоса 4677*100*1 (Д) Амг3</t>
  </si>
  <si>
    <t>446[89948] Полоса 4940*100*1 (Д) Амг3</t>
  </si>
  <si>
    <t>446[89658] Полоса 90*100*1 (Д) Амг3</t>
  </si>
  <si>
    <t>471[69317] АП 2138 (2606-65), 6,0м, 6063 Т6, БА</t>
  </si>
  <si>
    <t>475[69317] АП 2138 (2606-65), 6,0м, 6063 Т6, БА</t>
  </si>
  <si>
    <t>543[93227] Лист 830*380*1,5 (Д) Амг3</t>
  </si>
  <si>
    <t>543[93233] Лист 380*1230*1,5 (Д), Амг3</t>
  </si>
  <si>
    <t>543[93231] Лист 630*170*1,5 (Д), Амг3</t>
  </si>
  <si>
    <t>543[93229] Лист 967*850*1,5 (Д), Амг3 (ЦГТВ.741124.003)</t>
  </si>
  <si>
    <t>543[93235] Лист 1498*850*1,5 (Д), Амг3 (ЦГТВ.741124.003-02)</t>
  </si>
  <si>
    <t>600[91589] Лист 2305*912*1,5 (Д) Амг3</t>
  </si>
  <si>
    <t>600[91587] Лист 2069,5*1154,5*1,5  (Д) Амг3</t>
  </si>
  <si>
    <t>600[91586] Лист 1330*1152*1,5 (Д) Амг3</t>
  </si>
  <si>
    <t>600[91588] Лист 1089*912*1,5 (Д) Амг3</t>
  </si>
  <si>
    <t>600[91590] Лист 996*618*1,5 (Д) Амг3</t>
  </si>
  <si>
    <t>604[89956] ПКФ (177) 5050 Д L=1100 АД31Т1</t>
  </si>
  <si>
    <t>595[92081] Полоса 3000*100*1 (Д) Амг3</t>
  </si>
  <si>
    <t>46[25560] 0506-75, 3,0м, БА сплав 6063 Кр</t>
  </si>
  <si>
    <t>OPT000103</t>
  </si>
  <si>
    <t>[89410] Корпус_КУДР.676621.015.01-02 (1358мм) Д  анод 15мкм</t>
  </si>
  <si>
    <t>[93156] Лист 1498*850*1,5 (Д) Амг3, анод 8-10 мкм (ЦГТВ.741124.003-02
)</t>
  </si>
  <si>
    <t>51</t>
  </si>
  <si>
    <t>[85164] 1806-06, 6,0м, БЦ анод 5мкм с Дробью + стретч-плёнка</t>
  </si>
  <si>
    <t>52</t>
  </si>
  <si>
    <t>50</t>
  </si>
  <si>
    <t>53</t>
  </si>
  <si>
    <t>51[85119] 1806-06, 6,0м, 6063 Т1, упаковка Т5</t>
  </si>
  <si>
    <t>52[91034] 1506-79, 3,6м, 6063 Т6, упак.Т5, БА</t>
  </si>
  <si>
    <t>50[80922] 2606-07, 4,15 м,  6063 Т6</t>
  </si>
  <si>
    <t>50[81357] 1606-37 (АВА-7227), 4,45 м, сплав 6063 КР Т6, упаковка Т-5</t>
  </si>
  <si>
    <t>53[89428] Корпус_КУДР.676621.015.01-02 (1358мм) (Д) сплав 6063</t>
  </si>
  <si>
    <t>OPT000103[35197] 0106-238, 6,0м, 6063 Т1, упаковка Т-5, под анод тип 1 ,БА</t>
  </si>
  <si>
    <t>56</t>
  </si>
  <si>
    <t>57</t>
  </si>
  <si>
    <t>65</t>
  </si>
  <si>
    <t>68</t>
  </si>
  <si>
    <t>69</t>
  </si>
  <si>
    <t>72</t>
  </si>
  <si>
    <t>73</t>
  </si>
  <si>
    <t>55</t>
  </si>
  <si>
    <t>[89412] Корпус_КУДР.676621.018.02 (1418мм) Д анод 15мкм</t>
  </si>
  <si>
    <t>[48901] АТ-5870 6,0м, БА</t>
  </si>
  <si>
    <t>[48904] АТ-5870 6,0м, БЦ</t>
  </si>
  <si>
    <t>OPT000110[13620] 0106-290 (6158), 6,0м, 6063 Т1, тип 1, упаковка Т-5, БА</t>
  </si>
  <si>
    <t>[95647] 41,8х10,3мм дав, АД31 Т1, 3,5м, БА</t>
  </si>
  <si>
    <t>[95648] 41,8х10,3мм дав, АД31 Т1, 3,5м, БЦ анод 9-12мкм, упак. стрейч каждый хлыст</t>
  </si>
  <si>
    <t>[95649] 41,8х10,3мм дав, АД31 Т1, 2,5м, БА</t>
  </si>
  <si>
    <t>[95650] 41,8х10,3мм дав, АД31 Т1, 2,5м, БЦ анод 9-12мкм, упак. стрейч каждый хлыст</t>
  </si>
  <si>
    <t>[95651] 23,8х4,13мм дав, АД31 Т1, 3,5м, БА</t>
  </si>
  <si>
    <t>[95652] 23,8х4,13мм дав, АД31 Т1, 3,5м БЦ анод 9-12мкм, упак. стрейч каждый хлыст</t>
  </si>
  <si>
    <t>[95653] 23,8х4,13мм дав, АД31 Т1, 2,5м, БА</t>
  </si>
  <si>
    <t>[95654] 23,8х4,13мм дав, АД31 Т1, 2,5м БЦ анод 9-12мкм, упак. стрейч каждый хлыст</t>
  </si>
  <si>
    <t>[95655] 71х54мм дав, АД31 Т1, 3,5м, БА</t>
  </si>
  <si>
    <t>[95658] 71х54мм дав, АД31 Т1, 3,5м, БЦ анод 9-12мкм, упак. стрей каждый хлыст</t>
  </si>
  <si>
    <t>[95656] 71х54мм дав, АД31 Т1, 2,5м, БА</t>
  </si>
  <si>
    <t>[95657] 71х54мм дав, АД31 Т1, 2,5м, БЦ анод 9-12мкм, упак. стрейч каждый хлыст</t>
  </si>
  <si>
    <t>59</t>
  </si>
  <si>
    <t>60</t>
  </si>
  <si>
    <t>[95666] д 40х40 B-Rxtr, 3,0м, БА</t>
  </si>
  <si>
    <t>[95665] д 40х40 B-Rxtr, 3,0м 9-12мкм с дробью, бумага</t>
  </si>
  <si>
    <t>55[81357] 1606-37 (АВА-7227), 4,45 м, сплав 6063 КР Т6, упаковка Т-5</t>
  </si>
  <si>
    <t>56[95647] 41,8х10,3мм дав, АД31 Т1, 3,5м, БА</t>
  </si>
  <si>
    <t>56[95649] 41,8х10,3мм дав, АД31 Т1, 2,5м, БА</t>
  </si>
  <si>
    <t>56[95651] 23,8х4,13мм дав, АД31 Т1, 3,5м, БА</t>
  </si>
  <si>
    <t>56[95653] 23,8х4,13мм дав, АД31 Т1, 2,5м, БА</t>
  </si>
  <si>
    <t>56[95655] 71х54мм дав, АД31 Т1, 3,5м, БА</t>
  </si>
  <si>
    <t>56[95656] 71х54мм дав, АД31 Т1, 2,5м, БА</t>
  </si>
  <si>
    <t>57[75791] 0506-93 (АТ-6458, 224350), 3,0м, БА сплав 6063 Т1</t>
  </si>
  <si>
    <t>59[94918] 1906-61, сплав 6063 Т6, L=5,0м,  уп.Т5 под анод, без покрытия</t>
  </si>
  <si>
    <t>60[95666] д 40х40 B-Rxtr, 3,0м, БА</t>
  </si>
  <si>
    <t>61</t>
  </si>
  <si>
    <t>48</t>
  </si>
  <si>
    <t>[95574] Лист 800*315*1,5 (Д) Амг3 (ЦГТВ.741124.003-02)</t>
  </si>
  <si>
    <t>[95576] Лист 947*850*1,5 (Д), Амг3 (ЦГТВ.741124.003-07)</t>
  </si>
  <si>
    <t>62</t>
  </si>
  <si>
    <t>61[91532] Корпус_КУДР.676621.015.01 (1885мм) 6063</t>
  </si>
  <si>
    <t>48[93229] Лист 967*850*1,5 (Д), Амг3 (ЦГТВ.741124.003)</t>
  </si>
  <si>
    <t>48[93235] Лист 1498*850*1,5 (Д), Амг3 (ЦГТВ.741124.003-02)</t>
  </si>
  <si>
    <t>48[95574] Лист 800*315*1,5 (Д) Амг3 (ЦГТВ.741124.003-02)</t>
  </si>
  <si>
    <t>48[95576] Лист 947*850*1,5 (Д), Амг3 (ЦГТВ.741124.003-07)</t>
  </si>
  <si>
    <t>62[91534] Корпус_КУДР.676621.015.01-01 (1418мм) 6063</t>
  </si>
  <si>
    <t>[14006] 0106-290, 6,0м, БЦ анод 10мкм с дробью</t>
  </si>
  <si>
    <t>OPT000143</t>
  </si>
  <si>
    <t>64</t>
  </si>
  <si>
    <t>[75657] 1606-18, 5,0м, БЦ анод (15мкм) без дроби, стрейч</t>
  </si>
  <si>
    <t>64[89444] Корпус_КУДР.676621.018.02 (1418мм) Д сплав 6063</t>
  </si>
  <si>
    <t>65[75828] 1606-18, 5,0м, 6063 Т1, упаковка Т-5, БА</t>
  </si>
  <si>
    <t>OPT000851[14006] 0106-290, 6,0м, БЦ анод 10мкм с дробью</t>
  </si>
  <si>
    <t>OPT000143[13620] 0106-290 (6158), 6,0м, 6063 Т1, тип 1, упаковка Т-5, БА</t>
  </si>
  <si>
    <t>66</t>
  </si>
  <si>
    <t>66[48901] АТ-5870 6,0м, БА</t>
  </si>
  <si>
    <t>67</t>
  </si>
  <si>
    <t>67[81356] 1606-37 (АВА-7227, 6200), 5,05 м, сплав 6063 КР Т6, упаковка Т-5</t>
  </si>
  <si>
    <t>[285] Уголок 15*15*1,5мм, БС-Б-005 (9999-57, АТ-750, А-1689), 6,0м, аД31 т1</t>
  </si>
  <si>
    <t>[95733] Уголок 15х15х1,5мм, 6,0м, БЦ анод 9-12мкм, упаковка в стрейч</t>
  </si>
  <si>
    <t>68[285] Уголок 15*15*1,5мм, БС-Б-005 (9999-57, АТ-750, А-1689), 6,0м, аД31 т1</t>
  </si>
  <si>
    <t>69[70484] 1506-77 (АА-2050-85), 6,0м, 6063 Т6, упаковка Т-5, без покрытия</t>
  </si>
  <si>
    <t>OPT000165</t>
  </si>
  <si>
    <t>70</t>
  </si>
  <si>
    <t>[43203] 0906-96, 6,05м, БА, сплав 6063 Т6, уп.Т5</t>
  </si>
  <si>
    <t>[93064] 0906-96, 6,05м, БЦ анод 15мкм с Дробью, упаковка в бумагу</t>
  </si>
  <si>
    <t>74</t>
  </si>
  <si>
    <t>70[81357] 1606-37 (АВА-7227), 4,45 м, сплав 6063 КР Т6, упаковка Т-5</t>
  </si>
  <si>
    <t>72[43203] 0906-96, 6,05м, БА, сплав 6063 Т6, уп.Т5</t>
  </si>
  <si>
    <t>73[57675] 0306-70, 6,05м, 6063 Т1, упаковка Т-5, БА</t>
  </si>
  <si>
    <t>74[76034] 220650 (1606-52, АВА-3665) бортовой боковой 6,0м сплав 6063 Т6</t>
  </si>
  <si>
    <t>OPT000165[13620] 0106-290 (6158), 6,0м, 6063 Т1, тип 1, упаковка Т-5, БА</t>
  </si>
  <si>
    <t>OPT000172</t>
  </si>
  <si>
    <t>OPT000171[14006] 0106-290, 6,0м, БЦ анод 10мкм с дробью</t>
  </si>
  <si>
    <t>OPT000172[13620] 0106-290 (6158), 6,0м, 6063 Т1, тип 1, упаковка Т-5, БА</t>
  </si>
  <si>
    <t>[92098] ТР 25*2 (Д) 6м, анод 8-10мкм, с дробью, стрейч мини пачки</t>
  </si>
  <si>
    <t>77</t>
  </si>
  <si>
    <t>80</t>
  </si>
  <si>
    <t>76</t>
  </si>
  <si>
    <t>[95767] профиль Mangra 90 Д, длина 3,1м, Ад31</t>
  </si>
  <si>
    <t>[95766] профиль90 Д, длина 3,1м, предварительное травление, дроб. обр, анод 15мкм</t>
  </si>
  <si>
    <t>81</t>
  </si>
  <si>
    <t>[95771] лист 1200*3000*2 Амг2 Д</t>
  </si>
  <si>
    <t>[95772] лист 1200*3000*2 Амг2 (Д) анод10-12мкм на струбцине</t>
  </si>
  <si>
    <t>77[92099] ТР 25*2 (Д) 6м, АД31</t>
  </si>
  <si>
    <t>80[865] автополоса 155*4мм (0106-152)  6,0м  6063 Т6  уп Т5</t>
  </si>
  <si>
    <t>76[95767] профиль Mangra 90 Д, длина 3,1м, Ад31</t>
  </si>
  <si>
    <t>81[95771] лист 1200*3000*2 Амг2 Д</t>
  </si>
  <si>
    <t>82</t>
  </si>
  <si>
    <t>82[35713] А- 2477( 0706-59 ,ВАС-4, 219060) 6,0м, БА</t>
  </si>
  <si>
    <t>82[35789] Б-1310(0706-60,ВАС-5, 219061) 6,0м ,БА</t>
  </si>
  <si>
    <t>82[65949] ВАС-2, (219058) 6,0м, БА</t>
  </si>
  <si>
    <t>82[1110] Труба круглая 32*1мм (АВА 2544,0106-146, АТ-1327, ВАС-8, 219064) 6,0м БА</t>
  </si>
  <si>
    <t>82[1161] Труба круглая 35*1,2 (АВА Б-1274,0106-177, АТ-992, ВАС-10, 219066), 6,0м БА</t>
  </si>
  <si>
    <t>83</t>
  </si>
  <si>
    <t>[28834] А 15 (0072-04 или 0072-10) Прогон однополочный, 5,0м, анод с дробью+ОКЛЕЙКА</t>
  </si>
  <si>
    <t>83[379] А 15 (0072-04 или 0072-10) Прогон однополочный, 5,0м, 6063 Кр</t>
  </si>
  <si>
    <t>83[56861] А 16 (0072-05) Прогон двухполочный, 5,0м, сплав 6063</t>
  </si>
  <si>
    <t>84</t>
  </si>
  <si>
    <t>84[92690] Корпус_КУДР.676621.017.01-01 (1810мм) (Д) сплав 6063</t>
  </si>
  <si>
    <t>OPT000190</t>
  </si>
  <si>
    <t>OPT000190[13620] 0106-290 (6158), 6,0м, 6063 Т1, тип 1, упаковка Т-5, БА</t>
  </si>
  <si>
    <t>85</t>
  </si>
  <si>
    <t>85[34579] 0906-44 (АТ-6052), 6,0м, БА с перфорацией</t>
  </si>
  <si>
    <t>86</t>
  </si>
  <si>
    <t>88</t>
  </si>
  <si>
    <t>91</t>
  </si>
  <si>
    <t>[80657] 1706-07, 6,1м,  анод 4-5мкм с дробью, уп в стрейч по  2хл</t>
  </si>
  <si>
    <t>92</t>
  </si>
  <si>
    <t>86[379] А 15 (0072-04 или 0072-10) Прогон однополочный, 5,0м, 6063 Кр</t>
  </si>
  <si>
    <t>86[56861] А 16 (0072-05) Прогон двухполочный, 5,0м, сплав 6063</t>
  </si>
  <si>
    <t>88[919] Труба круглая 22*1,5мм (9999-45,АТ-600)  6,0м , сплав АД31 Т1, упаковка Т3</t>
  </si>
  <si>
    <t>92[68773] 0906-71, 5,8 м, сплав 6063 КР Т1</t>
  </si>
  <si>
    <t>[19926] 0306-74 6,0м, БЦ анод 9-12мкм без дроби</t>
  </si>
  <si>
    <t>[94181] автоуголок 80*80 полукруглый (221013), 6,0 м, анод 8-10мкм с дробью</t>
  </si>
  <si>
    <t>93</t>
  </si>
  <si>
    <t>[82591] 1706-87,  3,0м, Анод без дроби</t>
  </si>
  <si>
    <t>90</t>
  </si>
  <si>
    <t>[84099] 1606-91, 6,05 м,  анод 15мкм с дробью+ оклейка (х3) Т64 под гибку</t>
  </si>
  <si>
    <t>94</t>
  </si>
  <si>
    <t>[95977] Д 30х60 B-Rxtr 3,0м, БА</t>
  </si>
  <si>
    <t>[95976] д 30х60 B-Rxtr, 3,0мм 9-12мкм с дробью, бумага</t>
  </si>
  <si>
    <t>95</t>
  </si>
  <si>
    <t>93[82590] 1706-87,  3,0м, 6063 Т 6</t>
  </si>
  <si>
    <t>90[83226] 1606-91, 6,05 м,  6063 под гибку Т64 205-210 Мпа</t>
  </si>
  <si>
    <t>94[95977] Д 30х60 B-Rxtr 3,0м, БА</t>
  </si>
  <si>
    <t>95[90467] Д Основания ТИС-Р-3 (профиль 1111-116), 475мм, БА</t>
  </si>
  <si>
    <t>[81358] 1606-37, 4,45 м, анод 4-5мкм с дробью,уп в стрейч каждого хл, проложка между рядами картоном</t>
  </si>
  <si>
    <t>97</t>
  </si>
  <si>
    <t>98</t>
  </si>
  <si>
    <t>[95280] 1906-63, 3,0м, 6063 Т1</t>
  </si>
  <si>
    <t>[95281] 1906-63, 3,0м, анод 15мкм с дробью, упаковка в мини-пачки</t>
  </si>
  <si>
    <t>99</t>
  </si>
  <si>
    <t>[58739] 1206-74, 4,0м, сплав 6063 КР</t>
  </si>
  <si>
    <t>[49334] 1206-74, (GFF-004), 4,0м, АНОД БЕЗ ДРОБИ+стрейч</t>
  </si>
  <si>
    <t>100</t>
  </si>
  <si>
    <t>103</t>
  </si>
  <si>
    <t>[96024] Лист АМГ2М 1,5*1500*500 (Д)</t>
  </si>
  <si>
    <t>[96023] Лист АМГ2М 1,5*1500*500 (Д), травление</t>
  </si>
  <si>
    <t>104</t>
  </si>
  <si>
    <t>105</t>
  </si>
  <si>
    <t>[90613] 1506-80, 3,6м, 6063 Т6, уп. Т5, под анод тип 2, БА</t>
  </si>
  <si>
    <t>[96030] 1506-80, 3,6м, БЦ анод 5мкм без дроби, упак в бумагу</t>
  </si>
  <si>
    <t>OPT000234</t>
  </si>
  <si>
    <t>91[80707] 1706-07, 6,1м,  6063 Т6 упаковка Т5</t>
  </si>
  <si>
    <t>97[89443] Корпус_КУДР.676621.015.01-04 (1703мм) Д сплав 6063</t>
  </si>
  <si>
    <t>98[95280] 1906-63, 3,0м, 6063 Т1</t>
  </si>
  <si>
    <t>99[58739] 1206-74, 4,0м, сплав 6063 КР</t>
  </si>
  <si>
    <t>100[81357] 1606-37 (АВА-7227), 4,45 м, сплав 6063 КР Т6, упаковка Т-5</t>
  </si>
  <si>
    <t>103[96024] Лист АМГ2М 1,5*1500*500 (Д)</t>
  </si>
  <si>
    <t>104[56993] автоуголок 90*60*2мм (0506-17, 97083)6,0м 6063 Т6</t>
  </si>
  <si>
    <t>105[91034] 1506-79, 3,6м, 6063 Т6, упак.Т5, БА</t>
  </si>
  <si>
    <t>105[90613] 1506-80, 3,6м, 6063 Т6, уп. Т5, под анод тип 2, БА</t>
  </si>
  <si>
    <t>OPT000234[61440] 0106-289, 6,0м, 6063 Т1, упаковка Т-5, под анод тип 1, БА</t>
  </si>
  <si>
    <t>134</t>
  </si>
  <si>
    <t>137</t>
  </si>
  <si>
    <t>138</t>
  </si>
  <si>
    <t>139</t>
  </si>
  <si>
    <t>141</t>
  </si>
  <si>
    <t>142</t>
  </si>
  <si>
    <t>143</t>
  </si>
  <si>
    <t>146</t>
  </si>
  <si>
    <t>147</t>
  </si>
  <si>
    <t>151</t>
  </si>
  <si>
    <t>[89538] полоса 12х2мм Д, длина 3,0м, анод 8-10 мкм, без дроби, мини пачки /стрейч</t>
  </si>
  <si>
    <t>153</t>
  </si>
  <si>
    <t>152</t>
  </si>
  <si>
    <t>[90179] Лист 2360*907*1,5 (Д) Амг3</t>
  </si>
  <si>
    <t>[90184] Лист 2124,5*1149,5*1,5  (Д) Амг3</t>
  </si>
  <si>
    <t>[90186] Лист 1385,5*1147*1,5  (Д) Амг3</t>
  </si>
  <si>
    <t>[90188] Лист 1144*907*1,5 (Д) Амг3</t>
  </si>
  <si>
    <t>[90190] Лист 1051*613,5*1,5 (Д) Амг3</t>
  </si>
  <si>
    <t>160</t>
  </si>
  <si>
    <t>106</t>
  </si>
  <si>
    <t>107</t>
  </si>
  <si>
    <t>116</t>
  </si>
  <si>
    <t>121</t>
  </si>
  <si>
    <t>109</t>
  </si>
  <si>
    <t>110</t>
  </si>
  <si>
    <t>111</t>
  </si>
  <si>
    <t>114</t>
  </si>
  <si>
    <t>115</t>
  </si>
  <si>
    <t>122</t>
  </si>
  <si>
    <t>123</t>
  </si>
  <si>
    <t>106[30616] 0706-94 (197.07, АА-2050-50), 6,0м, сплав 6063 КР, состТ1, упаковка.Т5</t>
  </si>
  <si>
    <t>107[81357] 1606-37 (АВА-7227), 4,45 м, сплав 6063 КР Т6, упаковка Т-5</t>
  </si>
  <si>
    <t>116[89457] АП 2168 Д, кроншейн большой 2400 (1700х52мм), 6063</t>
  </si>
  <si>
    <t>116[89458] АП 2168 Д, кронштейн малый 1580 (1300х52мм), 6063</t>
  </si>
  <si>
    <t>121[89691] полоса 12х2мм Д, длина 3,0м, сплав 6063</t>
  </si>
  <si>
    <t>109[34252] 0906-64, 6,0м, 6063 Т1, упаковка Т-5, БА (4000 пресс)</t>
  </si>
  <si>
    <t>110[43203] 0906-96, 6,05м, БА, сплав 6063 Т6, уп.Т5</t>
  </si>
  <si>
    <t>111[69453] 1506-44 (АВА-7225), 6,0м, 6063 Т1, тип 1,  упак. Т5, БА</t>
  </si>
  <si>
    <t>114[81578] 1706-68, 6,0м, 6063 Т1, упаковка Т-5, БА</t>
  </si>
  <si>
    <t>115[69317] АП 2138 (2606-65), 6,0м, 6063 Т6, БА</t>
  </si>
  <si>
    <t>122[29801] 0706-58,(НЧП-5537, АТ-6014, ВАС-6, 219062),  6,0м, БА</t>
  </si>
  <si>
    <t>122[29755] 0706-57, (НЧП-5538, АТ-6013, ВАС-7, 219063) 6,0м, БА</t>
  </si>
  <si>
    <t>122[65948] ВАС-1 (219057), 6,0м, БА</t>
  </si>
  <si>
    <t>122[1110] Труба круглая 32*1мм (АВА 2544,0106-146, АТ-1327, ВАС-8, 219064) 6,0м БА</t>
  </si>
  <si>
    <t>123[93891] 221505 д, АД31 Т1, 2,05м без покрытия</t>
  </si>
  <si>
    <t>OPT000289</t>
  </si>
  <si>
    <t>[90178] Лист 2360*907*1,5 (Д), Амг3, анод 8-10мкм, уп. стрейч по 2 шт</t>
  </si>
  <si>
    <t>[90181] Лист 2124,5*1149,5*1,5 (Д), Амг3, анод 8-10мкм, уп. стрейч по 2 шт</t>
  </si>
  <si>
    <t>[90185] Лист 1385,5*1147*1,5  (Д) Амг3, анод 8-10мкм, уп. стрейч по 2 шт</t>
  </si>
  <si>
    <t>[90187] Лист 1144*907*1,5 (Д) Амг3, анод 8-10мкм, уп. стрейч по 2 шт</t>
  </si>
  <si>
    <t>[90189] Лист 1051*613,5*1,5 (Д),  Амг3, анод 8-10мкм,  уп. стрейч по 2 шт</t>
  </si>
  <si>
    <t>[91518] Лист 2305*912*1,5  (Д) Амг3, анод 8-10мкм, уп. стрейч по 2 шт</t>
  </si>
  <si>
    <t>[91519] Лист 2069,5*1154,5*1,5 (Д) Амг3, анод 8-10мкм, уп. стрейч по 2 шт</t>
  </si>
  <si>
    <t>[91520] Лист 1330*1152*1,5  (Д) Амг3, анод 8-10мкм, уп. стрейч по 2 шт</t>
  </si>
  <si>
    <t>[91521] Лист 1089*912*1,5 ,(Д), Амг3, анод 8-10мкм, уп. стрейч по 2 шт</t>
  </si>
  <si>
    <t>[91522] Лист 996*618*1,5 (Д) Амг3 ,анод 8-10мкм, уп. стрейч по 2 шт</t>
  </si>
  <si>
    <t>[42035] 0906-89, 6,05м, БЦ анод 15мкм без дроби  (ВСЕГДА С ДРОБЬЮ), упак. бумага</t>
  </si>
  <si>
    <t>[92414] Лист 830*380*1,5 (Д), Амг3, анод 8-10 мкм, уп. стрейч по 2 шт</t>
  </si>
  <si>
    <t>[92416] Лист 380*1230*1,5 (Д), Амг3, анод 8-10 мкм уп. стрейч по 2 шт</t>
  </si>
  <si>
    <t>[92417] Лист 630*170*1,5 (Д), Амг3, анод 8-10 мкм, уп. стрейч по 2 шт</t>
  </si>
  <si>
    <t>[93155] Лист 967*850*1,5 (Д), Амг3, анод 8-10 мкм,  уп. стрейч по 2 шт</t>
  </si>
  <si>
    <t>[95575] Лист 800*315*1,5 (Д) Амг3 (ЦГТВ.741124.003-04) анод 8-10 мкм уп. стрейч по 2 шт</t>
  </si>
  <si>
    <t>[95577] Лист 947*850*1,5 (Д), Амг3, анод 8-10мкм уп. стрейч по 2 шт</t>
  </si>
  <si>
    <t>128</t>
  </si>
  <si>
    <t>130</t>
  </si>
  <si>
    <t>131</t>
  </si>
  <si>
    <t>132</t>
  </si>
  <si>
    <t>133</t>
  </si>
  <si>
    <t>135</t>
  </si>
  <si>
    <t>[94577] 1906-62 3м, 6063 Т6 (Ал5)</t>
  </si>
  <si>
    <t>[94578] 1906-62 3м, анод 15 мкм, без дроби, проложка бумагой волной</t>
  </si>
  <si>
    <t>136</t>
  </si>
  <si>
    <t>124</t>
  </si>
  <si>
    <t>125</t>
  </si>
  <si>
    <t>113</t>
  </si>
  <si>
    <t>126</t>
  </si>
  <si>
    <t>127</t>
  </si>
  <si>
    <t>[95895] 1906-49, 3,05м, 6063 Т6, упак.Т5 под анод, БА</t>
  </si>
  <si>
    <t>[95894] 1906-49, 3,05м, БЦ анод 10мкм без дроби, упак.стрейч</t>
  </si>
  <si>
    <t>[95660] 1906-44, 2,65м, 6063, упаковка Т-5</t>
  </si>
  <si>
    <t>[95560] 1906-44, 2,65м, RAL 9003 белый сигнальный, упак. в стрейч-пленку</t>
  </si>
  <si>
    <t>129</t>
  </si>
  <si>
    <t>[96196] Профиль ЦГТВ.746461.014 (Д) 6м,  6060 Т4</t>
  </si>
  <si>
    <t>[96197] Профиль ЦГТВ.746461.014 (Д) 6м,  9-12 мкм без дроби, веерное прокл. бумагой/пленка</t>
  </si>
  <si>
    <t>150</t>
  </si>
  <si>
    <t>[95759] 1606-18, 6,0м, 6063 Т1, упаковка Т-5, БА</t>
  </si>
  <si>
    <t>[95758] 1606-18, 6,0м, БЦ анод (15мкм) без дроби, стрейч</t>
  </si>
  <si>
    <t>112</t>
  </si>
  <si>
    <t>154</t>
  </si>
  <si>
    <t>149</t>
  </si>
  <si>
    <t>156</t>
  </si>
  <si>
    <t>157</t>
  </si>
  <si>
    <t>[89731] ПМ37 (Д), 5м, анод 15 мкм без дроби, уп стрейч мини пачка</t>
  </si>
  <si>
    <t>158</t>
  </si>
  <si>
    <t>[56744] АТ-6368 (АГС219099) 4,0 м, 6063 Т1 под анод</t>
  </si>
  <si>
    <t>[56145] АТ-6368 (GFF-003) 4,0 м, анод без дроби+стрейч</t>
  </si>
  <si>
    <t>159</t>
  </si>
  <si>
    <t>[96353] Тавр 40х25х3мм, длина 3,0м, Ад31</t>
  </si>
  <si>
    <t>[96352] Тавр 40х25х3мм, длина 3,0м, анод 15 мкм, без дроби</t>
  </si>
  <si>
    <t>128[90190] Лист 1051*613,5*1,5 (Д) Амг3</t>
  </si>
  <si>
    <t>128[90188] Лист 1144*907*1,5 (Д) Амг3</t>
  </si>
  <si>
    <t>128[90186] Лист 1385,5*1147*1,5  (Д) Амг3</t>
  </si>
  <si>
    <t>128[90184] Лист 2124,5*1149,5*1,5  (Д) Амг3</t>
  </si>
  <si>
    <t>128[90179] Лист 2360*907*1,5 (Д) Амг3</t>
  </si>
  <si>
    <t>128[93227] Лист 830*380*1,5 (Д) Амг3</t>
  </si>
  <si>
    <t>128[93231] Лист 630*170*1,5 (Д), Амг3</t>
  </si>
  <si>
    <t>128[93233] Лист 380*1230*1,5 (Д), Амг3</t>
  </si>
  <si>
    <t>130[89428] Корпус_КУДР.676621.015.01-02 (1358мм) (Д) сплав 6063</t>
  </si>
  <si>
    <t>131[76529] 1606-48, 6,0 м, сплав 6063 КР Т6</t>
  </si>
  <si>
    <t>132[81357] 1606-37 (АВА-7227), 4,45 м, сплав 6063 КР Т6, упаковка Т-5</t>
  </si>
  <si>
    <t>133[95666] д 40х40 B-Rxtr, 3,0м, БА</t>
  </si>
  <si>
    <t>134[90028] 2575 коробка Д,6м</t>
  </si>
  <si>
    <t>134[90078] 2577 полотно, Д, 6м</t>
  </si>
  <si>
    <t>135[94577] 1906-62 3м, 6063 Т6 (Ал5)</t>
  </si>
  <si>
    <t>136[68773] 0906-71, 5,8 м, сплав 6063 КР Т1</t>
  </si>
  <si>
    <t>137[81356] 1606-37 (АВА-7227, 6200), 5,05 м, сплав 6063 КР Т6, упаковка Т-5</t>
  </si>
  <si>
    <t>138[59210] 0906-89, 6,05м, сплав 6063КР Т6, упак.Т5</t>
  </si>
  <si>
    <t>124[34252] 0906-64, 6,0м, 6063 Т1, упаковка Т-5, БА (4000 пресс)</t>
  </si>
  <si>
    <t>125[69453] 1506-44 (АВА-7225), 6,0м, 6063 Т1, тип 1,  упак. Т5, БА</t>
  </si>
  <si>
    <t>113[91744] 1606-30, 3,55м, 6063 Т6, упак.Т5 под анод, БА</t>
  </si>
  <si>
    <t>126[81578] 1706-68, 6,0м, 6063 Т1, упаковка Т-5, БА</t>
  </si>
  <si>
    <t>139[94803] 1906-42, 6,05м,  6063 Т6, упак.Т5, БА</t>
  </si>
  <si>
    <t>127[95895] 1906-49, 3,05м, 6063 Т6, упак.Т5 под анод, БА</t>
  </si>
  <si>
    <t>141[94918] 1906-61, сплав 6063 Т6, L=5,0м,  уп.Т5 под анод, без покрытия</t>
  </si>
  <si>
    <t>142[95660] 1906-44, 2,65м, 6063, упаковка Т-5</t>
  </si>
  <si>
    <t>143[41589] А 14 (0072-09) Прогон бесполочный, 5,0м, 6063 КР</t>
  </si>
  <si>
    <t>129[89644] балка Ад-35 Д, L=1070</t>
  </si>
  <si>
    <t>129[90216] балка Ад-35 Д, L=1361</t>
  </si>
  <si>
    <t>129[90215] балка Ад-35 Д, L=3950</t>
  </si>
  <si>
    <t>129[90214] балка Ад-35 Д, L=4200</t>
  </si>
  <si>
    <t>129[89935] балка Ад-35 Д, L=4570</t>
  </si>
  <si>
    <t>129[96196] Профиль ЦГТВ.746461.014 (Д) 6м,  6060 Т4</t>
  </si>
  <si>
    <t>146[69916] автоуголок 50*50 мм (97082) 6,0м,  сплав 6063 Т6 + упаковка А5</t>
  </si>
  <si>
    <t>147[84153] 1706-80 (плинтус скрытый 60) 2,45 м, АД31 Т1</t>
  </si>
  <si>
    <t>150[76529] 1606-48, 6,0 м, сплав 6063 КР Т6</t>
  </si>
  <si>
    <t>151[95759] 1606-18, 6,0м, 6063 Т1, упаковка Т-5, БА</t>
  </si>
  <si>
    <t>152[94804] 1906-43, 6,05м, 6063 Т6, упак.Т5, БА</t>
  </si>
  <si>
    <t>112[91034] 1506-79, 3,6м, 6063 Т6, упак.Т5, БА</t>
  </si>
  <si>
    <t>153[81578] 1706-68, 6,0м, 6063 Т1, упаковка Т-5, БА</t>
  </si>
  <si>
    <t>154[78712] 1606-73 (п-образный), 6,0м, 6063 Т6, упаковка Т-5, БА</t>
  </si>
  <si>
    <t>149[29800] 0706-55,  6,0м, БА</t>
  </si>
  <si>
    <t>149[29864] 0106-280 (Б-1275) 6,0 БА</t>
  </si>
  <si>
    <t>149[1110] Труба круглая 32*1мм (АВА 2544,0106-146, АТ-1327, ВАС-8, 219064) 6,0м БА</t>
  </si>
  <si>
    <t>156[69916] автоуголок 50*50 мм (97082) 6,0м,  сплав 6063 Т6 + упаковка А5</t>
  </si>
  <si>
    <t>157[89733] ПМ37 (Д), 5м, сплав 6063</t>
  </si>
  <si>
    <t>158[56744] АТ-6368 (АГС219099) 4,0 м, 6063 Т1 под анод</t>
  </si>
  <si>
    <t>159[96353] Тавр 40х25х3мм, длина 3,0м, Ад31</t>
  </si>
  <si>
    <t>OPT000289[13620] 0106-290 (6158), 6,0м, 6063 Т1, тип 1, упаковка Т-5, БА</t>
  </si>
  <si>
    <t>[78329] 8507029-10 нижний, (АГС, АА-2064-03)  6,5м, анод с дробью_стрейч</t>
  </si>
  <si>
    <t>[77456] 8507025-2 средний (АГС) шир 222мм, 6,50м, анод с дробью_стрейч</t>
  </si>
  <si>
    <t>[78330] 8507023 верхний (АГС,АА-2064-01) 6,50м, анод с дробью_стрейч</t>
  </si>
  <si>
    <t>161</t>
  </si>
  <si>
    <t>163</t>
  </si>
  <si>
    <t>164</t>
  </si>
  <si>
    <t>165</t>
  </si>
  <si>
    <t>166</t>
  </si>
  <si>
    <t>[96476] Стойка F50.01.08 (115мм) АД31 Т1, 3,32м, БА</t>
  </si>
  <si>
    <t>[96419] Стойка F50.01.08 (115мм) анод 15 мкм без дроби, 3,32м</t>
  </si>
  <si>
    <t>[96477] Стойка F50.01.08 (115мм), АД31 Т1, 3,64м, БА</t>
  </si>
  <si>
    <t>[96420] Стойка F50.01.08 (115мм), анод 15 мкм без дроби, 3,64м</t>
  </si>
  <si>
    <t>[96478] Стойка F50.01.08 АД31 Т1, 3,34м, БА</t>
  </si>
  <si>
    <t>[96421] Стойка F50.01.08 (115мм) анод 15 мкм без дроби, 3,34м</t>
  </si>
  <si>
    <t>[96479] Стойка F50.01.08 АД31 Т1, 3,94м, БА</t>
  </si>
  <si>
    <t>[96422] Стойка F50.01.08 (115мм) анод 15 мкм без дроби, 3,94м</t>
  </si>
  <si>
    <t>[96480] Стойка F50.01.08 (115мм) БА31 Т1, 1,56м, БА</t>
  </si>
  <si>
    <t>[96423] Стойка F50.01.08 (115мм) анод 15 мкм без дроби, 1,56м</t>
  </si>
  <si>
    <t>[96481] Стойка F50.01.07 (110мм) АД31 Т1, 1,82м, БА</t>
  </si>
  <si>
    <t>[96424] Стойка F50.01.07 (110мм) анод 15 мкм без дроби, 1,82м</t>
  </si>
  <si>
    <t>[96482] Стойка F50.01.07 (110мм) АД31 Т1, 3,64м, БА</t>
  </si>
  <si>
    <t>[96425] Стойка F50.01.07 (110мм) анод 15 мкм без дроби, 3,64м</t>
  </si>
  <si>
    <t>[96483] Стойка F50.01.07 (110мм) АД31 Т1 3,34м, БА</t>
  </si>
  <si>
    <t>[96426] Стойка F50.01.07 (110мм) анод 15 мкм без дроби, 3,34м</t>
  </si>
  <si>
    <t>[96484] Стойка F50.01.07 (110мм) АД31 Т1, 4,96м, БА</t>
  </si>
  <si>
    <t>[96427] Стойка F50.01.07 (110мм) анод 15 мкм без дроби, 4,96м</t>
  </si>
  <si>
    <t>[96485] Стойка F50.01.22 (106мм) АД31 Т1, 3,525м, БА</t>
  </si>
  <si>
    <t>[96428] Стойка F50.01.22 (106мм) анод 15 мкм без дроби, 3,525м</t>
  </si>
  <si>
    <t>[96486] Стойка F50.01.10 (130мм) АД31 Т1, 3,525м, БА</t>
  </si>
  <si>
    <t>[96429] Стойка F50.01.10 (130мм) анод 15 мкм без дроби, 3,525м</t>
  </si>
  <si>
    <t>[96487] Ригель F50.02.03 (60мм) АД31 Т1, 0,805м, БА</t>
  </si>
  <si>
    <t>[96430] Ригель F50.02.03 (60мм) анод 15 мкм без дроби, 0,805м</t>
  </si>
  <si>
    <t>[96488] Ригель F50.02.03 (60мм) АД31 Т1, 0,890м, БА</t>
  </si>
  <si>
    <t>[96431] Ригель F50.02.03 (60мм) анод 15 мкм без дроби, 0,890м</t>
  </si>
  <si>
    <t>[96489] Ригель F50.02.03 (60мм) АД31 Т1, 1,04м, БА</t>
  </si>
  <si>
    <t>[96432] Ригель F50.02.03 (60мм) анод 15 мкм без дроби, 1,04м</t>
  </si>
  <si>
    <t>[96490] Ригель F50.02.03 (60мм) АД31 Т1, 0,53м, БА</t>
  </si>
  <si>
    <t>[96433] Ригель F50.02.03 (60мм) анод 15 мкм без дроби, 0,53м</t>
  </si>
  <si>
    <t>[96491] Ригель F50.02.08 (110мм) АД31 Т1, 1,98м, БА</t>
  </si>
  <si>
    <t>[96434] Ригель F50.02.08 (110мм) анод 15 мкм без дроби, 1,98м</t>
  </si>
  <si>
    <t>[96492] Ригель F50.02.08 (110мм) АД31 Т1, 0,93м, БА</t>
  </si>
  <si>
    <t>[96435] Ригель F50.02.08 (110мм) анод 15 мкм без дроби, 0,93м</t>
  </si>
  <si>
    <t>[96493] Прижим F50.09.32 АД31 Т1, 3,27м, БА</t>
  </si>
  <si>
    <t>[96436] Прижим F50.09.32 анод 15 мкм без дроби, 3,27м</t>
  </si>
  <si>
    <t>[96494] Прижим F50.09.32 АД31 Т1, 3,59м, БА</t>
  </si>
  <si>
    <t>[96437] Прижим F50.09.32 анод 15 мкм без дроби, 3,59м</t>
  </si>
  <si>
    <t>[96495] Прижим F50.09.32 АД31 Т1, 3,29м, БА</t>
  </si>
  <si>
    <t>[96438] Прижим F50.09.32 анод 15 мкм без дроби, 3,29м</t>
  </si>
  <si>
    <t>[96496] Прижим F50.09.32 АД31 Т1, 3,89м, БА</t>
  </si>
  <si>
    <t>[96439] Прижим F50.09.32 анод 15 мкм без дроби, 3,89м</t>
  </si>
  <si>
    <t>[96497] Прижим F50.09.32 АД31 Т1, 1,51м, БА</t>
  </si>
  <si>
    <t>[96440] Прижим F50.09.32 анод 15 мкм без дроби, 1,51м</t>
  </si>
  <si>
    <t>[96498] Прижим F50.09.32 АД31 Т1, 1,77м, БА</t>
  </si>
  <si>
    <t>[96441] Прижим F50.09.32 анод 15 мкм без дроби, 1,77м</t>
  </si>
  <si>
    <t>[96499] Прижим F50.09.32 АД31 Т1, 4,91м, БА</t>
  </si>
  <si>
    <t>[96442] Прижим F50.09.32 анод 15 мкм без дроби, 4,91м</t>
  </si>
  <si>
    <t>[96500] Прижим F50.09.32 АД31 Т1 3,445м, БА</t>
  </si>
  <si>
    <t>[96443] Прижим F50.09.32 анод 15 мкм без дроби 3,445м</t>
  </si>
  <si>
    <t>[96501] Прижим F50.09.32 АД31 Т1, 0,77м, БА</t>
  </si>
  <si>
    <t>[96444] Прижим F50.09.32 анод 15 мкм без дроби 0,77м</t>
  </si>
  <si>
    <t>[96502] Прижим F50.09.32 АД31 Т1, 0,855м, БА</t>
  </si>
  <si>
    <t>[96445] Прижим F50.09.32 анод 15 мкм без дроби 0,855м</t>
  </si>
  <si>
    <t>[96503] Прижим F50.09.32 АД31 Т1, 1,005м, БА</t>
  </si>
  <si>
    <t>[96446] Прижим F50.09.32 анод 15 мкм без дроби 1,005м</t>
  </si>
  <si>
    <t>[96504] Прижим F50.09.32 АД31 Т1 0,495м, БА</t>
  </si>
  <si>
    <t>[96447] Прижим F50.09.32 анод 15 мкм без дроби 0,495м</t>
  </si>
  <si>
    <t>[96505] Прижим F50.09.32 АД31 Т1 1,945м, БА</t>
  </si>
  <si>
    <t>[96448] Прижим F50.09.32 анод 15 мкм без дроби 1,945м</t>
  </si>
  <si>
    <t>[96506] Прижим F50.09.32 АД31 Т1 0,895м, БА</t>
  </si>
  <si>
    <t>[96449] Прижим F50.09.32 анод 15 мкм без дроби 0,895м</t>
  </si>
  <si>
    <t>[96507] Крышка стойки F50.04.01 АД31 Т1, 3,27м, БА</t>
  </si>
  <si>
    <t>[96450] Крышка стойки F50.04.01 анод 15 мкм без дроби 3,27м</t>
  </si>
  <si>
    <t>[96508] Крышка стойки F50.04.01 АД31 Т1, 3,59м, БА</t>
  </si>
  <si>
    <t>[96451] Крышка стойки F50.04.01 анод 15 мкм без дроби 3,59м</t>
  </si>
  <si>
    <t>[96509] Крышка стойки F50.04.01 АД31 Т1 3,29м, БА</t>
  </si>
  <si>
    <t>[96452] Крышка стойки F50.04.01 анод 15 мкм без дроби 3,29м</t>
  </si>
  <si>
    <t>[96510] Крышка стойки F50.04.01 аАД31 Т1 3,89м, БА</t>
  </si>
  <si>
    <t>[96453] Крышка стойки F50.04.01 анод 15 мкм без дроби 3,89м</t>
  </si>
  <si>
    <t>[96511] Крышка стойки F50.04.01 АД31 Т1, 1,51м, БА</t>
  </si>
  <si>
    <t>[96454] Крышка стойки F50.04.01 анод 15 мкм без дроби 1,51м</t>
  </si>
  <si>
    <t>[96512] Крышка стойки F50.04.01 АД31 Т1 1,77м, БА</t>
  </si>
  <si>
    <t>[96455] Крышка стойки F50.04.01 анод 15 мкм без дроби 1,77м</t>
  </si>
  <si>
    <t>[96513] Крышка стойки F50.04.01АД31 Т1 4,91м, БА</t>
  </si>
  <si>
    <t>[96456] Крышка стойки F50.04.01 анод 15 мкм без дроби 4,91м</t>
  </si>
  <si>
    <t>[96514] Крышка стойки F50.04.01 АД31 Т1, 3,445м, БА</t>
  </si>
  <si>
    <t>[96457] Крышка стойки F50.04.01 анод 15 мкм без дроби 3,445м</t>
  </si>
  <si>
    <t>[96515] Крышка ригеля F50.04.25  АД31 Т1, 0,773м, БА</t>
  </si>
  <si>
    <t>[96458] Крышка ригеля F50.04.25 анод 15 мкм без дроби 0,773м</t>
  </si>
  <si>
    <t>[96516] Крышка ригеля F50.04.25 АД31 Т1, 0,858м, БА</t>
  </si>
  <si>
    <t>[96459] Крышка ригеля F50.04.25 анод 15 мкм без дроби 0,858м</t>
  </si>
  <si>
    <t>[96517] Крышка ригеля F50.04.25, АД31 Т1, 1,008м, БА</t>
  </si>
  <si>
    <t>[96460] Крышка ригеля F50.04.25 анод 15 мкм без дроби 1,008м</t>
  </si>
  <si>
    <t>[96518] Крышка ригеля F50.04.25 АД31 Т1, 0,498м, БА</t>
  </si>
  <si>
    <t>[96461] Крышка ригеля F50.04.25 анод 15 мкм без дроби 0,498м</t>
  </si>
  <si>
    <t>[96519] Крышка ригеля F50.04.25 АД31 Т1, 1,948м, БА</t>
  </si>
  <si>
    <t>[96462] Крышка ригеля F50.04.25 анод 15 мкм без дроби 1,948м</t>
  </si>
  <si>
    <t>[96520] Крышка ригеля F50.04.25 АД31 Т1 0,898м, БА</t>
  </si>
  <si>
    <t>[96463] Крышка ригеля F50.04.25 анод 15 мкм без дроби 0,898м</t>
  </si>
  <si>
    <t>155</t>
  </si>
  <si>
    <t>170</t>
  </si>
  <si>
    <t>172</t>
  </si>
  <si>
    <t>160[92690] Корпус_КУДР.676621.017.01-01 (1810мм) (Д) сплав 6063</t>
  </si>
  <si>
    <t>161[89443] Корпус_КУДР.676621.015.01-04 (1703мм) Д сплав 6063</t>
  </si>
  <si>
    <t>163[44723] 0706-93 3,0 м, сплав 6063 КР</t>
  </si>
  <si>
    <t>164[81356] 1606-37 (АВА-7227, 6200), 5,05 м, сплав 6063 КР Т6, упаковка Т-5</t>
  </si>
  <si>
    <t>165[865] автополоса 155*4мм (0106-152)  6,0м  6063 Т6  уп Т5</t>
  </si>
  <si>
    <t>166[96476] Стойка F50.01.08 (115мм) АД31 Т1, 3,32м, БА</t>
  </si>
  <si>
    <t>166[96477] Стойка F50.01.08 (115мм), АД31 Т1, 3,64м, БА</t>
  </si>
  <si>
    <t>166[96478] Стойка F50.01.08 АД31 Т1, 3,34м, БА</t>
  </si>
  <si>
    <t>166[96479] Стойка F50.01.08 АД31 Т1, 3,94м, БА</t>
  </si>
  <si>
    <t>166[96480] Стойка F50.01.08 (115мм) БА31 Т1, 1,56м, БА</t>
  </si>
  <si>
    <t>166[96481] Стойка F50.01.07 (110мм) АД31 Т1, 1,82м, БА</t>
  </si>
  <si>
    <t>166[96482] Стойка F50.01.07 (110мм) АД31 Т1, 3,64м, БА</t>
  </si>
  <si>
    <t>166[96483] Стойка F50.01.07 (110мм) АД31 Т1 3,34м, БА</t>
  </si>
  <si>
    <t>166[96484] Стойка F50.01.07 (110мм) АД31 Т1, 4,96м, БА</t>
  </si>
  <si>
    <t>166[96485] Стойка F50.01.22 (106мм) АД31 Т1, 3,525м, БА</t>
  </si>
  <si>
    <t>166[96486] Стойка F50.01.10 (130мм) АД31 Т1, 3,525м, БА</t>
  </si>
  <si>
    <t>166[96487] Ригель F50.02.03 (60мм) АД31 Т1, 0,805м, БА</t>
  </si>
  <si>
    <t>166[96488] Ригель F50.02.03 (60мм) АД31 Т1, 0,890м, БА</t>
  </si>
  <si>
    <t>166[96489] Ригель F50.02.03 (60мм) АД31 Т1, 1,04м, БА</t>
  </si>
  <si>
    <t>166[96490] Ригель F50.02.03 (60мм) АД31 Т1, 0,53м, БА</t>
  </si>
  <si>
    <t>166[96491] Ригель F50.02.08 (110мм) АД31 Т1, 1,98м, БА</t>
  </si>
  <si>
    <t>166[96492] Ригель F50.02.08 (110мм) АД31 Т1, 0,93м, БА</t>
  </si>
  <si>
    <t>166[96493] Прижим F50.09.32 АД31 Т1, 3,27м, БА</t>
  </si>
  <si>
    <t>166[96494] Прижим F50.09.32 АД31 Т1, 3,59м, БА</t>
  </si>
  <si>
    <t>166[96495] Прижим F50.09.32 АД31 Т1, 3,29м, БА</t>
  </si>
  <si>
    <t>166[96496] Прижим F50.09.32 АД31 Т1, 3,89м, БА</t>
  </si>
  <si>
    <t>166[96497] Прижим F50.09.32 АД31 Т1, 1,51м, БА</t>
  </si>
  <si>
    <t>166[96498] Прижим F50.09.32 АД31 Т1, 1,77м, БА</t>
  </si>
  <si>
    <t>166[96499] Прижим F50.09.32 АД31 Т1, 4,91м, БА</t>
  </si>
  <si>
    <t>166[96500] Прижим F50.09.32 АД31 Т1 3,445м, БА</t>
  </si>
  <si>
    <t>166[96501] Прижим F50.09.32 АД31 Т1, 0,77м, БА</t>
  </si>
  <si>
    <t>166[96502] Прижим F50.09.32 АД31 Т1, 0,855м, БА</t>
  </si>
  <si>
    <t>166[96503] Прижим F50.09.32 АД31 Т1, 1,005м, БА</t>
  </si>
  <si>
    <t>166[96504] Прижим F50.09.32 АД31 Т1 0,495м, БА</t>
  </si>
  <si>
    <t>166[96505] Прижим F50.09.32 АД31 Т1 1,945м, БА</t>
  </si>
  <si>
    <t>166[96506] Прижим F50.09.32 АД31 Т1 0,895м, БА</t>
  </si>
  <si>
    <t>166[96507] Крышка стойки F50.04.01 АД31 Т1, 3,27м, БА</t>
  </si>
  <si>
    <t>166[96508] Крышка стойки F50.04.01 АД31 Т1, 3,59м, БА</t>
  </si>
  <si>
    <t>166[96509] Крышка стойки F50.04.01 АД31 Т1 3,29м, БА</t>
  </si>
  <si>
    <t>166[96510] Крышка стойки F50.04.01 аАД31 Т1 3,89м, БА</t>
  </si>
  <si>
    <t>166[96511] Крышка стойки F50.04.01 АД31 Т1, 1,51м, БА</t>
  </si>
  <si>
    <t>166[96512] Крышка стойки F50.04.01 АД31 Т1 1,77м, БА</t>
  </si>
  <si>
    <t>166[96513] Крышка стойки F50.04.01АД31 Т1 4,91м, БА</t>
  </si>
  <si>
    <t>166[96514] Крышка стойки F50.04.01 АД31 Т1, 3,445м, БА</t>
  </si>
  <si>
    <t>166[96515] Крышка ригеля F50.04.25  АД31 Т1, 0,773м, БА</t>
  </si>
  <si>
    <t>166[96516] Крышка ригеля F50.04.25 АД31 Т1, 0,858м, БА</t>
  </si>
  <si>
    <t>166[96517] Крышка ригеля F50.04.25, АД31 Т1, 1,008м, БА</t>
  </si>
  <si>
    <t>166[96518] Крышка ригеля F50.04.25 АД31 Т1, 0,498м, БА</t>
  </si>
  <si>
    <t>166[96519] Крышка ригеля F50.04.25 АД31 Т1, 1,948м, БА</t>
  </si>
  <si>
    <t>166[96520] Крышка ригеля F50.04.25 АД31 Т1 0,898м, БА</t>
  </si>
  <si>
    <t>155[29755] 0706-57, (НЧП-5538, АТ-6013, ВАС-7, 219063) 6,0м, БА</t>
  </si>
  <si>
    <t>155[29801] 0706-58,(НЧП-5537, АТ-6014, ВАС-6, 219062),  6,0м, БА</t>
  </si>
  <si>
    <t>155[65948] ВАС-1 (219057), 6,0м, БА</t>
  </si>
  <si>
    <t>155[1110] Труба круглая 32*1мм (АВА 2544,0106-146, АТ-1327, ВАС-8, 219064) 6,0м БА</t>
  </si>
  <si>
    <t>170[34252] 0906-64, 6,0м, 6063 Т1, упаковка Т-5, БА (4000 пресс)</t>
  </si>
  <si>
    <t>172[70484] 1506-77 (АА-2050-85), 6,0м, 6063 Т6, упаковка Т-5, без покрытия</t>
  </si>
  <si>
    <t>OPT000343[38435] 0506-20, 6,0м, 6063 Т1, упаковка Т-5, под анод тип 1, БА</t>
  </si>
  <si>
    <t>брак БА механич.повр.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</si>
</sst>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d\ mmm\ yy;@"/>
    <numFmt numFmtId="165" formatCode="dd/mm/yy;@"/>
    <numFmt numFmtId="166" formatCode="d\ mmm;@"/>
    <numFmt numFmtId="167" formatCode="d\-mmm"/>
    <numFmt numFmtId="168" formatCode="#,##0.00\ _₽"/>
    <numFmt numFmtId="169" formatCode="0.0"/>
    <numFmt numFmtId="170" formatCode="#,##0.000"/>
    <numFmt numFmtId="171" formatCode="0.000"/>
  </numFmts>
  <fonts count="61" x14ac:knownFonts="1">
    <font>
      <sz val="10"/>
      <color theme="1"/>
      <name val="Arial Cyr"/>
      <family val="2"/>
      <charset val="204"/>
    </font>
    <font>
      <b/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12"/>
      <color indexed="8"/>
      <name val="Arial Cyr"/>
      <charset val="204"/>
    </font>
    <font>
      <b/>
      <sz val="12"/>
      <color theme="0"/>
      <name val="Arial"/>
      <family val="2"/>
      <charset val="204"/>
    </font>
    <font>
      <sz val="12"/>
      <color theme="1"/>
      <name val="Arial Cyr"/>
      <family val="2"/>
      <charset val="204"/>
    </font>
    <font>
      <b/>
      <sz val="12"/>
      <color theme="1"/>
      <name val="Arial Cyr"/>
      <family val="2"/>
      <charset val="204"/>
    </font>
    <font>
      <b/>
      <sz val="12"/>
      <color theme="1"/>
      <name val="Arial Cyr"/>
      <charset val="204"/>
    </font>
    <font>
      <sz val="12"/>
      <color indexed="8"/>
      <name val="Arial Cyr"/>
      <family val="2"/>
    </font>
    <font>
      <sz val="12"/>
      <color indexed="8"/>
      <name val="Arial Cyr"/>
    </font>
    <font>
      <sz val="12"/>
      <color theme="1"/>
      <name val="Arial Cyr"/>
      <family val="2"/>
    </font>
    <font>
      <sz val="12"/>
      <name val="Arial"/>
      <family val="2"/>
      <charset val="204"/>
    </font>
    <font>
      <b/>
      <sz val="12"/>
      <color indexed="8"/>
      <name val="Arial Cyr"/>
      <family val="2"/>
    </font>
    <font>
      <b/>
      <sz val="12"/>
      <color indexed="8"/>
      <name val="Arial Cyr"/>
    </font>
    <font>
      <sz val="12"/>
      <color rgb="FFFF0000"/>
      <name val="Arial Cyr"/>
      <charset val="204"/>
    </font>
    <font>
      <sz val="12"/>
      <color indexed="8"/>
      <name val="Arial Cyr"/>
      <charset val="204"/>
    </font>
    <font>
      <sz val="12"/>
      <color theme="1"/>
      <name val="Arial Cyr"/>
      <charset val="204"/>
    </font>
    <font>
      <sz val="12"/>
      <name val="Arial Cyr"/>
      <charset val="204"/>
    </font>
    <font>
      <sz val="12"/>
      <color rgb="FFFF0000"/>
      <name val="Arial Cyr"/>
      <family val="2"/>
      <charset val="204"/>
    </font>
    <font>
      <b/>
      <sz val="12"/>
      <color theme="1"/>
      <name val="Arial Cyr"/>
    </font>
    <font>
      <sz val="12"/>
      <color theme="1"/>
      <name val="Arial Cyr"/>
    </font>
    <font>
      <sz val="12"/>
      <name val="Arial Cyr"/>
      <family val="2"/>
      <charset val="204"/>
    </font>
    <font>
      <sz val="12"/>
      <color theme="1"/>
      <name val="Arial"/>
      <family val="2"/>
      <charset val="204"/>
    </font>
    <font>
      <b/>
      <sz val="12"/>
      <color rgb="FFFF0000"/>
      <name val="Arial Cyr"/>
      <family val="2"/>
      <charset val="204"/>
    </font>
    <font>
      <b/>
      <sz val="12"/>
      <name val="Arial Cyr"/>
      <family val="2"/>
      <charset val="204"/>
    </font>
    <font>
      <b/>
      <sz val="12"/>
      <name val="Arial Cyr"/>
    </font>
    <font>
      <sz val="12"/>
      <name val="Arial Cyr"/>
    </font>
    <font>
      <sz val="12"/>
      <color rgb="FFFF0000"/>
      <name val="Arial Cyr"/>
    </font>
    <font>
      <b/>
      <sz val="12"/>
      <name val="Arial"/>
      <family val="2"/>
      <charset val="204"/>
    </font>
    <font>
      <sz val="11"/>
      <color theme="1"/>
      <name val="Arial Cy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sz val="11"/>
      <name val="Arial Cyr"/>
      <family val="2"/>
    </font>
    <font>
      <b/>
      <sz val="12"/>
      <color theme="1"/>
      <name val="Arial Cyr"/>
      <family val="2"/>
    </font>
    <font>
      <sz val="11"/>
      <color theme="1"/>
      <name val="Arial Cyr"/>
      <family val="2"/>
    </font>
    <font>
      <b/>
      <sz val="11"/>
      <color theme="1"/>
      <name val="Arial Cyr"/>
      <family val="2"/>
    </font>
    <font>
      <b/>
      <sz val="11"/>
      <color indexed="8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2"/>
      <color theme="1"/>
      <name val="Arial"/>
      <family val="2"/>
      <charset val="204"/>
    </font>
    <font>
      <sz val="12"/>
      <color rgb="FFFF0000"/>
      <name val="Arial"/>
      <family val="2"/>
      <charset val="204"/>
    </font>
    <font>
      <sz val="12"/>
      <color indexed="8"/>
      <name val="Arial"/>
      <family val="2"/>
      <charset val="204"/>
    </font>
    <font>
      <sz val="12"/>
      <name val="Arial Cyr"/>
      <family val="2"/>
    </font>
    <font>
      <sz val="12"/>
      <color rgb="FFC0000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 Cyr"/>
    </font>
    <font>
      <sz val="10"/>
      <color rgb="FFFF0000"/>
      <name val="Arial Cyr"/>
      <family val="2"/>
      <charset val="204"/>
    </font>
    <font>
      <b/>
      <sz val="12"/>
      <color rgb="FFC00000"/>
      <name val="Arial Cyr"/>
    </font>
    <font>
      <sz val="12"/>
      <color rgb="FFC00000"/>
      <name val="Arial Cyr"/>
    </font>
    <font>
      <b/>
      <sz val="12"/>
      <color rgb="FFC00000"/>
      <name val="Arial"/>
      <family val="2"/>
      <charset val="204"/>
    </font>
    <font>
      <sz val="11"/>
      <color rgb="FFC00000"/>
      <name val="Arial"/>
      <family val="2"/>
      <charset val="204"/>
    </font>
    <font>
      <b/>
      <sz val="12"/>
      <color rgb="FFFF0000"/>
      <name val="Arial Cyr"/>
    </font>
    <font>
      <b/>
      <sz val="12"/>
      <color rgb="FFFF0000"/>
      <name val="Arial"/>
      <family val="2"/>
      <charset val="204"/>
    </font>
    <font>
      <b/>
      <sz val="12"/>
      <name val="Arial Cyr"/>
      <charset val="204"/>
    </font>
    <font>
      <sz val="10"/>
      <name val="Arial Cyr"/>
      <family val="2"/>
      <charset val="204"/>
    </font>
    <font>
      <sz val="8"/>
      <name val="Arial Cyr"/>
    </font>
    <font>
      <b/>
      <sz val="28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theme="1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theme="8" tint="0.79998168889431442"/>
      </patternFill>
    </fill>
    <fill>
      <patternFill patternType="solid">
        <fgColor theme="0"/>
        <bgColor theme="8" tint="0.79998168889431442"/>
      </patternFill>
    </fill>
    <fill>
      <patternFill patternType="solid">
        <fgColor theme="0" tint="-0.14999847407452621"/>
        <bgColor theme="8" tint="0.79998168889431442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8"/>
      </left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indexed="64"/>
      </left>
      <right style="thin">
        <color theme="8"/>
      </right>
      <top style="thin">
        <color indexed="64"/>
      </top>
      <bottom style="thin">
        <color theme="8"/>
      </bottom>
      <diagonal/>
    </border>
    <border>
      <left style="thin">
        <color indexed="64"/>
      </left>
      <right style="thin">
        <color indexed="64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theme="8"/>
      </bottom>
      <diagonal/>
    </border>
    <border>
      <left style="thin">
        <color theme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8"/>
      </left>
      <right style="thin">
        <color indexed="64"/>
      </right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indexed="64"/>
      </right>
      <top style="thin">
        <color theme="8"/>
      </top>
      <bottom style="thin">
        <color indexed="64"/>
      </bottom>
      <diagonal/>
    </border>
  </borders>
  <cellStyleXfs count="1">
    <xf numFmtId="0" fontId="0" fillId="0" borderId="0"/>
  </cellStyleXfs>
  <cellXfs count="1199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textRotation="90"/>
    </xf>
    <xf numFmtId="164" fontId="2" fillId="2" borderId="7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1" fillId="3" borderId="1" xfId="0" applyNumberFormat="1" applyFont="1" applyFill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top"/>
    </xf>
    <xf numFmtId="2" fontId="1" fillId="2" borderId="4" xfId="0" applyNumberFormat="1" applyFont="1" applyFill="1" applyBorder="1" applyAlignment="1">
      <alignment horizontal="center" vertical="top" wrapText="1"/>
    </xf>
    <xf numFmtId="2" fontId="1" fillId="2" borderId="3" xfId="0" applyNumberFormat="1" applyFont="1" applyFill="1" applyBorder="1" applyAlignment="1">
      <alignment horizontal="center" vertical="top" wrapText="1"/>
    </xf>
    <xf numFmtId="165" fontId="1" fillId="2" borderId="5" xfId="0" applyNumberFormat="1" applyFont="1" applyFill="1" applyBorder="1" applyAlignment="1">
      <alignment horizontal="center" vertical="top" wrapText="1"/>
    </xf>
    <xf numFmtId="2" fontId="5" fillId="9" borderId="2" xfId="0" applyNumberFormat="1" applyFont="1" applyFill="1" applyBorder="1" applyAlignment="1">
      <alignment horizontal="left" vertical="top" wrapText="1"/>
    </xf>
    <xf numFmtId="165" fontId="1" fillId="2" borderId="8" xfId="0" applyNumberFormat="1" applyFont="1" applyFill="1" applyBorder="1" applyAlignment="1">
      <alignment horizontal="center" vertical="top" wrapText="1"/>
    </xf>
    <xf numFmtId="0" fontId="6" fillId="0" borderId="1" xfId="0" applyFont="1" applyBorder="1"/>
    <xf numFmtId="0" fontId="6" fillId="0" borderId="0" xfId="0" applyFont="1"/>
    <xf numFmtId="0" fontId="7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16" fontId="6" fillId="3" borderId="1" xfId="0" applyNumberFormat="1" applyFont="1" applyFill="1" applyBorder="1"/>
    <xf numFmtId="0" fontId="8" fillId="0" borderId="1" xfId="0" applyFont="1" applyBorder="1"/>
    <xf numFmtId="16" fontId="7" fillId="0" borderId="1" xfId="0" applyNumberFormat="1" applyFont="1" applyBorder="1"/>
    <xf numFmtId="0" fontId="7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3" borderId="1" xfId="0" applyFont="1" applyFill="1" applyBorder="1" applyAlignment="1">
      <alignment horizontal="left"/>
    </xf>
    <xf numFmtId="0" fontId="8" fillId="3" borderId="1" xfId="0" applyFont="1" applyFill="1" applyBorder="1"/>
    <xf numFmtId="16" fontId="7" fillId="3" borderId="1" xfId="0" applyNumberFormat="1" applyFont="1" applyFill="1" applyBorder="1"/>
    <xf numFmtId="0" fontId="6" fillId="3" borderId="0" xfId="0" applyFont="1" applyFill="1"/>
    <xf numFmtId="0" fontId="6" fillId="5" borderId="1" xfId="0" applyFont="1" applyFill="1" applyBorder="1"/>
    <xf numFmtId="0" fontId="6" fillId="5" borderId="1" xfId="0" applyFont="1" applyFill="1" applyBorder="1" applyAlignment="1">
      <alignment horizontal="left"/>
    </xf>
    <xf numFmtId="0" fontId="6" fillId="5" borderId="0" xfId="0" applyFont="1" applyFill="1"/>
    <xf numFmtId="16" fontId="6" fillId="0" borderId="1" xfId="0" applyNumberFormat="1" applyFont="1" applyBorder="1"/>
    <xf numFmtId="0" fontId="7" fillId="3" borderId="1" xfId="0" applyFont="1" applyFill="1" applyBorder="1"/>
    <xf numFmtId="0" fontId="7" fillId="0" borderId="1" xfId="0" applyFont="1" applyBorder="1"/>
    <xf numFmtId="0" fontId="7" fillId="0" borderId="0" xfId="0" applyFont="1" applyAlignment="1">
      <alignment horizontal="left"/>
    </xf>
    <xf numFmtId="0" fontId="8" fillId="0" borderId="0" xfId="0" applyFont="1"/>
    <xf numFmtId="0" fontId="7" fillId="0" borderId="0" xfId="0" applyFont="1"/>
    <xf numFmtId="0" fontId="6" fillId="11" borderId="1" xfId="0" applyFont="1" applyFill="1" applyBorder="1"/>
    <xf numFmtId="0" fontId="6" fillId="11" borderId="0" xfId="0" applyFont="1" applyFill="1"/>
    <xf numFmtId="0" fontId="9" fillId="0" borderId="1" xfId="0" applyFont="1" applyBorder="1" applyAlignment="1">
      <alignment horizontal="left"/>
    </xf>
    <xf numFmtId="0" fontId="9" fillId="0" borderId="1" xfId="0" applyFont="1" applyBorder="1"/>
    <xf numFmtId="167" fontId="9" fillId="0" borderId="1" xfId="0" applyNumberFormat="1" applyFont="1" applyBorder="1" applyAlignment="1">
      <alignment horizontal="left"/>
    </xf>
    <xf numFmtId="167" fontId="10" fillId="0" borderId="1" xfId="0" applyNumberFormat="1" applyFont="1" applyBorder="1" applyAlignment="1">
      <alignment horizontal="right"/>
    </xf>
    <xf numFmtId="167" fontId="11" fillId="0" borderId="1" xfId="0" applyNumberFormat="1" applyFont="1" applyBorder="1" applyAlignment="1">
      <alignment horizontal="left"/>
    </xf>
    <xf numFmtId="2" fontId="12" fillId="0" borderId="1" xfId="0" applyNumberFormat="1" applyFont="1" applyBorder="1" applyAlignment="1">
      <alignment horizontal="left" vertical="top"/>
    </xf>
    <xf numFmtId="1" fontId="12" fillId="0" borderId="1" xfId="0" applyNumberFormat="1" applyFont="1" applyBorder="1" applyAlignment="1">
      <alignment horizontal="right" vertical="top"/>
    </xf>
    <xf numFmtId="0" fontId="12" fillId="0" borderId="1" xfId="0" applyFont="1" applyBorder="1" applyAlignment="1">
      <alignment horizontal="left" vertical="top" wrapText="1"/>
    </xf>
    <xf numFmtId="2" fontId="12" fillId="0" borderId="2" xfId="0" applyNumberFormat="1" applyFont="1" applyBorder="1" applyAlignment="1">
      <alignment horizontal="left" vertical="top" wrapText="1"/>
    </xf>
    <xf numFmtId="168" fontId="12" fillId="0" borderId="1" xfId="0" applyNumberFormat="1" applyFont="1" applyBorder="1" applyAlignment="1">
      <alignment horizontal="left" vertical="top" wrapText="1"/>
    </xf>
    <xf numFmtId="2" fontId="12" fillId="0" borderId="1" xfId="0" applyNumberFormat="1" applyFont="1" applyBorder="1" applyAlignment="1">
      <alignment horizontal="left" vertical="top" wrapText="1"/>
    </xf>
    <xf numFmtId="0" fontId="13" fillId="0" borderId="1" xfId="0" applyFont="1" applyBorder="1"/>
    <xf numFmtId="167" fontId="9" fillId="3" borderId="1" xfId="0" applyNumberFormat="1" applyFont="1" applyFill="1" applyBorder="1" applyAlignment="1">
      <alignment horizontal="left"/>
    </xf>
    <xf numFmtId="0" fontId="12" fillId="0" borderId="1" xfId="0" applyFont="1" applyBorder="1" applyAlignment="1">
      <alignment horizontal="right" vertical="top"/>
    </xf>
    <xf numFmtId="0" fontId="13" fillId="0" borderId="6" xfId="0" applyFont="1" applyBorder="1"/>
    <xf numFmtId="0" fontId="9" fillId="3" borderId="1" xfId="0" applyFont="1" applyFill="1" applyBorder="1"/>
    <xf numFmtId="167" fontId="10" fillId="3" borderId="1" xfId="0" applyNumberFormat="1" applyFont="1" applyFill="1" applyBorder="1" applyAlignment="1">
      <alignment horizontal="right"/>
    </xf>
    <xf numFmtId="0" fontId="6" fillId="0" borderId="2" xfId="0" applyFont="1" applyBorder="1" applyAlignment="1">
      <alignment horizontal="left"/>
    </xf>
    <xf numFmtId="0" fontId="9" fillId="0" borderId="2" xfId="0" applyFont="1" applyBorder="1"/>
    <xf numFmtId="167" fontId="9" fillId="0" borderId="2" xfId="0" applyNumberFormat="1" applyFont="1" applyBorder="1" applyAlignment="1">
      <alignment horizontal="left"/>
    </xf>
    <xf numFmtId="0" fontId="8" fillId="0" borderId="2" xfId="0" applyFont="1" applyBorder="1"/>
    <xf numFmtId="0" fontId="6" fillId="0" borderId="2" xfId="0" applyFont="1" applyBorder="1"/>
    <xf numFmtId="2" fontId="12" fillId="0" borderId="2" xfId="0" applyNumberFormat="1" applyFont="1" applyBorder="1" applyAlignment="1">
      <alignment horizontal="left" vertical="top"/>
    </xf>
    <xf numFmtId="1" fontId="12" fillId="0" borderId="2" xfId="0" applyNumberFormat="1" applyFont="1" applyBorder="1" applyAlignment="1">
      <alignment horizontal="right" vertical="top"/>
    </xf>
    <xf numFmtId="0" fontId="12" fillId="0" borderId="2" xfId="0" applyFont="1" applyBorder="1" applyAlignment="1">
      <alignment horizontal="left" vertical="top" wrapText="1"/>
    </xf>
    <xf numFmtId="168" fontId="12" fillId="0" borderId="2" xfId="0" applyNumberFormat="1" applyFont="1" applyBorder="1" applyAlignment="1">
      <alignment horizontal="left" vertical="top" wrapText="1"/>
    </xf>
    <xf numFmtId="0" fontId="6" fillId="0" borderId="6" xfId="0" applyFont="1" applyBorder="1"/>
    <xf numFmtId="167" fontId="14" fillId="0" borderId="1" xfId="0" applyNumberFormat="1" applyFont="1" applyBorder="1" applyAlignment="1">
      <alignment horizontal="right"/>
    </xf>
    <xf numFmtId="16" fontId="6" fillId="0" borderId="1" xfId="0" applyNumberFormat="1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10" borderId="1" xfId="0" applyFont="1" applyFill="1" applyBorder="1" applyAlignment="1">
      <alignment horizontal="left"/>
    </xf>
    <xf numFmtId="0" fontId="6" fillId="10" borderId="1" xfId="0" applyFont="1" applyFill="1" applyBorder="1"/>
    <xf numFmtId="16" fontId="6" fillId="10" borderId="1" xfId="0" applyNumberFormat="1" applyFont="1" applyFill="1" applyBorder="1"/>
    <xf numFmtId="0" fontId="8" fillId="10" borderId="1" xfId="0" applyFont="1" applyFill="1" applyBorder="1"/>
    <xf numFmtId="0" fontId="6" fillId="10" borderId="0" xfId="0" applyFont="1" applyFill="1"/>
    <xf numFmtId="0" fontId="16" fillId="0" borderId="1" xfId="0" applyFont="1" applyBorder="1" applyAlignment="1">
      <alignment horizontal="left" vertical="center"/>
    </xf>
    <xf numFmtId="0" fontId="16" fillId="0" borderId="1" xfId="0" applyFont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16" fontId="8" fillId="0" borderId="1" xfId="0" applyNumberFormat="1" applyFont="1" applyBorder="1"/>
    <xf numFmtId="0" fontId="7" fillId="4" borderId="1" xfId="0" applyFont="1" applyFill="1" applyBorder="1" applyAlignment="1">
      <alignment horizontal="left"/>
    </xf>
    <xf numFmtId="0" fontId="6" fillId="4" borderId="1" xfId="0" applyFont="1" applyFill="1" applyBorder="1"/>
    <xf numFmtId="0" fontId="6" fillId="4" borderId="1" xfId="0" applyFont="1" applyFill="1" applyBorder="1" applyAlignment="1">
      <alignment horizontal="left"/>
    </xf>
    <xf numFmtId="16" fontId="6" fillId="4" borderId="1" xfId="0" applyNumberFormat="1" applyFont="1" applyFill="1" applyBorder="1"/>
    <xf numFmtId="0" fontId="8" fillId="4" borderId="1" xfId="0" applyFont="1" applyFill="1" applyBorder="1"/>
    <xf numFmtId="16" fontId="7" fillId="4" borderId="1" xfId="0" applyNumberFormat="1" applyFont="1" applyFill="1" applyBorder="1"/>
    <xf numFmtId="0" fontId="6" fillId="4" borderId="0" xfId="0" applyFont="1" applyFill="1"/>
    <xf numFmtId="0" fontId="6" fillId="0" borderId="1" xfId="0" applyFont="1" applyBorder="1" applyAlignment="1">
      <alignment horizontal="left" wrapText="1"/>
    </xf>
    <xf numFmtId="0" fontId="6" fillId="8" borderId="1" xfId="0" applyFont="1" applyFill="1" applyBorder="1"/>
    <xf numFmtId="0" fontId="6" fillId="8" borderId="0" xfId="0" applyFont="1" applyFill="1"/>
    <xf numFmtId="0" fontId="17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/>
    </xf>
    <xf numFmtId="16" fontId="7" fillId="0" borderId="2" xfId="0" applyNumberFormat="1" applyFont="1" applyBorder="1"/>
    <xf numFmtId="0" fontId="7" fillId="12" borderId="1" xfId="0" applyFont="1" applyFill="1" applyBorder="1" applyAlignment="1">
      <alignment horizontal="left"/>
    </xf>
    <xf numFmtId="0" fontId="6" fillId="12" borderId="1" xfId="0" applyFont="1" applyFill="1" applyBorder="1"/>
    <xf numFmtId="16" fontId="6" fillId="12" borderId="1" xfId="0" applyNumberFormat="1" applyFont="1" applyFill="1" applyBorder="1"/>
    <xf numFmtId="0" fontId="8" fillId="12" borderId="1" xfId="0" applyFont="1" applyFill="1" applyBorder="1"/>
    <xf numFmtId="0" fontId="6" fillId="12" borderId="0" xfId="0" applyFont="1" applyFill="1"/>
    <xf numFmtId="0" fontId="7" fillId="12" borderId="1" xfId="0" applyFont="1" applyFill="1" applyBorder="1"/>
    <xf numFmtId="0" fontId="18" fillId="0" borderId="1" xfId="0" applyFont="1" applyBorder="1" applyAlignment="1">
      <alignment horizontal="center" wrapText="1"/>
    </xf>
    <xf numFmtId="0" fontId="6" fillId="7" borderId="1" xfId="0" applyFont="1" applyFill="1" applyBorder="1" applyAlignment="1">
      <alignment wrapText="1"/>
    </xf>
    <xf numFmtId="16" fontId="7" fillId="12" borderId="1" xfId="0" applyNumberFormat="1" applyFont="1" applyFill="1" applyBorder="1"/>
    <xf numFmtId="0" fontId="6" fillId="3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/>
    </xf>
    <xf numFmtId="16" fontId="8" fillId="3" borderId="1" xfId="0" applyNumberFormat="1" applyFont="1" applyFill="1" applyBorder="1"/>
    <xf numFmtId="0" fontId="19" fillId="4" borderId="1" xfId="0" applyFont="1" applyFill="1" applyBorder="1"/>
    <xf numFmtId="0" fontId="15" fillId="0" borderId="1" xfId="0" applyFont="1" applyBorder="1" applyAlignment="1">
      <alignment horizontal="left"/>
    </xf>
    <xf numFmtId="0" fontId="7" fillId="5" borderId="1" xfId="0" applyFont="1" applyFill="1" applyBorder="1" applyAlignment="1">
      <alignment horizontal="left"/>
    </xf>
    <xf numFmtId="16" fontId="6" fillId="5" borderId="1" xfId="0" applyNumberFormat="1" applyFont="1" applyFill="1" applyBorder="1"/>
    <xf numFmtId="0" fontId="8" fillId="5" borderId="1" xfId="0" applyFont="1" applyFill="1" applyBorder="1"/>
    <xf numFmtId="16" fontId="7" fillId="5" borderId="1" xfId="0" applyNumberFormat="1" applyFont="1" applyFill="1" applyBorder="1"/>
    <xf numFmtId="0" fontId="6" fillId="12" borderId="1" xfId="0" applyFont="1" applyFill="1" applyBorder="1" applyAlignment="1">
      <alignment wrapText="1"/>
    </xf>
    <xf numFmtId="0" fontId="6" fillId="0" borderId="1" xfId="0" applyFont="1" applyBorder="1" applyAlignment="1">
      <alignment horizontal="right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8" fillId="8" borderId="1" xfId="0" applyFont="1" applyFill="1" applyBorder="1"/>
    <xf numFmtId="0" fontId="8" fillId="6" borderId="1" xfId="0" applyFont="1" applyFill="1" applyBorder="1"/>
    <xf numFmtId="16" fontId="7" fillId="0" borderId="1" xfId="0" applyNumberFormat="1" applyFont="1" applyBorder="1" applyAlignment="1">
      <alignment horizontal="left"/>
    </xf>
    <xf numFmtId="0" fontId="19" fillId="0" borderId="1" xfId="0" applyFont="1" applyBorder="1"/>
    <xf numFmtId="169" fontId="6" fillId="0" borderId="1" xfId="0" applyNumberFormat="1" applyFont="1" applyBorder="1"/>
    <xf numFmtId="1" fontId="6" fillId="0" borderId="1" xfId="0" applyNumberFormat="1" applyFont="1" applyBorder="1"/>
    <xf numFmtId="16" fontId="7" fillId="0" borderId="0" xfId="0" applyNumberFormat="1" applyFont="1"/>
    <xf numFmtId="0" fontId="17" fillId="0" borderId="1" xfId="0" applyFont="1" applyBorder="1" applyAlignment="1">
      <alignment wrapText="1"/>
    </xf>
    <xf numFmtId="0" fontId="2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/>
    </xf>
    <xf numFmtId="0" fontId="7" fillId="8" borderId="1" xfId="0" applyFont="1" applyFill="1" applyBorder="1" applyAlignment="1">
      <alignment horizontal="left"/>
    </xf>
    <xf numFmtId="16" fontId="6" fillId="8" borderId="1" xfId="0" applyNumberFormat="1" applyFont="1" applyFill="1" applyBorder="1"/>
    <xf numFmtId="0" fontId="7" fillId="8" borderId="1" xfId="0" applyFont="1" applyFill="1" applyBorder="1"/>
    <xf numFmtId="0" fontId="7" fillId="5" borderId="1" xfId="0" applyFont="1" applyFill="1" applyBorder="1"/>
    <xf numFmtId="16" fontId="7" fillId="8" borderId="1" xfId="0" applyNumberFormat="1" applyFont="1" applyFill="1" applyBorder="1"/>
    <xf numFmtId="170" fontId="6" fillId="0" borderId="1" xfId="0" applyNumberFormat="1" applyFont="1" applyBorder="1" applyAlignment="1">
      <alignment horizontal="right"/>
    </xf>
    <xf numFmtId="3" fontId="6" fillId="0" borderId="1" xfId="0" applyNumberFormat="1" applyFont="1" applyBorder="1"/>
    <xf numFmtId="4" fontId="6" fillId="0" borderId="1" xfId="0" applyNumberFormat="1" applyFont="1" applyBorder="1" applyAlignment="1">
      <alignment horizontal="right"/>
    </xf>
    <xf numFmtId="0" fontId="7" fillId="10" borderId="1" xfId="0" applyFont="1" applyFill="1" applyBorder="1" applyAlignment="1">
      <alignment horizontal="left"/>
    </xf>
    <xf numFmtId="0" fontId="7" fillId="10" borderId="1" xfId="0" applyFont="1" applyFill="1" applyBorder="1"/>
    <xf numFmtId="0" fontId="17" fillId="0" borderId="1" xfId="0" applyFont="1" applyBorder="1"/>
    <xf numFmtId="0" fontId="17" fillId="3" borderId="1" xfId="0" applyFont="1" applyFill="1" applyBorder="1" applyAlignment="1">
      <alignment horizontal="left"/>
    </xf>
    <xf numFmtId="16" fontId="17" fillId="0" borderId="1" xfId="0" applyNumberFormat="1" applyFont="1" applyBorder="1"/>
    <xf numFmtId="0" fontId="17" fillId="3" borderId="1" xfId="0" applyFont="1" applyFill="1" applyBorder="1"/>
    <xf numFmtId="0" fontId="17" fillId="0" borderId="1" xfId="0" applyFont="1" applyBorder="1" applyAlignment="1">
      <alignment horizontal="left" wrapText="1"/>
    </xf>
    <xf numFmtId="0" fontId="17" fillId="0" borderId="1" xfId="0" applyFont="1" applyBorder="1" applyAlignment="1">
      <alignment horizontal="right"/>
    </xf>
    <xf numFmtId="0" fontId="17" fillId="5" borderId="1" xfId="0" applyFont="1" applyFill="1" applyBorder="1" applyAlignment="1">
      <alignment horizontal="right"/>
    </xf>
    <xf numFmtId="0" fontId="17" fillId="0" borderId="0" xfId="0" applyFont="1"/>
    <xf numFmtId="0" fontId="8" fillId="0" borderId="9" xfId="0" applyFont="1" applyBorder="1" applyAlignment="1">
      <alignment horizontal="left"/>
    </xf>
    <xf numFmtId="0" fontId="20" fillId="0" borderId="9" xfId="0" applyFont="1" applyBorder="1" applyAlignment="1">
      <alignment horizontal="left"/>
    </xf>
    <xf numFmtId="0" fontId="21" fillId="0" borderId="1" xfId="0" applyFont="1" applyBorder="1"/>
    <xf numFmtId="16" fontId="21" fillId="0" borderId="1" xfId="0" applyNumberFormat="1" applyFont="1" applyBorder="1"/>
    <xf numFmtId="0" fontId="21" fillId="0" borderId="1" xfId="0" applyFont="1" applyBorder="1" applyAlignment="1">
      <alignment horizontal="left" wrapText="1"/>
    </xf>
    <xf numFmtId="0" fontId="21" fillId="0" borderId="2" xfId="0" applyFont="1" applyBorder="1"/>
    <xf numFmtId="0" fontId="21" fillId="0" borderId="2" xfId="0" applyFont="1" applyBorder="1" applyAlignment="1">
      <alignment horizontal="left" wrapText="1"/>
    </xf>
    <xf numFmtId="0" fontId="20" fillId="0" borderId="10" xfId="0" applyFont="1" applyBorder="1" applyAlignment="1">
      <alignment horizontal="left"/>
    </xf>
    <xf numFmtId="16" fontId="21" fillId="0" borderId="2" xfId="0" applyNumberFormat="1" applyFont="1" applyBorder="1"/>
    <xf numFmtId="0" fontId="21" fillId="5" borderId="1" xfId="0" applyFont="1" applyFill="1" applyBorder="1"/>
    <xf numFmtId="0" fontId="21" fillId="5" borderId="2" xfId="0" applyFont="1" applyFill="1" applyBorder="1"/>
    <xf numFmtId="0" fontId="8" fillId="3" borderId="9" xfId="0" applyFont="1" applyFill="1" applyBorder="1" applyAlignment="1">
      <alignment horizontal="left"/>
    </xf>
    <xf numFmtId="16" fontId="17" fillId="3" borderId="1" xfId="0" applyNumberFormat="1" applyFont="1" applyFill="1" applyBorder="1"/>
    <xf numFmtId="0" fontId="17" fillId="3" borderId="1" xfId="0" applyFont="1" applyFill="1" applyBorder="1" applyAlignment="1">
      <alignment horizontal="left" wrapText="1"/>
    </xf>
    <xf numFmtId="0" fontId="17" fillId="3" borderId="1" xfId="0" applyFont="1" applyFill="1" applyBorder="1" applyAlignment="1">
      <alignment horizontal="right"/>
    </xf>
    <xf numFmtId="0" fontId="17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right"/>
    </xf>
    <xf numFmtId="0" fontId="20" fillId="8" borderId="9" xfId="0" applyFont="1" applyFill="1" applyBorder="1" applyAlignment="1">
      <alignment horizontal="left"/>
    </xf>
    <xf numFmtId="0" fontId="21" fillId="8" borderId="1" xfId="0" applyFont="1" applyFill="1" applyBorder="1"/>
    <xf numFmtId="16" fontId="21" fillId="8" borderId="1" xfId="0" applyNumberFormat="1" applyFont="1" applyFill="1" applyBorder="1"/>
    <xf numFmtId="0" fontId="21" fillId="8" borderId="1" xfId="0" applyFont="1" applyFill="1" applyBorder="1" applyAlignment="1">
      <alignment horizontal="left" wrapText="1"/>
    </xf>
    <xf numFmtId="0" fontId="21" fillId="3" borderId="1" xfId="0" applyFont="1" applyFill="1" applyBorder="1"/>
    <xf numFmtId="0" fontId="21" fillId="3" borderId="2" xfId="0" applyFont="1" applyFill="1" applyBorder="1"/>
    <xf numFmtId="0" fontId="21" fillId="3" borderId="2" xfId="0" applyFont="1" applyFill="1" applyBorder="1" applyAlignment="1">
      <alignment horizontal="left" wrapText="1"/>
    </xf>
    <xf numFmtId="0" fontId="8" fillId="3" borderId="9" xfId="0" applyFont="1" applyFill="1" applyBorder="1"/>
    <xf numFmtId="0" fontId="17" fillId="3" borderId="0" xfId="0" applyFont="1" applyFill="1"/>
    <xf numFmtId="0" fontId="20" fillId="3" borderId="9" xfId="0" applyFont="1" applyFill="1" applyBorder="1" applyAlignment="1">
      <alignment horizontal="left"/>
    </xf>
    <xf numFmtId="16" fontId="21" fillId="3" borderId="1" xfId="0" applyNumberFormat="1" applyFont="1" applyFill="1" applyBorder="1"/>
    <xf numFmtId="0" fontId="21" fillId="3" borderId="1" xfId="0" applyFont="1" applyFill="1" applyBorder="1" applyAlignment="1">
      <alignment horizontal="left" wrapText="1"/>
    </xf>
    <xf numFmtId="0" fontId="20" fillId="0" borderId="1" xfId="0" applyFont="1" applyBorder="1" applyAlignment="1">
      <alignment horizontal="left"/>
    </xf>
    <xf numFmtId="0" fontId="20" fillId="3" borderId="10" xfId="0" applyFont="1" applyFill="1" applyBorder="1" applyAlignment="1">
      <alignment horizontal="left"/>
    </xf>
    <xf numFmtId="16" fontId="21" fillId="3" borderId="2" xfId="0" applyNumberFormat="1" applyFont="1" applyFill="1" applyBorder="1"/>
    <xf numFmtId="0" fontId="21" fillId="3" borderId="1" xfId="0" applyFont="1" applyFill="1" applyBorder="1" applyAlignment="1">
      <alignment horizontal="left"/>
    </xf>
    <xf numFmtId="0" fontId="21" fillId="0" borderId="1" xfId="0" applyFont="1" applyBorder="1" applyAlignment="1">
      <alignment horizontal="right"/>
    </xf>
    <xf numFmtId="0" fontId="21" fillId="3" borderId="2" xfId="0" applyFont="1" applyFill="1" applyBorder="1" applyAlignment="1">
      <alignment horizontal="left"/>
    </xf>
    <xf numFmtId="0" fontId="21" fillId="0" borderId="2" xfId="0" applyFont="1" applyBorder="1" applyAlignment="1">
      <alignment horizontal="right"/>
    </xf>
    <xf numFmtId="0" fontId="17" fillId="8" borderId="1" xfId="0" applyFont="1" applyFill="1" applyBorder="1" applyAlignment="1">
      <alignment horizontal="right"/>
    </xf>
    <xf numFmtId="0" fontId="20" fillId="8" borderId="10" xfId="0" applyFont="1" applyFill="1" applyBorder="1" applyAlignment="1">
      <alignment horizontal="left"/>
    </xf>
    <xf numFmtId="0" fontId="21" fillId="8" borderId="2" xfId="0" applyFont="1" applyFill="1" applyBorder="1"/>
    <xf numFmtId="16" fontId="21" fillId="8" borderId="2" xfId="0" applyNumberFormat="1" applyFont="1" applyFill="1" applyBorder="1"/>
    <xf numFmtId="0" fontId="21" fillId="8" borderId="2" xfId="0" applyFont="1" applyFill="1" applyBorder="1" applyAlignment="1">
      <alignment horizontal="left" wrapText="1"/>
    </xf>
    <xf numFmtId="0" fontId="21" fillId="0" borderId="1" xfId="0" applyFont="1" applyBorder="1" applyAlignment="1">
      <alignment vertical="center" wrapText="1"/>
    </xf>
    <xf numFmtId="0" fontId="21" fillId="0" borderId="1" xfId="0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21" fillId="13" borderId="2" xfId="0" applyFont="1" applyFill="1" applyBorder="1"/>
    <xf numFmtId="0" fontId="8" fillId="3" borderId="1" xfId="0" applyFont="1" applyFill="1" applyBorder="1" applyAlignment="1">
      <alignment horizontal="center" vertical="center"/>
    </xf>
    <xf numFmtId="0" fontId="20" fillId="3" borderId="2" xfId="0" applyFont="1" applyFill="1" applyBorder="1"/>
    <xf numFmtId="0" fontId="20" fillId="0" borderId="9" xfId="0" applyFont="1" applyBorder="1" applyAlignment="1">
      <alignment horizontal="left" vertical="center"/>
    </xf>
    <xf numFmtId="0" fontId="21" fillId="0" borderId="1" xfId="0" applyFont="1" applyBorder="1" applyAlignment="1">
      <alignment vertical="center"/>
    </xf>
    <xf numFmtId="0" fontId="21" fillId="0" borderId="1" xfId="0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/>
    </xf>
    <xf numFmtId="16" fontId="21" fillId="0" borderId="1" xfId="0" applyNumberFormat="1" applyFont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20" fillId="3" borderId="1" xfId="0" applyFont="1" applyFill="1" applyBorder="1"/>
    <xf numFmtId="0" fontId="20" fillId="8" borderId="2" xfId="0" applyFont="1" applyFill="1" applyBorder="1"/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8" fillId="3" borderId="0" xfId="0" applyFont="1" applyFill="1"/>
    <xf numFmtId="0" fontId="26" fillId="3" borderId="9" xfId="0" applyFont="1" applyFill="1" applyBorder="1" applyAlignment="1">
      <alignment horizontal="left"/>
    </xf>
    <xf numFmtId="0" fontId="27" fillId="3" borderId="1" xfId="0" applyFont="1" applyFill="1" applyBorder="1"/>
    <xf numFmtId="16" fontId="27" fillId="3" borderId="1" xfId="0" applyNumberFormat="1" applyFont="1" applyFill="1" applyBorder="1"/>
    <xf numFmtId="0" fontId="26" fillId="3" borderId="1" xfId="0" applyFont="1" applyFill="1" applyBorder="1"/>
    <xf numFmtId="0" fontId="27" fillId="3" borderId="1" xfId="0" applyFont="1" applyFill="1" applyBorder="1" applyAlignment="1">
      <alignment horizontal="left" wrapText="1"/>
    </xf>
    <xf numFmtId="0" fontId="27" fillId="3" borderId="2" xfId="0" applyFont="1" applyFill="1" applyBorder="1"/>
    <xf numFmtId="0" fontId="27" fillId="3" borderId="2" xfId="0" applyFont="1" applyFill="1" applyBorder="1" applyAlignment="1">
      <alignment horizontal="left" wrapText="1"/>
    </xf>
    <xf numFmtId="0" fontId="8" fillId="3" borderId="2" xfId="0" applyFont="1" applyFill="1" applyBorder="1"/>
    <xf numFmtId="0" fontId="8" fillId="8" borderId="2" xfId="0" applyFont="1" applyFill="1" applyBorder="1"/>
    <xf numFmtId="0" fontId="27" fillId="5" borderId="2" xfId="0" applyFont="1" applyFill="1" applyBorder="1"/>
    <xf numFmtId="0" fontId="20" fillId="8" borderId="1" xfId="0" applyFont="1" applyFill="1" applyBorder="1"/>
    <xf numFmtId="0" fontId="6" fillId="5" borderId="1" xfId="0" applyFont="1" applyFill="1" applyBorder="1" applyAlignment="1">
      <alignment horizontal="right"/>
    </xf>
    <xf numFmtId="0" fontId="8" fillId="3" borderId="1" xfId="0" applyFont="1" applyFill="1" applyBorder="1" applyAlignment="1">
      <alignment horizontal="left"/>
    </xf>
    <xf numFmtId="0" fontId="20" fillId="10" borderId="10" xfId="0" applyFont="1" applyFill="1" applyBorder="1" applyAlignment="1">
      <alignment horizontal="left"/>
    </xf>
    <xf numFmtId="0" fontId="21" fillId="10" borderId="2" xfId="0" applyFont="1" applyFill="1" applyBorder="1"/>
    <xf numFmtId="16" fontId="21" fillId="10" borderId="2" xfId="0" applyNumberFormat="1" applyFont="1" applyFill="1" applyBorder="1"/>
    <xf numFmtId="0" fontId="20" fillId="10" borderId="2" xfId="0" applyFont="1" applyFill="1" applyBorder="1"/>
    <xf numFmtId="0" fontId="21" fillId="10" borderId="2" xfId="0" applyFont="1" applyFill="1" applyBorder="1" applyAlignment="1">
      <alignment horizontal="left" wrapText="1"/>
    </xf>
    <xf numFmtId="0" fontId="22" fillId="0" borderId="1" xfId="0" applyFont="1" applyBorder="1"/>
    <xf numFmtId="0" fontId="20" fillId="3" borderId="11" xfId="0" applyFont="1" applyFill="1" applyBorder="1"/>
    <xf numFmtId="0" fontId="28" fillId="0" borderId="2" xfId="0" applyFont="1" applyBorder="1"/>
    <xf numFmtId="0" fontId="21" fillId="0" borderId="2" xfId="0" applyFont="1" applyBorder="1" applyAlignment="1">
      <alignment wrapText="1"/>
    </xf>
    <xf numFmtId="0" fontId="21" fillId="3" borderId="1" xfId="0" applyFont="1" applyFill="1" applyBorder="1" applyAlignment="1">
      <alignment wrapText="1"/>
    </xf>
    <xf numFmtId="0" fontId="21" fillId="3" borderId="2" xfId="0" applyFont="1" applyFill="1" applyBorder="1" applyAlignment="1">
      <alignment wrapText="1"/>
    </xf>
    <xf numFmtId="0" fontId="20" fillId="13" borderId="10" xfId="0" applyFont="1" applyFill="1" applyBorder="1" applyAlignment="1">
      <alignment horizontal="left"/>
    </xf>
    <xf numFmtId="0" fontId="21" fillId="13" borderId="1" xfId="0" applyFont="1" applyFill="1" applyBorder="1"/>
    <xf numFmtId="0" fontId="21" fillId="13" borderId="2" xfId="0" applyFont="1" applyFill="1" applyBorder="1" applyAlignment="1">
      <alignment horizontal="left" wrapText="1"/>
    </xf>
    <xf numFmtId="0" fontId="20" fillId="13" borderId="2" xfId="0" applyFont="1" applyFill="1" applyBorder="1"/>
    <xf numFmtId="0" fontId="20" fillId="3" borderId="2" xfId="0" applyFont="1" applyFill="1" applyBorder="1" applyAlignment="1">
      <alignment horizontal="center"/>
    </xf>
    <xf numFmtId="164" fontId="2" fillId="3" borderId="9" xfId="0" applyNumberFormat="1" applyFont="1" applyFill="1" applyBorder="1" applyAlignment="1">
      <alignment horizontal="center" vertical="center" textRotation="90"/>
    </xf>
    <xf numFmtId="164" fontId="2" fillId="3" borderId="7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165" fontId="1" fillId="3" borderId="1" xfId="0" applyNumberFormat="1" applyFont="1" applyFill="1" applyBorder="1" applyAlignment="1">
      <alignment horizontal="center" vertical="top"/>
    </xf>
    <xf numFmtId="2" fontId="1" fillId="3" borderId="4" xfId="0" applyNumberFormat="1" applyFont="1" applyFill="1" applyBorder="1" applyAlignment="1">
      <alignment horizontal="center" vertical="top" wrapText="1"/>
    </xf>
    <xf numFmtId="2" fontId="1" fillId="3" borderId="3" xfId="0" applyNumberFormat="1" applyFont="1" applyFill="1" applyBorder="1" applyAlignment="1">
      <alignment horizontal="center" vertical="top" wrapText="1"/>
    </xf>
    <xf numFmtId="165" fontId="1" fillId="3" borderId="5" xfId="0" applyNumberFormat="1" applyFont="1" applyFill="1" applyBorder="1" applyAlignment="1">
      <alignment horizontal="center" vertical="top" wrapText="1"/>
    </xf>
    <xf numFmtId="165" fontId="1" fillId="3" borderId="8" xfId="0" applyNumberFormat="1" applyFont="1" applyFill="1" applyBorder="1" applyAlignment="1">
      <alignment horizontal="center" vertical="top" wrapText="1"/>
    </xf>
    <xf numFmtId="0" fontId="23" fillId="3" borderId="1" xfId="0" applyFont="1" applyFill="1" applyBorder="1"/>
    <xf numFmtId="0" fontId="26" fillId="3" borderId="10" xfId="0" applyFont="1" applyFill="1" applyBorder="1" applyAlignment="1">
      <alignment horizontal="left"/>
    </xf>
    <xf numFmtId="16" fontId="27" fillId="3" borderId="2" xfId="0" applyNumberFormat="1" applyFont="1" applyFill="1" applyBorder="1"/>
    <xf numFmtId="0" fontId="26" fillId="3" borderId="2" xfId="0" applyFont="1" applyFill="1" applyBorder="1"/>
    <xf numFmtId="0" fontId="20" fillId="0" borderId="2" xfId="0" applyFont="1" applyBorder="1"/>
    <xf numFmtId="0" fontId="20" fillId="0" borderId="1" xfId="0" applyFont="1" applyBorder="1"/>
    <xf numFmtId="16" fontId="21" fillId="13" borderId="1" xfId="0" applyNumberFormat="1" applyFont="1" applyFill="1" applyBorder="1"/>
    <xf numFmtId="0" fontId="20" fillId="13" borderId="9" xfId="0" applyFont="1" applyFill="1" applyBorder="1" applyAlignment="1">
      <alignment horizontal="left"/>
    </xf>
    <xf numFmtId="0" fontId="21" fillId="13" borderId="1" xfId="0" applyFont="1" applyFill="1" applyBorder="1" applyAlignment="1">
      <alignment horizontal="left" wrapText="1"/>
    </xf>
    <xf numFmtId="0" fontId="20" fillId="13" borderId="1" xfId="0" applyFont="1" applyFill="1" applyBorder="1"/>
    <xf numFmtId="2" fontId="29" fillId="14" borderId="2" xfId="0" applyNumberFormat="1" applyFont="1" applyFill="1" applyBorder="1" applyAlignment="1">
      <alignment horizontal="center" vertical="top" wrapText="1"/>
    </xf>
    <xf numFmtId="0" fontId="20" fillId="7" borderId="10" xfId="0" applyFont="1" applyFill="1" applyBorder="1" applyAlignment="1">
      <alignment horizontal="left"/>
    </xf>
    <xf numFmtId="0" fontId="21" fillId="7" borderId="2" xfId="0" applyFont="1" applyFill="1" applyBorder="1"/>
    <xf numFmtId="16" fontId="21" fillId="7" borderId="1" xfId="0" applyNumberFormat="1" applyFont="1" applyFill="1" applyBorder="1"/>
    <xf numFmtId="0" fontId="20" fillId="7" borderId="2" xfId="0" applyFont="1" applyFill="1" applyBorder="1"/>
    <xf numFmtId="0" fontId="21" fillId="7" borderId="2" xfId="0" applyFont="1" applyFill="1" applyBorder="1" applyAlignment="1">
      <alignment horizontal="left" wrapText="1"/>
    </xf>
    <xf numFmtId="3" fontId="21" fillId="3" borderId="2" xfId="0" applyNumberFormat="1" applyFont="1" applyFill="1" applyBorder="1"/>
    <xf numFmtId="0" fontId="20" fillId="5" borderId="10" xfId="0" applyFont="1" applyFill="1" applyBorder="1" applyAlignment="1">
      <alignment horizontal="left"/>
    </xf>
    <xf numFmtId="16" fontId="21" fillId="5" borderId="2" xfId="0" applyNumberFormat="1" applyFont="1" applyFill="1" applyBorder="1"/>
    <xf numFmtId="0" fontId="20" fillId="5" borderId="2" xfId="0" applyFont="1" applyFill="1" applyBorder="1"/>
    <xf numFmtId="0" fontId="21" fillId="5" borderId="2" xfId="0" applyFont="1" applyFill="1" applyBorder="1" applyAlignment="1">
      <alignment horizontal="left" wrapText="1"/>
    </xf>
    <xf numFmtId="0" fontId="20" fillId="5" borderId="1" xfId="0" applyFont="1" applyFill="1" applyBorder="1"/>
    <xf numFmtId="0" fontId="20" fillId="7" borderId="9" xfId="0" applyFont="1" applyFill="1" applyBorder="1" applyAlignment="1">
      <alignment horizontal="left"/>
    </xf>
    <xf numFmtId="0" fontId="21" fillId="7" borderId="1" xfId="0" applyFont="1" applyFill="1" applyBorder="1"/>
    <xf numFmtId="0" fontId="20" fillId="7" borderId="1" xfId="0" applyFont="1" applyFill="1" applyBorder="1"/>
    <xf numFmtId="0" fontId="8" fillId="7" borderId="1" xfId="0" applyFont="1" applyFill="1" applyBorder="1"/>
    <xf numFmtId="0" fontId="21" fillId="7" borderId="1" xfId="0" applyFont="1" applyFill="1" applyBorder="1" applyAlignment="1">
      <alignment horizontal="left" wrapText="1"/>
    </xf>
    <xf numFmtId="0" fontId="28" fillId="0" borderId="2" xfId="0" applyFont="1" applyBorder="1" applyAlignment="1">
      <alignment wrapText="1"/>
    </xf>
    <xf numFmtId="0" fontId="20" fillId="6" borderId="10" xfId="0" applyFont="1" applyFill="1" applyBorder="1" applyAlignment="1">
      <alignment horizontal="left"/>
    </xf>
    <xf numFmtId="0" fontId="21" fillId="6" borderId="2" xfId="0" applyFont="1" applyFill="1" applyBorder="1"/>
    <xf numFmtId="16" fontId="21" fillId="6" borderId="1" xfId="0" applyNumberFormat="1" applyFont="1" applyFill="1" applyBorder="1"/>
    <xf numFmtId="0" fontId="20" fillId="6" borderId="2" xfId="0" applyFont="1" applyFill="1" applyBorder="1"/>
    <xf numFmtId="0" fontId="21" fillId="6" borderId="2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/>
    </xf>
    <xf numFmtId="169" fontId="21" fillId="0" borderId="2" xfId="0" applyNumberFormat="1" applyFont="1" applyBorder="1"/>
    <xf numFmtId="0" fontId="21" fillId="6" borderId="2" xfId="0" applyFont="1" applyFill="1" applyBorder="1" applyAlignment="1">
      <alignment wrapText="1"/>
    </xf>
    <xf numFmtId="16" fontId="21" fillId="6" borderId="2" xfId="0" applyNumberFormat="1" applyFont="1" applyFill="1" applyBorder="1"/>
    <xf numFmtId="169" fontId="21" fillId="3" borderId="1" xfId="0" applyNumberFormat="1" applyFont="1" applyFill="1" applyBorder="1" applyAlignment="1">
      <alignment horizontal="left" wrapText="1"/>
    </xf>
    <xf numFmtId="16" fontId="21" fillId="5" borderId="1" xfId="0" applyNumberFormat="1" applyFont="1" applyFill="1" applyBorder="1"/>
    <xf numFmtId="169" fontId="21" fillId="0" borderId="1" xfId="0" applyNumberFormat="1" applyFont="1" applyBorder="1" applyAlignment="1">
      <alignment horizontal="left" wrapText="1"/>
    </xf>
    <xf numFmtId="0" fontId="21" fillId="10" borderId="1" xfId="0" applyFont="1" applyFill="1" applyBorder="1"/>
    <xf numFmtId="0" fontId="21" fillId="10" borderId="1" xfId="0" applyFont="1" applyFill="1" applyBorder="1" applyAlignment="1">
      <alignment horizontal="left" wrapText="1"/>
    </xf>
    <xf numFmtId="0" fontId="20" fillId="10" borderId="11" xfId="0" applyFont="1" applyFill="1" applyBorder="1"/>
    <xf numFmtId="2" fontId="21" fillId="0" borderId="2" xfId="0" applyNumberFormat="1" applyFont="1" applyBorder="1"/>
    <xf numFmtId="0" fontId="20" fillId="0" borderId="11" xfId="0" applyFont="1" applyBorder="1"/>
    <xf numFmtId="0" fontId="26" fillId="0" borderId="1" xfId="0" applyFont="1" applyBorder="1"/>
    <xf numFmtId="0" fontId="20" fillId="5" borderId="9" xfId="0" applyFont="1" applyFill="1" applyBorder="1" applyAlignment="1">
      <alignment horizontal="left"/>
    </xf>
    <xf numFmtId="0" fontId="21" fillId="5" borderId="1" xfId="0" applyFont="1" applyFill="1" applyBorder="1" applyAlignment="1">
      <alignment horizontal="left" wrapText="1"/>
    </xf>
    <xf numFmtId="0" fontId="20" fillId="6" borderId="1" xfId="0" applyFont="1" applyFill="1" applyBorder="1"/>
    <xf numFmtId="0" fontId="21" fillId="3" borderId="2" xfId="0" applyFont="1" applyFill="1" applyBorder="1" applyAlignment="1">
      <alignment horizontal="right"/>
    </xf>
    <xf numFmtId="0" fontId="20" fillId="10" borderId="9" xfId="0" applyFont="1" applyFill="1" applyBorder="1" applyAlignment="1">
      <alignment horizontal="left"/>
    </xf>
    <xf numFmtId="0" fontId="20" fillId="10" borderId="1" xfId="0" applyFont="1" applyFill="1" applyBorder="1"/>
    <xf numFmtId="0" fontId="21" fillId="5" borderId="2" xfId="0" applyFont="1" applyFill="1" applyBorder="1" applyAlignment="1">
      <alignment horizontal="right"/>
    </xf>
    <xf numFmtId="0" fontId="21" fillId="0" borderId="1" xfId="0" applyFont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0" fillId="11" borderId="10" xfId="0" applyFont="1" applyFill="1" applyBorder="1" applyAlignment="1">
      <alignment horizontal="left"/>
    </xf>
    <xf numFmtId="0" fontId="21" fillId="11" borderId="2" xfId="0" applyFont="1" applyFill="1" applyBorder="1"/>
    <xf numFmtId="0" fontId="21" fillId="11" borderId="1" xfId="0" applyFont="1" applyFill="1" applyBorder="1"/>
    <xf numFmtId="16" fontId="21" fillId="11" borderId="2" xfId="0" applyNumberFormat="1" applyFont="1" applyFill="1" applyBorder="1"/>
    <xf numFmtId="0" fontId="20" fillId="11" borderId="2" xfId="0" applyFont="1" applyFill="1" applyBorder="1"/>
    <xf numFmtId="0" fontId="20" fillId="11" borderId="1" xfId="0" applyFont="1" applyFill="1" applyBorder="1"/>
    <xf numFmtId="0" fontId="21" fillId="11" borderId="2" xfId="0" applyFont="1" applyFill="1" applyBorder="1" applyAlignment="1">
      <alignment horizontal="left" wrapText="1"/>
    </xf>
    <xf numFmtId="16" fontId="21" fillId="7" borderId="2" xfId="0" applyNumberFormat="1" applyFont="1" applyFill="1" applyBorder="1"/>
    <xf numFmtId="0" fontId="8" fillId="5" borderId="2" xfId="0" applyFont="1" applyFill="1" applyBorder="1"/>
    <xf numFmtId="0" fontId="28" fillId="3" borderId="2" xfId="0" applyFont="1" applyFill="1" applyBorder="1"/>
    <xf numFmtId="0" fontId="20" fillId="15" borderId="2" xfId="0" applyFont="1" applyFill="1" applyBorder="1"/>
    <xf numFmtId="0" fontId="27" fillId="0" borderId="1" xfId="0" applyFont="1" applyBorder="1"/>
    <xf numFmtId="0" fontId="27" fillId="0" borderId="2" xfId="0" applyFont="1" applyBorder="1"/>
    <xf numFmtId="0" fontId="21" fillId="0" borderId="13" xfId="0" applyFont="1" applyBorder="1"/>
    <xf numFmtId="0" fontId="27" fillId="0" borderId="9" xfId="0" applyFont="1" applyBorder="1" applyAlignment="1">
      <alignment horizontal="left"/>
    </xf>
    <xf numFmtId="0" fontId="22" fillId="0" borderId="0" xfId="0" applyFont="1"/>
    <xf numFmtId="0" fontId="18" fillId="0" borderId="9" xfId="0" applyFont="1" applyBorder="1" applyAlignment="1">
      <alignment horizontal="left"/>
    </xf>
    <xf numFmtId="0" fontId="27" fillId="0" borderId="10" xfId="0" applyFont="1" applyBorder="1" applyAlignment="1">
      <alignment horizontal="left"/>
    </xf>
    <xf numFmtId="16" fontId="27" fillId="0" borderId="2" xfId="0" applyNumberFormat="1" applyFont="1" applyBorder="1"/>
    <xf numFmtId="165" fontId="4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27" fillId="3" borderId="0" xfId="0" applyFont="1" applyFill="1"/>
    <xf numFmtId="0" fontId="6" fillId="13" borderId="0" xfId="0" applyFont="1" applyFill="1"/>
    <xf numFmtId="0" fontId="6" fillId="7" borderId="0" xfId="0" applyFont="1" applyFill="1"/>
    <xf numFmtId="0" fontId="6" fillId="6" borderId="0" xfId="0" applyFont="1" applyFill="1"/>
    <xf numFmtId="0" fontId="6" fillId="3" borderId="0" xfId="0" applyFont="1" applyFill="1" applyAlignment="1">
      <alignment horizontal="left" wrapText="1"/>
    </xf>
    <xf numFmtId="0" fontId="27" fillId="0" borderId="1" xfId="0" applyFont="1" applyBorder="1" applyAlignment="1">
      <alignment horizontal="left"/>
    </xf>
    <xf numFmtId="16" fontId="22" fillId="0" borderId="1" xfId="0" applyNumberFormat="1" applyFont="1" applyBorder="1"/>
    <xf numFmtId="16" fontId="27" fillId="0" borderId="13" xfId="0" applyNumberFormat="1" applyFont="1" applyBorder="1"/>
    <xf numFmtId="0" fontId="27" fillId="0" borderId="2" xfId="0" applyFont="1" applyBorder="1" applyAlignment="1">
      <alignment horizontal="left"/>
    </xf>
    <xf numFmtId="1" fontId="21" fillId="0" borderId="2" xfId="0" applyNumberFormat="1" applyFont="1" applyBorder="1"/>
    <xf numFmtId="1" fontId="17" fillId="0" borderId="6" xfId="0" applyNumberFormat="1" applyFont="1" applyBorder="1" applyAlignment="1">
      <alignment horizontal="center" vertical="center"/>
    </xf>
    <xf numFmtId="1" fontId="21" fillId="0" borderId="1" xfId="0" applyNumberFormat="1" applyFont="1" applyBorder="1" applyAlignment="1">
      <alignment horizontal="center" vertical="center"/>
    </xf>
    <xf numFmtId="1" fontId="21" fillId="0" borderId="2" xfId="0" applyNumberFormat="1" applyFont="1" applyBorder="1" applyAlignment="1">
      <alignment horizontal="center" vertical="center"/>
    </xf>
    <xf numFmtId="1" fontId="21" fillId="0" borderId="13" xfId="0" applyNumberFormat="1" applyFont="1" applyBorder="1"/>
    <xf numFmtId="1" fontId="35" fillId="3" borderId="18" xfId="0" applyNumberFormat="1" applyFont="1" applyFill="1" applyBorder="1"/>
    <xf numFmtId="1" fontId="35" fillId="3" borderId="1" xfId="0" applyNumberFormat="1" applyFont="1" applyFill="1" applyBorder="1" applyAlignment="1">
      <alignment horizontal="center" vertical="center"/>
    </xf>
    <xf numFmtId="1" fontId="11" fillId="3" borderId="18" xfId="0" applyNumberFormat="1" applyFont="1" applyFill="1" applyBorder="1"/>
    <xf numFmtId="1" fontId="35" fillId="3" borderId="18" xfId="0" applyNumberFormat="1" applyFont="1" applyFill="1" applyBorder="1" applyAlignment="1">
      <alignment horizontal="center" vertical="center"/>
    </xf>
    <xf numFmtId="1" fontId="34" fillId="3" borderId="18" xfId="0" applyNumberFormat="1" applyFont="1" applyFill="1" applyBorder="1" applyAlignment="1">
      <alignment horizontal="center" vertical="center"/>
    </xf>
    <xf numFmtId="1" fontId="35" fillId="3" borderId="20" xfId="0" applyNumberFormat="1" applyFont="1" applyFill="1" applyBorder="1"/>
    <xf numFmtId="165" fontId="30" fillId="0" borderId="0" xfId="0" applyNumberFormat="1" applyFont="1"/>
    <xf numFmtId="1" fontId="33" fillId="3" borderId="18" xfId="0" applyNumberFormat="1" applyFont="1" applyFill="1" applyBorder="1"/>
    <xf numFmtId="1" fontId="33" fillId="3" borderId="18" xfId="0" applyNumberFormat="1" applyFont="1" applyFill="1" applyBorder="1" applyAlignment="1">
      <alignment horizontal="center" vertical="center"/>
    </xf>
    <xf numFmtId="1" fontId="35" fillId="3" borderId="17" xfId="0" applyNumberFormat="1" applyFont="1" applyFill="1" applyBorder="1" applyAlignment="1">
      <alignment horizontal="center" vertical="center"/>
    </xf>
    <xf numFmtId="165" fontId="39" fillId="0" borderId="0" xfId="0" applyNumberFormat="1" applyFont="1" applyAlignment="1">
      <alignment horizontal="center" vertical="center" wrapText="1"/>
    </xf>
    <xf numFmtId="2" fontId="39" fillId="0" borderId="1" xfId="0" applyNumberFormat="1" applyFont="1" applyBorder="1"/>
    <xf numFmtId="165" fontId="39" fillId="0" borderId="0" xfId="0" applyNumberFormat="1" applyFont="1"/>
    <xf numFmtId="2" fontId="39" fillId="0" borderId="0" xfId="0" applyNumberFormat="1" applyFont="1"/>
    <xf numFmtId="0" fontId="39" fillId="0" borderId="0" xfId="0" applyFont="1"/>
    <xf numFmtId="0" fontId="38" fillId="0" borderId="0" xfId="0" applyFont="1"/>
    <xf numFmtId="0" fontId="41" fillId="0" borderId="0" xfId="0" applyFont="1"/>
    <xf numFmtId="0" fontId="8" fillId="0" borderId="10" xfId="0" applyFont="1" applyBorder="1" applyAlignment="1">
      <alignment horizontal="left"/>
    </xf>
    <xf numFmtId="1" fontId="21" fillId="0" borderId="7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left"/>
    </xf>
    <xf numFmtId="1" fontId="21" fillId="0" borderId="11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left"/>
    </xf>
    <xf numFmtId="0" fontId="27" fillId="0" borderId="11" xfId="0" applyFont="1" applyBorder="1"/>
    <xf numFmtId="0" fontId="27" fillId="0" borderId="16" xfId="0" applyFont="1" applyBorder="1" applyAlignment="1">
      <alignment horizontal="left"/>
    </xf>
    <xf numFmtId="16" fontId="27" fillId="0" borderId="11" xfId="0" applyNumberFormat="1" applyFont="1" applyBorder="1"/>
    <xf numFmtId="0" fontId="21" fillId="0" borderId="11" xfId="0" applyFont="1" applyBorder="1"/>
    <xf numFmtId="0" fontId="27" fillId="0" borderId="13" xfId="0" applyFont="1" applyBorder="1" applyAlignment="1">
      <alignment horizontal="left"/>
    </xf>
    <xf numFmtId="1" fontId="21" fillId="0" borderId="12" xfId="0" applyNumberFormat="1" applyFont="1" applyBorder="1" applyAlignment="1">
      <alignment horizontal="center" vertical="center"/>
    </xf>
    <xf numFmtId="0" fontId="20" fillId="0" borderId="14" xfId="0" applyFont="1" applyBorder="1" applyAlignment="1">
      <alignment horizontal="left"/>
    </xf>
    <xf numFmtId="1" fontId="17" fillId="0" borderId="12" xfId="0" applyNumberFormat="1" applyFont="1" applyBorder="1" applyAlignment="1">
      <alignment horizontal="center" vertical="center"/>
    </xf>
    <xf numFmtId="1" fontId="35" fillId="3" borderId="20" xfId="0" applyNumberFormat="1" applyFont="1" applyFill="1" applyBorder="1" applyAlignment="1">
      <alignment horizontal="center" vertical="center"/>
    </xf>
    <xf numFmtId="1" fontId="11" fillId="3" borderId="17" xfId="0" applyNumberFormat="1" applyFont="1" applyFill="1" applyBorder="1" applyAlignment="1">
      <alignment horizontal="center"/>
    </xf>
    <xf numFmtId="1" fontId="11" fillId="3" borderId="17" xfId="0" applyNumberFormat="1" applyFont="1" applyFill="1" applyBorder="1" applyAlignment="1">
      <alignment horizontal="center" vertical="center"/>
    </xf>
    <xf numFmtId="1" fontId="35" fillId="3" borderId="17" xfId="0" applyNumberFormat="1" applyFont="1" applyFill="1" applyBorder="1"/>
    <xf numFmtId="1" fontId="33" fillId="3" borderId="20" xfId="0" applyNumberFormat="1" applyFont="1" applyFill="1" applyBorder="1"/>
    <xf numFmtId="1" fontId="33" fillId="3" borderId="20" xfId="0" applyNumberFormat="1" applyFont="1" applyFill="1" applyBorder="1" applyAlignment="1">
      <alignment horizontal="center" vertical="center"/>
    </xf>
    <xf numFmtId="1" fontId="11" fillId="3" borderId="20" xfId="0" applyNumberFormat="1" applyFont="1" applyFill="1" applyBorder="1"/>
    <xf numFmtId="1" fontId="11" fillId="3" borderId="20" xfId="0" applyNumberFormat="1" applyFont="1" applyFill="1" applyBorder="1" applyAlignment="1">
      <alignment horizontal="center" vertical="center"/>
    </xf>
    <xf numFmtId="1" fontId="34" fillId="3" borderId="20" xfId="0" applyNumberFormat="1" applyFont="1" applyFill="1" applyBorder="1" applyAlignment="1">
      <alignment horizontal="center" vertical="center"/>
    </xf>
    <xf numFmtId="1" fontId="39" fillId="0" borderId="0" xfId="0" applyNumberFormat="1" applyFont="1" applyAlignment="1">
      <alignment horizontal="center"/>
    </xf>
    <xf numFmtId="1" fontId="41" fillId="0" borderId="0" xfId="0" applyNumberFormat="1" applyFont="1" applyAlignment="1">
      <alignment horizontal="center" vertical="center"/>
    </xf>
    <xf numFmtId="0" fontId="41" fillId="17" borderId="1" xfId="0" applyFont="1" applyFill="1" applyBorder="1"/>
    <xf numFmtId="0" fontId="41" fillId="17" borderId="1" xfId="0" applyFont="1" applyFill="1" applyBorder="1" applyAlignment="1">
      <alignment horizontal="center" vertical="center"/>
    </xf>
    <xf numFmtId="0" fontId="41" fillId="0" borderId="1" xfId="0" applyFont="1" applyBorder="1"/>
    <xf numFmtId="0" fontId="41" fillId="0" borderId="1" xfId="0" applyFont="1" applyBorder="1" applyAlignment="1">
      <alignment horizontal="center" vertical="center"/>
    </xf>
    <xf numFmtId="0" fontId="41" fillId="17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0" fontId="40" fillId="17" borderId="1" xfId="0" applyFont="1" applyFill="1" applyBorder="1"/>
    <xf numFmtId="0" fontId="40" fillId="17" borderId="1" xfId="0" applyFont="1" applyFill="1" applyBorder="1" applyAlignment="1">
      <alignment horizontal="center" vertical="center"/>
    </xf>
    <xf numFmtId="0" fontId="40" fillId="0" borderId="1" xfId="0" applyFont="1" applyBorder="1"/>
    <xf numFmtId="0" fontId="40" fillId="0" borderId="1" xfId="0" applyFont="1" applyBorder="1" applyAlignment="1">
      <alignment horizontal="center" vertical="center"/>
    </xf>
    <xf numFmtId="0" fontId="42" fillId="17" borderId="1" xfId="0" applyFont="1" applyFill="1" applyBorder="1"/>
    <xf numFmtId="0" fontId="42" fillId="17" borderId="1" xfId="0" applyFont="1" applyFill="1" applyBorder="1" applyAlignment="1">
      <alignment horizontal="center" vertical="center"/>
    </xf>
    <xf numFmtId="0" fontId="42" fillId="0" borderId="1" xfId="0" applyFont="1" applyBorder="1"/>
    <xf numFmtId="0" fontId="42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40" fillId="17" borderId="1" xfId="0" applyFont="1" applyFill="1" applyBorder="1" applyAlignment="1">
      <alignment horizontal="center"/>
    </xf>
    <xf numFmtId="1" fontId="11" fillId="3" borderId="18" xfId="0" applyNumberFormat="1" applyFont="1" applyFill="1" applyBorder="1" applyAlignment="1">
      <alignment horizontal="center"/>
    </xf>
    <xf numFmtId="1" fontId="11" fillId="3" borderId="18" xfId="0" applyNumberFormat="1" applyFont="1" applyFill="1" applyBorder="1" applyAlignment="1">
      <alignment horizontal="center" vertical="center"/>
    </xf>
    <xf numFmtId="1" fontId="36" fillId="3" borderId="18" xfId="0" applyNumberFormat="1" applyFont="1" applyFill="1" applyBorder="1" applyAlignment="1">
      <alignment horizontal="center" vertical="center"/>
    </xf>
    <xf numFmtId="1" fontId="35" fillId="3" borderId="19" xfId="0" applyNumberFormat="1" applyFont="1" applyFill="1" applyBorder="1"/>
    <xf numFmtId="1" fontId="11" fillId="3" borderId="20" xfId="0" applyNumberFormat="1" applyFont="1" applyFill="1" applyBorder="1" applyAlignment="1">
      <alignment horizontal="center"/>
    </xf>
    <xf numFmtId="0" fontId="38" fillId="0" borderId="0" xfId="0" applyFont="1" applyAlignment="1">
      <alignment horizontal="center"/>
    </xf>
    <xf numFmtId="0" fontId="18" fillId="8" borderId="1" xfId="0" applyFont="1" applyFill="1" applyBorder="1"/>
    <xf numFmtId="1" fontId="39" fillId="0" borderId="0" xfId="0" applyNumberFormat="1" applyFont="1"/>
    <xf numFmtId="1" fontId="17" fillId="0" borderId="6" xfId="0" applyNumberFormat="1" applyFont="1" applyBorder="1" applyAlignment="1">
      <alignment horizontal="center"/>
    </xf>
    <xf numFmtId="1" fontId="21" fillId="0" borderId="6" xfId="0" applyNumberFormat="1" applyFont="1" applyBorder="1" applyAlignment="1">
      <alignment horizontal="center"/>
    </xf>
    <xf numFmtId="1" fontId="21" fillId="0" borderId="7" xfId="0" applyNumberFormat="1" applyFont="1" applyBorder="1" applyAlignment="1">
      <alignment horizontal="center"/>
    </xf>
    <xf numFmtId="1" fontId="21" fillId="0" borderId="11" xfId="0" applyNumberFormat="1" applyFont="1" applyBorder="1" applyAlignment="1">
      <alignment horizontal="center"/>
    </xf>
    <xf numFmtId="168" fontId="21" fillId="0" borderId="12" xfId="0" applyNumberFormat="1" applyFont="1" applyBorder="1"/>
    <xf numFmtId="168" fontId="21" fillId="0" borderId="7" xfId="0" applyNumberFormat="1" applyFont="1" applyBorder="1"/>
    <xf numFmtId="168" fontId="21" fillId="0" borderId="15" xfId="0" applyNumberFormat="1" applyFont="1" applyBorder="1"/>
    <xf numFmtId="168" fontId="6" fillId="0" borderId="6" xfId="0" applyNumberFormat="1" applyFont="1" applyBorder="1"/>
    <xf numFmtId="168" fontId="39" fillId="0" borderId="0" xfId="0" applyNumberFormat="1" applyFont="1"/>
    <xf numFmtId="1" fontId="21" fillId="0" borderId="11" xfId="0" applyNumberFormat="1" applyFont="1" applyBorder="1"/>
    <xf numFmtId="164" fontId="38" fillId="4" borderId="1" xfId="0" applyNumberFormat="1" applyFont="1" applyFill="1" applyBorder="1" applyAlignment="1">
      <alignment horizontal="center" vertical="top" textRotation="90"/>
    </xf>
    <xf numFmtId="164" fontId="38" fillId="4" borderId="1" xfId="0" applyNumberFormat="1" applyFont="1" applyFill="1" applyBorder="1" applyAlignment="1">
      <alignment horizontal="center" vertical="top" wrapText="1"/>
    </xf>
    <xf numFmtId="0" fontId="38" fillId="4" borderId="1" xfId="0" applyFont="1" applyFill="1" applyBorder="1" applyAlignment="1">
      <alignment horizontal="center" vertical="top" wrapText="1"/>
    </xf>
    <xf numFmtId="1" fontId="38" fillId="4" borderId="1" xfId="0" applyNumberFormat="1" applyFont="1" applyFill="1" applyBorder="1" applyAlignment="1">
      <alignment horizontal="center" vertical="top" textRotation="90"/>
    </xf>
    <xf numFmtId="166" fontId="38" fillId="4" borderId="1" xfId="0" applyNumberFormat="1" applyFont="1" applyFill="1" applyBorder="1" applyAlignment="1">
      <alignment horizontal="center" vertical="top" wrapText="1"/>
    </xf>
    <xf numFmtId="165" fontId="38" fillId="4" borderId="1" xfId="0" applyNumberFormat="1" applyFont="1" applyFill="1" applyBorder="1" applyAlignment="1">
      <alignment horizontal="center" vertical="top"/>
    </xf>
    <xf numFmtId="2" fontId="38" fillId="4" borderId="1" xfId="0" applyNumberFormat="1" applyFont="1" applyFill="1" applyBorder="1" applyAlignment="1">
      <alignment horizontal="center" vertical="top" wrapText="1"/>
    </xf>
    <xf numFmtId="1" fontId="38" fillId="4" borderId="1" xfId="0" applyNumberFormat="1" applyFont="1" applyFill="1" applyBorder="1" applyAlignment="1">
      <alignment horizontal="center" vertical="top" wrapText="1"/>
    </xf>
    <xf numFmtId="168" fontId="38" fillId="4" borderId="6" xfId="0" applyNumberFormat="1" applyFont="1" applyFill="1" applyBorder="1" applyAlignment="1">
      <alignment horizontal="center" vertical="top" wrapText="1"/>
    </xf>
    <xf numFmtId="2" fontId="38" fillId="4" borderId="1" xfId="0" applyNumberFormat="1" applyFont="1" applyFill="1" applyBorder="1" applyAlignment="1">
      <alignment horizontal="center" vertical="top" textRotation="90" wrapText="1"/>
    </xf>
    <xf numFmtId="1" fontId="41" fillId="0" borderId="1" xfId="0" applyNumberFormat="1" applyFont="1" applyBorder="1"/>
    <xf numFmtId="2" fontId="41" fillId="0" borderId="1" xfId="0" applyNumberFormat="1" applyFont="1" applyBorder="1"/>
    <xf numFmtId="165" fontId="30" fillId="3" borderId="0" xfId="0" applyNumberFormat="1" applyFont="1" applyFill="1"/>
    <xf numFmtId="165" fontId="39" fillId="18" borderId="0" xfId="0" applyNumberFormat="1" applyFont="1" applyFill="1"/>
    <xf numFmtId="0" fontId="27" fillId="3" borderId="1" xfId="0" applyFont="1" applyFill="1" applyBorder="1" applyAlignment="1">
      <alignment horizontal="left"/>
    </xf>
    <xf numFmtId="0" fontId="27" fillId="19" borderId="2" xfId="0" applyFont="1" applyFill="1" applyBorder="1" applyAlignment="1">
      <alignment horizontal="left"/>
    </xf>
    <xf numFmtId="165" fontId="39" fillId="4" borderId="0" xfId="0" applyNumberFormat="1" applyFont="1" applyFill="1"/>
    <xf numFmtId="0" fontId="20" fillId="4" borderId="10" xfId="0" applyFont="1" applyFill="1" applyBorder="1" applyAlignment="1">
      <alignment horizontal="left"/>
    </xf>
    <xf numFmtId="165" fontId="39" fillId="3" borderId="0" xfId="0" applyNumberFormat="1" applyFont="1" applyFill="1"/>
    <xf numFmtId="0" fontId="39" fillId="4" borderId="0" xfId="0" applyFont="1" applyFill="1"/>
    <xf numFmtId="0" fontId="20" fillId="3" borderId="14" xfId="0" applyFont="1" applyFill="1" applyBorder="1" applyAlignment="1">
      <alignment horizontal="left"/>
    </xf>
    <xf numFmtId="0" fontId="20" fillId="3" borderId="16" xfId="0" applyFont="1" applyFill="1" applyBorder="1" applyAlignment="1">
      <alignment horizontal="left"/>
    </xf>
    <xf numFmtId="0" fontId="27" fillId="3" borderId="13" xfId="0" applyFont="1" applyFill="1" applyBorder="1" applyAlignment="1">
      <alignment horizontal="left"/>
    </xf>
    <xf numFmtId="0" fontId="27" fillId="3" borderId="2" xfId="0" applyFont="1" applyFill="1" applyBorder="1" applyAlignment="1">
      <alignment horizontal="left"/>
    </xf>
    <xf numFmtId="0" fontId="20" fillId="0" borderId="16" xfId="0" applyFont="1" applyBorder="1" applyAlignment="1">
      <alignment horizontal="left"/>
    </xf>
    <xf numFmtId="0" fontId="26" fillId="0" borderId="10" xfId="0" applyFont="1" applyBorder="1" applyAlignment="1">
      <alignment horizontal="left"/>
    </xf>
    <xf numFmtId="165" fontId="38" fillId="0" borderId="0" xfId="0" applyNumberFormat="1" applyFont="1"/>
    <xf numFmtId="1" fontId="21" fillId="3" borderId="6" xfId="0" applyNumberFormat="1" applyFont="1" applyFill="1" applyBorder="1" applyAlignment="1">
      <alignment horizontal="center" vertical="center"/>
    </xf>
    <xf numFmtId="165" fontId="39" fillId="12" borderId="0" xfId="0" applyNumberFormat="1" applyFont="1" applyFill="1"/>
    <xf numFmtId="0" fontId="39" fillId="12" borderId="0" xfId="0" applyFont="1" applyFill="1"/>
    <xf numFmtId="165" fontId="38" fillId="12" borderId="0" xfId="0" applyNumberFormat="1" applyFont="1" applyFill="1"/>
    <xf numFmtId="0" fontId="20" fillId="12" borderId="10" xfId="0" applyFont="1" applyFill="1" applyBorder="1" applyAlignment="1">
      <alignment horizontal="left"/>
    </xf>
    <xf numFmtId="164" fontId="37" fillId="4" borderId="1" xfId="0" applyNumberFormat="1" applyFont="1" applyFill="1" applyBorder="1" applyAlignment="1">
      <alignment horizontal="center" vertical="top" textRotation="90" wrapText="1"/>
    </xf>
    <xf numFmtId="164" fontId="38" fillId="4" borderId="1" xfId="0" applyNumberFormat="1" applyFont="1" applyFill="1" applyBorder="1" applyAlignment="1">
      <alignment horizontal="center" vertical="top" textRotation="90" wrapText="1"/>
    </xf>
    <xf numFmtId="0" fontId="39" fillId="3" borderId="0" xfId="0" applyFont="1" applyFill="1"/>
    <xf numFmtId="0" fontId="43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16" fontId="12" fillId="0" borderId="1" xfId="0" applyNumberFormat="1" applyFont="1" applyBorder="1"/>
    <xf numFmtId="0" fontId="23" fillId="17" borderId="1" xfId="0" applyFont="1" applyFill="1" applyBorder="1" applyAlignment="1">
      <alignment horizontal="center"/>
    </xf>
    <xf numFmtId="0" fontId="23" fillId="17" borderId="1" xfId="0" applyFont="1" applyFill="1" applyBorder="1" applyAlignment="1">
      <alignment horizontal="center" vertical="center"/>
    </xf>
    <xf numFmtId="0" fontId="43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vertical="center"/>
    </xf>
    <xf numFmtId="0" fontId="23" fillId="0" borderId="1" xfId="0" applyFont="1" applyBorder="1"/>
    <xf numFmtId="0" fontId="23" fillId="0" borderId="1" xfId="0" applyFont="1" applyBorder="1" applyAlignment="1">
      <alignment horizontal="left"/>
    </xf>
    <xf numFmtId="2" fontId="23" fillId="0" borderId="1" xfId="0" applyNumberFormat="1" applyFont="1" applyBorder="1"/>
    <xf numFmtId="168" fontId="23" fillId="0" borderId="6" xfId="0" applyNumberFormat="1" applyFont="1" applyBorder="1"/>
    <xf numFmtId="0" fontId="23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1" fontId="23" fillId="0" borderId="1" xfId="0" applyNumberFormat="1" applyFont="1" applyBorder="1"/>
    <xf numFmtId="0" fontId="12" fillId="0" borderId="1" xfId="0" applyFont="1" applyBorder="1" applyAlignment="1">
      <alignment horizontal="left" vertical="center"/>
    </xf>
    <xf numFmtId="0" fontId="23" fillId="0" borderId="1" xfId="0" applyFont="1" applyBorder="1" applyAlignment="1">
      <alignment wrapText="1"/>
    </xf>
    <xf numFmtId="0" fontId="44" fillId="0" borderId="1" xfId="0" applyFont="1" applyBorder="1"/>
    <xf numFmtId="1" fontId="44" fillId="0" borderId="1" xfId="0" applyNumberFormat="1" applyFont="1" applyBorder="1"/>
    <xf numFmtId="0" fontId="12" fillId="17" borderId="1" xfId="0" applyFont="1" applyFill="1" applyBorder="1" applyAlignment="1">
      <alignment horizontal="center"/>
    </xf>
    <xf numFmtId="0" fontId="12" fillId="17" borderId="1" xfId="0" applyFont="1" applyFill="1" applyBorder="1" applyAlignment="1">
      <alignment horizontal="center" vertical="center"/>
    </xf>
    <xf numFmtId="2" fontId="12" fillId="0" borderId="1" xfId="0" applyNumberFormat="1" applyFont="1" applyBorder="1"/>
    <xf numFmtId="1" fontId="12" fillId="0" borderId="1" xfId="0" applyNumberFormat="1" applyFont="1" applyBorder="1"/>
    <xf numFmtId="168" fontId="12" fillId="0" borderId="6" xfId="0" applyNumberFormat="1" applyFont="1" applyBorder="1"/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49" fontId="23" fillId="0" borderId="1" xfId="0" applyNumberFormat="1" applyFont="1" applyBorder="1"/>
    <xf numFmtId="0" fontId="12" fillId="8" borderId="1" xfId="0" applyFont="1" applyFill="1" applyBorder="1"/>
    <xf numFmtId="0" fontId="44" fillId="17" borderId="1" xfId="0" applyFont="1" applyFill="1" applyBorder="1" applyAlignment="1">
      <alignment horizontal="center"/>
    </xf>
    <xf numFmtId="0" fontId="44" fillId="17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/>
    <xf numFmtId="16" fontId="12" fillId="3" borderId="1" xfId="0" applyNumberFormat="1" applyFont="1" applyFill="1" applyBorder="1"/>
    <xf numFmtId="2" fontId="23" fillId="3" borderId="1" xfId="0" applyNumberFormat="1" applyFont="1" applyFill="1" applyBorder="1"/>
    <xf numFmtId="1" fontId="23" fillId="3" borderId="1" xfId="0" applyNumberFormat="1" applyFont="1" applyFill="1" applyBorder="1"/>
    <xf numFmtId="168" fontId="23" fillId="3" borderId="6" xfId="0" applyNumberFormat="1" applyFont="1" applyFill="1" applyBorder="1"/>
    <xf numFmtId="168" fontId="23" fillId="0" borderId="6" xfId="0" applyNumberFormat="1" applyFont="1" applyBorder="1" applyAlignment="1">
      <alignment horizontal="right"/>
    </xf>
    <xf numFmtId="0" fontId="27" fillId="3" borderId="11" xfId="0" applyFont="1" applyFill="1" applyBorder="1"/>
    <xf numFmtId="16" fontId="27" fillId="3" borderId="11" xfId="0" applyNumberFormat="1" applyFont="1" applyFill="1" applyBorder="1"/>
    <xf numFmtId="0" fontId="23" fillId="3" borderId="1" xfId="0" applyFont="1" applyFill="1" applyBorder="1" applyAlignment="1">
      <alignment horizontal="center"/>
    </xf>
    <xf numFmtId="0" fontId="43" fillId="15" borderId="1" xfId="0" applyFont="1" applyFill="1" applyBorder="1" applyAlignment="1">
      <alignment horizontal="center"/>
    </xf>
    <xf numFmtId="1" fontId="23" fillId="3" borderId="1" xfId="0" applyNumberFormat="1" applyFont="1" applyFill="1" applyBorder="1" applyAlignment="1">
      <alignment horizontal="center" vertical="center"/>
    </xf>
    <xf numFmtId="2" fontId="21" fillId="3" borderId="1" xfId="0" applyNumberFormat="1" applyFont="1" applyFill="1" applyBorder="1"/>
    <xf numFmtId="1" fontId="21" fillId="3" borderId="1" xfId="0" applyNumberFormat="1" applyFont="1" applyFill="1" applyBorder="1"/>
    <xf numFmtId="168" fontId="21" fillId="3" borderId="6" xfId="0" applyNumberFormat="1" applyFont="1" applyFill="1" applyBorder="1"/>
    <xf numFmtId="0" fontId="21" fillId="18" borderId="1" xfId="0" applyFont="1" applyFill="1" applyBorder="1"/>
    <xf numFmtId="2" fontId="21" fillId="18" borderId="1" xfId="0" applyNumberFormat="1" applyFont="1" applyFill="1" applyBorder="1"/>
    <xf numFmtId="1" fontId="21" fillId="18" borderId="1" xfId="0" applyNumberFormat="1" applyFont="1" applyFill="1" applyBorder="1"/>
    <xf numFmtId="168" fontId="21" fillId="18" borderId="6" xfId="0" applyNumberFormat="1" applyFont="1" applyFill="1" applyBorder="1"/>
    <xf numFmtId="1" fontId="23" fillId="5" borderId="1" xfId="0" applyNumberFormat="1" applyFont="1" applyFill="1" applyBorder="1" applyAlignment="1">
      <alignment horizontal="center" vertical="center"/>
    </xf>
    <xf numFmtId="49" fontId="23" fillId="3" borderId="1" xfId="0" applyNumberFormat="1" applyFont="1" applyFill="1" applyBorder="1"/>
    <xf numFmtId="49" fontId="12" fillId="3" borderId="1" xfId="0" applyNumberFormat="1" applyFont="1" applyFill="1" applyBorder="1"/>
    <xf numFmtId="2" fontId="12" fillId="3" borderId="1" xfId="0" applyNumberFormat="1" applyFont="1" applyFill="1" applyBorder="1"/>
    <xf numFmtId="1" fontId="12" fillId="3" borderId="1" xfId="0" applyNumberFormat="1" applyFont="1" applyFill="1" applyBorder="1"/>
    <xf numFmtId="0" fontId="23" fillId="5" borderId="1" xfId="0" applyFont="1" applyFill="1" applyBorder="1" applyAlignment="1">
      <alignment horizontal="center" vertical="center"/>
    </xf>
    <xf numFmtId="49" fontId="44" fillId="0" borderId="1" xfId="0" applyNumberFormat="1" applyFont="1" applyBorder="1"/>
    <xf numFmtId="0" fontId="44" fillId="0" borderId="1" xfId="0" applyFont="1" applyBorder="1" applyAlignment="1">
      <alignment horizontal="center"/>
    </xf>
    <xf numFmtId="0" fontId="44" fillId="0" borderId="1" xfId="0" applyFont="1" applyBorder="1" applyAlignment="1">
      <alignment horizontal="center" vertical="center"/>
    </xf>
    <xf numFmtId="49" fontId="12" fillId="0" borderId="1" xfId="0" applyNumberFormat="1" applyFont="1" applyBorder="1"/>
    <xf numFmtId="0" fontId="27" fillId="3" borderId="13" xfId="0" applyFont="1" applyFill="1" applyBorder="1"/>
    <xf numFmtId="1" fontId="46" fillId="3" borderId="18" xfId="0" applyNumberFormat="1" applyFont="1" applyFill="1" applyBorder="1" applyAlignment="1">
      <alignment horizontal="center"/>
    </xf>
    <xf numFmtId="1" fontId="46" fillId="3" borderId="18" xfId="0" applyNumberFormat="1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left"/>
    </xf>
    <xf numFmtId="0" fontId="23" fillId="3" borderId="1" xfId="0" applyFont="1" applyFill="1" applyBorder="1" applyAlignment="1">
      <alignment horizontal="center" vertical="center"/>
    </xf>
    <xf numFmtId="0" fontId="43" fillId="3" borderId="1" xfId="0" applyFont="1" applyFill="1" applyBorder="1" applyAlignment="1">
      <alignment horizontal="center"/>
    </xf>
    <xf numFmtId="0" fontId="12" fillId="5" borderId="1" xfId="0" applyFont="1" applyFill="1" applyBorder="1"/>
    <xf numFmtId="16" fontId="12" fillId="5" borderId="1" xfId="0" applyNumberFormat="1" applyFont="1" applyFill="1" applyBorder="1"/>
    <xf numFmtId="1" fontId="46" fillId="3" borderId="20" xfId="0" applyNumberFormat="1" applyFont="1" applyFill="1" applyBorder="1" applyAlignment="1">
      <alignment horizontal="center"/>
    </xf>
    <xf numFmtId="1" fontId="46" fillId="3" borderId="20" xfId="0" applyNumberFormat="1" applyFont="1" applyFill="1" applyBorder="1" applyAlignment="1">
      <alignment horizontal="center" vertical="center"/>
    </xf>
    <xf numFmtId="2" fontId="23" fillId="13" borderId="1" xfId="0" applyNumberFormat="1" applyFont="1" applyFill="1" applyBorder="1"/>
    <xf numFmtId="49" fontId="43" fillId="4" borderId="1" xfId="0" applyNumberFormat="1" applyFont="1" applyFill="1" applyBorder="1"/>
    <xf numFmtId="49" fontId="23" fillId="4" borderId="1" xfId="0" applyNumberFormat="1" applyFont="1" applyFill="1" applyBorder="1"/>
    <xf numFmtId="0" fontId="12" fillId="4" borderId="1" xfId="0" applyFont="1" applyFill="1" applyBorder="1"/>
    <xf numFmtId="16" fontId="12" fillId="4" borderId="1" xfId="0" applyNumberFormat="1" applyFont="1" applyFill="1" applyBorder="1"/>
    <xf numFmtId="0" fontId="23" fillId="4" borderId="1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1" fontId="23" fillId="4" borderId="1" xfId="0" applyNumberFormat="1" applyFont="1" applyFill="1" applyBorder="1" applyAlignment="1">
      <alignment horizontal="center" vertical="center"/>
    </xf>
    <xf numFmtId="0" fontId="23" fillId="4" borderId="1" xfId="0" applyFont="1" applyFill="1" applyBorder="1" applyAlignment="1">
      <alignment wrapText="1"/>
    </xf>
    <xf numFmtId="0" fontId="23" fillId="4" borderId="1" xfId="0" applyFont="1" applyFill="1" applyBorder="1"/>
    <xf numFmtId="2" fontId="23" fillId="4" borderId="1" xfId="0" applyNumberFormat="1" applyFont="1" applyFill="1" applyBorder="1"/>
    <xf numFmtId="1" fontId="23" fillId="4" borderId="1" xfId="0" applyNumberFormat="1" applyFont="1" applyFill="1" applyBorder="1"/>
    <xf numFmtId="168" fontId="23" fillId="4" borderId="6" xfId="0" applyNumberFormat="1" applyFont="1" applyFill="1" applyBorder="1"/>
    <xf numFmtId="0" fontId="23" fillId="21" borderId="1" xfId="0" applyFont="1" applyFill="1" applyBorder="1" applyAlignment="1">
      <alignment horizontal="center"/>
    </xf>
    <xf numFmtId="0" fontId="23" fillId="21" borderId="1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21" fillId="0" borderId="6" xfId="0" applyFont="1" applyBorder="1" applyAlignment="1">
      <alignment horizontal="center" vertical="center"/>
    </xf>
    <xf numFmtId="0" fontId="28" fillId="0" borderId="1" xfId="0" applyFont="1" applyBorder="1"/>
    <xf numFmtId="2" fontId="21" fillId="0" borderId="1" xfId="0" applyNumberFormat="1" applyFont="1" applyBorder="1"/>
    <xf numFmtId="1" fontId="21" fillId="0" borderId="1" xfId="0" applyNumberFormat="1" applyFont="1" applyBorder="1"/>
    <xf numFmtId="168" fontId="21" fillId="0" borderId="6" xfId="0" applyNumberFormat="1" applyFont="1" applyBorder="1"/>
    <xf numFmtId="16" fontId="27" fillId="0" borderId="1" xfId="0" applyNumberFormat="1" applyFont="1" applyBorder="1"/>
    <xf numFmtId="1" fontId="11" fillId="3" borderId="1" xfId="0" applyNumberFormat="1" applyFont="1" applyFill="1" applyBorder="1" applyAlignment="1">
      <alignment horizontal="center" vertical="center"/>
    </xf>
    <xf numFmtId="0" fontId="21" fillId="3" borderId="11" xfId="0" applyFont="1" applyFill="1" applyBorder="1"/>
    <xf numFmtId="0" fontId="12" fillId="16" borderId="1" xfId="0" applyFont="1" applyFill="1" applyBorder="1" applyAlignment="1">
      <alignment horizontal="left"/>
    </xf>
    <xf numFmtId="0" fontId="12" fillId="16" borderId="1" xfId="0" applyFont="1" applyFill="1" applyBorder="1"/>
    <xf numFmtId="0" fontId="44" fillId="21" borderId="1" xfId="0" applyFont="1" applyFill="1" applyBorder="1" applyAlignment="1">
      <alignment horizontal="center"/>
    </xf>
    <xf numFmtId="0" fontId="44" fillId="3" borderId="1" xfId="0" applyFont="1" applyFill="1" applyBorder="1" applyAlignment="1">
      <alignment horizontal="center"/>
    </xf>
    <xf numFmtId="0" fontId="43" fillId="10" borderId="1" xfId="0" applyFont="1" applyFill="1" applyBorder="1" applyAlignment="1">
      <alignment horizontal="left"/>
    </xf>
    <xf numFmtId="0" fontId="12" fillId="10" borderId="1" xfId="0" applyFont="1" applyFill="1" applyBorder="1" applyAlignment="1">
      <alignment horizontal="left"/>
    </xf>
    <xf numFmtId="0" fontId="12" fillId="10" borderId="1" xfId="0" applyFont="1" applyFill="1" applyBorder="1"/>
    <xf numFmtId="16" fontId="12" fillId="10" borderId="1" xfId="0" applyNumberFormat="1" applyFont="1" applyFill="1" applyBorder="1"/>
    <xf numFmtId="0" fontId="23" fillId="10" borderId="1" xfId="0" applyFont="1" applyFill="1" applyBorder="1"/>
    <xf numFmtId="2" fontId="23" fillId="10" borderId="1" xfId="0" applyNumberFormat="1" applyFont="1" applyFill="1" applyBorder="1"/>
    <xf numFmtId="1" fontId="23" fillId="10" borderId="1" xfId="0" applyNumberFormat="1" applyFont="1" applyFill="1" applyBorder="1"/>
    <xf numFmtId="0" fontId="44" fillId="3" borderId="1" xfId="0" applyFont="1" applyFill="1" applyBorder="1" applyAlignment="1">
      <alignment horizontal="center" vertical="center"/>
    </xf>
    <xf numFmtId="16" fontId="12" fillId="16" borderId="1" xfId="0" applyNumberFormat="1" applyFont="1" applyFill="1" applyBorder="1"/>
    <xf numFmtId="0" fontId="23" fillId="16" borderId="1" xfId="0" applyFont="1" applyFill="1" applyBorder="1"/>
    <xf numFmtId="2" fontId="23" fillId="16" borderId="1" xfId="0" applyNumberFormat="1" applyFont="1" applyFill="1" applyBorder="1"/>
    <xf numFmtId="1" fontId="23" fillId="16" borderId="1" xfId="0" applyNumberFormat="1" applyFont="1" applyFill="1" applyBorder="1"/>
    <xf numFmtId="49" fontId="43" fillId="12" borderId="1" xfId="0" applyNumberFormat="1" applyFont="1" applyFill="1" applyBorder="1"/>
    <xf numFmtId="49" fontId="23" fillId="12" borderId="1" xfId="0" applyNumberFormat="1" applyFont="1" applyFill="1" applyBorder="1"/>
    <xf numFmtId="0" fontId="12" fillId="12" borderId="1" xfId="0" applyFont="1" applyFill="1" applyBorder="1"/>
    <xf numFmtId="16" fontId="12" fillId="12" borderId="1" xfId="0" applyNumberFormat="1" applyFont="1" applyFill="1" applyBorder="1"/>
    <xf numFmtId="0" fontId="23" fillId="12" borderId="1" xfId="0" applyFont="1" applyFill="1" applyBorder="1" applyAlignment="1">
      <alignment horizontal="center"/>
    </xf>
    <xf numFmtId="0" fontId="23" fillId="12" borderId="1" xfId="0" applyFont="1" applyFill="1" applyBorder="1" applyAlignment="1">
      <alignment horizontal="center" vertical="center"/>
    </xf>
    <xf numFmtId="0" fontId="43" fillId="12" borderId="1" xfId="0" applyFont="1" applyFill="1" applyBorder="1" applyAlignment="1">
      <alignment horizontal="center"/>
    </xf>
    <xf numFmtId="1" fontId="23" fillId="12" borderId="1" xfId="0" applyNumberFormat="1" applyFont="1" applyFill="1" applyBorder="1" applyAlignment="1">
      <alignment horizontal="center" vertical="center"/>
    </xf>
    <xf numFmtId="0" fontId="23" fillId="12" borderId="1" xfId="0" applyFont="1" applyFill="1" applyBorder="1" applyAlignment="1">
      <alignment wrapText="1"/>
    </xf>
    <xf numFmtId="0" fontId="23" fillId="12" borderId="1" xfId="0" applyFont="1" applyFill="1" applyBorder="1"/>
    <xf numFmtId="2" fontId="23" fillId="12" borderId="1" xfId="0" applyNumberFormat="1" applyFont="1" applyFill="1" applyBorder="1"/>
    <xf numFmtId="1" fontId="23" fillId="12" borderId="1" xfId="0" applyNumberFormat="1" applyFont="1" applyFill="1" applyBorder="1"/>
    <xf numFmtId="168" fontId="23" fillId="12" borderId="6" xfId="0" applyNumberFormat="1" applyFont="1" applyFill="1" applyBorder="1"/>
    <xf numFmtId="0" fontId="18" fillId="0" borderId="13" xfId="0" applyFont="1" applyBorder="1"/>
    <xf numFmtId="0" fontId="18" fillId="0" borderId="1" xfId="0" applyFont="1" applyBorder="1"/>
    <xf numFmtId="1" fontId="21" fillId="0" borderId="1" xfId="0" applyNumberFormat="1" applyFont="1" applyBorder="1" applyAlignment="1">
      <alignment horizontal="center"/>
    </xf>
    <xf numFmtId="1" fontId="21" fillId="0" borderId="6" xfId="0" applyNumberFormat="1" applyFont="1" applyBorder="1" applyAlignment="1">
      <alignment horizontal="center" vertical="center"/>
    </xf>
    <xf numFmtId="1" fontId="21" fillId="0" borderId="10" xfId="0" applyNumberFormat="1" applyFont="1" applyBorder="1" applyAlignment="1">
      <alignment horizontal="center" vertical="center"/>
    </xf>
    <xf numFmtId="0" fontId="18" fillId="0" borderId="2" xfId="0" applyFont="1" applyBorder="1"/>
    <xf numFmtId="16" fontId="22" fillId="3" borderId="13" xfId="0" applyNumberFormat="1" applyFont="1" applyFill="1" applyBorder="1"/>
    <xf numFmtId="16" fontId="22" fillId="0" borderId="13" xfId="0" applyNumberFormat="1" applyFont="1" applyBorder="1"/>
    <xf numFmtId="16" fontId="22" fillId="3" borderId="2" xfId="0" applyNumberFormat="1" applyFont="1" applyFill="1" applyBorder="1"/>
    <xf numFmtId="16" fontId="22" fillId="0" borderId="2" xfId="0" applyNumberFormat="1" applyFont="1" applyBorder="1"/>
    <xf numFmtId="0" fontId="23" fillId="3" borderId="1" xfId="0" applyFont="1" applyFill="1" applyBorder="1" applyAlignment="1">
      <alignment wrapText="1"/>
    </xf>
    <xf numFmtId="0" fontId="46" fillId="0" borderId="0" xfId="0" applyFont="1" applyAlignment="1">
      <alignment horizontal="left"/>
    </xf>
    <xf numFmtId="16" fontId="18" fillId="0" borderId="0" xfId="0" applyNumberFormat="1" applyFont="1"/>
    <xf numFmtId="16" fontId="18" fillId="3" borderId="0" xfId="0" applyNumberFormat="1" applyFont="1" applyFill="1"/>
    <xf numFmtId="0" fontId="18" fillId="3" borderId="1" xfId="0" applyFont="1" applyFill="1" applyBorder="1"/>
    <xf numFmtId="0" fontId="28" fillId="3" borderId="1" xfId="0" applyFont="1" applyFill="1" applyBorder="1"/>
    <xf numFmtId="0" fontId="28" fillId="3" borderId="9" xfId="0" applyFont="1" applyFill="1" applyBorder="1"/>
    <xf numFmtId="0" fontId="21" fillId="3" borderId="9" xfId="0" applyFont="1" applyFill="1" applyBorder="1"/>
    <xf numFmtId="0" fontId="20" fillId="0" borderId="1" xfId="0" applyFont="1" applyBorder="1" applyAlignment="1">
      <alignment horizontal="center"/>
    </xf>
    <xf numFmtId="1" fontId="21" fillId="0" borderId="10" xfId="0" applyNumberFormat="1" applyFont="1" applyBorder="1" applyAlignment="1">
      <alignment horizontal="center"/>
    </xf>
    <xf numFmtId="0" fontId="27" fillId="0" borderId="6" xfId="0" applyFont="1" applyBorder="1" applyAlignment="1">
      <alignment horizontal="left"/>
    </xf>
    <xf numFmtId="0" fontId="21" fillId="0" borderId="9" xfId="0" applyFont="1" applyBorder="1"/>
    <xf numFmtId="0" fontId="27" fillId="3" borderId="6" xfId="0" applyFont="1" applyFill="1" applyBorder="1" applyAlignment="1">
      <alignment horizontal="left"/>
    </xf>
    <xf numFmtId="0" fontId="27" fillId="19" borderId="7" xfId="0" applyFont="1" applyFill="1" applyBorder="1" applyAlignment="1">
      <alignment horizontal="left"/>
    </xf>
    <xf numFmtId="16" fontId="27" fillId="19" borderId="2" xfId="0" applyNumberFormat="1" applyFont="1" applyFill="1" applyBorder="1"/>
    <xf numFmtId="0" fontId="21" fillId="0" borderId="10" xfId="0" applyFont="1" applyBorder="1"/>
    <xf numFmtId="1" fontId="21" fillId="3" borderId="10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/>
    </xf>
    <xf numFmtId="0" fontId="21" fillId="3" borderId="6" xfId="0" applyFont="1" applyFill="1" applyBorder="1" applyAlignment="1">
      <alignment horizontal="center" vertical="center"/>
    </xf>
    <xf numFmtId="1" fontId="21" fillId="3" borderId="10" xfId="0" applyNumberFormat="1" applyFont="1" applyFill="1" applyBorder="1" applyAlignment="1">
      <alignment horizontal="center"/>
    </xf>
    <xf numFmtId="0" fontId="23" fillId="12" borderId="1" xfId="0" applyFont="1" applyFill="1" applyBorder="1" applyAlignment="1">
      <alignment horizontal="left"/>
    </xf>
    <xf numFmtId="16" fontId="23" fillId="12" borderId="1" xfId="0" applyNumberFormat="1" applyFont="1" applyFill="1" applyBorder="1"/>
    <xf numFmtId="0" fontId="23" fillId="22" borderId="1" xfId="0" applyFont="1" applyFill="1" applyBorder="1" applyAlignment="1">
      <alignment horizontal="center"/>
    </xf>
    <xf numFmtId="0" fontId="23" fillId="22" borderId="1" xfId="0" applyFont="1" applyFill="1" applyBorder="1" applyAlignment="1">
      <alignment horizontal="center" vertical="center"/>
    </xf>
    <xf numFmtId="16" fontId="23" fillId="0" borderId="1" xfId="0" applyNumberFormat="1" applyFont="1" applyBorder="1"/>
    <xf numFmtId="0" fontId="21" fillId="3" borderId="16" xfId="0" applyFont="1" applyFill="1" applyBorder="1" applyAlignment="1">
      <alignment horizontal="left"/>
    </xf>
    <xf numFmtId="16" fontId="21" fillId="3" borderId="11" xfId="0" applyNumberFormat="1" applyFont="1" applyFill="1" applyBorder="1"/>
    <xf numFmtId="16" fontId="21" fillId="0" borderId="11" xfId="0" applyNumberFormat="1" applyFont="1" applyBorder="1"/>
    <xf numFmtId="0" fontId="18" fillId="0" borderId="11" xfId="0" applyFont="1" applyBorder="1"/>
    <xf numFmtId="0" fontId="23" fillId="3" borderId="1" xfId="0" applyFont="1" applyFill="1" applyBorder="1" applyAlignment="1">
      <alignment horizontal="left"/>
    </xf>
    <xf numFmtId="16" fontId="23" fillId="3" borderId="1" xfId="0" applyNumberFormat="1" applyFont="1" applyFill="1" applyBorder="1"/>
    <xf numFmtId="2" fontId="23" fillId="3" borderId="1" xfId="0" applyNumberFormat="1" applyFont="1" applyFill="1" applyBorder="1" applyAlignment="1">
      <alignment horizontal="left"/>
    </xf>
    <xf numFmtId="0" fontId="21" fillId="0" borderId="16" xfId="0" applyFont="1" applyBorder="1" applyAlignment="1">
      <alignment horizontal="left"/>
    </xf>
    <xf numFmtId="16" fontId="21" fillId="0" borderId="13" xfId="0" applyNumberFormat="1" applyFont="1" applyBorder="1"/>
    <xf numFmtId="0" fontId="23" fillId="4" borderId="1" xfId="0" applyFont="1" applyFill="1" applyBorder="1" applyAlignment="1">
      <alignment horizontal="left"/>
    </xf>
    <xf numFmtId="16" fontId="23" fillId="4" borderId="1" xfId="0" applyNumberFormat="1" applyFont="1" applyFill="1" applyBorder="1"/>
    <xf numFmtId="0" fontId="23" fillId="20" borderId="1" xfId="0" applyFont="1" applyFill="1" applyBorder="1" applyAlignment="1">
      <alignment horizontal="center"/>
    </xf>
    <xf numFmtId="0" fontId="23" fillId="20" borderId="1" xfId="0" applyFont="1" applyFill="1" applyBorder="1" applyAlignment="1">
      <alignment horizontal="center" vertical="center"/>
    </xf>
    <xf numFmtId="0" fontId="21" fillId="15" borderId="1" xfId="0" applyFont="1" applyFill="1" applyBorder="1"/>
    <xf numFmtId="0" fontId="21" fillId="12" borderId="10" xfId="0" applyFont="1" applyFill="1" applyBorder="1" applyAlignment="1">
      <alignment horizontal="left"/>
    </xf>
    <xf numFmtId="0" fontId="21" fillId="12" borderId="1" xfId="0" applyFont="1" applyFill="1" applyBorder="1"/>
    <xf numFmtId="16" fontId="21" fillId="12" borderId="1" xfId="0" applyNumberFormat="1" applyFont="1" applyFill="1" applyBorder="1"/>
    <xf numFmtId="0" fontId="21" fillId="12" borderId="1" xfId="0" applyFont="1" applyFill="1" applyBorder="1" applyAlignment="1">
      <alignment horizontal="center"/>
    </xf>
    <xf numFmtId="0" fontId="21" fillId="12" borderId="6" xfId="0" applyFont="1" applyFill="1" applyBorder="1" applyAlignment="1">
      <alignment horizontal="center" vertical="center"/>
    </xf>
    <xf numFmtId="2" fontId="21" fillId="12" borderId="1" xfId="0" applyNumberFormat="1" applyFont="1" applyFill="1" applyBorder="1"/>
    <xf numFmtId="1" fontId="21" fillId="12" borderId="1" xfId="0" applyNumberFormat="1" applyFont="1" applyFill="1" applyBorder="1"/>
    <xf numFmtId="168" fontId="21" fillId="12" borderId="6" xfId="0" applyNumberFormat="1" applyFont="1" applyFill="1" applyBorder="1"/>
    <xf numFmtId="0" fontId="21" fillId="4" borderId="10" xfId="0" applyFont="1" applyFill="1" applyBorder="1" applyAlignment="1">
      <alignment horizontal="left"/>
    </xf>
    <xf numFmtId="0" fontId="21" fillId="4" borderId="1" xfId="0" applyFont="1" applyFill="1" applyBorder="1"/>
    <xf numFmtId="16" fontId="21" fillId="4" borderId="1" xfId="0" applyNumberFormat="1" applyFont="1" applyFill="1" applyBorder="1"/>
    <xf numFmtId="0" fontId="21" fillId="4" borderId="1" xfId="0" applyFont="1" applyFill="1" applyBorder="1" applyAlignment="1">
      <alignment horizontal="center"/>
    </xf>
    <xf numFmtId="0" fontId="21" fillId="4" borderId="6" xfId="0" applyFont="1" applyFill="1" applyBorder="1" applyAlignment="1">
      <alignment horizontal="center" vertical="center"/>
    </xf>
    <xf numFmtId="2" fontId="21" fillId="4" borderId="1" xfId="0" applyNumberFormat="1" applyFont="1" applyFill="1" applyBorder="1"/>
    <xf numFmtId="1" fontId="21" fillId="4" borderId="1" xfId="0" applyNumberFormat="1" applyFont="1" applyFill="1" applyBorder="1"/>
    <xf numFmtId="168" fontId="21" fillId="4" borderId="6" xfId="0" applyNumberFormat="1" applyFont="1" applyFill="1" applyBorder="1"/>
    <xf numFmtId="0" fontId="21" fillId="3" borderId="10" xfId="0" applyFont="1" applyFill="1" applyBorder="1" applyAlignment="1">
      <alignment horizontal="left"/>
    </xf>
    <xf numFmtId="1" fontId="21" fillId="5" borderId="10" xfId="0" applyNumberFormat="1" applyFont="1" applyFill="1" applyBorder="1" applyAlignment="1">
      <alignment horizontal="center" vertical="center"/>
    </xf>
    <xf numFmtId="0" fontId="21" fillId="0" borderId="6" xfId="0" applyFont="1" applyBorder="1" applyAlignment="1">
      <alignment horizontal="center"/>
    </xf>
    <xf numFmtId="0" fontId="21" fillId="12" borderId="2" xfId="0" applyFont="1" applyFill="1" applyBorder="1"/>
    <xf numFmtId="16" fontId="21" fillId="12" borderId="2" xfId="0" applyNumberFormat="1" applyFont="1" applyFill="1" applyBorder="1"/>
    <xf numFmtId="0" fontId="21" fillId="12" borderId="2" xfId="0" applyFont="1" applyFill="1" applyBorder="1" applyAlignment="1">
      <alignment horizontal="center"/>
    </xf>
    <xf numFmtId="2" fontId="21" fillId="12" borderId="2" xfId="0" applyNumberFormat="1" applyFont="1" applyFill="1" applyBorder="1"/>
    <xf numFmtId="1" fontId="21" fillId="12" borderId="2" xfId="0" applyNumberFormat="1" applyFont="1" applyFill="1" applyBorder="1"/>
    <xf numFmtId="168" fontId="21" fillId="12" borderId="7" xfId="0" applyNumberFormat="1" applyFont="1" applyFill="1" applyBorder="1"/>
    <xf numFmtId="0" fontId="21" fillId="12" borderId="6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27" fillId="0" borderId="6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1" fontId="27" fillId="0" borderId="10" xfId="0" applyNumberFormat="1" applyFont="1" applyBorder="1" applyAlignment="1">
      <alignment horizontal="center" vertical="center"/>
    </xf>
    <xf numFmtId="2" fontId="27" fillId="0" borderId="1" xfId="0" applyNumberFormat="1" applyFont="1" applyBorder="1"/>
    <xf numFmtId="1" fontId="27" fillId="0" borderId="1" xfId="0" applyNumberFormat="1" applyFont="1" applyBorder="1"/>
    <xf numFmtId="168" fontId="27" fillId="0" borderId="6" xfId="0" applyNumberFormat="1" applyFont="1" applyBorder="1"/>
    <xf numFmtId="2" fontId="17" fillId="0" borderId="1" xfId="0" applyNumberFormat="1" applyFont="1" applyBorder="1"/>
    <xf numFmtId="1" fontId="17" fillId="0" borderId="1" xfId="0" applyNumberFormat="1" applyFont="1" applyBorder="1"/>
    <xf numFmtId="168" fontId="17" fillId="0" borderId="6" xfId="0" applyNumberFormat="1" applyFont="1" applyBorder="1"/>
    <xf numFmtId="0" fontId="21" fillId="0" borderId="2" xfId="0" applyFont="1" applyBorder="1" applyAlignment="1">
      <alignment horizontal="center"/>
    </xf>
    <xf numFmtId="0" fontId="21" fillId="0" borderId="7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171" fontId="21" fillId="0" borderId="2" xfId="0" applyNumberFormat="1" applyFont="1" applyBorder="1"/>
    <xf numFmtId="1" fontId="21" fillId="12" borderId="10" xfId="0" applyNumberFormat="1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center" vertical="center"/>
    </xf>
    <xf numFmtId="171" fontId="21" fillId="12" borderId="1" xfId="0" applyNumberFormat="1" applyFont="1" applyFill="1" applyBorder="1"/>
    <xf numFmtId="0" fontId="21" fillId="3" borderId="2" xfId="0" applyFont="1" applyFill="1" applyBorder="1" applyAlignment="1">
      <alignment horizontal="center" vertical="center"/>
    </xf>
    <xf numFmtId="171" fontId="21" fillId="3" borderId="1" xfId="0" applyNumberFormat="1" applyFont="1" applyFill="1" applyBorder="1"/>
    <xf numFmtId="1" fontId="21" fillId="4" borderId="10" xfId="0" applyNumberFormat="1" applyFont="1" applyFill="1" applyBorder="1" applyAlignment="1">
      <alignment horizontal="center" vertical="center"/>
    </xf>
    <xf numFmtId="2" fontId="21" fillId="4" borderId="11" xfId="0" applyNumberFormat="1" applyFont="1" applyFill="1" applyBorder="1"/>
    <xf numFmtId="0" fontId="21" fillId="4" borderId="2" xfId="0" applyFont="1" applyFill="1" applyBorder="1"/>
    <xf numFmtId="0" fontId="21" fillId="4" borderId="1" xfId="0" applyFont="1" applyFill="1" applyBorder="1" applyAlignment="1">
      <alignment horizontal="left"/>
    </xf>
    <xf numFmtId="2" fontId="21" fillId="0" borderId="11" xfId="0" applyNumberFormat="1" applyFont="1" applyBorder="1"/>
    <xf numFmtId="0" fontId="43" fillId="0" borderId="0" xfId="0" applyFont="1"/>
    <xf numFmtId="0" fontId="12" fillId="0" borderId="0" xfId="0" applyFont="1"/>
    <xf numFmtId="0" fontId="12" fillId="0" borderId="0" xfId="0" applyFont="1" applyAlignment="1">
      <alignment horizontal="center"/>
    </xf>
    <xf numFmtId="1" fontId="23" fillId="0" borderId="0" xfId="0" applyNumberFormat="1" applyFont="1" applyAlignment="1">
      <alignment horizontal="center"/>
    </xf>
    <xf numFmtId="0" fontId="23" fillId="0" borderId="0" xfId="0" applyFont="1"/>
    <xf numFmtId="2" fontId="23" fillId="0" borderId="0" xfId="0" applyNumberFormat="1" applyFont="1"/>
    <xf numFmtId="1" fontId="23" fillId="0" borderId="0" xfId="0" applyNumberFormat="1" applyFont="1"/>
    <xf numFmtId="168" fontId="23" fillId="0" borderId="0" xfId="0" applyNumberFormat="1" applyFont="1"/>
    <xf numFmtId="1" fontId="23" fillId="8" borderId="1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/>
    </xf>
    <xf numFmtId="171" fontId="21" fillId="0" borderId="1" xfId="0" applyNumberFormat="1" applyFont="1" applyBorder="1"/>
    <xf numFmtId="2" fontId="21" fillId="0" borderId="10" xfId="0" applyNumberFormat="1" applyFont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171" fontId="21" fillId="4" borderId="1" xfId="0" applyNumberFormat="1" applyFont="1" applyFill="1" applyBorder="1"/>
    <xf numFmtId="1" fontId="27" fillId="3" borderId="10" xfId="0" applyNumberFormat="1" applyFont="1" applyFill="1" applyBorder="1" applyAlignment="1">
      <alignment horizontal="center" vertical="center"/>
    </xf>
    <xf numFmtId="0" fontId="21" fillId="12" borderId="13" xfId="0" applyFont="1" applyFill="1" applyBorder="1"/>
    <xf numFmtId="1" fontId="21" fillId="12" borderId="6" xfId="0" applyNumberFormat="1" applyFont="1" applyFill="1" applyBorder="1" applyAlignment="1">
      <alignment horizontal="center"/>
    </xf>
    <xf numFmtId="0" fontId="21" fillId="4" borderId="13" xfId="0" applyFont="1" applyFill="1" applyBorder="1"/>
    <xf numFmtId="1" fontId="21" fillId="4" borderId="6" xfId="0" applyNumberFormat="1" applyFont="1" applyFill="1" applyBorder="1" applyAlignment="1">
      <alignment horizontal="center"/>
    </xf>
    <xf numFmtId="2" fontId="21" fillId="0" borderId="2" xfId="0" applyNumberFormat="1" applyFont="1" applyBorder="1" applyAlignment="1">
      <alignment wrapText="1"/>
    </xf>
    <xf numFmtId="49" fontId="29" fillId="12" borderId="1" xfId="0" applyNumberFormat="1" applyFont="1" applyFill="1" applyBorder="1"/>
    <xf numFmtId="49" fontId="12" fillId="12" borderId="1" xfId="0" applyNumberFormat="1" applyFont="1" applyFill="1" applyBorder="1"/>
    <xf numFmtId="0" fontId="12" fillId="12" borderId="1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29" fillId="12" borderId="1" xfId="0" applyFont="1" applyFill="1" applyBorder="1" applyAlignment="1">
      <alignment horizontal="center"/>
    </xf>
    <xf numFmtId="1" fontId="12" fillId="12" borderId="1" xfId="0" applyNumberFormat="1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wrapText="1"/>
    </xf>
    <xf numFmtId="2" fontId="12" fillId="12" borderId="1" xfId="0" applyNumberFormat="1" applyFont="1" applyFill="1" applyBorder="1"/>
    <xf numFmtId="1" fontId="12" fillId="12" borderId="1" xfId="0" applyNumberFormat="1" applyFont="1" applyFill="1" applyBorder="1"/>
    <xf numFmtId="168" fontId="12" fillId="12" borderId="6" xfId="0" applyNumberFormat="1" applyFont="1" applyFill="1" applyBorder="1"/>
    <xf numFmtId="1" fontId="21" fillId="3" borderId="6" xfId="0" applyNumberFormat="1" applyFont="1" applyFill="1" applyBorder="1" applyAlignment="1">
      <alignment horizontal="center"/>
    </xf>
    <xf numFmtId="2" fontId="21" fillId="3" borderId="2" xfId="0" applyNumberFormat="1" applyFont="1" applyFill="1" applyBorder="1"/>
    <xf numFmtId="0" fontId="43" fillId="4" borderId="1" xfId="0" applyFont="1" applyFill="1" applyBorder="1" applyAlignment="1">
      <alignment horizontal="center"/>
    </xf>
    <xf numFmtId="2" fontId="21" fillId="4" borderId="2" xfId="0" applyNumberFormat="1" applyFont="1" applyFill="1" applyBorder="1"/>
    <xf numFmtId="0" fontId="23" fillId="4" borderId="0" xfId="0" applyFont="1" applyFill="1"/>
    <xf numFmtId="0" fontId="17" fillId="4" borderId="10" xfId="0" applyFont="1" applyFill="1" applyBorder="1" applyAlignment="1">
      <alignment horizontal="left"/>
    </xf>
    <xf numFmtId="0" fontId="18" fillId="3" borderId="13" xfId="0" applyFont="1" applyFill="1" applyBorder="1"/>
    <xf numFmtId="1" fontId="21" fillId="3" borderId="12" xfId="0" applyNumberFormat="1" applyFont="1" applyFill="1" applyBorder="1" applyAlignment="1">
      <alignment horizontal="center"/>
    </xf>
    <xf numFmtId="0" fontId="21" fillId="3" borderId="13" xfId="0" applyFont="1" applyFill="1" applyBorder="1"/>
    <xf numFmtId="1" fontId="21" fillId="3" borderId="13" xfId="0" applyNumberFormat="1" applyFont="1" applyFill="1" applyBorder="1"/>
    <xf numFmtId="168" fontId="21" fillId="3" borderId="12" xfId="0" applyNumberFormat="1" applyFont="1" applyFill="1" applyBorder="1"/>
    <xf numFmtId="0" fontId="18" fillId="3" borderId="2" xfId="0" applyFont="1" applyFill="1" applyBorder="1"/>
    <xf numFmtId="1" fontId="21" fillId="3" borderId="7" xfId="0" applyNumberFormat="1" applyFont="1" applyFill="1" applyBorder="1" applyAlignment="1">
      <alignment horizontal="center"/>
    </xf>
    <xf numFmtId="1" fontId="21" fillId="3" borderId="2" xfId="0" applyNumberFormat="1" applyFont="1" applyFill="1" applyBorder="1"/>
    <xf numFmtId="168" fontId="21" fillId="3" borderId="7" xfId="0" applyNumberFormat="1" applyFont="1" applyFill="1" applyBorder="1"/>
    <xf numFmtId="1" fontId="0" fillId="4" borderId="1" xfId="0" applyNumberFormat="1" applyFill="1" applyBorder="1" applyAlignment="1">
      <alignment wrapText="1"/>
    </xf>
    <xf numFmtId="0" fontId="12" fillId="19" borderId="1" xfId="0" applyFont="1" applyFill="1" applyBorder="1" applyAlignment="1">
      <alignment horizontal="left"/>
    </xf>
    <xf numFmtId="0" fontId="12" fillId="19" borderId="1" xfId="0" applyFont="1" applyFill="1" applyBorder="1"/>
    <xf numFmtId="16" fontId="12" fillId="19" borderId="1" xfId="0" applyNumberFormat="1" applyFont="1" applyFill="1" applyBorder="1"/>
    <xf numFmtId="0" fontId="21" fillId="19" borderId="10" xfId="0" applyFont="1" applyFill="1" applyBorder="1" applyAlignment="1">
      <alignment horizontal="left"/>
    </xf>
    <xf numFmtId="0" fontId="21" fillId="19" borderId="1" xfId="0" applyFont="1" applyFill="1" applyBorder="1"/>
    <xf numFmtId="16" fontId="21" fillId="19" borderId="1" xfId="0" applyNumberFormat="1" applyFont="1" applyFill="1" applyBorder="1"/>
    <xf numFmtId="1" fontId="27" fillId="5" borderId="10" xfId="0" applyNumberFormat="1" applyFont="1" applyFill="1" applyBorder="1" applyAlignment="1">
      <alignment horizontal="center" vertical="center"/>
    </xf>
    <xf numFmtId="0" fontId="21" fillId="8" borderId="10" xfId="0" applyFont="1" applyFill="1" applyBorder="1" applyAlignment="1">
      <alignment horizontal="left"/>
    </xf>
    <xf numFmtId="1" fontId="27" fillId="4" borderId="10" xfId="0" applyNumberFormat="1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/>
    </xf>
    <xf numFmtId="16" fontId="12" fillId="8" borderId="1" xfId="0" applyNumberFormat="1" applyFont="1" applyFill="1" applyBorder="1"/>
    <xf numFmtId="0" fontId="40" fillId="4" borderId="1" xfId="0" applyFont="1" applyFill="1" applyBorder="1" applyAlignment="1">
      <alignment horizontal="center" vertical="top" wrapText="1"/>
    </xf>
    <xf numFmtId="1" fontId="40" fillId="4" borderId="1" xfId="0" applyNumberFormat="1" applyFont="1" applyFill="1" applyBorder="1" applyAlignment="1">
      <alignment horizontal="center" vertical="top" textRotation="90"/>
    </xf>
    <xf numFmtId="166" fontId="40" fillId="4" borderId="1" xfId="0" applyNumberFormat="1" applyFont="1" applyFill="1" applyBorder="1" applyAlignment="1">
      <alignment horizontal="center" vertical="top" wrapText="1"/>
    </xf>
    <xf numFmtId="2" fontId="40" fillId="4" borderId="1" xfId="0" applyNumberFormat="1" applyFont="1" applyFill="1" applyBorder="1" applyAlignment="1">
      <alignment horizontal="center" vertical="top" textRotation="90" wrapText="1"/>
    </xf>
    <xf numFmtId="0" fontId="43" fillId="17" borderId="1" xfId="0" applyFont="1" applyFill="1" applyBorder="1" applyAlignment="1">
      <alignment horizontal="center"/>
    </xf>
    <xf numFmtId="2" fontId="23" fillId="17" borderId="1" xfId="0" applyNumberFormat="1" applyFont="1" applyFill="1" applyBorder="1"/>
    <xf numFmtId="0" fontId="43" fillId="17" borderId="1" xfId="0" applyFont="1" applyFill="1" applyBorder="1" applyAlignment="1">
      <alignment horizontal="left"/>
    </xf>
    <xf numFmtId="0" fontId="12" fillId="17" borderId="1" xfId="0" applyFont="1" applyFill="1" applyBorder="1" applyAlignment="1">
      <alignment horizontal="left"/>
    </xf>
    <xf numFmtId="0" fontId="12" fillId="17" borderId="1" xfId="0" applyFont="1" applyFill="1" applyBorder="1"/>
    <xf numFmtId="16" fontId="12" fillId="17" borderId="1" xfId="0" applyNumberFormat="1" applyFont="1" applyFill="1" applyBorder="1"/>
    <xf numFmtId="2" fontId="12" fillId="17" borderId="1" xfId="0" applyNumberFormat="1" applyFont="1" applyFill="1" applyBorder="1"/>
    <xf numFmtId="1" fontId="12" fillId="17" borderId="1" xfId="0" applyNumberFormat="1" applyFont="1" applyFill="1" applyBorder="1"/>
    <xf numFmtId="0" fontId="23" fillId="17" borderId="1" xfId="0" applyFont="1" applyFill="1" applyBorder="1"/>
    <xf numFmtId="1" fontId="23" fillId="17" borderId="1" xfId="0" applyNumberFormat="1" applyFont="1" applyFill="1" applyBorder="1"/>
    <xf numFmtId="0" fontId="11" fillId="17" borderId="1" xfId="0" applyFont="1" applyFill="1" applyBorder="1"/>
    <xf numFmtId="1" fontId="11" fillId="17" borderId="1" xfId="0" applyNumberFormat="1" applyFont="1" applyFill="1" applyBorder="1"/>
    <xf numFmtId="0" fontId="11" fillId="0" borderId="1" xfId="0" applyFont="1" applyBorder="1"/>
    <xf numFmtId="1" fontId="11" fillId="0" borderId="1" xfId="0" applyNumberFormat="1" applyFont="1" applyBorder="1"/>
    <xf numFmtId="0" fontId="46" fillId="0" borderId="21" xfId="0" applyFont="1" applyBorder="1" applyAlignment="1">
      <alignment horizontal="left"/>
    </xf>
    <xf numFmtId="164" fontId="40" fillId="4" borderId="1" xfId="0" applyNumberFormat="1" applyFont="1" applyFill="1" applyBorder="1" applyAlignment="1">
      <alignment horizontal="center" vertical="top" textRotation="90" wrapText="1"/>
    </xf>
    <xf numFmtId="164" fontId="40" fillId="4" borderId="1" xfId="0" applyNumberFormat="1" applyFont="1" applyFill="1" applyBorder="1" applyAlignment="1">
      <alignment horizontal="center" vertical="top" textRotation="90"/>
    </xf>
    <xf numFmtId="164" fontId="40" fillId="4" borderId="1" xfId="0" applyNumberFormat="1" applyFont="1" applyFill="1" applyBorder="1" applyAlignment="1">
      <alignment horizontal="center" vertical="top" wrapText="1"/>
    </xf>
    <xf numFmtId="0" fontId="40" fillId="8" borderId="1" xfId="0" applyFont="1" applyFill="1" applyBorder="1" applyAlignment="1">
      <alignment horizontal="center" vertical="top" wrapText="1"/>
    </xf>
    <xf numFmtId="165" fontId="40" fillId="4" borderId="1" xfId="0" applyNumberFormat="1" applyFont="1" applyFill="1" applyBorder="1" applyAlignment="1">
      <alignment horizontal="center" vertical="top"/>
    </xf>
    <xf numFmtId="2" fontId="40" fillId="4" borderId="1" xfId="0" applyNumberFormat="1" applyFont="1" applyFill="1" applyBorder="1" applyAlignment="1">
      <alignment horizontal="center" vertical="top" wrapText="1"/>
    </xf>
    <xf numFmtId="1" fontId="40" fillId="4" borderId="1" xfId="0" applyNumberFormat="1" applyFont="1" applyFill="1" applyBorder="1" applyAlignment="1">
      <alignment horizontal="center" vertical="top" wrapText="1"/>
    </xf>
    <xf numFmtId="2" fontId="23" fillId="0" borderId="1" xfId="0" applyNumberFormat="1" applyFont="1" applyBorder="1" applyAlignment="1">
      <alignment horizontal="right"/>
    </xf>
    <xf numFmtId="1" fontId="23" fillId="0" borderId="1" xfId="0" applyNumberFormat="1" applyFont="1" applyBorder="1" applyAlignment="1">
      <alignment horizontal="right"/>
    </xf>
    <xf numFmtId="1" fontId="23" fillId="17" borderId="1" xfId="0" applyNumberFormat="1" applyFont="1" applyFill="1" applyBorder="1" applyAlignment="1">
      <alignment horizontal="center" vertical="center"/>
    </xf>
    <xf numFmtId="0" fontId="23" fillId="17" borderId="1" xfId="0" applyFont="1" applyFill="1" applyBorder="1" applyAlignment="1">
      <alignment horizontal="left"/>
    </xf>
    <xf numFmtId="2" fontId="23" fillId="17" borderId="1" xfId="0" applyNumberFormat="1" applyFont="1" applyFill="1" applyBorder="1" applyAlignment="1">
      <alignment horizontal="right"/>
    </xf>
    <xf numFmtId="1" fontId="23" fillId="17" borderId="1" xfId="0" applyNumberFormat="1" applyFont="1" applyFill="1" applyBorder="1" applyAlignment="1">
      <alignment horizontal="right"/>
    </xf>
    <xf numFmtId="0" fontId="23" fillId="0" borderId="1" xfId="0" applyFont="1" applyBorder="1" applyAlignment="1">
      <alignment horizontal="left" wrapText="1"/>
    </xf>
    <xf numFmtId="0" fontId="23" fillId="17" borderId="1" xfId="0" applyFont="1" applyFill="1" applyBorder="1" applyAlignment="1">
      <alignment horizontal="left" wrapText="1"/>
    </xf>
    <xf numFmtId="0" fontId="23" fillId="0" borderId="1" xfId="0" applyFont="1" applyBorder="1" applyAlignment="1">
      <alignment horizontal="left" vertical="top" wrapText="1"/>
    </xf>
    <xf numFmtId="0" fontId="46" fillId="3" borderId="17" xfId="0" applyFont="1" applyFill="1" applyBorder="1"/>
    <xf numFmtId="0" fontId="11" fillId="0" borderId="17" xfId="0" applyFont="1" applyBorder="1"/>
    <xf numFmtId="1" fontId="11" fillId="0" borderId="17" xfId="0" applyNumberFormat="1" applyFont="1" applyBorder="1"/>
    <xf numFmtId="0" fontId="46" fillId="3" borderId="20" xfId="0" applyFont="1" applyFill="1" applyBorder="1"/>
    <xf numFmtId="16" fontId="46" fillId="3" borderId="20" xfId="0" applyNumberFormat="1" applyFont="1" applyFill="1" applyBorder="1"/>
    <xf numFmtId="0" fontId="11" fillId="3" borderId="1" xfId="0" applyFont="1" applyFill="1" applyBorder="1"/>
    <xf numFmtId="2" fontId="11" fillId="3" borderId="1" xfId="0" applyNumberFormat="1" applyFont="1" applyFill="1" applyBorder="1"/>
    <xf numFmtId="1" fontId="11" fillId="3" borderId="1" xfId="0" applyNumberFormat="1" applyFont="1" applyFill="1" applyBorder="1"/>
    <xf numFmtId="0" fontId="11" fillId="0" borderId="18" xfId="0" applyFont="1" applyBorder="1"/>
    <xf numFmtId="0" fontId="46" fillId="0" borderId="23" xfId="0" applyFont="1" applyBorder="1" applyAlignment="1">
      <alignment horizontal="left"/>
    </xf>
    <xf numFmtId="0" fontId="46" fillId="0" borderId="20" xfId="0" applyFont="1" applyBorder="1"/>
    <xf numFmtId="16" fontId="46" fillId="0" borderId="20" xfId="0" applyNumberFormat="1" applyFont="1" applyBorder="1"/>
    <xf numFmtId="1" fontId="11" fillId="0" borderId="20" xfId="0" applyNumberFormat="1" applyFont="1" applyBorder="1" applyAlignment="1">
      <alignment horizontal="center" vertical="center"/>
    </xf>
    <xf numFmtId="0" fontId="11" fillId="0" borderId="20" xfId="0" applyFont="1" applyBorder="1"/>
    <xf numFmtId="1" fontId="11" fillId="0" borderId="20" xfId="0" applyNumberFormat="1" applyFont="1" applyBorder="1"/>
    <xf numFmtId="0" fontId="11" fillId="17" borderId="18" xfId="0" applyFont="1" applyFill="1" applyBorder="1"/>
    <xf numFmtId="49" fontId="23" fillId="17" borderId="1" xfId="0" applyNumberFormat="1" applyFont="1" applyFill="1" applyBorder="1"/>
    <xf numFmtId="0" fontId="47" fillId="0" borderId="1" xfId="0" applyFont="1" applyBorder="1"/>
    <xf numFmtId="0" fontId="46" fillId="3" borderId="23" xfId="0" applyFont="1" applyFill="1" applyBorder="1" applyAlignment="1">
      <alignment horizontal="left"/>
    </xf>
    <xf numFmtId="0" fontId="46" fillId="3" borderId="24" xfId="0" applyFont="1" applyFill="1" applyBorder="1" applyAlignment="1">
      <alignment horizontal="left"/>
    </xf>
    <xf numFmtId="0" fontId="46" fillId="3" borderId="1" xfId="0" applyFont="1" applyFill="1" applyBorder="1" applyAlignment="1">
      <alignment horizontal="center" vertical="center"/>
    </xf>
    <xf numFmtId="0" fontId="11" fillId="3" borderId="20" xfId="0" applyFont="1" applyFill="1" applyBorder="1"/>
    <xf numFmtId="0" fontId="46" fillId="17" borderId="21" xfId="0" applyFont="1" applyFill="1" applyBorder="1" applyAlignment="1">
      <alignment horizontal="left"/>
    </xf>
    <xf numFmtId="16" fontId="46" fillId="17" borderId="1" xfId="0" applyNumberFormat="1" applyFont="1" applyFill="1" applyBorder="1"/>
    <xf numFmtId="0" fontId="46" fillId="0" borderId="17" xfId="0" applyFont="1" applyBorder="1"/>
    <xf numFmtId="16" fontId="46" fillId="0" borderId="17" xfId="0" applyNumberFormat="1" applyFont="1" applyBorder="1"/>
    <xf numFmtId="0" fontId="46" fillId="17" borderId="18" xfId="0" applyFont="1" applyFill="1" applyBorder="1"/>
    <xf numFmtId="16" fontId="46" fillId="17" borderId="18" xfId="0" applyNumberFormat="1" applyFont="1" applyFill="1" applyBorder="1"/>
    <xf numFmtId="1" fontId="11" fillId="17" borderId="18" xfId="0" applyNumberFormat="1" applyFont="1" applyFill="1" applyBorder="1"/>
    <xf numFmtId="0" fontId="46" fillId="0" borderId="1" xfId="0" applyFont="1" applyBorder="1"/>
    <xf numFmtId="0" fontId="46" fillId="17" borderId="1" xfId="0" applyFont="1" applyFill="1" applyBorder="1"/>
    <xf numFmtId="0" fontId="46" fillId="3" borderId="18" xfId="0" applyFont="1" applyFill="1" applyBorder="1"/>
    <xf numFmtId="1" fontId="11" fillId="0" borderId="18" xfId="0" applyNumberFormat="1" applyFont="1" applyBorder="1"/>
    <xf numFmtId="0" fontId="23" fillId="17" borderId="1" xfId="0" applyFont="1" applyFill="1" applyBorder="1" applyAlignment="1">
      <alignment wrapText="1"/>
    </xf>
    <xf numFmtId="0" fontId="46" fillId="3" borderId="1" xfId="0" applyFont="1" applyFill="1" applyBorder="1" applyAlignment="1">
      <alignment horizontal="left"/>
    </xf>
    <xf numFmtId="0" fontId="46" fillId="3" borderId="1" xfId="0" applyFont="1" applyFill="1" applyBorder="1"/>
    <xf numFmtId="0" fontId="11" fillId="17" borderId="17" xfId="0" applyFont="1" applyFill="1" applyBorder="1"/>
    <xf numFmtId="1" fontId="11" fillId="17" borderId="17" xfId="0" applyNumberFormat="1" applyFont="1" applyFill="1" applyBorder="1"/>
    <xf numFmtId="16" fontId="46" fillId="3" borderId="1" xfId="0" applyNumberFormat="1" applyFont="1" applyFill="1" applyBorder="1"/>
    <xf numFmtId="16" fontId="46" fillId="17" borderId="17" xfId="0" applyNumberFormat="1" applyFont="1" applyFill="1" applyBorder="1"/>
    <xf numFmtId="16" fontId="46" fillId="3" borderId="17" xfId="0" applyNumberFormat="1" applyFont="1" applyFill="1" applyBorder="1"/>
    <xf numFmtId="0" fontId="46" fillId="17" borderId="23" xfId="0" applyFont="1" applyFill="1" applyBorder="1" applyAlignment="1">
      <alignment horizontal="left"/>
    </xf>
    <xf numFmtId="0" fontId="46" fillId="17" borderId="20" xfId="0" applyFont="1" applyFill="1" applyBorder="1"/>
    <xf numFmtId="16" fontId="46" fillId="17" borderId="20" xfId="0" applyNumberFormat="1" applyFont="1" applyFill="1" applyBorder="1"/>
    <xf numFmtId="1" fontId="11" fillId="17" borderId="20" xfId="0" applyNumberFormat="1" applyFont="1" applyFill="1" applyBorder="1" applyAlignment="1">
      <alignment horizontal="center" vertical="center"/>
    </xf>
    <xf numFmtId="0" fontId="11" fillId="17" borderId="20" xfId="0" applyFont="1" applyFill="1" applyBorder="1"/>
    <xf numFmtId="1" fontId="11" fillId="17" borderId="20" xfId="0" applyNumberFormat="1" applyFont="1" applyFill="1" applyBorder="1"/>
    <xf numFmtId="16" fontId="46" fillId="0" borderId="1" xfId="0" applyNumberFormat="1" applyFont="1" applyBorder="1"/>
    <xf numFmtId="0" fontId="46" fillId="0" borderId="22" xfId="0" applyFont="1" applyBorder="1" applyAlignment="1">
      <alignment horizontal="left"/>
    </xf>
    <xf numFmtId="1" fontId="11" fillId="0" borderId="18" xfId="0" applyNumberFormat="1" applyFont="1" applyBorder="1" applyAlignment="1">
      <alignment horizontal="center"/>
    </xf>
    <xf numFmtId="1" fontId="11" fillId="0" borderId="1" xfId="0" applyNumberFormat="1" applyFont="1" applyBorder="1" applyAlignment="1">
      <alignment horizontal="center" vertical="center"/>
    </xf>
    <xf numFmtId="0" fontId="46" fillId="17" borderId="22" xfId="0" applyFont="1" applyFill="1" applyBorder="1" applyAlignment="1">
      <alignment horizontal="left"/>
    </xf>
    <xf numFmtId="1" fontId="11" fillId="17" borderId="18" xfId="0" applyNumberFormat="1" applyFont="1" applyFill="1" applyBorder="1" applyAlignment="1">
      <alignment horizontal="center"/>
    </xf>
    <xf numFmtId="1" fontId="11" fillId="17" borderId="1" xfId="0" applyNumberFormat="1" applyFont="1" applyFill="1" applyBorder="1" applyAlignment="1">
      <alignment horizontal="center" vertical="center"/>
    </xf>
    <xf numFmtId="1" fontId="11" fillId="17" borderId="18" xfId="0" applyNumberFormat="1" applyFont="1" applyFill="1" applyBorder="1" applyAlignment="1">
      <alignment horizontal="center" vertical="center"/>
    </xf>
    <xf numFmtId="0" fontId="44" fillId="17" borderId="1" xfId="0" applyFont="1" applyFill="1" applyBorder="1"/>
    <xf numFmtId="0" fontId="46" fillId="17" borderId="17" xfId="0" applyFont="1" applyFill="1" applyBorder="1"/>
    <xf numFmtId="1" fontId="11" fillId="0" borderId="18" xfId="0" applyNumberFormat="1" applyFont="1" applyBorder="1" applyAlignment="1">
      <alignment horizontal="center" vertical="center"/>
    </xf>
    <xf numFmtId="0" fontId="46" fillId="0" borderId="24" xfId="0" applyFont="1" applyBorder="1" applyAlignment="1">
      <alignment horizontal="left"/>
    </xf>
    <xf numFmtId="1" fontId="11" fillId="0" borderId="17" xfId="0" applyNumberFormat="1" applyFont="1" applyBorder="1" applyAlignment="1">
      <alignment horizontal="center" vertical="center"/>
    </xf>
    <xf numFmtId="0" fontId="46" fillId="3" borderId="22" xfId="0" applyFont="1" applyFill="1" applyBorder="1" applyAlignment="1">
      <alignment horizontal="left"/>
    </xf>
    <xf numFmtId="0" fontId="46" fillId="3" borderId="21" xfId="0" applyFont="1" applyFill="1" applyBorder="1" applyAlignment="1">
      <alignment horizontal="left"/>
    </xf>
    <xf numFmtId="16" fontId="46" fillId="3" borderId="18" xfId="0" applyNumberFormat="1" applyFont="1" applyFill="1" applyBorder="1"/>
    <xf numFmtId="0" fontId="11" fillId="3" borderId="18" xfId="0" applyFont="1" applyFill="1" applyBorder="1"/>
    <xf numFmtId="0" fontId="46" fillId="0" borderId="18" xfId="0" applyFont="1" applyBorder="1"/>
    <xf numFmtId="16" fontId="46" fillId="0" borderId="18" xfId="0" applyNumberFormat="1" applyFont="1" applyBorder="1"/>
    <xf numFmtId="1" fontId="11" fillId="17" borderId="17" xfId="0" applyNumberFormat="1" applyFont="1" applyFill="1" applyBorder="1" applyAlignment="1">
      <alignment horizontal="center" vertical="center"/>
    </xf>
    <xf numFmtId="0" fontId="22" fillId="17" borderId="23" xfId="0" applyFont="1" applyFill="1" applyBorder="1" applyAlignment="1">
      <alignment horizontal="left"/>
    </xf>
    <xf numFmtId="0" fontId="46" fillId="5" borderId="20" xfId="0" applyFont="1" applyFill="1" applyBorder="1"/>
    <xf numFmtId="0" fontId="47" fillId="17" borderId="1" xfId="0" applyFont="1" applyFill="1" applyBorder="1"/>
    <xf numFmtId="49" fontId="11" fillId="0" borderId="18" xfId="0" applyNumberFormat="1" applyFont="1" applyBorder="1"/>
    <xf numFmtId="1" fontId="46" fillId="0" borderId="18" xfId="0" applyNumberFormat="1" applyFont="1" applyBorder="1"/>
    <xf numFmtId="49" fontId="46" fillId="0" borderId="17" xfId="0" applyNumberFormat="1" applyFont="1" applyBorder="1"/>
    <xf numFmtId="49" fontId="46" fillId="0" borderId="20" xfId="0" applyNumberFormat="1" applyFont="1" applyBorder="1"/>
    <xf numFmtId="1" fontId="46" fillId="0" borderId="20" xfId="0" applyNumberFormat="1" applyFont="1" applyBorder="1"/>
    <xf numFmtId="49" fontId="11" fillId="17" borderId="1" xfId="0" applyNumberFormat="1" applyFont="1" applyFill="1" applyBorder="1"/>
    <xf numFmtId="49" fontId="11" fillId="17" borderId="18" xfId="0" applyNumberFormat="1" applyFont="1" applyFill="1" applyBorder="1"/>
    <xf numFmtId="1" fontId="46" fillId="17" borderId="18" xfId="0" applyNumberFormat="1" applyFont="1" applyFill="1" applyBorder="1"/>
    <xf numFmtId="49" fontId="11" fillId="0" borderId="20" xfId="0" applyNumberFormat="1" applyFont="1" applyBorder="1"/>
    <xf numFmtId="49" fontId="46" fillId="0" borderId="18" xfId="0" applyNumberFormat="1" applyFont="1" applyBorder="1"/>
    <xf numFmtId="0" fontId="46" fillId="17" borderId="24" xfId="0" applyFont="1" applyFill="1" applyBorder="1" applyAlignment="1">
      <alignment horizontal="left"/>
    </xf>
    <xf numFmtId="49" fontId="11" fillId="17" borderId="17" xfId="0" applyNumberFormat="1" applyFont="1" applyFill="1" applyBorder="1"/>
    <xf numFmtId="49" fontId="12" fillId="17" borderId="1" xfId="0" applyNumberFormat="1" applyFont="1" applyFill="1" applyBorder="1"/>
    <xf numFmtId="49" fontId="11" fillId="0" borderId="18" xfId="0" applyNumberFormat="1" applyFont="1" applyBorder="1" applyAlignment="1">
      <alignment wrapText="1"/>
    </xf>
    <xf numFmtId="49" fontId="11" fillId="0" borderId="17" xfId="0" applyNumberFormat="1" applyFont="1" applyBorder="1"/>
    <xf numFmtId="49" fontId="11" fillId="17" borderId="20" xfId="0" applyNumberFormat="1" applyFont="1" applyFill="1" applyBorder="1"/>
    <xf numFmtId="1" fontId="46" fillId="17" borderId="20" xfId="0" applyNumberFormat="1" applyFont="1" applyFill="1" applyBorder="1"/>
    <xf numFmtId="16" fontId="12" fillId="0" borderId="1" xfId="0" applyNumberFormat="1" applyFont="1" applyBorder="1" applyAlignment="1">
      <alignment horizontal="left"/>
    </xf>
    <xf numFmtId="16" fontId="12" fillId="17" borderId="1" xfId="0" applyNumberFormat="1" applyFont="1" applyFill="1" applyBorder="1" applyAlignment="1">
      <alignment horizontal="left"/>
    </xf>
    <xf numFmtId="9" fontId="23" fillId="0" borderId="1" xfId="0" applyNumberFormat="1" applyFont="1" applyBorder="1" applyAlignment="1">
      <alignment wrapText="1"/>
    </xf>
    <xf numFmtId="2" fontId="44" fillId="0" borderId="1" xfId="0" applyNumberFormat="1" applyFont="1" applyBorder="1"/>
    <xf numFmtId="9" fontId="23" fillId="0" borderId="1" xfId="0" applyNumberFormat="1" applyFont="1" applyBorder="1" applyAlignment="1">
      <alignment horizontal="left"/>
    </xf>
    <xf numFmtId="9" fontId="23" fillId="17" borderId="1" xfId="0" applyNumberFormat="1" applyFont="1" applyFill="1" applyBorder="1" applyAlignment="1">
      <alignment horizontal="left"/>
    </xf>
    <xf numFmtId="49" fontId="23" fillId="17" borderId="1" xfId="0" applyNumberFormat="1" applyFont="1" applyFill="1" applyBorder="1" applyAlignment="1">
      <alignment wrapText="1"/>
    </xf>
    <xf numFmtId="2" fontId="44" fillId="17" borderId="1" xfId="0" applyNumberFormat="1" applyFont="1" applyFill="1" applyBorder="1"/>
    <xf numFmtId="1" fontId="44" fillId="17" borderId="1" xfId="0" applyNumberFormat="1" applyFont="1" applyFill="1" applyBorder="1"/>
    <xf numFmtId="2" fontId="45" fillId="0" borderId="1" xfId="0" applyNumberFormat="1" applyFont="1" applyBorder="1"/>
    <xf numFmtId="1" fontId="11" fillId="3" borderId="1" xfId="0" applyNumberFormat="1" applyFont="1" applyFill="1" applyBorder="1" applyAlignment="1">
      <alignment horizontal="center"/>
    </xf>
    <xf numFmtId="49" fontId="11" fillId="3" borderId="20" xfId="0" applyNumberFormat="1" applyFont="1" applyFill="1" applyBorder="1"/>
    <xf numFmtId="165" fontId="11" fillId="17" borderId="1" xfId="0" applyNumberFormat="1" applyFont="1" applyFill="1" applyBorder="1" applyAlignment="1">
      <alignment horizontal="center"/>
    </xf>
    <xf numFmtId="0" fontId="11" fillId="18" borderId="1" xfId="0" applyFont="1" applyFill="1" applyBorder="1"/>
    <xf numFmtId="2" fontId="11" fillId="18" borderId="1" xfId="0" applyNumberFormat="1" applyFont="1" applyFill="1" applyBorder="1"/>
    <xf numFmtId="1" fontId="11" fillId="18" borderId="1" xfId="0" applyNumberFormat="1" applyFont="1" applyFill="1" applyBorder="1"/>
    <xf numFmtId="165" fontId="11" fillId="0" borderId="1" xfId="0" applyNumberFormat="1" applyFont="1" applyBorder="1" applyAlignment="1">
      <alignment horizontal="center"/>
    </xf>
    <xf numFmtId="1" fontId="11" fillId="17" borderId="20" xfId="0" applyNumberFormat="1" applyFont="1" applyFill="1" applyBorder="1" applyAlignment="1">
      <alignment horizontal="center"/>
    </xf>
    <xf numFmtId="168" fontId="40" fillId="4" borderId="1" xfId="0" applyNumberFormat="1" applyFont="1" applyFill="1" applyBorder="1" applyAlignment="1">
      <alignment horizontal="center" vertical="top" wrapText="1"/>
    </xf>
    <xf numFmtId="168" fontId="23" fillId="17" borderId="1" xfId="0" applyNumberFormat="1" applyFont="1" applyFill="1" applyBorder="1"/>
    <xf numFmtId="168" fontId="23" fillId="0" borderId="1" xfId="0" applyNumberFormat="1" applyFont="1" applyBorder="1"/>
    <xf numFmtId="168" fontId="12" fillId="17" borderId="1" xfId="0" applyNumberFormat="1" applyFont="1" applyFill="1" applyBorder="1"/>
    <xf numFmtId="168" fontId="12" fillId="0" borderId="1" xfId="0" applyNumberFormat="1" applyFont="1" applyBorder="1"/>
    <xf numFmtId="168" fontId="23" fillId="3" borderId="1" xfId="0" applyNumberFormat="1" applyFont="1" applyFill="1" applyBorder="1"/>
    <xf numFmtId="168" fontId="23" fillId="17" borderId="1" xfId="0" applyNumberFormat="1" applyFont="1" applyFill="1" applyBorder="1" applyAlignment="1">
      <alignment horizontal="right"/>
    </xf>
    <xf numFmtId="168" fontId="23" fillId="0" borderId="1" xfId="0" applyNumberFormat="1" applyFont="1" applyBorder="1" applyAlignment="1">
      <alignment horizontal="right"/>
    </xf>
    <xf numFmtId="0" fontId="7" fillId="3" borderId="20" xfId="0" applyFont="1" applyFill="1" applyBorder="1" applyAlignment="1">
      <alignment horizontal="left"/>
    </xf>
    <xf numFmtId="0" fontId="22" fillId="3" borderId="23" xfId="0" applyFont="1" applyFill="1" applyBorder="1" applyAlignment="1">
      <alignment horizontal="left"/>
    </xf>
    <xf numFmtId="168" fontId="11" fillId="3" borderId="1" xfId="0" applyNumberFormat="1" applyFont="1" applyFill="1" applyBorder="1"/>
    <xf numFmtId="168" fontId="11" fillId="18" borderId="1" xfId="0" applyNumberFormat="1" applyFont="1" applyFill="1" applyBorder="1"/>
    <xf numFmtId="168" fontId="23" fillId="17" borderId="1" xfId="0" applyNumberFormat="1" applyFont="1" applyFill="1" applyBorder="1" applyAlignment="1">
      <alignment wrapText="1"/>
    </xf>
    <xf numFmtId="0" fontId="7" fillId="0" borderId="20" xfId="0" applyFont="1" applyBorder="1" applyAlignment="1">
      <alignment horizontal="left"/>
    </xf>
    <xf numFmtId="168" fontId="11" fillId="0" borderId="20" xfId="0" applyNumberFormat="1" applyFont="1" applyBorder="1"/>
    <xf numFmtId="0" fontId="7" fillId="17" borderId="20" xfId="0" applyFont="1" applyFill="1" applyBorder="1" applyAlignment="1">
      <alignment horizontal="left"/>
    </xf>
    <xf numFmtId="168" fontId="11" fillId="17" borderId="20" xfId="0" applyNumberFormat="1" applyFont="1" applyFill="1" applyBorder="1"/>
    <xf numFmtId="168" fontId="12" fillId="3" borderId="1" xfId="0" applyNumberFormat="1" applyFont="1" applyFill="1" applyBorder="1"/>
    <xf numFmtId="0" fontId="7" fillId="0" borderId="17" xfId="0" applyFont="1" applyBorder="1" applyAlignment="1">
      <alignment horizontal="left"/>
    </xf>
    <xf numFmtId="168" fontId="11" fillId="0" borderId="17" xfId="0" applyNumberFormat="1" applyFont="1" applyBorder="1"/>
    <xf numFmtId="0" fontId="7" fillId="17" borderId="18" xfId="0" applyFont="1" applyFill="1" applyBorder="1" applyAlignment="1">
      <alignment horizontal="left"/>
    </xf>
    <xf numFmtId="168" fontId="11" fillId="17" borderId="18" xfId="0" applyNumberFormat="1" applyFont="1" applyFill="1" applyBorder="1"/>
    <xf numFmtId="0" fontId="7" fillId="17" borderId="17" xfId="0" applyFont="1" applyFill="1" applyBorder="1" applyAlignment="1">
      <alignment horizontal="left"/>
    </xf>
    <xf numFmtId="168" fontId="11" fillId="17" borderId="17" xfId="0" applyNumberFormat="1" applyFont="1" applyFill="1" applyBorder="1"/>
    <xf numFmtId="0" fontId="7" fillId="0" borderId="18" xfId="0" applyFont="1" applyBorder="1" applyAlignment="1">
      <alignment horizontal="left"/>
    </xf>
    <xf numFmtId="168" fontId="11" fillId="0" borderId="18" xfId="0" applyNumberFormat="1" applyFont="1" applyBorder="1"/>
    <xf numFmtId="0" fontId="7" fillId="17" borderId="1" xfId="0" applyFont="1" applyFill="1" applyBorder="1" applyAlignment="1">
      <alignment horizontal="left"/>
    </xf>
    <xf numFmtId="168" fontId="23" fillId="4" borderId="1" xfId="0" applyNumberFormat="1" applyFont="1" applyFill="1" applyBorder="1"/>
    <xf numFmtId="168" fontId="11" fillId="17" borderId="1" xfId="0" applyNumberFormat="1" applyFont="1" applyFill="1" applyBorder="1"/>
    <xf numFmtId="168" fontId="11" fillId="3" borderId="20" xfId="0" applyNumberFormat="1" applyFont="1" applyFill="1" applyBorder="1"/>
    <xf numFmtId="0" fontId="7" fillId="3" borderId="17" xfId="0" applyFont="1" applyFill="1" applyBorder="1" applyAlignment="1">
      <alignment horizontal="left"/>
    </xf>
    <xf numFmtId="168" fontId="11" fillId="0" borderId="1" xfId="0" applyNumberFormat="1" applyFont="1" applyBorder="1"/>
    <xf numFmtId="168" fontId="23" fillId="10" borderId="1" xfId="0" applyNumberFormat="1" applyFont="1" applyFill="1" applyBorder="1"/>
    <xf numFmtId="168" fontId="23" fillId="16" borderId="1" xfId="0" applyNumberFormat="1" applyFont="1" applyFill="1" applyBorder="1"/>
    <xf numFmtId="0" fontId="48" fillId="0" borderId="1" xfId="0" applyFont="1" applyBorder="1" applyAlignment="1">
      <alignment horizontal="center"/>
    </xf>
    <xf numFmtId="49" fontId="43" fillId="10" borderId="1" xfId="0" applyNumberFormat="1" applyFont="1" applyFill="1" applyBorder="1"/>
    <xf numFmtId="0" fontId="23" fillId="10" borderId="1" xfId="0" applyFont="1" applyFill="1" applyBorder="1" applyAlignment="1">
      <alignment horizontal="left"/>
    </xf>
    <xf numFmtId="16" fontId="23" fillId="10" borderId="1" xfId="0" applyNumberFormat="1" applyFont="1" applyFill="1" applyBorder="1"/>
    <xf numFmtId="0" fontId="23" fillId="10" borderId="1" xfId="0" applyFont="1" applyFill="1" applyBorder="1" applyAlignment="1">
      <alignment horizontal="center"/>
    </xf>
    <xf numFmtId="0" fontId="23" fillId="10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/>
    </xf>
    <xf numFmtId="168" fontId="23" fillId="10" borderId="6" xfId="0" applyNumberFormat="1" applyFont="1" applyFill="1" applyBorder="1"/>
    <xf numFmtId="165" fontId="39" fillId="10" borderId="0" xfId="0" applyNumberFormat="1" applyFont="1" applyFill="1"/>
    <xf numFmtId="0" fontId="49" fillId="0" borderId="1" xfId="0" applyFont="1" applyBorder="1" applyAlignment="1">
      <alignment wrapText="1"/>
    </xf>
    <xf numFmtId="1" fontId="11" fillId="0" borderId="20" xfId="0" applyNumberFormat="1" applyFont="1" applyBorder="1" applyAlignment="1">
      <alignment horizontal="center"/>
    </xf>
    <xf numFmtId="0" fontId="28" fillId="0" borderId="10" xfId="0" applyFont="1" applyBorder="1" applyAlignment="1">
      <alignment horizontal="left"/>
    </xf>
    <xf numFmtId="2" fontId="21" fillId="5" borderId="1" xfId="0" applyNumberFormat="1" applyFont="1" applyFill="1" applyBorder="1"/>
    <xf numFmtId="0" fontId="21" fillId="7" borderId="1" xfId="0" applyFont="1" applyFill="1" applyBorder="1" applyAlignment="1">
      <alignment horizontal="center"/>
    </xf>
    <xf numFmtId="16" fontId="21" fillId="16" borderId="1" xfId="0" applyNumberFormat="1" applyFont="1" applyFill="1" applyBorder="1"/>
    <xf numFmtId="49" fontId="21" fillId="0" borderId="1" xfId="0" applyNumberFormat="1" applyFont="1" applyBorder="1"/>
    <xf numFmtId="0" fontId="50" fillId="0" borderId="0" xfId="0" applyFont="1"/>
    <xf numFmtId="16" fontId="21" fillId="4" borderId="2" xfId="0" applyNumberFormat="1" applyFont="1" applyFill="1" applyBorder="1"/>
    <xf numFmtId="0" fontId="21" fillId="4" borderId="2" xfId="0" applyFont="1" applyFill="1" applyBorder="1" applyAlignment="1">
      <alignment horizontal="center"/>
    </xf>
    <xf numFmtId="1" fontId="21" fillId="4" borderId="7" xfId="0" applyNumberFormat="1" applyFont="1" applyFill="1" applyBorder="1" applyAlignment="1">
      <alignment horizontal="center"/>
    </xf>
    <xf numFmtId="1" fontId="21" fillId="4" borderId="2" xfId="0" applyNumberFormat="1" applyFont="1" applyFill="1" applyBorder="1"/>
    <xf numFmtId="168" fontId="21" fillId="4" borderId="7" xfId="0" applyNumberFormat="1" applyFont="1" applyFill="1" applyBorder="1"/>
    <xf numFmtId="0" fontId="21" fillId="5" borderId="10" xfId="0" applyFont="1" applyFill="1" applyBorder="1" applyAlignment="1">
      <alignment horizontal="left"/>
    </xf>
    <xf numFmtId="0" fontId="20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21" fillId="0" borderId="0" xfId="0" applyFont="1"/>
    <xf numFmtId="16" fontId="21" fillId="0" borderId="0" xfId="0" applyNumberFormat="1" applyFont="1"/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0" fontId="43" fillId="0" borderId="0" xfId="0" applyFont="1" applyAlignment="1">
      <alignment horizontal="center"/>
    </xf>
    <xf numFmtId="1" fontId="27" fillId="0" borderId="0" xfId="0" applyNumberFormat="1" applyFont="1" applyAlignment="1">
      <alignment horizontal="center" vertical="center"/>
    </xf>
    <xf numFmtId="2" fontId="21" fillId="0" borderId="0" xfId="0" applyNumberFormat="1" applyFont="1"/>
    <xf numFmtId="1" fontId="21" fillId="0" borderId="0" xfId="0" applyNumberFormat="1" applyFont="1"/>
    <xf numFmtId="168" fontId="21" fillId="0" borderId="0" xfId="0" applyNumberFormat="1" applyFont="1"/>
    <xf numFmtId="0" fontId="51" fillId="0" borderId="10" xfId="0" applyFont="1" applyBorder="1" applyAlignment="1">
      <alignment horizontal="left"/>
    </xf>
    <xf numFmtId="0" fontId="52" fillId="0" borderId="10" xfId="0" applyFont="1" applyBorder="1" applyAlignment="1">
      <alignment horizontal="left"/>
    </xf>
    <xf numFmtId="0" fontId="52" fillId="0" borderId="1" xfId="0" applyFont="1" applyBorder="1"/>
    <xf numFmtId="16" fontId="52" fillId="0" borderId="1" xfId="0" applyNumberFormat="1" applyFont="1" applyBorder="1"/>
    <xf numFmtId="0" fontId="52" fillId="0" borderId="1" xfId="0" applyFont="1" applyBorder="1" applyAlignment="1">
      <alignment horizontal="center"/>
    </xf>
    <xf numFmtId="0" fontId="52" fillId="0" borderId="6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/>
    </xf>
    <xf numFmtId="1" fontId="47" fillId="5" borderId="1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2" fontId="52" fillId="0" borderId="1" xfId="0" applyNumberFormat="1" applyFont="1" applyBorder="1"/>
    <xf numFmtId="1" fontId="52" fillId="0" borderId="1" xfId="0" applyNumberFormat="1" applyFont="1" applyBorder="1"/>
    <xf numFmtId="168" fontId="52" fillId="0" borderId="6" xfId="0" applyNumberFormat="1" applyFont="1" applyBorder="1"/>
    <xf numFmtId="165" fontId="54" fillId="0" borderId="0" xfId="0" applyNumberFormat="1" applyFont="1"/>
    <xf numFmtId="1" fontId="52" fillId="0" borderId="6" xfId="0" applyNumberFormat="1" applyFont="1" applyBorder="1" applyAlignment="1">
      <alignment horizontal="center"/>
    </xf>
    <xf numFmtId="2" fontId="52" fillId="0" borderId="2" xfId="0" applyNumberFormat="1" applyFont="1" applyBorder="1"/>
    <xf numFmtId="0" fontId="54" fillId="0" borderId="0" xfId="0" applyFont="1"/>
    <xf numFmtId="1" fontId="52" fillId="3" borderId="10" xfId="0" applyNumberFormat="1" applyFont="1" applyFill="1" applyBorder="1" applyAlignment="1">
      <alignment horizontal="center" vertical="center"/>
    </xf>
    <xf numFmtId="0" fontId="44" fillId="3" borderId="1" xfId="0" applyFont="1" applyFill="1" applyBorder="1"/>
    <xf numFmtId="0" fontId="44" fillId="16" borderId="1" xfId="0" applyFont="1" applyFill="1" applyBorder="1"/>
    <xf numFmtId="16" fontId="28" fillId="0" borderId="1" xfId="0" applyNumberFormat="1" applyFont="1" applyBorder="1"/>
    <xf numFmtId="0" fontId="44" fillId="16" borderId="1" xfId="0" applyFont="1" applyFill="1" applyBorder="1" applyAlignment="1">
      <alignment horizontal="left"/>
    </xf>
    <xf numFmtId="16" fontId="44" fillId="16" borderId="1" xfId="0" applyNumberFormat="1" applyFont="1" applyFill="1" applyBorder="1"/>
    <xf numFmtId="0" fontId="28" fillId="16" borderId="10" xfId="0" applyFont="1" applyFill="1" applyBorder="1" applyAlignment="1">
      <alignment horizontal="left"/>
    </xf>
    <xf numFmtId="0" fontId="28" fillId="16" borderId="1" xfId="0" applyFont="1" applyFill="1" applyBorder="1"/>
    <xf numFmtId="16" fontId="28" fillId="16" borderId="1" xfId="0" applyNumberFormat="1" applyFont="1" applyFill="1" applyBorder="1"/>
    <xf numFmtId="0" fontId="55" fillId="0" borderId="10" xfId="0" applyFont="1" applyBorder="1" applyAlignment="1">
      <alignment horizontal="left"/>
    </xf>
    <xf numFmtId="0" fontId="56" fillId="0" borderId="1" xfId="0" applyFont="1" applyBorder="1" applyAlignment="1">
      <alignment horizontal="left"/>
    </xf>
    <xf numFmtId="0" fontId="44" fillId="3" borderId="1" xfId="0" applyFont="1" applyFill="1" applyBorder="1" applyAlignment="1">
      <alignment horizontal="left"/>
    </xf>
    <xf numFmtId="16" fontId="44" fillId="3" borderId="1" xfId="0" applyNumberFormat="1" applyFont="1" applyFill="1" applyBorder="1"/>
    <xf numFmtId="0" fontId="56" fillId="3" borderId="1" xfId="0" applyFont="1" applyFill="1" applyBorder="1" applyAlignment="1">
      <alignment horizontal="left"/>
    </xf>
    <xf numFmtId="0" fontId="28" fillId="3" borderId="10" xfId="0" applyFont="1" applyFill="1" applyBorder="1" applyAlignment="1">
      <alignment horizontal="left"/>
    </xf>
    <xf numFmtId="16" fontId="28" fillId="3" borderId="1" xfId="0" applyNumberFormat="1" applyFont="1" applyFill="1" applyBorder="1"/>
    <xf numFmtId="0" fontId="52" fillId="0" borderId="1" xfId="0" applyFont="1" applyBorder="1" applyAlignment="1">
      <alignment wrapText="1"/>
    </xf>
    <xf numFmtId="2" fontId="27" fillId="5" borderId="1" xfId="0" applyNumberFormat="1" applyFont="1" applyFill="1" applyBorder="1"/>
    <xf numFmtId="0" fontId="0" fillId="0" borderId="0" xfId="0" applyNumberFormat="1"/>
    <xf numFmtId="14" fontId="0" fillId="0" borderId="0" xfId="0" applyNumberFormat="1"/>
    <xf numFmtId="2" fontId="27" fillId="0" borderId="1" xfId="0" applyNumberFormat="1" applyFont="1" applyFill="1" applyBorder="1"/>
    <xf numFmtId="2" fontId="21" fillId="0" borderId="1" xfId="0" applyNumberFormat="1" applyFont="1" applyFill="1" applyBorder="1"/>
    <xf numFmtId="0" fontId="21" fillId="0" borderId="10" xfId="0" applyFont="1" applyFill="1" applyBorder="1" applyAlignment="1">
      <alignment horizontal="left"/>
    </xf>
    <xf numFmtId="0" fontId="21" fillId="0" borderId="1" xfId="0" applyFont="1" applyFill="1" applyBorder="1"/>
    <xf numFmtId="16" fontId="21" fillId="0" borderId="1" xfId="0" applyNumberFormat="1" applyFont="1" applyFill="1" applyBorder="1"/>
    <xf numFmtId="0" fontId="20" fillId="0" borderId="10" xfId="0" applyFont="1" applyFill="1" applyBorder="1" applyAlignment="1">
      <alignment horizontal="left"/>
    </xf>
    <xf numFmtId="0" fontId="0" fillId="4" borderId="0" xfId="0" applyFill="1"/>
    <xf numFmtId="0" fontId="21" fillId="0" borderId="1" xfId="0" applyNumberFormat="1" applyFont="1" applyBorder="1" applyAlignment="1">
      <alignment horizontal="center"/>
    </xf>
    <xf numFmtId="1" fontId="21" fillId="0" borderId="6" xfId="0" applyNumberFormat="1" applyFont="1" applyFill="1" applyBorder="1" applyAlignment="1">
      <alignment horizontal="center"/>
    </xf>
    <xf numFmtId="2" fontId="21" fillId="0" borderId="2" xfId="0" applyNumberFormat="1" applyFont="1" applyFill="1" applyBorder="1"/>
    <xf numFmtId="1" fontId="21" fillId="0" borderId="1" xfId="0" applyNumberFormat="1" applyFont="1" applyFill="1" applyBorder="1"/>
    <xf numFmtId="168" fontId="21" fillId="0" borderId="6" xfId="0" applyNumberFormat="1" applyFont="1" applyFill="1" applyBorder="1"/>
    <xf numFmtId="0" fontId="11" fillId="0" borderId="21" xfId="0" applyFont="1" applyBorder="1" applyAlignment="1">
      <alignment horizontal="left"/>
    </xf>
    <xf numFmtId="16" fontId="11" fillId="0" borderId="1" xfId="0" applyNumberFormat="1" applyFont="1" applyBorder="1"/>
    <xf numFmtId="2" fontId="11" fillId="0" borderId="1" xfId="0" applyNumberFormat="1" applyFont="1" applyBorder="1"/>
    <xf numFmtId="0" fontId="43" fillId="0" borderId="1" xfId="0" applyFont="1" applyFill="1" applyBorder="1" applyAlignment="1">
      <alignment horizontal="left"/>
    </xf>
    <xf numFmtId="0" fontId="12" fillId="0" borderId="1" xfId="0" applyFont="1" applyFill="1" applyBorder="1" applyAlignment="1">
      <alignment horizontal="left"/>
    </xf>
    <xf numFmtId="0" fontId="12" fillId="0" borderId="1" xfId="0" applyFont="1" applyFill="1" applyBorder="1"/>
    <xf numFmtId="0" fontId="34" fillId="0" borderId="18" xfId="0" applyFont="1" applyBorder="1" applyAlignment="1">
      <alignment horizontal="left"/>
    </xf>
    <xf numFmtId="49" fontId="29" fillId="4" borderId="1" xfId="0" applyNumberFormat="1" applyFont="1" applyFill="1" applyBorder="1"/>
    <xf numFmtId="49" fontId="12" fillId="4" borderId="1" xfId="0" applyNumberFormat="1" applyFont="1" applyFill="1" applyBorder="1"/>
    <xf numFmtId="0" fontId="12" fillId="4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wrapText="1"/>
    </xf>
    <xf numFmtId="2" fontId="12" fillId="4" borderId="1" xfId="0" applyNumberFormat="1" applyFont="1" applyFill="1" applyBorder="1"/>
    <xf numFmtId="1" fontId="12" fillId="4" borderId="1" xfId="0" applyNumberFormat="1" applyFont="1" applyFill="1" applyBorder="1"/>
    <xf numFmtId="168" fontId="12" fillId="4" borderId="6" xfId="0" applyNumberFormat="1" applyFont="1" applyFill="1" applyBorder="1"/>
    <xf numFmtId="0" fontId="21" fillId="0" borderId="1" xfId="0" applyNumberFormat="1" applyFont="1" applyBorder="1"/>
    <xf numFmtId="0" fontId="12" fillId="4" borderId="1" xfId="0" applyNumberFormat="1" applyFont="1" applyFill="1" applyBorder="1"/>
    <xf numFmtId="2" fontId="6" fillId="0" borderId="1" xfId="0" applyNumberFormat="1" applyFont="1" applyBorder="1"/>
    <xf numFmtId="2" fontId="6" fillId="0" borderId="0" xfId="0" applyNumberFormat="1" applyFont="1"/>
    <xf numFmtId="2" fontId="27" fillId="0" borderId="2" xfId="0" applyNumberFormat="1" applyFont="1" applyBorder="1"/>
    <xf numFmtId="2" fontId="21" fillId="0" borderId="2" xfId="0" applyNumberFormat="1" applyFont="1" applyBorder="1" applyAlignment="1">
      <alignment horizontal="center" vertical="center"/>
    </xf>
    <xf numFmtId="2" fontId="12" fillId="4" borderId="1" xfId="0" applyNumberFormat="1" applyFont="1" applyFill="1" applyBorder="1" applyAlignment="1">
      <alignment wrapText="1"/>
    </xf>
    <xf numFmtId="0" fontId="28" fillId="0" borderId="1" xfId="0" applyFont="1" applyBorder="1" applyAlignment="1">
      <alignment horizontal="center"/>
    </xf>
    <xf numFmtId="1" fontId="28" fillId="0" borderId="6" xfId="0" applyNumberFormat="1" applyFont="1" applyBorder="1" applyAlignment="1">
      <alignment horizontal="center"/>
    </xf>
    <xf numFmtId="1" fontId="28" fillId="0" borderId="10" xfId="0" applyNumberFormat="1" applyFont="1" applyBorder="1" applyAlignment="1">
      <alignment horizontal="center" vertical="center"/>
    </xf>
    <xf numFmtId="2" fontId="28" fillId="0" borderId="2" xfId="0" applyNumberFormat="1" applyFont="1" applyBorder="1"/>
    <xf numFmtId="2" fontId="28" fillId="0" borderId="1" xfId="0" applyNumberFormat="1" applyFont="1" applyBorder="1"/>
    <xf numFmtId="1" fontId="28" fillId="0" borderId="1" xfId="0" applyNumberFormat="1" applyFont="1" applyBorder="1"/>
    <xf numFmtId="168" fontId="28" fillId="0" borderId="6" xfId="0" applyNumberFormat="1" applyFont="1" applyBorder="1"/>
    <xf numFmtId="1" fontId="43" fillId="0" borderId="1" xfId="0" applyNumberFormat="1" applyFont="1" applyBorder="1" applyAlignment="1">
      <alignment horizontal="center"/>
    </xf>
    <xf numFmtId="1" fontId="43" fillId="4" borderId="1" xfId="0" applyNumberFormat="1" applyFont="1" applyFill="1" applyBorder="1" applyAlignment="1">
      <alignment horizontal="center"/>
    </xf>
    <xf numFmtId="1" fontId="56" fillId="0" borderId="1" xfId="0" applyNumberFormat="1" applyFont="1" applyBorder="1" applyAlignment="1">
      <alignment horizontal="center"/>
    </xf>
    <xf numFmtId="0" fontId="21" fillId="4" borderId="1" xfId="0" applyNumberFormat="1" applyFont="1" applyFill="1" applyBorder="1" applyAlignment="1">
      <alignment horizontal="center"/>
    </xf>
    <xf numFmtId="0" fontId="21" fillId="0" borderId="1" xfId="0" applyNumberFormat="1" applyFont="1" applyFill="1" applyBorder="1"/>
    <xf numFmtId="1" fontId="20" fillId="0" borderId="1" xfId="0" applyNumberFormat="1" applyFont="1" applyFill="1" applyBorder="1" applyAlignment="1">
      <alignment horizontal="center"/>
    </xf>
    <xf numFmtId="1" fontId="21" fillId="0" borderId="10" xfId="0" applyNumberFormat="1" applyFont="1" applyFill="1" applyBorder="1" applyAlignment="1">
      <alignment horizontal="center" vertical="center"/>
    </xf>
    <xf numFmtId="0" fontId="44" fillId="0" borderId="1" xfId="0" applyFont="1" applyBorder="1" applyAlignment="1">
      <alignment horizontal="left"/>
    </xf>
    <xf numFmtId="16" fontId="44" fillId="0" borderId="1" xfId="0" applyNumberFormat="1" applyFont="1" applyBorder="1"/>
    <xf numFmtId="0" fontId="57" fillId="0" borderId="10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58" fillId="0" borderId="0" xfId="0" applyFont="1"/>
    <xf numFmtId="1" fontId="29" fillId="0" borderId="1" xfId="0" applyNumberFormat="1" applyFont="1" applyBorder="1" applyAlignment="1">
      <alignment horizontal="center"/>
    </xf>
    <xf numFmtId="168" fontId="12" fillId="0" borderId="6" xfId="0" applyNumberFormat="1" applyFont="1" applyBorder="1" applyAlignment="1">
      <alignment horizontal="right"/>
    </xf>
    <xf numFmtId="0" fontId="57" fillId="0" borderId="9" xfId="0" applyFont="1" applyBorder="1" applyAlignment="1">
      <alignment horizontal="left"/>
    </xf>
    <xf numFmtId="0" fontId="57" fillId="0" borderId="14" xfId="0" applyFont="1" applyBorder="1" applyAlignment="1">
      <alignment horizontal="left"/>
    </xf>
    <xf numFmtId="1" fontId="46" fillId="3" borderId="1" xfId="0" applyNumberFormat="1" applyFont="1" applyFill="1" applyBorder="1" applyAlignment="1">
      <alignment horizontal="center" vertical="center"/>
    </xf>
    <xf numFmtId="1" fontId="27" fillId="0" borderId="2" xfId="0" applyNumberFormat="1" applyFont="1" applyBorder="1"/>
    <xf numFmtId="168" fontId="27" fillId="0" borderId="7" xfId="0" applyNumberFormat="1" applyFont="1" applyBorder="1"/>
    <xf numFmtId="1" fontId="29" fillId="4" borderId="1" xfId="0" applyNumberFormat="1" applyFont="1" applyFill="1" applyBorder="1" applyAlignment="1">
      <alignment horizontal="center"/>
    </xf>
    <xf numFmtId="0" fontId="58" fillId="4" borderId="0" xfId="0" applyFont="1" applyFill="1"/>
    <xf numFmtId="1" fontId="46" fillId="0" borderId="20" xfId="0" applyNumberFormat="1" applyFont="1" applyBorder="1" applyAlignment="1">
      <alignment horizontal="center"/>
    </xf>
    <xf numFmtId="1" fontId="27" fillId="0" borderId="13" xfId="0" applyNumberFormat="1" applyFont="1" applyBorder="1"/>
    <xf numFmtId="0" fontId="27" fillId="0" borderId="13" xfId="0" applyFont="1" applyBorder="1"/>
    <xf numFmtId="2" fontId="27" fillId="0" borderId="13" xfId="0" applyNumberFormat="1" applyFont="1" applyBorder="1"/>
    <xf numFmtId="168" fontId="27" fillId="0" borderId="12" xfId="0" applyNumberFormat="1" applyFont="1" applyBorder="1"/>
    <xf numFmtId="1" fontId="46" fillId="0" borderId="18" xfId="0" applyNumberFormat="1" applyFont="1" applyBorder="1" applyAlignment="1">
      <alignment horizontal="center"/>
    </xf>
    <xf numFmtId="1" fontId="27" fillId="0" borderId="1" xfId="0" applyNumberFormat="1" applyFont="1" applyBorder="1" applyAlignment="1">
      <alignment horizontal="center"/>
    </xf>
    <xf numFmtId="1" fontId="27" fillId="0" borderId="6" xfId="0" applyNumberFormat="1" applyFont="1" applyBorder="1" applyAlignment="1">
      <alignment horizontal="center" vertical="center"/>
    </xf>
    <xf numFmtId="0" fontId="29" fillId="3" borderId="1" xfId="0" applyFont="1" applyFill="1" applyBorder="1" applyAlignment="1">
      <alignment horizontal="left"/>
    </xf>
    <xf numFmtId="1" fontId="46" fillId="0" borderId="20" xfId="0" applyNumberFormat="1" applyFont="1" applyBorder="1" applyAlignment="1">
      <alignment horizontal="center" vertical="center"/>
    </xf>
    <xf numFmtId="1" fontId="46" fillId="0" borderId="18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wrapText="1"/>
    </xf>
    <xf numFmtId="2" fontId="12" fillId="0" borderId="1" xfId="0" applyNumberFormat="1" applyFont="1" applyBorder="1" applyAlignment="1">
      <alignment wrapText="1"/>
    </xf>
    <xf numFmtId="0" fontId="12" fillId="21" borderId="1" xfId="0" applyFont="1" applyFill="1" applyBorder="1" applyAlignment="1">
      <alignment horizontal="center"/>
    </xf>
    <xf numFmtId="0" fontId="12" fillId="21" borderId="1" xfId="0" applyFont="1" applyFill="1" applyBorder="1" applyAlignment="1">
      <alignment horizontal="center" vertical="center"/>
    </xf>
    <xf numFmtId="168" fontId="12" fillId="3" borderId="6" xfId="0" applyNumberFormat="1" applyFont="1" applyFill="1" applyBorder="1"/>
    <xf numFmtId="0" fontId="12" fillId="3" borderId="1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vertical="center"/>
    </xf>
    <xf numFmtId="0" fontId="26" fillId="0" borderId="14" xfId="0" applyFont="1" applyBorder="1" applyAlignment="1">
      <alignment horizontal="left"/>
    </xf>
    <xf numFmtId="0" fontId="26" fillId="0" borderId="9" xfId="0" applyFont="1" applyBorder="1" applyAlignment="1">
      <alignment horizontal="left"/>
    </xf>
    <xf numFmtId="1" fontId="27" fillId="3" borderId="1" xfId="0" applyNumberFormat="1" applyFont="1" applyFill="1" applyBorder="1"/>
    <xf numFmtId="2" fontId="27" fillId="3" borderId="1" xfId="0" applyNumberFormat="1" applyFont="1" applyFill="1" applyBorder="1"/>
    <xf numFmtId="168" fontId="27" fillId="3" borderId="6" xfId="0" applyNumberFormat="1" applyFont="1" applyFill="1" applyBorder="1"/>
    <xf numFmtId="0" fontId="27" fillId="3" borderId="9" xfId="0" applyFont="1" applyFill="1" applyBorder="1"/>
    <xf numFmtId="2" fontId="27" fillId="3" borderId="9" xfId="0" applyNumberFormat="1" applyFont="1" applyFill="1" applyBorder="1"/>
    <xf numFmtId="0" fontId="27" fillId="18" borderId="1" xfId="0" applyFont="1" applyFill="1" applyBorder="1"/>
    <xf numFmtId="2" fontId="27" fillId="18" borderId="1" xfId="0" applyNumberFormat="1" applyFont="1" applyFill="1" applyBorder="1"/>
    <xf numFmtId="1" fontId="27" fillId="18" borderId="1" xfId="0" applyNumberFormat="1" applyFont="1" applyFill="1" applyBorder="1"/>
    <xf numFmtId="168" fontId="27" fillId="18" borderId="6" xfId="0" applyNumberFormat="1" applyFont="1" applyFill="1" applyBorder="1"/>
    <xf numFmtId="0" fontId="27" fillId="0" borderId="9" xfId="0" applyFont="1" applyBorder="1"/>
    <xf numFmtId="2" fontId="27" fillId="0" borderId="9" xfId="0" applyNumberFormat="1" applyFont="1" applyBorder="1"/>
    <xf numFmtId="0" fontId="27" fillId="0" borderId="10" xfId="0" applyFont="1" applyBorder="1"/>
    <xf numFmtId="2" fontId="27" fillId="0" borderId="10" xfId="0" applyNumberFormat="1" applyFont="1" applyBorder="1"/>
    <xf numFmtId="0" fontId="26" fillId="3" borderId="16" xfId="0" applyFont="1" applyFill="1" applyBorder="1" applyAlignment="1">
      <alignment horizontal="left"/>
    </xf>
    <xf numFmtId="2" fontId="27" fillId="3" borderId="13" xfId="0" applyNumberFormat="1" applyFont="1" applyFill="1" applyBorder="1"/>
    <xf numFmtId="1" fontId="27" fillId="3" borderId="13" xfId="0" applyNumberFormat="1" applyFont="1" applyFill="1" applyBorder="1"/>
    <xf numFmtId="168" fontId="27" fillId="3" borderId="12" xfId="0" applyNumberFormat="1" applyFont="1" applyFill="1" applyBorder="1"/>
    <xf numFmtId="2" fontId="27" fillId="3" borderId="2" xfId="0" applyNumberFormat="1" applyFont="1" applyFill="1" applyBorder="1"/>
    <xf numFmtId="1" fontId="27" fillId="3" borderId="2" xfId="0" applyNumberFormat="1" applyFont="1" applyFill="1" applyBorder="1"/>
    <xf numFmtId="168" fontId="27" fillId="3" borderId="7" xfId="0" applyNumberFormat="1" applyFont="1" applyFill="1" applyBorder="1"/>
    <xf numFmtId="0" fontId="27" fillId="3" borderId="1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/>
    </xf>
    <xf numFmtId="0" fontId="27" fillId="3" borderId="16" xfId="0" applyFont="1" applyFill="1" applyBorder="1" applyAlignment="1">
      <alignment horizontal="left"/>
    </xf>
    <xf numFmtId="0" fontId="26" fillId="0" borderId="16" xfId="0" applyFont="1" applyBorder="1" applyAlignment="1">
      <alignment horizontal="left"/>
    </xf>
    <xf numFmtId="0" fontId="27" fillId="4" borderId="10" xfId="0" applyFont="1" applyFill="1" applyBorder="1" applyAlignment="1">
      <alignment horizontal="left"/>
    </xf>
    <xf numFmtId="0" fontId="27" fillId="4" borderId="1" xfId="0" applyFont="1" applyFill="1" applyBorder="1"/>
    <xf numFmtId="16" fontId="27" fillId="4" borderId="1" xfId="0" applyNumberFormat="1" applyFont="1" applyFill="1" applyBorder="1"/>
    <xf numFmtId="0" fontId="27" fillId="3" borderId="10" xfId="0" applyFont="1" applyFill="1" applyBorder="1" applyAlignment="1">
      <alignment horizontal="left"/>
    </xf>
    <xf numFmtId="0" fontId="27" fillId="4" borderId="2" xfId="0" applyFont="1" applyFill="1" applyBorder="1"/>
    <xf numFmtId="16" fontId="27" fillId="4" borderId="2" xfId="0" applyNumberFormat="1" applyFont="1" applyFill="1" applyBorder="1"/>
    <xf numFmtId="0" fontId="12" fillId="20" borderId="1" xfId="0" applyFont="1" applyFill="1" applyBorder="1" applyAlignment="1">
      <alignment horizontal="center"/>
    </xf>
    <xf numFmtId="2" fontId="27" fillId="0" borderId="11" xfId="0" applyNumberFormat="1" applyFont="1" applyBorder="1"/>
    <xf numFmtId="1" fontId="27" fillId="0" borderId="11" xfId="0" applyNumberFormat="1" applyFont="1" applyBorder="1"/>
    <xf numFmtId="168" fontId="27" fillId="0" borderId="15" xfId="0" applyNumberFormat="1" applyFont="1" applyBorder="1"/>
    <xf numFmtId="2" fontId="12" fillId="3" borderId="1" xfId="0" applyNumberFormat="1" applyFont="1" applyFill="1" applyBorder="1" applyAlignment="1">
      <alignment horizontal="left"/>
    </xf>
    <xf numFmtId="2" fontId="22" fillId="0" borderId="0" xfId="0" applyNumberFormat="1" applyFont="1"/>
    <xf numFmtId="0" fontId="12" fillId="20" borderId="1" xfId="0" applyFont="1" applyFill="1" applyBorder="1" applyAlignment="1">
      <alignment horizontal="center" vertical="center"/>
    </xf>
    <xf numFmtId="1" fontId="58" fillId="4" borderId="1" xfId="0" applyNumberFormat="1" applyFont="1" applyFill="1" applyBorder="1" applyAlignment="1">
      <alignment wrapText="1"/>
    </xf>
    <xf numFmtId="0" fontId="27" fillId="0" borderId="1" xfId="0" applyFont="1" applyBorder="1" applyAlignment="1">
      <alignment wrapText="1"/>
    </xf>
    <xf numFmtId="0" fontId="27" fillId="4" borderId="1" xfId="0" applyFont="1" applyFill="1" applyBorder="1" applyAlignment="1">
      <alignment horizontal="center"/>
    </xf>
    <xf numFmtId="2" fontId="27" fillId="4" borderId="1" xfId="0" applyNumberFormat="1" applyFont="1" applyFill="1" applyBorder="1"/>
    <xf numFmtId="1" fontId="27" fillId="4" borderId="1" xfId="0" applyNumberFormat="1" applyFont="1" applyFill="1" applyBorder="1"/>
    <xf numFmtId="168" fontId="27" fillId="4" borderId="6" xfId="0" applyNumberFormat="1" applyFont="1" applyFill="1" applyBorder="1"/>
    <xf numFmtId="0" fontId="27" fillId="4" borderId="6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/>
    </xf>
    <xf numFmtId="0" fontId="27" fillId="4" borderId="2" xfId="0" applyFont="1" applyFill="1" applyBorder="1" applyAlignment="1">
      <alignment horizontal="center"/>
    </xf>
    <xf numFmtId="2" fontId="27" fillId="4" borderId="2" xfId="0" applyNumberFormat="1" applyFont="1" applyFill="1" applyBorder="1"/>
    <xf numFmtId="1" fontId="27" fillId="4" borderId="2" xfId="0" applyNumberFormat="1" applyFont="1" applyFill="1" applyBorder="1"/>
    <xf numFmtId="168" fontId="27" fillId="4" borderId="7" xfId="0" applyNumberFormat="1" applyFont="1" applyFill="1" applyBorder="1"/>
    <xf numFmtId="0" fontId="27" fillId="4" borderId="6" xfId="0" applyFont="1" applyFill="1" applyBorder="1" applyAlignment="1">
      <alignment horizontal="center"/>
    </xf>
    <xf numFmtId="2" fontId="18" fillId="0" borderId="1" xfId="0" applyNumberFormat="1" applyFont="1" applyBorder="1"/>
    <xf numFmtId="1" fontId="18" fillId="0" borderId="1" xfId="0" applyNumberFormat="1" applyFont="1" applyBorder="1"/>
    <xf numFmtId="168" fontId="18" fillId="0" borderId="6" xfId="0" applyNumberFormat="1" applyFont="1" applyBorder="1"/>
    <xf numFmtId="0" fontId="27" fillId="4" borderId="1" xfId="0" applyFont="1" applyFill="1" applyBorder="1" applyAlignment="1">
      <alignment horizontal="left"/>
    </xf>
    <xf numFmtId="2" fontId="27" fillId="4" borderId="2" xfId="0" applyNumberFormat="1" applyFont="1" applyFill="1" applyBorder="1" applyAlignment="1">
      <alignment horizontal="center" vertical="center"/>
    </xf>
    <xf numFmtId="171" fontId="27" fillId="4" borderId="1" xfId="0" applyNumberFormat="1" applyFont="1" applyFill="1" applyBorder="1"/>
    <xf numFmtId="2" fontId="27" fillId="3" borderId="2" xfId="0" applyNumberFormat="1" applyFont="1" applyFill="1" applyBorder="1" applyAlignment="1">
      <alignment horizontal="center" vertical="center"/>
    </xf>
    <xf numFmtId="171" fontId="27" fillId="3" borderId="1" xfId="0" applyNumberFormat="1" applyFont="1" applyFill="1" applyBorder="1"/>
    <xf numFmtId="2" fontId="27" fillId="4" borderId="11" xfId="0" applyNumberFormat="1" applyFont="1" applyFill="1" applyBorder="1"/>
    <xf numFmtId="0" fontId="27" fillId="0" borderId="2" xfId="0" applyFont="1" applyBorder="1" applyAlignment="1">
      <alignment horizontal="center"/>
    </xf>
    <xf numFmtId="1" fontId="27" fillId="0" borderId="7" xfId="0" applyNumberFormat="1" applyFont="1" applyBorder="1" applyAlignment="1">
      <alignment horizontal="center"/>
    </xf>
    <xf numFmtId="0" fontId="29" fillId="0" borderId="0" xfId="0" applyFont="1"/>
    <xf numFmtId="0" fontId="27" fillId="4" borderId="13" xfId="0" applyFont="1" applyFill="1" applyBorder="1"/>
    <xf numFmtId="0" fontId="26" fillId="4" borderId="10" xfId="0" applyFont="1" applyFill="1" applyBorder="1" applyAlignment="1">
      <alignment horizontal="left"/>
    </xf>
    <xf numFmtId="0" fontId="27" fillId="19" borderId="10" xfId="0" applyFont="1" applyFill="1" applyBorder="1" applyAlignment="1">
      <alignment horizontal="left"/>
    </xf>
    <xf numFmtId="0" fontId="27" fillId="19" borderId="1" xfId="0" applyFont="1" applyFill="1" applyBorder="1"/>
    <xf numFmtId="16" fontId="27" fillId="19" borderId="1" xfId="0" applyNumberFormat="1" applyFont="1" applyFill="1" applyBorder="1"/>
    <xf numFmtId="1" fontId="12" fillId="0" borderId="0" xfId="0" applyNumberFormat="1" applyFont="1" applyAlignment="1">
      <alignment horizontal="center"/>
    </xf>
    <xf numFmtId="2" fontId="12" fillId="0" borderId="0" xfId="0" applyNumberFormat="1" applyFont="1"/>
    <xf numFmtId="1" fontId="12" fillId="0" borderId="0" xfId="0" applyNumberFormat="1" applyFont="1"/>
    <xf numFmtId="168" fontId="12" fillId="0" borderId="0" xfId="0" applyNumberFormat="1" applyFont="1"/>
    <xf numFmtId="2" fontId="27" fillId="0" borderId="2" xfId="0" applyNumberFormat="1" applyFont="1" applyBorder="1" applyAlignment="1">
      <alignment horizontal="center" vertical="center"/>
    </xf>
    <xf numFmtId="171" fontId="27" fillId="0" borderId="1" xfId="0" applyNumberFormat="1" applyFont="1" applyBorder="1"/>
    <xf numFmtId="1" fontId="27" fillId="0" borderId="2" xfId="0" applyNumberFormat="1" applyFont="1" applyBorder="1" applyAlignment="1">
      <alignment horizontal="center"/>
    </xf>
    <xf numFmtId="1" fontId="27" fillId="3" borderId="6" xfId="0" applyNumberFormat="1" applyFont="1" applyFill="1" applyBorder="1" applyAlignment="1">
      <alignment horizontal="center"/>
    </xf>
    <xf numFmtId="0" fontId="22" fillId="3" borderId="0" xfId="0" applyFont="1" applyFill="1"/>
    <xf numFmtId="1" fontId="27" fillId="0" borderId="6" xfId="0" applyNumberFormat="1" applyFont="1" applyBorder="1" applyAlignment="1">
      <alignment horizontal="center"/>
    </xf>
    <xf numFmtId="1" fontId="27" fillId="4" borderId="6" xfId="0" applyNumberFormat="1" applyFont="1" applyFill="1" applyBorder="1" applyAlignment="1">
      <alignment horizontal="center"/>
    </xf>
    <xf numFmtId="0" fontId="27" fillId="12" borderId="1" xfId="0" applyFont="1" applyFill="1" applyBorder="1"/>
    <xf numFmtId="0" fontId="18" fillId="4" borderId="10" xfId="0" applyFont="1" applyFill="1" applyBorder="1" applyAlignment="1">
      <alignment horizontal="left"/>
    </xf>
    <xf numFmtId="0" fontId="27" fillId="15" borderId="1" xfId="0" applyFont="1" applyFill="1" applyBorder="1"/>
    <xf numFmtId="0" fontId="12" fillId="4" borderId="0" xfId="0" applyFont="1" applyFill="1"/>
    <xf numFmtId="0" fontId="59" fillId="0" borderId="1" xfId="0" applyFont="1" applyBorder="1" applyAlignment="1">
      <alignment wrapText="1"/>
    </xf>
    <xf numFmtId="0" fontId="27" fillId="0" borderId="10" xfId="0" applyFont="1" applyFill="1" applyBorder="1" applyAlignment="1">
      <alignment horizontal="left"/>
    </xf>
    <xf numFmtId="0" fontId="27" fillId="0" borderId="1" xfId="0" applyFont="1" applyFill="1" applyBorder="1"/>
    <xf numFmtId="0" fontId="27" fillId="8" borderId="1" xfId="0" applyFont="1" applyFill="1" applyBorder="1"/>
    <xf numFmtId="16" fontId="27" fillId="0" borderId="1" xfId="0" applyNumberFormat="1" applyFont="1" applyFill="1" applyBorder="1"/>
    <xf numFmtId="0" fontId="26" fillId="0" borderId="10" xfId="0" applyFont="1" applyFill="1" applyBorder="1" applyAlignment="1">
      <alignment horizontal="left"/>
    </xf>
    <xf numFmtId="1" fontId="27" fillId="4" borderId="7" xfId="0" applyNumberFormat="1" applyFont="1" applyFill="1" applyBorder="1" applyAlignment="1">
      <alignment horizontal="center"/>
    </xf>
    <xf numFmtId="0" fontId="27" fillId="0" borderId="1" xfId="0" applyNumberFormat="1" applyFont="1" applyBorder="1" applyAlignment="1">
      <alignment horizontal="center"/>
    </xf>
    <xf numFmtId="1" fontId="27" fillId="0" borderId="6" xfId="0" applyNumberFormat="1" applyFont="1" applyFill="1" applyBorder="1" applyAlignment="1">
      <alignment horizontal="center"/>
    </xf>
    <xf numFmtId="2" fontId="27" fillId="0" borderId="2" xfId="0" applyNumberFormat="1" applyFont="1" applyFill="1" applyBorder="1"/>
    <xf numFmtId="1" fontId="27" fillId="0" borderId="1" xfId="0" applyNumberFormat="1" applyFont="1" applyFill="1" applyBorder="1"/>
    <xf numFmtId="168" fontId="27" fillId="0" borderId="6" xfId="0" applyNumberFormat="1" applyFont="1" applyFill="1" applyBorder="1"/>
    <xf numFmtId="0" fontId="27" fillId="4" borderId="1" xfId="0" applyNumberFormat="1" applyFont="1" applyFill="1" applyBorder="1"/>
    <xf numFmtId="0" fontId="27" fillId="4" borderId="1" xfId="0" applyNumberFormat="1" applyFont="1" applyFill="1" applyBorder="1" applyAlignment="1">
      <alignment horizontal="center"/>
    </xf>
    <xf numFmtId="1" fontId="26" fillId="4" borderId="1" xfId="0" applyNumberFormat="1" applyFont="1" applyFill="1" applyBorder="1" applyAlignment="1">
      <alignment horizontal="center"/>
    </xf>
    <xf numFmtId="0" fontId="40" fillId="0" borderId="0" xfId="0" applyFont="1"/>
    <xf numFmtId="1" fontId="38" fillId="0" borderId="0" xfId="0" applyNumberFormat="1" applyFont="1" applyAlignment="1">
      <alignment horizontal="center"/>
    </xf>
    <xf numFmtId="1" fontId="40" fillId="0" borderId="0" xfId="0" applyNumberFormat="1" applyFont="1" applyAlignment="1">
      <alignment horizontal="center" vertical="center"/>
    </xf>
    <xf numFmtId="2" fontId="38" fillId="0" borderId="0" xfId="0" applyNumberFormat="1" applyFont="1"/>
    <xf numFmtId="1" fontId="38" fillId="0" borderId="0" xfId="0" applyNumberFormat="1" applyFont="1"/>
    <xf numFmtId="168" fontId="38" fillId="0" borderId="0" xfId="0" applyNumberFormat="1" applyFont="1"/>
    <xf numFmtId="0" fontId="55" fillId="0" borderId="10" xfId="0" applyFont="1" applyFill="1" applyBorder="1" applyAlignment="1">
      <alignment horizontal="left"/>
    </xf>
    <xf numFmtId="0" fontId="28" fillId="0" borderId="10" xfId="0" applyFont="1" applyFill="1" applyBorder="1" applyAlignment="1">
      <alignment horizontal="left"/>
    </xf>
    <xf numFmtId="0" fontId="28" fillId="0" borderId="1" xfId="0" applyFont="1" applyFill="1" applyBorder="1"/>
    <xf numFmtId="0" fontId="44" fillId="0" borderId="1" xfId="0" applyFont="1" applyFill="1" applyBorder="1" applyAlignment="1">
      <alignment horizontal="left"/>
    </xf>
    <xf numFmtId="16" fontId="28" fillId="0" borderId="1" xfId="0" applyNumberFormat="1" applyFont="1" applyFill="1" applyBorder="1"/>
    <xf numFmtId="2" fontId="28" fillId="0" borderId="1" xfId="0" applyNumberFormat="1" applyFont="1" applyFill="1" applyBorder="1"/>
    <xf numFmtId="2" fontId="21" fillId="0" borderId="1" xfId="0" applyNumberFormat="1" applyFont="1" applyBorder="1" applyAlignment="1">
      <alignment horizontal="center"/>
    </xf>
    <xf numFmtId="0" fontId="21" fillId="4" borderId="1" xfId="0" applyNumberFormat="1" applyFont="1" applyFill="1" applyBorder="1"/>
    <xf numFmtId="1" fontId="20" fillId="4" borderId="1" xfId="0" applyNumberFormat="1" applyFont="1" applyFill="1" applyBorder="1" applyAlignment="1">
      <alignment horizontal="center"/>
    </xf>
    <xf numFmtId="0" fontId="21" fillId="0" borderId="1" xfId="0" applyFont="1" applyFill="1" applyBorder="1" applyAlignment="1">
      <alignment horizontal="center"/>
    </xf>
    <xf numFmtId="1" fontId="20" fillId="0" borderId="1" xfId="0" applyNumberFormat="1" applyFont="1" applyFill="1" applyBorder="1" applyAlignment="1">
      <alignment horizontal="center" vertical="center"/>
    </xf>
    <xf numFmtId="1" fontId="21" fillId="0" borderId="16" xfId="0" applyNumberFormat="1" applyFont="1" applyFill="1" applyBorder="1" applyAlignment="1">
      <alignment horizontal="center" vertical="center"/>
    </xf>
    <xf numFmtId="1" fontId="21" fillId="0" borderId="16" xfId="0" applyNumberFormat="1" applyFont="1" applyFill="1" applyBorder="1" applyAlignment="1">
      <alignment horizontal="center"/>
    </xf>
    <xf numFmtId="2" fontId="21" fillId="0" borderId="11" xfId="0" applyNumberFormat="1" applyFont="1" applyFill="1" applyBorder="1"/>
    <xf numFmtId="0" fontId="21" fillId="0" borderId="2" xfId="0" applyFont="1" applyFill="1" applyBorder="1"/>
    <xf numFmtId="16" fontId="21" fillId="0" borderId="2" xfId="0" applyNumberFormat="1" applyFont="1" applyFill="1" applyBorder="1"/>
    <xf numFmtId="0" fontId="21" fillId="0" borderId="2" xfId="0" applyNumberFormat="1" applyFont="1" applyFill="1" applyBorder="1"/>
    <xf numFmtId="0" fontId="21" fillId="0" borderId="2" xfId="0" applyNumberFormat="1" applyFont="1" applyBorder="1" applyAlignment="1">
      <alignment horizontal="center"/>
    </xf>
    <xf numFmtId="1" fontId="21" fillId="0" borderId="7" xfId="0" applyNumberFormat="1" applyFont="1" applyFill="1" applyBorder="1" applyAlignment="1">
      <alignment horizontal="center"/>
    </xf>
    <xf numFmtId="1" fontId="20" fillId="0" borderId="2" xfId="0" applyNumberFormat="1" applyFont="1" applyFill="1" applyBorder="1" applyAlignment="1">
      <alignment horizontal="center" vertical="center"/>
    </xf>
    <xf numFmtId="1" fontId="21" fillId="0" borderId="2" xfId="0" applyNumberFormat="1" applyFont="1" applyFill="1" applyBorder="1"/>
    <xf numFmtId="168" fontId="21" fillId="0" borderId="7" xfId="0" applyNumberFormat="1" applyFont="1" applyFill="1" applyBorder="1"/>
    <xf numFmtId="1" fontId="21" fillId="4" borderId="16" xfId="0" applyNumberFormat="1" applyFont="1" applyFill="1" applyBorder="1" applyAlignment="1">
      <alignment horizontal="center" vertical="center"/>
    </xf>
    <xf numFmtId="0" fontId="27" fillId="16" borderId="10" xfId="0" applyFont="1" applyFill="1" applyBorder="1" applyAlignment="1">
      <alignment horizontal="left"/>
    </xf>
    <xf numFmtId="0" fontId="27" fillId="16" borderId="1" xfId="0" applyFont="1" applyFill="1" applyBorder="1"/>
    <xf numFmtId="16" fontId="27" fillId="16" borderId="1" xfId="0" applyNumberFormat="1" applyFont="1" applyFill="1" applyBorder="1"/>
    <xf numFmtId="1" fontId="20" fillId="4" borderId="1" xfId="0" applyNumberFormat="1" applyFont="1" applyFill="1" applyBorder="1" applyAlignment="1">
      <alignment horizontal="center" vertical="center"/>
    </xf>
    <xf numFmtId="1" fontId="21" fillId="4" borderId="16" xfId="0" applyNumberFormat="1" applyFont="1" applyFill="1" applyBorder="1" applyAlignment="1">
      <alignment horizontal="center"/>
    </xf>
    <xf numFmtId="1" fontId="21" fillId="0" borderId="10" xfId="0" applyNumberFormat="1" applyFont="1" applyFill="1" applyBorder="1" applyAlignment="1">
      <alignment horizontal="center"/>
    </xf>
    <xf numFmtId="2" fontId="17" fillId="0" borderId="2" xfId="0" applyNumberFormat="1" applyFont="1" applyFill="1" applyBorder="1"/>
    <xf numFmtId="1" fontId="21" fillId="4" borderId="10" xfId="0" applyNumberFormat="1" applyFont="1" applyFill="1" applyBorder="1" applyAlignment="1">
      <alignment horizontal="center"/>
    </xf>
    <xf numFmtId="0" fontId="21" fillId="6" borderId="10" xfId="0" applyFont="1" applyFill="1" applyBorder="1" applyAlignment="1">
      <alignment horizontal="left"/>
    </xf>
    <xf numFmtId="0" fontId="21" fillId="6" borderId="1" xfId="0" applyFont="1" applyFill="1" applyBorder="1"/>
    <xf numFmtId="0" fontId="21" fillId="6" borderId="1" xfId="0" applyNumberFormat="1" applyFont="1" applyFill="1" applyBorder="1"/>
    <xf numFmtId="0" fontId="21" fillId="6" borderId="1" xfId="0" applyNumberFormat="1" applyFont="1" applyFill="1" applyBorder="1" applyAlignment="1">
      <alignment horizontal="center"/>
    </xf>
    <xf numFmtId="0" fontId="21" fillId="6" borderId="1" xfId="0" applyFont="1" applyFill="1" applyBorder="1" applyAlignment="1">
      <alignment horizontal="center"/>
    </xf>
    <xf numFmtId="1" fontId="21" fillId="6" borderId="6" xfId="0" applyNumberFormat="1" applyFont="1" applyFill="1" applyBorder="1" applyAlignment="1">
      <alignment horizontal="center"/>
    </xf>
    <xf numFmtId="1" fontId="20" fillId="6" borderId="1" xfId="0" applyNumberFormat="1" applyFont="1" applyFill="1" applyBorder="1" applyAlignment="1">
      <alignment horizontal="center" vertical="center"/>
    </xf>
    <xf numFmtId="1" fontId="21" fillId="6" borderId="16" xfId="0" applyNumberFormat="1" applyFont="1" applyFill="1" applyBorder="1" applyAlignment="1">
      <alignment horizontal="center"/>
    </xf>
    <xf numFmtId="2" fontId="21" fillId="6" borderId="11" xfId="0" applyNumberFormat="1" applyFont="1" applyFill="1" applyBorder="1"/>
    <xf numFmtId="2" fontId="21" fillId="6" borderId="1" xfId="0" applyNumberFormat="1" applyFont="1" applyFill="1" applyBorder="1"/>
    <xf numFmtId="1" fontId="21" fillId="6" borderId="1" xfId="0" applyNumberFormat="1" applyFont="1" applyFill="1" applyBorder="1"/>
    <xf numFmtId="168" fontId="21" fillId="6" borderId="6" xfId="0" applyNumberFormat="1" applyFont="1" applyFill="1" applyBorder="1"/>
    <xf numFmtId="0" fontId="58" fillId="6" borderId="0" xfId="0" applyFont="1" applyFill="1"/>
    <xf numFmtId="1" fontId="21" fillId="6" borderId="10" xfId="0" applyNumberFormat="1" applyFont="1" applyFill="1" applyBorder="1" applyAlignment="1">
      <alignment horizontal="center"/>
    </xf>
    <xf numFmtId="2" fontId="21" fillId="6" borderId="2" xfId="0" applyNumberFormat="1" applyFont="1" applyFill="1" applyBorder="1"/>
    <xf numFmtId="0" fontId="27" fillId="0" borderId="2" xfId="0" applyFont="1" applyFill="1" applyBorder="1"/>
    <xf numFmtId="0" fontId="58" fillId="0" borderId="0" xfId="0" applyFont="1" applyFill="1"/>
    <xf numFmtId="0" fontId="21" fillId="0" borderId="1" xfId="0" applyNumberFormat="1" applyFont="1" applyFill="1" applyBorder="1" applyAlignment="1">
      <alignment horizontal="center"/>
    </xf>
    <xf numFmtId="0" fontId="21" fillId="3" borderId="1" xfId="0" applyNumberFormat="1" applyFont="1" applyFill="1" applyBorder="1"/>
    <xf numFmtId="0" fontId="21" fillId="0" borderId="1" xfId="0" applyFont="1" applyFill="1" applyBorder="1" applyAlignment="1">
      <alignment wrapText="1"/>
    </xf>
    <xf numFmtId="0" fontId="60" fillId="23" borderId="0" xfId="0" applyFont="1" applyFill="1" applyAlignment="1">
      <alignment vertical="center"/>
    </xf>
    <xf numFmtId="0" fontId="60" fillId="23" borderId="0" xfId="0" applyFont="1" applyFill="1" applyAlignment="1">
      <alignment horizontal="center" vertical="center"/>
    </xf>
  </cellXfs>
  <cellStyles count="1">
    <cellStyle name="Обычный" xfId="0" builtinId="0"/>
  </cellStyles>
  <dxfs count="547"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21" formatCode="dd/mmm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65" formatCode="dd/mm/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165" formatCode="dd/mm/yy;@"/>
      <fill>
        <patternFill patternType="solid">
          <fgColor indexed="64"/>
          <bgColor indexed="9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8"/>
        </left>
        <right style="thin">
          <color indexed="8"/>
        </right>
        <top/>
        <bottom/>
      </border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numFmt numFmtId="19" formatCode="dd/mm/yyyy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68" formatCode="#,##0.00\ _₽"/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" formatCode="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0" formatCode="General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21" formatCode="dd/mmm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21" formatCode="dd/mmm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65" formatCode="dd/mm/yy;@"/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dd/mm/yy;@"/>
      <fill>
        <patternFill patternType="none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68" formatCode="#,##0.00\ _₽"/>
      <fill>
        <patternFill patternType="none"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" formatCode="0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2" formatCode="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" formatCode="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0" formatCode="General"/>
      <fill>
        <patternFill patternType="none"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21" formatCode="dd/mmm"/>
      <fill>
        <patternFill patternType="none">
          <fgColor indexed="64"/>
          <bgColor indexed="6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21" formatCode="dd/mmm"/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Cyr"/>
        <scheme val="none"/>
      </font>
      <numFmt numFmtId="165" formatCode="dd/mm/yy;@"/>
      <fill>
        <patternFill patternType="none">
          <bgColor auto="1"/>
        </patternFill>
      </fill>
    </dxf>
    <dxf>
      <border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</font>
      <numFmt numFmtId="165" formatCode="dd/mm/yy;@"/>
      <fill>
        <patternFill patternType="none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00B0F0"/>
        </patternFill>
      </fill>
    </dxf>
    <dxf>
      <font>
        <b/>
        <i val="0"/>
      </font>
      <fill>
        <patternFill>
          <bgColor rgb="FFFFC000"/>
        </patternFill>
      </fill>
    </dxf>
    <dxf>
      <font>
        <b/>
        <i val="0"/>
      </font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bgColor theme="8" tint="0.59996337778862885"/>
        </patternFill>
      </fill>
    </dxf>
    <dxf>
      <font>
        <b/>
        <i val="0"/>
      </font>
      <fill>
        <patternFill>
          <bgColor rgb="FFFFFF00"/>
        </patternFill>
      </fill>
    </dxf>
    <dxf>
      <numFmt numFmtId="19" formatCode="dd/mm/yyyy"/>
    </dxf>
    <dxf>
      <numFmt numFmtId="0" formatCode="General"/>
    </dxf>
    <dxf>
      <numFmt numFmtId="19" formatCode="dd/mm/yyyy"/>
    </dxf>
    <dxf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theme="8" tint="0.79998168889431442"/>
          <bgColor theme="8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1"/>
      </font>
      <border>
        <bottom style="medium">
          <color theme="8"/>
        </bottom>
      </border>
    </dxf>
    <dxf>
      <font>
        <color theme="1"/>
      </font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TableStyleLight20 2" pivot="0" count="7">
      <tableStyleElement type="wholeTable" dxfId="546"/>
      <tableStyleElement type="headerRow" dxfId="545"/>
      <tableStyleElement type="totalRow" dxfId="544"/>
      <tableStyleElement type="firstColumn" dxfId="543"/>
      <tableStyleElement type="lastColumn" dxfId="542"/>
      <tableStyleElement type="firstRowStripe" dxfId="541"/>
      <tableStyleElement type="firstColumnStripe" dxfId="540"/>
    </tableStyle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ExternalData_3" connectionId="6" autoFormatId="16" applyNumberFormats="0" applyBorderFormats="0" applyFontFormats="0" applyPatternFormats="0" applyAlignmentFormats="0" applyWidthHeightFormats="0">
  <queryTableRefresh nextId="15">
    <queryTableFields count="14">
      <queryTableField id="1" name="№ ЗНОМ" tableColumnId="1"/>
      <queryTableField id="2" name="Дата ЗНОМ" tableColumnId="2"/>
      <queryTableField id="3" name="Сырье" tableColumnId="3"/>
      <queryTableField id="4" name="Кол-во м.п." tableColumnId="4"/>
      <queryTableField id="5" name="ЗНП" tableColumnId="5"/>
      <queryTableField id="6" name="Бр-е под перемещ" tableColumnId="6"/>
      <queryTableField id="7" name="ЗНС" tableColumnId="7"/>
      <queryTableField id="8" name="Перемещ" tableColumnId="8"/>
      <queryTableField id="9" name="Продукция" tableColumnId="9"/>
      <queryTableField id="10" name="Кол-во продукц" tableColumnId="10"/>
      <queryTableField id="11" name="Цена за м.п." tableColumnId="11"/>
      <queryTableField id="12" name="Сумму обработки" tableColumnId="12"/>
      <queryTableField id="13" name="Бронирование под обработку" tableColumnId="13"/>
      <queryTableField id="14" name="Обработка материалов м.п." tableColumnId="14"/>
    </queryTableFields>
  </queryTableRefresh>
</queryTable>
</file>

<file path=xl/queryTables/queryTable2.xml><?xml version="1.0" encoding="utf-8"?>
<queryTable xmlns="http://schemas.openxmlformats.org/spreadsheetml/2006/main" name="ExternalData_1" connectionId="7" autoFormatId="16" applyNumberFormats="0" applyBorderFormats="0" applyFontFormats="0" applyPatternFormats="0" applyAlignmentFormats="0" applyWidthHeightFormats="0">
  <queryTableRefresh nextId="15">
    <queryTableFields count="14">
      <queryTableField id="1" name="№ ЗНОМ" tableColumnId="1"/>
      <queryTableField id="2" name="Дата ЗНОМ" tableColumnId="2"/>
      <queryTableField id="3" name="Сырье" tableColumnId="3"/>
      <queryTableField id="4" name="Кол-во м.п." tableColumnId="4"/>
      <queryTableField id="5" name="ЗНП" tableColumnId="5"/>
      <queryTableField id="6" name="Бр-е под перемещ" tableColumnId="6"/>
      <queryTableField id="7" name="ЗНС" tableColumnId="7"/>
      <queryTableField id="8" name="Перемещ" tableColumnId="8"/>
      <queryTableField id="9" name="Продукция" tableColumnId="9"/>
      <queryTableField id="10" name="Кол-во продукц" tableColumnId="10"/>
      <queryTableField id="11" name="Цена за м.п." tableColumnId="11"/>
      <queryTableField id="12" name="Сумму обработки" tableColumnId="12"/>
      <queryTableField id="13" name="Бронирование под обработку" tableColumnId="13"/>
      <queryTableField id="14" name="Обработка материалов м.п." tableColumnId="14"/>
    </queryTableFields>
  </queryTableRefresh>
</queryTable>
</file>

<file path=xl/queryTables/queryTable3.xml><?xml version="1.0" encoding="utf-8"?>
<queryTable xmlns="http://schemas.openxmlformats.org/spreadsheetml/2006/main" name="ExternalData_2" connectionId="1" autoFormatId="16" applyNumberFormats="0" applyBorderFormats="0" applyFontFormats="0" applyPatternFormats="0" applyAlignmentFormats="0" applyWidthHeightFormats="0">
  <queryTableRefresh nextId="17">
    <queryTableFields count="15">
      <queryTableField id="15" name="Уникодзномпрофиль" tableColumnId="15"/>
      <queryTableField id="1" name="№ ЗНОМ" tableColumnId="1"/>
      <queryTableField id="2" name="Дата ЗНОМ" tableColumnId="2"/>
      <queryTableField id="3" name="Сырье" tableColumnId="3"/>
      <queryTableField id="4" name="Кол-во м.п." tableColumnId="4"/>
      <queryTableField id="5" name="ЗНП" tableColumnId="5"/>
      <queryTableField id="6" name="Бр-е под перемещ" tableColumnId="6"/>
      <queryTableField id="7" name="ЗНС" tableColumnId="7"/>
      <queryTableField id="8" name="Перемещ" tableColumnId="8"/>
      <queryTableField id="9" name="Продукция" tableColumnId="9"/>
      <queryTableField id="10" name="Кол-во продукц" tableColumnId="10"/>
      <queryTableField id="11" name="Цена за м.п." tableColumnId="11"/>
      <queryTableField id="12" name="Сумму обработки" tableColumnId="12"/>
      <queryTableField id="13" name="Бронирование под обработку" tableColumnId="13"/>
      <queryTableField id="14" name="Обработка материалов м.п.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3" name="Реестр_ЗНОМ_Логистический_ОПТ" displayName="Реестр_ЗНОМ_Логистический_ОПТ" ref="A1:N45" tableType="queryTable" totalsRowShown="0">
  <autoFilter ref="A1:N45"/>
  <tableColumns count="14">
    <tableColumn id="1" uniqueName="1" name="№ ЗНОМ" queryTableFieldId="1"/>
    <tableColumn id="2" uniqueName="2" name="Дата ЗНОМ" queryTableFieldId="2" dataDxfId="539"/>
    <tableColumn id="3" uniqueName="3" name="Сырье" queryTableFieldId="3"/>
    <tableColumn id="4" uniqueName="4" name="Кол-во м.п." queryTableFieldId="4"/>
    <tableColumn id="5" uniqueName="5" name="ЗНП" queryTableFieldId="5"/>
    <tableColumn id="6" uniqueName="6" name="Бр-е под перемещ" queryTableFieldId="6"/>
    <tableColumn id="7" uniqueName="7" name="ЗНС" queryTableFieldId="7"/>
    <tableColumn id="8" uniqueName="8" name="Перемещ" queryTableFieldId="8"/>
    <tableColumn id="9" uniqueName="9" name="Продукция" queryTableFieldId="9"/>
    <tableColumn id="10" uniqueName="10" name="Кол-во продукц" queryTableFieldId="10"/>
    <tableColumn id="11" uniqueName="11" name="Цена за м.п." queryTableFieldId="11"/>
    <tableColumn id="12" uniqueName="12" name="Сумму обработки" queryTableFieldId="12"/>
    <tableColumn id="13" uniqueName="13" name="Бронирование под обработку" queryTableFieldId="13"/>
    <tableColumn id="14" uniqueName="14" name="Обработка материалов м.п.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2" name="Реестр_ЗНОМ_Логистический_Цветок" displayName="Реестр_ЗНОМ_Логистический_Цветок" ref="A1:N661" tableType="queryTable" totalsRowShown="0">
  <autoFilter ref="A1:N661"/>
  <tableColumns count="14">
    <tableColumn id="1" uniqueName="1" name="№ ЗНОМ" queryTableFieldId="1" dataDxfId="538"/>
    <tableColumn id="2" uniqueName="2" name="Дата ЗНОМ" queryTableFieldId="2" dataDxfId="537"/>
    <tableColumn id="3" uniqueName="3" name="Сырье" queryTableFieldId="3"/>
    <tableColumn id="4" uniqueName="4" name="Кол-во м.п." queryTableFieldId="4"/>
    <tableColumn id="5" uniqueName="5" name="ЗНП" queryTableFieldId="5"/>
    <tableColumn id="6" uniqueName="6" name="Бр-е под перемещ" queryTableFieldId="6"/>
    <tableColumn id="7" uniqueName="7" name="ЗНС" queryTableFieldId="7"/>
    <tableColumn id="8" uniqueName="8" name="Перемещ" queryTableFieldId="8"/>
    <tableColumn id="9" uniqueName="9" name="Продукция" queryTableFieldId="9"/>
    <tableColumn id="10" uniqueName="10" name="Кол-во продукц" queryTableFieldId="10"/>
    <tableColumn id="11" uniqueName="11" name="Цена за м.п." queryTableFieldId="11"/>
    <tableColumn id="12" uniqueName="12" name="Сумму обработки" queryTableFieldId="12"/>
    <tableColumn id="13" uniqueName="13" name="Бронирование под обработку" queryTableFieldId="13"/>
    <tableColumn id="14" uniqueName="14" name="Обработка материалов м.п." queryTableFieldId="1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6" name="Таблица47" displayName="Таблица47" ref="A1:AC1038" totalsRowShown="0" headerRowDxfId="367" dataDxfId="365" headerRowBorderDxfId="366" tableBorderDxfId="364" totalsRowBorderDxfId="363">
  <autoFilter ref="A1:AC1038"/>
  <tableColumns count="29">
    <tableColumn id="9" name="покраска/ анод" dataDxfId="362"/>
    <tableColumn id="1" name="№ заявки в 1С" dataDxfId="361"/>
    <tableColumn id="23" name="ДАВ" dataDxfId="360"/>
    <tableColumn id="2" name="менеджер" dataDxfId="359"/>
    <tableColumn id="3" name="Заказчик" dataDxfId="358"/>
    <tableColumn id="4" name="дата" dataDxfId="357"/>
    <tableColumn id="24" name="планируемая отгрузка" dataDxfId="356"/>
    <tableColumn id="5" name="статус" dataDxfId="355">
      <calculatedColumnFormula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calculatedColumnFormula>
    </tableColumn>
    <tableColumn id="28" name="Уникодзномпрофиль" dataDxfId="354">
      <calculatedColumnFormula>CONCATENATE(Таблица47[[#This Row],[№ заявки в 1С]],Таблица47[[#This Row],[Наименование            ]])</calculatedColumnFormula>
    </tableColumn>
    <tableColumn id="29" name="Пермещение на склад анода" dataDxfId="353">
      <calculatedColumnFormula>IFERROR((VLOOKUP(Таблица47[[#This Row],[Уникодзномпрофиль]],Общий_реестр_ЗНОМ[],9,0)/(Таблица47[[#This Row],[Коли-
чество м.п.]]/Таблица47[[#This Row],[Количество хлыстов]])),"")</calculatedColumnFormula>
    </tableColumn>
    <tableColumn id="27" name="Бронь обработки из 1С" dataDxfId="352">
      <calculatedColumnFormula>IFERROR((VLOOKUP(Таблица47[[#This Row],[Уникодзномпрофиль]],Общий_реестр_ЗНОМ[],14,0)/(Таблица47[[#This Row],[Коли-
чество м.п.]]/Таблица47[[#This Row],[Количество хлыстов]])),"")</calculatedColumnFormula>
    </tableColumn>
    <tableColumn id="26" name="Обработано в 1С" dataDxfId="351">
      <calculatedColumnFormula>IFERROR(VLOOKUP(Таблица47[[#This Row],[Уникодзномпрофиль]],Общий_реестр_ЗНОМ[],15,0)/(Таблица47[[#This Row],[Коли-
чество м.п.]]/Таблица47[[#This Row],[Количество хлыстов]]),"")</calculatedColumnFormula>
    </tableColumn>
    <tableColumn id="30" name="Корректировка" dataDxfId="350"/>
    <tableColumn id="6" name="Вывезено, хл" dataDxfId="349"/>
    <tableColumn id="21" name="Осталось сделать, хлыст" dataDxfId="348">
      <calculatedColumnFormula>IFERROR(Таблица47[[#This Row],[Количество хлыстов]]-Таблица47[[#This Row],[Обработано в 1С]]-Таблица47[[#This Row],[Корректировка]],"")</calculatedColumnFormula>
    </tableColumn>
    <tableColumn id="22" name="загрузки" dataDxfId="347">
      <calculatedColumnFormula>IFERROR((((Таблица47[[#This Row],[Осталось сделать, хлыст]]*Таблица47[[#This Row],[длина]])*Таблица47[[#This Row],[Периметр]])/28),"")</calculatedColumnFormula>
    </tableColumn>
    <tableColumn id="8" name="примечание" dataDxfId="346"/>
    <tableColumn id="25" name="длина" dataDxfId="345">
      <calculatedColumnFormula>IFERROR(Таблица47[[#This Row],[Коли-
чество м.п.]]/Таблица47[[#This Row],[Количество хлыстов]],"")</calculatedColumnFormula>
    </tableColumn>
    <tableColumn id="10" name="Наименование            " dataDxfId="344"/>
    <tableColumn id="11" name="Коли-_x000a_чество м.п." dataDxfId="343"/>
    <tableColumn id="12" name="Количество хлыстов" dataDxfId="342"/>
    <tableColumn id="13" name="Периметр" dataDxfId="341"/>
    <tableColumn id="14" name="Вес п.м., кг" dataDxfId="340"/>
    <tableColumn id="15" name="Площадь общая, м2" dataDxfId="339"/>
    <tableColumn id="16" name="Вес, кг" dataDxfId="338"/>
    <tableColumn id="17" name="Расход краски, кг" dataDxfId="337"/>
    <tableColumn id="18" name="Цена м.п. руб" dataDxfId="336"/>
    <tableColumn id="19" name="Цена м2_x000a_руб" dataDxfId="335"/>
    <tableColumn id="20" name="Сумма, руб" dataDxfId="334"/>
  </tableColumns>
  <tableStyleInfo name="TableStyleLight20" showFirstColumn="0" showLastColumn="0" showRowStripes="1" showColumnStripes="0"/>
</table>
</file>

<file path=xl/tables/table4.xml><?xml version="1.0" encoding="utf-8"?>
<table xmlns="http://schemas.openxmlformats.org/spreadsheetml/2006/main" id="4" name="Таблица4" displayName="Таблица4" ref="A1:AA841" totalsRowShown="0" headerRowDxfId="186" dataDxfId="184" headerRowBorderDxfId="185" tableBorderDxfId="183" totalsRowBorderDxfId="182">
  <autoFilter ref="A1:AA841">
    <filterColumn colId="7">
      <filters blank="1">
        <filter val="в работе"/>
        <filter val="готов"/>
        <filter val="завезен"/>
        <filter val="не завезен"/>
        <filter val="предварительная"/>
      </filters>
    </filterColumn>
  </autoFilter>
  <tableColumns count="27">
    <tableColumn id="9" name="покраска/ анод" dataDxfId="181"/>
    <tableColumn id="1" name="№ заявки в 1С" dataDxfId="180"/>
    <tableColumn id="23" name="ДАВ" dataDxfId="179"/>
    <tableColumn id="2" name="менеджер" dataDxfId="178"/>
    <tableColumn id="3" name="Заказчик" dataDxfId="177"/>
    <tableColumn id="4" name="дата" dataDxfId="176"/>
    <tableColumn id="24" name="планируемая отгрузка" dataDxfId="175"/>
    <tableColumn id="5" name="статус" dataDxfId="174"/>
    <tableColumn id="27" name="Забронировано из 1С" dataDxfId="173"/>
    <tableColumn id="26" name="Обработано из 1С" dataDxfId="172"/>
    <tableColumn id="7" name="Готово, хл" dataDxfId="171"/>
    <tableColumn id="6" name="Вывезено, хл" dataDxfId="170"/>
    <tableColumn id="21" name="Осталось сделать, хлыст" dataDxfId="169"/>
    <tableColumn id="22" name="загрузки" dataDxfId="168">
      <calculatedColumnFormula>Таблица4[[#This Row],[Площадь общая, м2]]/28</calculatedColumnFormula>
    </tableColumn>
    <tableColumn id="8" name="примечание" dataDxfId="167"/>
    <tableColumn id="25" name="длина" dataDxfId="166"/>
    <tableColumn id="10" name="Наименование            " dataDxfId="165"/>
    <tableColumn id="11" name="Коли-_x000a_чество м.п." dataDxfId="164"/>
    <tableColumn id="12" name="Количество хлыстов" dataDxfId="163"/>
    <tableColumn id="13" name="Периметр" dataDxfId="162"/>
    <tableColumn id="14" name="Вес п.м., кг" dataDxfId="161"/>
    <tableColumn id="15" name="Площадь общая, м2" dataDxfId="160"/>
    <tableColumn id="16" name="Вес, кг" dataDxfId="159"/>
    <tableColumn id="17" name="Расход краски, кг" dataDxfId="158"/>
    <tableColumn id="18" name="Цена м.п. руб" dataDxfId="157"/>
    <tableColumn id="19" name="Цена м2_x000a_руб" dataDxfId="156"/>
    <tableColumn id="20" name="Сумма, руб" dataDxfId="155"/>
  </tableColumns>
  <tableStyleInfo name="TableStyleLight20" showFirstColumn="0" showLastColumn="0" showRowStripes="1" showColumnStripes="0"/>
</table>
</file>

<file path=xl/tables/table5.xml><?xml version="1.0" encoding="utf-8"?>
<table xmlns="http://schemas.openxmlformats.org/spreadsheetml/2006/main" id="5" name="Общий_реестр_ЗНОМ" displayName="Общий_реестр_ЗНОМ" ref="A1:O705" tableType="queryTable" totalsRowShown="0">
  <autoFilter ref="A1:O705">
    <filterColumn colId="1">
      <filters>
        <filter val="465"/>
      </filters>
    </filterColumn>
  </autoFilter>
  <tableColumns count="15">
    <tableColumn id="15" uniqueName="15" name="Уникодзномпрофиль" queryTableFieldId="15" dataDxfId="154"/>
    <tableColumn id="1" uniqueName="1" name="№ ЗНОМ" queryTableFieldId="1"/>
    <tableColumn id="2" uniqueName="2" name="Дата ЗНОМ" queryTableFieldId="2" dataDxfId="153"/>
    <tableColumn id="3" uniqueName="3" name="Сырье" queryTableFieldId="3"/>
    <tableColumn id="4" uniqueName="4" name="Кол-во м.п." queryTableFieldId="4"/>
    <tableColumn id="5" uniqueName="5" name="ЗНП" queryTableFieldId="5"/>
    <tableColumn id="6" uniqueName="6" name="Бр-е под перемещ" queryTableFieldId="6"/>
    <tableColumn id="7" uniqueName="7" name="ЗНС" queryTableFieldId="7"/>
    <tableColumn id="8" uniqueName="8" name="Перемещ" queryTableFieldId="8"/>
    <tableColumn id="9" uniqueName="9" name="Продукция" queryTableFieldId="9"/>
    <tableColumn id="10" uniqueName="10" name="Кол-во продукц" queryTableFieldId="10"/>
    <tableColumn id="11" uniqueName="11" name="Цена за м.п." queryTableFieldId="11"/>
    <tableColumn id="12" uniqueName="12" name="Сумму обработки" queryTableFieldId="12"/>
    <tableColumn id="13" uniqueName="13" name="Бронирование под обработку" queryTableFieldId="13"/>
    <tableColumn id="14" uniqueName="14" name="Обработка материалов м.п.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1" name="Таблица1" displayName="Таблица1" ref="A1:V1283" totalsRowShown="0" headerRowDxfId="49" dataDxfId="48" tableBorderDxfId="47">
  <autoFilter ref="A1:V1283"/>
  <tableColumns count="22">
    <tableColumn id="1" name="№ заявки в 1С" dataDxfId="46"/>
    <tableColumn id="2" name="менеджер" dataDxfId="45"/>
    <tableColumn id="3" name="Наименование" dataDxfId="44"/>
    <tableColumn id="4" name="дата" dataDxfId="43"/>
    <tableColumn id="5" name="Статус" dataDxfId="42"/>
    <tableColumn id="21" name="вывезено, хл" dataDxfId="41"/>
    <tableColumn id="22" name="готово, хл" dataDxfId="40"/>
    <tableColumn id="6" name="примечание" dataDxfId="39"/>
    <tableColumn id="7" name="Желаемая дата отгрузки" dataDxfId="38"/>
    <tableColumn id="8" name="Наименование            " dataDxfId="37"/>
    <tableColumn id="9" name="Коли-_x000a_чество м.п." dataDxfId="36"/>
    <tableColumn id="10" name="Количество" dataDxfId="35"/>
    <tableColumn id="11" name="Периметр" dataDxfId="34"/>
    <tableColumn id="12" name="Вес п.м., кг" dataDxfId="33"/>
    <tableColumn id="13" name="Площадь общая, м2" dataDxfId="32"/>
    <tableColumn id="14" name="Вес, кг" dataDxfId="31"/>
    <tableColumn id="15" name="Расход краски, кг" dataDxfId="30"/>
    <tableColumn id="16" name="Цена м.п. руб" dataDxfId="29"/>
    <tableColumn id="17" name="Цена м2_x000a_руб" dataDxfId="28"/>
    <tableColumn id="18" name="Сумма, руб" dataDxfId="27"/>
    <tableColumn id="19" name="Загрузки" dataDxfId="26"/>
    <tableColumn id="20" name="МКМ" dataDxfId="2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"/>
  <sheetViews>
    <sheetView workbookViewId="0">
      <selection sqref="A1:N45"/>
    </sheetView>
  </sheetViews>
  <sheetFormatPr defaultRowHeight="12.75" x14ac:dyDescent="0.2"/>
  <cols>
    <col min="1" max="1" width="11.28515625" customWidth="1"/>
    <col min="2" max="2" width="13.7109375" customWidth="1"/>
    <col min="3" max="3" width="91.140625" customWidth="1"/>
    <col min="4" max="4" width="13.7109375" customWidth="1"/>
    <col min="5" max="5" width="7" customWidth="1"/>
    <col min="6" max="6" width="20.7109375" customWidth="1"/>
    <col min="7" max="7" width="7" customWidth="1"/>
    <col min="8" max="8" width="11.85546875" customWidth="1"/>
    <col min="9" max="9" width="69" customWidth="1"/>
    <col min="10" max="10" width="18" customWidth="1"/>
    <col min="11" max="11" width="15" customWidth="1"/>
    <col min="12" max="12" width="19.85546875" customWidth="1"/>
    <col min="13" max="13" width="32.140625" customWidth="1"/>
    <col min="14" max="14" width="30" customWidth="1"/>
  </cols>
  <sheetData>
    <row r="1" spans="1:14" x14ac:dyDescent="0.2">
      <c r="A1" t="s">
        <v>5346</v>
      </c>
      <c r="B1" t="s">
        <v>5347</v>
      </c>
      <c r="C1" t="s">
        <v>5348</v>
      </c>
      <c r="D1" t="s">
        <v>5349</v>
      </c>
      <c r="E1" t="s">
        <v>5350</v>
      </c>
      <c r="F1" t="s">
        <v>5351</v>
      </c>
      <c r="G1" t="s">
        <v>5352</v>
      </c>
      <c r="H1" t="s">
        <v>5353</v>
      </c>
      <c r="I1" t="s">
        <v>5354</v>
      </c>
      <c r="J1" t="s">
        <v>5355</v>
      </c>
      <c r="K1" t="s">
        <v>5356</v>
      </c>
      <c r="L1" t="s">
        <v>5357</v>
      </c>
      <c r="M1" t="s">
        <v>5358</v>
      </c>
      <c r="N1" t="s">
        <v>5359</v>
      </c>
    </row>
    <row r="2" spans="1:14" x14ac:dyDescent="0.2">
      <c r="A2" t="s">
        <v>5200</v>
      </c>
      <c r="B2" s="959">
        <v>45476</v>
      </c>
      <c r="C2" t="s">
        <v>5199</v>
      </c>
      <c r="D2">
        <v>139.5</v>
      </c>
      <c r="E2">
        <v>139.5</v>
      </c>
      <c r="F2">
        <v>139.5</v>
      </c>
      <c r="G2">
        <v>139.5</v>
      </c>
      <c r="H2">
        <v>139.5</v>
      </c>
      <c r="I2" t="s">
        <v>6116</v>
      </c>
      <c r="J2">
        <v>139.5</v>
      </c>
      <c r="K2">
        <v>101.89</v>
      </c>
      <c r="L2">
        <v>14213.77</v>
      </c>
      <c r="M2">
        <v>139.5</v>
      </c>
      <c r="N2">
        <v>139.5</v>
      </c>
    </row>
    <row r="3" spans="1:14" x14ac:dyDescent="0.2">
      <c r="A3" t="s">
        <v>5208</v>
      </c>
      <c r="B3" s="959">
        <v>45481</v>
      </c>
      <c r="C3" t="s">
        <v>5693</v>
      </c>
      <c r="D3">
        <v>624</v>
      </c>
      <c r="E3">
        <v>624</v>
      </c>
      <c r="F3">
        <v>624</v>
      </c>
      <c r="G3">
        <v>624</v>
      </c>
      <c r="H3">
        <v>624</v>
      </c>
      <c r="I3" t="s">
        <v>6631</v>
      </c>
      <c r="J3">
        <v>624</v>
      </c>
      <c r="K3">
        <v>130.37</v>
      </c>
      <c r="L3">
        <v>81350.570000000007</v>
      </c>
      <c r="M3">
        <v>624</v>
      </c>
      <c r="N3">
        <v>624</v>
      </c>
    </row>
    <row r="4" spans="1:14" x14ac:dyDescent="0.2">
      <c r="A4" t="s">
        <v>3537</v>
      </c>
      <c r="B4" s="959">
        <v>45481</v>
      </c>
      <c r="C4" t="s">
        <v>2730</v>
      </c>
      <c r="D4">
        <v>1140</v>
      </c>
      <c r="E4">
        <v>1140</v>
      </c>
      <c r="F4">
        <v>1140</v>
      </c>
      <c r="G4">
        <v>1140</v>
      </c>
      <c r="H4">
        <v>1140</v>
      </c>
      <c r="I4" t="s">
        <v>6114</v>
      </c>
      <c r="J4">
        <v>1140</v>
      </c>
      <c r="K4">
        <v>152.16</v>
      </c>
      <c r="L4">
        <v>173465.82</v>
      </c>
      <c r="M4">
        <v>1140</v>
      </c>
      <c r="N4">
        <v>1140</v>
      </c>
    </row>
    <row r="5" spans="1:14" x14ac:dyDescent="0.2">
      <c r="A5" t="s">
        <v>5210</v>
      </c>
      <c r="B5" s="959">
        <v>45484</v>
      </c>
      <c r="C5" t="s">
        <v>2581</v>
      </c>
      <c r="D5">
        <v>318</v>
      </c>
      <c r="E5">
        <v>318</v>
      </c>
      <c r="F5">
        <v>318</v>
      </c>
      <c r="G5">
        <v>318</v>
      </c>
      <c r="H5">
        <v>318</v>
      </c>
      <c r="I5" t="s">
        <v>6115</v>
      </c>
      <c r="J5">
        <v>318</v>
      </c>
      <c r="K5">
        <v>324.83999999999997</v>
      </c>
      <c r="L5">
        <v>103299.12</v>
      </c>
      <c r="M5">
        <v>318</v>
      </c>
      <c r="N5">
        <v>288</v>
      </c>
    </row>
    <row r="6" spans="1:14" x14ac:dyDescent="0.2">
      <c r="A6" t="s">
        <v>3579</v>
      </c>
      <c r="B6" s="959">
        <v>45484</v>
      </c>
      <c r="C6" t="s">
        <v>2730</v>
      </c>
      <c r="D6">
        <v>1950</v>
      </c>
      <c r="E6">
        <v>1950</v>
      </c>
      <c r="F6">
        <v>1950</v>
      </c>
      <c r="G6">
        <v>1950</v>
      </c>
      <c r="H6">
        <v>1950</v>
      </c>
      <c r="I6" t="s">
        <v>6114</v>
      </c>
      <c r="J6">
        <v>1950</v>
      </c>
      <c r="K6">
        <v>152.16</v>
      </c>
      <c r="L6">
        <v>296712</v>
      </c>
      <c r="M6">
        <v>1950</v>
      </c>
      <c r="N6">
        <v>1950</v>
      </c>
    </row>
    <row r="7" spans="1:14" x14ac:dyDescent="0.2">
      <c r="A7" t="s">
        <v>3580</v>
      </c>
      <c r="B7" s="959">
        <v>45484</v>
      </c>
      <c r="C7" t="s">
        <v>2469</v>
      </c>
      <c r="D7">
        <v>876</v>
      </c>
      <c r="E7">
        <v>876</v>
      </c>
      <c r="F7">
        <v>876</v>
      </c>
      <c r="G7">
        <v>876</v>
      </c>
      <c r="H7">
        <v>876</v>
      </c>
      <c r="I7" t="s">
        <v>5980</v>
      </c>
      <c r="J7">
        <v>876</v>
      </c>
      <c r="K7">
        <v>308.07</v>
      </c>
      <c r="L7">
        <v>269866.69</v>
      </c>
      <c r="M7">
        <v>876</v>
      </c>
      <c r="N7">
        <v>876</v>
      </c>
    </row>
    <row r="8" spans="1:14" x14ac:dyDescent="0.2">
      <c r="A8" t="s">
        <v>5212</v>
      </c>
      <c r="B8" s="959">
        <v>45488</v>
      </c>
      <c r="C8" t="s">
        <v>5693</v>
      </c>
      <c r="D8">
        <v>1608</v>
      </c>
      <c r="E8">
        <v>1608</v>
      </c>
      <c r="F8">
        <v>1608</v>
      </c>
      <c r="G8">
        <v>1608</v>
      </c>
      <c r="H8">
        <v>1608</v>
      </c>
      <c r="I8" t="s">
        <v>6631</v>
      </c>
      <c r="J8">
        <v>1608</v>
      </c>
      <c r="K8">
        <v>130.37</v>
      </c>
      <c r="L8">
        <v>209634.96</v>
      </c>
      <c r="M8">
        <v>1608</v>
      </c>
      <c r="N8">
        <v>1500</v>
      </c>
    </row>
    <row r="9" spans="1:14" x14ac:dyDescent="0.2">
      <c r="A9" t="s">
        <v>5224</v>
      </c>
      <c r="B9" s="959">
        <v>45502</v>
      </c>
      <c r="C9" t="s">
        <v>2581</v>
      </c>
      <c r="D9">
        <v>402</v>
      </c>
      <c r="E9">
        <v>402</v>
      </c>
      <c r="F9">
        <v>402</v>
      </c>
      <c r="G9">
        <v>402</v>
      </c>
      <c r="H9">
        <v>402</v>
      </c>
      <c r="I9" t="s">
        <v>6115</v>
      </c>
      <c r="J9">
        <v>402</v>
      </c>
      <c r="K9">
        <v>324.83999999999997</v>
      </c>
      <c r="L9">
        <v>130585.68</v>
      </c>
      <c r="M9">
        <v>402</v>
      </c>
      <c r="N9">
        <v>402</v>
      </c>
    </row>
    <row r="10" spans="1:14" x14ac:dyDescent="0.2">
      <c r="A10" t="s">
        <v>5225</v>
      </c>
      <c r="B10" s="959">
        <v>45502</v>
      </c>
      <c r="C10" t="s">
        <v>5693</v>
      </c>
      <c r="D10">
        <v>816</v>
      </c>
      <c r="E10">
        <v>816</v>
      </c>
      <c r="F10">
        <v>816</v>
      </c>
      <c r="G10">
        <v>816</v>
      </c>
      <c r="H10">
        <v>816</v>
      </c>
      <c r="I10" t="s">
        <v>6631</v>
      </c>
      <c r="J10">
        <v>816</v>
      </c>
      <c r="K10">
        <v>130.37</v>
      </c>
      <c r="L10">
        <v>106381.92</v>
      </c>
      <c r="M10">
        <v>816</v>
      </c>
      <c r="N10">
        <v>804</v>
      </c>
    </row>
    <row r="11" spans="1:14" x14ac:dyDescent="0.2">
      <c r="A11" t="s">
        <v>5226</v>
      </c>
      <c r="B11" s="959">
        <v>45502</v>
      </c>
      <c r="C11" t="s">
        <v>2469</v>
      </c>
      <c r="D11">
        <v>996</v>
      </c>
      <c r="E11">
        <v>996</v>
      </c>
      <c r="F11">
        <v>996</v>
      </c>
      <c r="G11">
        <v>996</v>
      </c>
      <c r="H11">
        <v>996</v>
      </c>
      <c r="I11" t="s">
        <v>5980</v>
      </c>
      <c r="J11">
        <v>996</v>
      </c>
      <c r="K11">
        <v>308.07</v>
      </c>
      <c r="L11">
        <v>306837.71999999997</v>
      </c>
      <c r="M11">
        <v>996</v>
      </c>
      <c r="N11">
        <v>996</v>
      </c>
    </row>
    <row r="12" spans="1:14" x14ac:dyDescent="0.2">
      <c r="A12" t="s">
        <v>5254</v>
      </c>
      <c r="B12" s="959">
        <v>45512</v>
      </c>
      <c r="C12" t="s">
        <v>2581</v>
      </c>
      <c r="D12">
        <v>282</v>
      </c>
      <c r="E12">
        <v>282</v>
      </c>
      <c r="F12">
        <v>282</v>
      </c>
      <c r="G12">
        <v>282</v>
      </c>
      <c r="H12">
        <v>282</v>
      </c>
      <c r="I12" t="s">
        <v>6115</v>
      </c>
      <c r="J12">
        <v>282</v>
      </c>
      <c r="K12">
        <v>324.83999999999997</v>
      </c>
      <c r="L12">
        <v>91604.88</v>
      </c>
      <c r="M12">
        <v>282</v>
      </c>
      <c r="N12">
        <v>282</v>
      </c>
    </row>
    <row r="13" spans="1:14" x14ac:dyDescent="0.2">
      <c r="A13" t="s">
        <v>5255</v>
      </c>
      <c r="B13" s="959">
        <v>45512</v>
      </c>
      <c r="C13" t="s">
        <v>2469</v>
      </c>
      <c r="D13">
        <v>666</v>
      </c>
      <c r="E13">
        <v>666</v>
      </c>
      <c r="F13">
        <v>666</v>
      </c>
      <c r="G13">
        <v>666</v>
      </c>
      <c r="H13">
        <v>666</v>
      </c>
      <c r="I13" t="s">
        <v>5980</v>
      </c>
      <c r="J13">
        <v>666</v>
      </c>
      <c r="K13">
        <v>308.07</v>
      </c>
      <c r="L13">
        <v>205174.62</v>
      </c>
      <c r="M13">
        <v>666</v>
      </c>
      <c r="N13">
        <v>666</v>
      </c>
    </row>
    <row r="14" spans="1:14" x14ac:dyDescent="0.2">
      <c r="A14" t="s">
        <v>5266</v>
      </c>
      <c r="B14" s="959">
        <v>45518</v>
      </c>
      <c r="C14" t="s">
        <v>2845</v>
      </c>
      <c r="D14">
        <v>2172</v>
      </c>
      <c r="E14">
        <v>4176</v>
      </c>
      <c r="F14">
        <v>2172</v>
      </c>
      <c r="G14">
        <v>2172</v>
      </c>
      <c r="H14">
        <v>2172</v>
      </c>
      <c r="I14" t="s">
        <v>5978</v>
      </c>
      <c r="J14">
        <v>2172</v>
      </c>
      <c r="K14">
        <v>90.69</v>
      </c>
      <c r="L14">
        <v>196978.68</v>
      </c>
      <c r="M14">
        <v>2172</v>
      </c>
      <c r="N14">
        <v>2166</v>
      </c>
    </row>
    <row r="15" spans="1:14" x14ac:dyDescent="0.2">
      <c r="A15" t="s">
        <v>5283</v>
      </c>
      <c r="B15" s="959">
        <v>45526</v>
      </c>
      <c r="C15" t="s">
        <v>6631</v>
      </c>
      <c r="D15">
        <v>480</v>
      </c>
      <c r="E15">
        <v>480</v>
      </c>
      <c r="F15">
        <v>480</v>
      </c>
      <c r="G15">
        <v>480</v>
      </c>
      <c r="H15">
        <v>480</v>
      </c>
      <c r="I15" t="s">
        <v>6631</v>
      </c>
      <c r="J15">
        <v>480</v>
      </c>
      <c r="K15">
        <v>170.83</v>
      </c>
      <c r="L15">
        <v>81997.919999999998</v>
      </c>
      <c r="M15">
        <v>480</v>
      </c>
      <c r="N15">
        <v>480</v>
      </c>
    </row>
    <row r="16" spans="1:14" x14ac:dyDescent="0.2">
      <c r="A16" t="s">
        <v>5297</v>
      </c>
      <c r="B16" s="959">
        <v>45537</v>
      </c>
      <c r="C16" t="s">
        <v>2469</v>
      </c>
      <c r="D16">
        <v>1638</v>
      </c>
      <c r="E16">
        <v>1638</v>
      </c>
      <c r="F16">
        <v>1638</v>
      </c>
      <c r="G16">
        <v>1638</v>
      </c>
      <c r="H16">
        <v>1638</v>
      </c>
      <c r="I16" t="s">
        <v>5980</v>
      </c>
      <c r="J16">
        <v>1638</v>
      </c>
      <c r="K16">
        <v>322.23</v>
      </c>
      <c r="L16">
        <v>527814.38</v>
      </c>
      <c r="M16">
        <v>1638</v>
      </c>
      <c r="N16">
        <v>1638</v>
      </c>
    </row>
    <row r="17" spans="1:14" x14ac:dyDescent="0.2">
      <c r="A17" t="s">
        <v>5317</v>
      </c>
      <c r="B17" s="959">
        <v>45553</v>
      </c>
      <c r="C17" t="s">
        <v>5693</v>
      </c>
      <c r="D17">
        <v>234</v>
      </c>
      <c r="E17">
        <v>234</v>
      </c>
      <c r="F17">
        <v>234</v>
      </c>
      <c r="G17">
        <v>234</v>
      </c>
      <c r="H17">
        <v>234</v>
      </c>
      <c r="I17" t="s">
        <v>6631</v>
      </c>
      <c r="J17">
        <v>234</v>
      </c>
      <c r="K17">
        <v>136.36000000000001</v>
      </c>
      <c r="L17">
        <v>31909.06</v>
      </c>
      <c r="M17">
        <v>234</v>
      </c>
      <c r="N17">
        <v>234</v>
      </c>
    </row>
    <row r="18" spans="1:14" x14ac:dyDescent="0.2">
      <c r="A18" t="s">
        <v>2276</v>
      </c>
      <c r="B18" s="959">
        <v>45554</v>
      </c>
      <c r="C18" t="s">
        <v>5693</v>
      </c>
      <c r="D18">
        <v>300</v>
      </c>
      <c r="E18">
        <v>300</v>
      </c>
      <c r="F18">
        <v>300</v>
      </c>
      <c r="G18">
        <v>300</v>
      </c>
      <c r="H18">
        <v>300</v>
      </c>
      <c r="I18" t="s">
        <v>6631</v>
      </c>
      <c r="J18">
        <v>300</v>
      </c>
      <c r="K18">
        <v>136.36000000000001</v>
      </c>
      <c r="L18">
        <v>40908</v>
      </c>
      <c r="M18">
        <v>300</v>
      </c>
      <c r="N18">
        <v>282</v>
      </c>
    </row>
    <row r="19" spans="1:14" x14ac:dyDescent="0.2">
      <c r="A19" t="s">
        <v>5321</v>
      </c>
      <c r="B19" s="959">
        <v>45558</v>
      </c>
      <c r="C19" t="s">
        <v>5693</v>
      </c>
      <c r="D19">
        <v>1128</v>
      </c>
      <c r="E19">
        <v>1128</v>
      </c>
      <c r="F19">
        <v>1128</v>
      </c>
      <c r="G19">
        <v>1128</v>
      </c>
      <c r="H19">
        <v>1128</v>
      </c>
      <c r="I19" t="s">
        <v>6631</v>
      </c>
      <c r="J19">
        <v>1128</v>
      </c>
      <c r="K19">
        <v>136.36000000000001</v>
      </c>
      <c r="L19">
        <v>153814.07999999999</v>
      </c>
      <c r="M19">
        <v>1128</v>
      </c>
      <c r="N19">
        <v>1116</v>
      </c>
    </row>
    <row r="20" spans="1:14" x14ac:dyDescent="0.2">
      <c r="A20" t="s">
        <v>5328</v>
      </c>
      <c r="B20" s="959">
        <v>45561</v>
      </c>
      <c r="C20" t="s">
        <v>5327</v>
      </c>
      <c r="D20">
        <v>990</v>
      </c>
      <c r="E20">
        <v>1062</v>
      </c>
      <c r="F20">
        <v>36</v>
      </c>
      <c r="G20">
        <v>1062</v>
      </c>
      <c r="H20">
        <v>30</v>
      </c>
      <c r="I20" t="s">
        <v>5981</v>
      </c>
      <c r="J20">
        <v>990</v>
      </c>
      <c r="K20">
        <v>109.5</v>
      </c>
      <c r="L20">
        <v>108405</v>
      </c>
      <c r="M20">
        <v>990</v>
      </c>
      <c r="N20">
        <v>954</v>
      </c>
    </row>
    <row r="21" spans="1:14" x14ac:dyDescent="0.2">
      <c r="A21" t="s">
        <v>5336</v>
      </c>
      <c r="B21" s="959">
        <v>45566</v>
      </c>
      <c r="C21" t="s">
        <v>5693</v>
      </c>
      <c r="D21">
        <v>288</v>
      </c>
      <c r="E21">
        <v>288</v>
      </c>
      <c r="F21">
        <v>288</v>
      </c>
      <c r="G21">
        <v>288</v>
      </c>
      <c r="H21">
        <v>288</v>
      </c>
      <c r="I21" t="s">
        <v>6631</v>
      </c>
      <c r="J21">
        <v>288</v>
      </c>
      <c r="K21">
        <v>136.36000000000001</v>
      </c>
      <c r="L21">
        <v>39272.69</v>
      </c>
      <c r="M21">
        <v>288</v>
      </c>
      <c r="N21">
        <v>288</v>
      </c>
    </row>
    <row r="22" spans="1:14" x14ac:dyDescent="0.2">
      <c r="A22" t="s">
        <v>5337</v>
      </c>
      <c r="B22" s="959">
        <v>45566</v>
      </c>
      <c r="C22" t="s">
        <v>5327</v>
      </c>
      <c r="D22">
        <v>36</v>
      </c>
      <c r="E22">
        <v>6</v>
      </c>
      <c r="F22">
        <v>6</v>
      </c>
      <c r="G22">
        <v>6</v>
      </c>
      <c r="H22">
        <v>6</v>
      </c>
      <c r="I22" t="s">
        <v>5981</v>
      </c>
      <c r="J22">
        <v>36</v>
      </c>
      <c r="K22">
        <v>726.67</v>
      </c>
      <c r="L22">
        <v>26160</v>
      </c>
      <c r="M22">
        <v>36</v>
      </c>
      <c r="N22">
        <v>36</v>
      </c>
    </row>
    <row r="23" spans="1:14" x14ac:dyDescent="0.2">
      <c r="A23" t="s">
        <v>5679</v>
      </c>
      <c r="B23" s="959">
        <v>45580</v>
      </c>
      <c r="C23" t="s">
        <v>5693</v>
      </c>
      <c r="D23">
        <v>480</v>
      </c>
      <c r="E23">
        <v>480</v>
      </c>
      <c r="F23">
        <v>480</v>
      </c>
      <c r="G23">
        <v>480</v>
      </c>
      <c r="H23">
        <v>480</v>
      </c>
      <c r="I23" t="s">
        <v>6631</v>
      </c>
      <c r="J23">
        <v>480</v>
      </c>
      <c r="K23">
        <v>136.36000000000001</v>
      </c>
      <c r="L23">
        <v>65452.800000000003</v>
      </c>
      <c r="M23">
        <v>480</v>
      </c>
      <c r="N23">
        <v>480</v>
      </c>
    </row>
    <row r="24" spans="1:14" x14ac:dyDescent="0.2">
      <c r="A24" t="s">
        <v>5703</v>
      </c>
      <c r="B24" s="959">
        <v>45586</v>
      </c>
      <c r="C24" t="s">
        <v>5693</v>
      </c>
      <c r="D24">
        <v>1056</v>
      </c>
      <c r="E24">
        <v>1056</v>
      </c>
      <c r="F24">
        <v>1056</v>
      </c>
      <c r="G24">
        <v>1056</v>
      </c>
      <c r="H24">
        <v>1056</v>
      </c>
      <c r="I24" t="s">
        <v>6631</v>
      </c>
      <c r="J24">
        <v>1056</v>
      </c>
      <c r="K24">
        <v>136.36000000000001</v>
      </c>
      <c r="L24">
        <v>143996.16</v>
      </c>
      <c r="M24">
        <v>1056</v>
      </c>
      <c r="N24">
        <v>1056</v>
      </c>
    </row>
    <row r="25" spans="1:14" x14ac:dyDescent="0.2">
      <c r="A25" t="s">
        <v>5803</v>
      </c>
      <c r="B25" s="959">
        <v>45598</v>
      </c>
      <c r="C25" t="s">
        <v>2845</v>
      </c>
      <c r="D25">
        <v>5046</v>
      </c>
      <c r="E25">
        <v>5046</v>
      </c>
      <c r="F25">
        <v>5046</v>
      </c>
      <c r="G25">
        <v>5046</v>
      </c>
      <c r="H25">
        <v>5046</v>
      </c>
      <c r="I25" t="s">
        <v>5978</v>
      </c>
      <c r="J25">
        <v>5046</v>
      </c>
      <c r="K25">
        <v>96.26</v>
      </c>
      <c r="L25">
        <v>485705.25</v>
      </c>
      <c r="M25">
        <v>5046</v>
      </c>
      <c r="N25">
        <v>5034</v>
      </c>
    </row>
    <row r="26" spans="1:14" x14ac:dyDescent="0.2">
      <c r="A26" t="s">
        <v>5804</v>
      </c>
      <c r="B26" s="959">
        <v>45598</v>
      </c>
      <c r="C26" t="s">
        <v>2859</v>
      </c>
      <c r="D26">
        <v>858</v>
      </c>
      <c r="E26">
        <v>858</v>
      </c>
      <c r="F26">
        <v>858</v>
      </c>
      <c r="G26">
        <v>858</v>
      </c>
      <c r="H26">
        <v>858</v>
      </c>
      <c r="I26" t="s">
        <v>5979</v>
      </c>
      <c r="J26">
        <v>858</v>
      </c>
      <c r="K26">
        <v>124.03</v>
      </c>
      <c r="L26">
        <v>106420.31</v>
      </c>
      <c r="M26">
        <v>858</v>
      </c>
      <c r="N26">
        <v>858</v>
      </c>
    </row>
    <row r="27" spans="1:14" x14ac:dyDescent="0.2">
      <c r="A27" t="s">
        <v>5844</v>
      </c>
      <c r="B27" s="959">
        <v>45607</v>
      </c>
      <c r="C27" t="s">
        <v>5693</v>
      </c>
      <c r="D27">
        <v>960</v>
      </c>
      <c r="E27">
        <v>960</v>
      </c>
      <c r="F27">
        <v>960</v>
      </c>
      <c r="G27">
        <v>960</v>
      </c>
      <c r="H27">
        <v>960</v>
      </c>
      <c r="I27" t="s">
        <v>6631</v>
      </c>
      <c r="J27">
        <v>960</v>
      </c>
      <c r="K27">
        <v>136.36000000000001</v>
      </c>
      <c r="L27">
        <v>130908.96</v>
      </c>
      <c r="M27">
        <v>960</v>
      </c>
      <c r="N27">
        <v>960</v>
      </c>
    </row>
    <row r="28" spans="1:14" x14ac:dyDescent="0.2">
      <c r="A28" t="s">
        <v>5884</v>
      </c>
      <c r="B28" s="959">
        <v>45614</v>
      </c>
      <c r="C28" t="s">
        <v>5693</v>
      </c>
      <c r="D28">
        <v>1242</v>
      </c>
      <c r="E28">
        <v>1242</v>
      </c>
      <c r="F28">
        <v>1242</v>
      </c>
      <c r="G28">
        <v>1242</v>
      </c>
      <c r="H28">
        <v>1242</v>
      </c>
      <c r="I28" t="s">
        <v>6631</v>
      </c>
      <c r="J28">
        <v>1242</v>
      </c>
      <c r="K28">
        <v>136.36000000000001</v>
      </c>
      <c r="L28">
        <v>169363.47</v>
      </c>
      <c r="M28">
        <v>1242</v>
      </c>
      <c r="N28">
        <v>1212</v>
      </c>
    </row>
    <row r="29" spans="1:14" x14ac:dyDescent="0.2">
      <c r="A29" t="s">
        <v>5944</v>
      </c>
      <c r="B29" s="959">
        <v>45625</v>
      </c>
      <c r="C29" t="s">
        <v>5693</v>
      </c>
      <c r="D29">
        <v>480</v>
      </c>
      <c r="E29">
        <v>480</v>
      </c>
      <c r="F29">
        <v>480</v>
      </c>
      <c r="G29">
        <v>480</v>
      </c>
      <c r="H29">
        <v>480</v>
      </c>
      <c r="I29" t="s">
        <v>6631</v>
      </c>
      <c r="J29">
        <v>480</v>
      </c>
      <c r="K29">
        <v>136.36000000000001</v>
      </c>
      <c r="L29">
        <v>65454.48</v>
      </c>
      <c r="M29">
        <v>480</v>
      </c>
      <c r="N29">
        <v>480</v>
      </c>
    </row>
    <row r="30" spans="1:14" x14ac:dyDescent="0.2">
      <c r="A30" t="s">
        <v>6045</v>
      </c>
      <c r="B30" s="959">
        <v>45649</v>
      </c>
      <c r="C30" t="s">
        <v>2859</v>
      </c>
      <c r="D30">
        <v>1092</v>
      </c>
      <c r="E30">
        <v>1092</v>
      </c>
      <c r="F30">
        <v>1092</v>
      </c>
      <c r="G30">
        <v>1092</v>
      </c>
      <c r="H30">
        <v>1092</v>
      </c>
      <c r="I30" t="s">
        <v>5979</v>
      </c>
      <c r="J30">
        <v>1092</v>
      </c>
      <c r="K30">
        <v>124.03</v>
      </c>
      <c r="L30">
        <v>135444.04</v>
      </c>
      <c r="M30">
        <v>1092</v>
      </c>
      <c r="N30">
        <v>1080</v>
      </c>
    </row>
    <row r="31" spans="1:14" x14ac:dyDescent="0.2">
      <c r="A31" t="s">
        <v>6046</v>
      </c>
      <c r="B31" s="959">
        <v>45649</v>
      </c>
      <c r="C31" t="s">
        <v>2581</v>
      </c>
      <c r="D31">
        <v>1032</v>
      </c>
      <c r="E31">
        <v>1032</v>
      </c>
      <c r="F31">
        <v>1032</v>
      </c>
      <c r="G31">
        <v>1032</v>
      </c>
      <c r="H31">
        <v>1032</v>
      </c>
      <c r="I31" t="s">
        <v>6115</v>
      </c>
      <c r="J31">
        <v>1032</v>
      </c>
      <c r="K31">
        <v>344.79</v>
      </c>
      <c r="L31">
        <v>355822.76</v>
      </c>
      <c r="M31">
        <v>1032</v>
      </c>
      <c r="N31">
        <v>972</v>
      </c>
    </row>
    <row r="32" spans="1:14" x14ac:dyDescent="0.2">
      <c r="A32" t="s">
        <v>6067</v>
      </c>
      <c r="B32" s="959">
        <v>45652</v>
      </c>
      <c r="C32" t="s">
        <v>5693</v>
      </c>
      <c r="D32">
        <v>984</v>
      </c>
      <c r="E32">
        <v>984</v>
      </c>
      <c r="F32">
        <v>984</v>
      </c>
      <c r="G32">
        <v>984</v>
      </c>
      <c r="H32">
        <v>984</v>
      </c>
      <c r="I32" t="s">
        <v>6631</v>
      </c>
      <c r="J32">
        <v>984</v>
      </c>
      <c r="K32">
        <v>136.36000000000001</v>
      </c>
      <c r="L32">
        <v>134181.68</v>
      </c>
      <c r="M32">
        <v>984</v>
      </c>
      <c r="N32">
        <v>816</v>
      </c>
    </row>
    <row r="33" spans="1:14" x14ac:dyDescent="0.2">
      <c r="A33" t="s">
        <v>2582</v>
      </c>
      <c r="B33" s="959">
        <v>45680</v>
      </c>
      <c r="C33" t="s">
        <v>2845</v>
      </c>
      <c r="D33">
        <v>2112</v>
      </c>
      <c r="E33">
        <v>2112</v>
      </c>
      <c r="F33">
        <v>2112</v>
      </c>
      <c r="G33">
        <v>2112</v>
      </c>
      <c r="H33">
        <v>2112</v>
      </c>
      <c r="I33" t="s">
        <v>5978</v>
      </c>
      <c r="J33">
        <v>2112</v>
      </c>
      <c r="K33">
        <v>96.26</v>
      </c>
      <c r="L33">
        <v>203291.62</v>
      </c>
      <c r="M33">
        <v>2112</v>
      </c>
      <c r="N33">
        <v>2076</v>
      </c>
    </row>
    <row r="34" spans="1:14" x14ac:dyDescent="0.2">
      <c r="A34" t="s">
        <v>2602</v>
      </c>
      <c r="B34" s="959">
        <v>45686</v>
      </c>
      <c r="C34" t="s">
        <v>5693</v>
      </c>
      <c r="D34">
        <v>348</v>
      </c>
      <c r="E34">
        <v>696</v>
      </c>
      <c r="F34">
        <v>348</v>
      </c>
      <c r="G34">
        <v>348</v>
      </c>
      <c r="H34">
        <v>348</v>
      </c>
      <c r="I34" t="s">
        <v>6631</v>
      </c>
      <c r="J34">
        <v>348</v>
      </c>
      <c r="K34">
        <v>193.31</v>
      </c>
      <c r="L34">
        <v>67270.66</v>
      </c>
      <c r="M34">
        <v>348</v>
      </c>
      <c r="N34">
        <v>348</v>
      </c>
    </row>
    <row r="35" spans="1:14" x14ac:dyDescent="0.2">
      <c r="A35" t="s">
        <v>868</v>
      </c>
      <c r="B35" s="959">
        <v>45691</v>
      </c>
      <c r="C35" t="s">
        <v>5693</v>
      </c>
      <c r="D35">
        <v>576</v>
      </c>
      <c r="E35">
        <v>576</v>
      </c>
      <c r="F35">
        <v>576</v>
      </c>
      <c r="G35">
        <v>576</v>
      </c>
      <c r="H35">
        <v>576</v>
      </c>
      <c r="I35" t="s">
        <v>6631</v>
      </c>
      <c r="J35">
        <v>576</v>
      </c>
      <c r="K35">
        <v>145.35</v>
      </c>
      <c r="L35">
        <v>83724.19</v>
      </c>
      <c r="M35">
        <v>576</v>
      </c>
      <c r="N35">
        <v>576</v>
      </c>
    </row>
    <row r="36" spans="1:14" x14ac:dyDescent="0.2">
      <c r="A36" t="s">
        <v>6568</v>
      </c>
      <c r="B36" s="959">
        <v>45694</v>
      </c>
      <c r="C36" t="s">
        <v>2859</v>
      </c>
      <c r="D36">
        <v>966</v>
      </c>
      <c r="E36">
        <v>966</v>
      </c>
      <c r="F36">
        <v>966</v>
      </c>
      <c r="G36">
        <v>966</v>
      </c>
      <c r="H36">
        <v>966</v>
      </c>
      <c r="I36" t="s">
        <v>5979</v>
      </c>
      <c r="J36">
        <v>966</v>
      </c>
      <c r="K36">
        <v>132.21</v>
      </c>
      <c r="L36">
        <v>127715.83</v>
      </c>
      <c r="M36">
        <v>966</v>
      </c>
      <c r="N36">
        <v>948</v>
      </c>
    </row>
    <row r="37" spans="1:14" x14ac:dyDescent="0.2">
      <c r="A37" t="s">
        <v>2669</v>
      </c>
      <c r="B37" s="959">
        <v>45698</v>
      </c>
      <c r="C37" t="s">
        <v>5693</v>
      </c>
      <c r="D37">
        <v>696</v>
      </c>
      <c r="E37">
        <v>696</v>
      </c>
      <c r="F37">
        <v>696</v>
      </c>
      <c r="G37">
        <v>696</v>
      </c>
      <c r="H37">
        <v>696</v>
      </c>
      <c r="I37" t="s">
        <v>6631</v>
      </c>
      <c r="J37">
        <v>696</v>
      </c>
      <c r="K37">
        <v>145.35</v>
      </c>
      <c r="L37">
        <v>101166.73</v>
      </c>
      <c r="M37">
        <v>696</v>
      </c>
      <c r="N37">
        <v>696</v>
      </c>
    </row>
    <row r="38" spans="1:14" x14ac:dyDescent="0.2">
      <c r="A38" t="s">
        <v>6632</v>
      </c>
      <c r="B38" s="959">
        <v>45702</v>
      </c>
      <c r="C38" t="s">
        <v>5693</v>
      </c>
      <c r="D38">
        <v>2142</v>
      </c>
      <c r="E38">
        <v>2142</v>
      </c>
      <c r="F38">
        <v>2142</v>
      </c>
      <c r="G38">
        <v>2142</v>
      </c>
      <c r="H38">
        <v>2142</v>
      </c>
      <c r="I38" t="s">
        <v>6631</v>
      </c>
      <c r="J38">
        <v>2142</v>
      </c>
      <c r="K38">
        <v>145.35</v>
      </c>
      <c r="L38">
        <v>311349.34000000003</v>
      </c>
      <c r="M38">
        <v>2142</v>
      </c>
      <c r="N38">
        <v>1920</v>
      </c>
    </row>
    <row r="39" spans="1:14" x14ac:dyDescent="0.2">
      <c r="A39" t="s">
        <v>6647</v>
      </c>
      <c r="B39" s="959">
        <v>45706</v>
      </c>
      <c r="C39" t="s">
        <v>5693</v>
      </c>
      <c r="D39">
        <v>924</v>
      </c>
      <c r="E39">
        <v>924</v>
      </c>
      <c r="F39">
        <v>924</v>
      </c>
      <c r="G39">
        <v>924</v>
      </c>
      <c r="H39">
        <v>924</v>
      </c>
      <c r="I39" t="s">
        <v>6631</v>
      </c>
      <c r="J39">
        <v>924</v>
      </c>
      <c r="K39">
        <v>145.35</v>
      </c>
      <c r="L39">
        <v>134303.4</v>
      </c>
      <c r="M39">
        <v>924</v>
      </c>
      <c r="N39">
        <v>918</v>
      </c>
    </row>
    <row r="40" spans="1:14" x14ac:dyDescent="0.2">
      <c r="A40" t="s">
        <v>2847</v>
      </c>
      <c r="B40" s="959">
        <v>45708</v>
      </c>
      <c r="C40" t="s">
        <v>6631</v>
      </c>
      <c r="D40">
        <v>270</v>
      </c>
      <c r="E40">
        <v>270</v>
      </c>
      <c r="F40">
        <v>270</v>
      </c>
      <c r="G40">
        <v>270</v>
      </c>
      <c r="H40">
        <v>270</v>
      </c>
      <c r="I40" t="s">
        <v>6631</v>
      </c>
      <c r="J40">
        <v>270</v>
      </c>
      <c r="K40">
        <v>194.81</v>
      </c>
      <c r="L40">
        <v>52597.35</v>
      </c>
      <c r="M40">
        <v>270</v>
      </c>
      <c r="N40">
        <v>270</v>
      </c>
    </row>
    <row r="41" spans="1:14" x14ac:dyDescent="0.2">
      <c r="A41" t="s">
        <v>6657</v>
      </c>
      <c r="B41" s="959">
        <v>45708</v>
      </c>
      <c r="C41" t="s">
        <v>5693</v>
      </c>
      <c r="D41">
        <v>222</v>
      </c>
      <c r="E41">
        <v>222</v>
      </c>
      <c r="F41">
        <v>222</v>
      </c>
      <c r="G41">
        <v>222</v>
      </c>
      <c r="H41">
        <v>222</v>
      </c>
      <c r="I41" t="s">
        <v>6631</v>
      </c>
      <c r="J41">
        <v>222</v>
      </c>
      <c r="K41">
        <v>220.28</v>
      </c>
      <c r="L41">
        <v>48902.05</v>
      </c>
      <c r="M41">
        <v>222</v>
      </c>
      <c r="N41">
        <v>222</v>
      </c>
    </row>
    <row r="42" spans="1:14" x14ac:dyDescent="0.2">
      <c r="A42" t="s">
        <v>6685</v>
      </c>
      <c r="B42" s="959">
        <v>45715</v>
      </c>
      <c r="C42" t="s">
        <v>5693</v>
      </c>
      <c r="D42">
        <v>3660</v>
      </c>
      <c r="E42">
        <v>3660</v>
      </c>
      <c r="F42">
        <v>3660</v>
      </c>
      <c r="G42">
        <v>3660</v>
      </c>
      <c r="H42">
        <v>3660</v>
      </c>
      <c r="I42" t="s">
        <v>6631</v>
      </c>
      <c r="J42">
        <v>3660</v>
      </c>
      <c r="K42">
        <v>145.35</v>
      </c>
      <c r="L42">
        <v>531997.47</v>
      </c>
      <c r="M42">
        <v>3660</v>
      </c>
      <c r="N42">
        <v>3492</v>
      </c>
    </row>
    <row r="43" spans="1:14" x14ac:dyDescent="0.2">
      <c r="A43" t="s">
        <v>6728</v>
      </c>
      <c r="B43" s="959">
        <v>45727</v>
      </c>
      <c r="C43" t="s">
        <v>2845</v>
      </c>
      <c r="D43">
        <v>3954</v>
      </c>
      <c r="E43">
        <v>3954</v>
      </c>
      <c r="F43">
        <v>3954</v>
      </c>
      <c r="G43">
        <v>3954</v>
      </c>
      <c r="H43">
        <v>3954</v>
      </c>
      <c r="I43" t="s">
        <v>5978</v>
      </c>
      <c r="J43">
        <v>3954</v>
      </c>
      <c r="K43">
        <v>101.03</v>
      </c>
      <c r="L43">
        <v>399466.69</v>
      </c>
      <c r="M43">
        <v>3954</v>
      </c>
      <c r="N43">
        <v>3918</v>
      </c>
    </row>
    <row r="44" spans="1:14" x14ac:dyDescent="0.2">
      <c r="A44" t="s">
        <v>6784</v>
      </c>
      <c r="B44" s="959">
        <v>45740</v>
      </c>
      <c r="C44" t="s">
        <v>5693</v>
      </c>
      <c r="D44">
        <v>84</v>
      </c>
      <c r="E44">
        <v>84</v>
      </c>
      <c r="F44">
        <v>84</v>
      </c>
      <c r="G44">
        <v>84</v>
      </c>
      <c r="H44">
        <v>84</v>
      </c>
      <c r="I44" t="s">
        <v>6631</v>
      </c>
      <c r="J44">
        <v>84</v>
      </c>
      <c r="K44">
        <v>145.35</v>
      </c>
      <c r="L44">
        <v>12209.78</v>
      </c>
      <c r="M44">
        <v>84</v>
      </c>
      <c r="N44">
        <v>66</v>
      </c>
    </row>
    <row r="45" spans="1:14" x14ac:dyDescent="0.2">
      <c r="A45" t="s">
        <v>1191</v>
      </c>
      <c r="B45" s="959">
        <v>45754</v>
      </c>
      <c r="C45" t="s">
        <v>2730</v>
      </c>
      <c r="D45">
        <v>1086</v>
      </c>
      <c r="I45" t="s">
        <v>6114</v>
      </c>
      <c r="J45">
        <v>1086</v>
      </c>
      <c r="K45">
        <v>169.65</v>
      </c>
      <c r="L45">
        <v>184243.16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61"/>
  <sheetViews>
    <sheetView workbookViewId="0">
      <selection sqref="A1:N661"/>
    </sheetView>
  </sheetViews>
  <sheetFormatPr defaultRowHeight="12.75" x14ac:dyDescent="0.2"/>
  <cols>
    <col min="1" max="1" width="11.28515625" customWidth="1"/>
    <col min="2" max="2" width="13.7109375" customWidth="1"/>
    <col min="3" max="3" width="77" customWidth="1"/>
    <col min="4" max="4" width="13.7109375" customWidth="1"/>
    <col min="5" max="5" width="8" customWidth="1"/>
    <col min="6" max="6" width="20.7109375" customWidth="1"/>
    <col min="7" max="7" width="8" customWidth="1"/>
    <col min="8" max="8" width="11.85546875" customWidth="1"/>
    <col min="9" max="9" width="103.140625" customWidth="1"/>
    <col min="10" max="10" width="18" customWidth="1"/>
    <col min="11" max="11" width="15" customWidth="1"/>
    <col min="12" max="12" width="19.85546875" customWidth="1"/>
    <col min="13" max="13" width="32.140625" customWidth="1"/>
    <col min="14" max="14" width="30" customWidth="1"/>
  </cols>
  <sheetData>
    <row r="1" spans="1:14" x14ac:dyDescent="0.2">
      <c r="A1" t="s">
        <v>5346</v>
      </c>
      <c r="B1" t="s">
        <v>5347</v>
      </c>
      <c r="C1" t="s">
        <v>5348</v>
      </c>
      <c r="D1" t="s">
        <v>5349</v>
      </c>
      <c r="E1" t="s">
        <v>5350</v>
      </c>
      <c r="F1" t="s">
        <v>5351</v>
      </c>
      <c r="G1" t="s">
        <v>5352</v>
      </c>
      <c r="H1" t="s">
        <v>5353</v>
      </c>
      <c r="I1" t="s">
        <v>5354</v>
      </c>
      <c r="J1" t="s">
        <v>5355</v>
      </c>
      <c r="K1" t="s">
        <v>5356</v>
      </c>
      <c r="L1" t="s">
        <v>5357</v>
      </c>
      <c r="M1" t="s">
        <v>5358</v>
      </c>
      <c r="N1" t="s">
        <v>5359</v>
      </c>
    </row>
    <row r="2" spans="1:14" x14ac:dyDescent="0.2">
      <c r="A2" s="958" t="s">
        <v>6134</v>
      </c>
      <c r="B2" s="959">
        <v>45475</v>
      </c>
      <c r="C2" t="s">
        <v>5083</v>
      </c>
      <c r="D2">
        <v>440</v>
      </c>
      <c r="E2">
        <v>440</v>
      </c>
      <c r="F2">
        <v>440</v>
      </c>
      <c r="G2">
        <v>440</v>
      </c>
      <c r="H2">
        <v>440</v>
      </c>
      <c r="I2" t="s">
        <v>5446</v>
      </c>
      <c r="J2">
        <v>440</v>
      </c>
      <c r="K2">
        <v>599.24</v>
      </c>
      <c r="L2">
        <v>263667</v>
      </c>
      <c r="M2">
        <v>440</v>
      </c>
      <c r="N2">
        <v>440</v>
      </c>
    </row>
    <row r="3" spans="1:14" x14ac:dyDescent="0.2">
      <c r="A3" s="958" t="s">
        <v>6134</v>
      </c>
      <c r="B3" s="959">
        <v>45475</v>
      </c>
      <c r="C3" t="s">
        <v>5084</v>
      </c>
      <c r="D3">
        <v>242</v>
      </c>
      <c r="E3">
        <v>242</v>
      </c>
      <c r="F3">
        <v>242</v>
      </c>
      <c r="G3">
        <v>242</v>
      </c>
      <c r="H3">
        <v>242</v>
      </c>
      <c r="I3" t="s">
        <v>6125</v>
      </c>
      <c r="J3">
        <v>242</v>
      </c>
      <c r="K3">
        <v>455.7</v>
      </c>
      <c r="L3">
        <v>110279</v>
      </c>
      <c r="M3">
        <v>242</v>
      </c>
      <c r="N3">
        <v>242</v>
      </c>
    </row>
    <row r="4" spans="1:14" x14ac:dyDescent="0.2">
      <c r="A4" s="958" t="s">
        <v>6135</v>
      </c>
      <c r="B4" s="959">
        <v>45476</v>
      </c>
      <c r="C4" t="s">
        <v>6513</v>
      </c>
      <c r="D4">
        <v>240</v>
      </c>
      <c r="E4">
        <v>240</v>
      </c>
      <c r="F4">
        <v>240</v>
      </c>
      <c r="G4">
        <v>240</v>
      </c>
      <c r="H4">
        <v>240</v>
      </c>
      <c r="I4" t="s">
        <v>6514</v>
      </c>
      <c r="J4">
        <v>240</v>
      </c>
      <c r="K4">
        <v>519.17999999999995</v>
      </c>
      <c r="L4">
        <v>124602</v>
      </c>
      <c r="M4">
        <v>240</v>
      </c>
      <c r="N4">
        <v>240</v>
      </c>
    </row>
    <row r="5" spans="1:14" x14ac:dyDescent="0.2">
      <c r="A5" s="958" t="s">
        <v>6136</v>
      </c>
      <c r="B5" s="959">
        <v>45476</v>
      </c>
      <c r="C5" t="s">
        <v>4682</v>
      </c>
      <c r="D5">
        <v>390</v>
      </c>
      <c r="E5">
        <v>390</v>
      </c>
      <c r="F5">
        <v>390</v>
      </c>
      <c r="G5">
        <v>390</v>
      </c>
      <c r="H5">
        <v>390</v>
      </c>
      <c r="I5" t="s">
        <v>5362</v>
      </c>
      <c r="J5">
        <v>390</v>
      </c>
      <c r="K5">
        <v>141.65</v>
      </c>
      <c r="L5">
        <v>55242.33</v>
      </c>
      <c r="M5">
        <v>390</v>
      </c>
      <c r="N5">
        <v>390</v>
      </c>
    </row>
    <row r="6" spans="1:14" x14ac:dyDescent="0.2">
      <c r="A6" s="958" t="s">
        <v>6137</v>
      </c>
      <c r="B6" s="959">
        <v>45476</v>
      </c>
      <c r="C6" t="s">
        <v>4813</v>
      </c>
      <c r="D6">
        <v>2136</v>
      </c>
      <c r="E6">
        <v>2136</v>
      </c>
      <c r="F6">
        <v>2136</v>
      </c>
      <c r="G6">
        <v>2136</v>
      </c>
      <c r="H6">
        <v>2136</v>
      </c>
      <c r="I6" t="s">
        <v>4148</v>
      </c>
      <c r="J6">
        <v>2136</v>
      </c>
      <c r="K6">
        <v>134.5</v>
      </c>
      <c r="L6">
        <v>287292</v>
      </c>
      <c r="M6">
        <v>2136</v>
      </c>
      <c r="N6">
        <v>2100</v>
      </c>
    </row>
    <row r="7" spans="1:14" x14ac:dyDescent="0.2">
      <c r="A7" s="958" t="s">
        <v>6138</v>
      </c>
      <c r="B7" s="959">
        <v>45476</v>
      </c>
      <c r="C7" t="s">
        <v>5158</v>
      </c>
      <c r="D7">
        <v>1022.4</v>
      </c>
      <c r="E7">
        <v>1022.4</v>
      </c>
      <c r="F7">
        <v>1022.4</v>
      </c>
      <c r="G7">
        <v>1022.4</v>
      </c>
      <c r="H7">
        <v>1022.4</v>
      </c>
      <c r="I7" t="s">
        <v>5460</v>
      </c>
      <c r="J7">
        <v>1022.4</v>
      </c>
      <c r="K7">
        <v>136.76</v>
      </c>
      <c r="L7">
        <v>139823.82999999999</v>
      </c>
      <c r="M7">
        <v>1022.4</v>
      </c>
      <c r="N7">
        <v>1018.8</v>
      </c>
    </row>
    <row r="8" spans="1:14" x14ac:dyDescent="0.2">
      <c r="A8" s="958" t="s">
        <v>6139</v>
      </c>
      <c r="B8" s="959">
        <v>45476</v>
      </c>
      <c r="C8" t="s">
        <v>4582</v>
      </c>
      <c r="D8">
        <v>2886</v>
      </c>
      <c r="E8">
        <v>2886</v>
      </c>
      <c r="F8">
        <v>2886</v>
      </c>
      <c r="G8">
        <v>2886</v>
      </c>
      <c r="H8">
        <v>2886</v>
      </c>
      <c r="I8" t="s">
        <v>5393</v>
      </c>
      <c r="J8">
        <v>2886</v>
      </c>
      <c r="K8">
        <v>44.14</v>
      </c>
      <c r="L8">
        <v>127379.38</v>
      </c>
      <c r="M8">
        <v>2886</v>
      </c>
      <c r="N8">
        <v>2862</v>
      </c>
    </row>
    <row r="9" spans="1:14" x14ac:dyDescent="0.2">
      <c r="A9" s="958" t="s">
        <v>6140</v>
      </c>
      <c r="B9" s="959">
        <v>45477</v>
      </c>
      <c r="C9" t="s">
        <v>5202</v>
      </c>
      <c r="D9">
        <v>600</v>
      </c>
      <c r="E9">
        <v>600</v>
      </c>
      <c r="F9">
        <v>600</v>
      </c>
      <c r="G9">
        <v>600</v>
      </c>
      <c r="H9">
        <v>600</v>
      </c>
      <c r="I9" t="s">
        <v>6141</v>
      </c>
      <c r="J9">
        <v>600</v>
      </c>
      <c r="K9">
        <v>70.400000000000006</v>
      </c>
      <c r="L9">
        <v>42240</v>
      </c>
      <c r="M9">
        <v>600</v>
      </c>
      <c r="N9">
        <v>600</v>
      </c>
    </row>
    <row r="10" spans="1:14" x14ac:dyDescent="0.2">
      <c r="A10" s="958" t="s">
        <v>6142</v>
      </c>
      <c r="B10" s="959">
        <v>45478</v>
      </c>
      <c r="C10" t="s">
        <v>5205</v>
      </c>
      <c r="D10">
        <v>66</v>
      </c>
      <c r="E10">
        <v>66</v>
      </c>
      <c r="F10">
        <v>66</v>
      </c>
      <c r="G10">
        <v>66</v>
      </c>
      <c r="H10">
        <v>66</v>
      </c>
      <c r="I10" t="s">
        <v>6143</v>
      </c>
      <c r="J10">
        <v>66</v>
      </c>
      <c r="K10">
        <v>638.20000000000005</v>
      </c>
      <c r="L10">
        <v>42121.2</v>
      </c>
      <c r="M10">
        <v>66</v>
      </c>
      <c r="N10">
        <v>66</v>
      </c>
    </row>
    <row r="11" spans="1:14" x14ac:dyDescent="0.2">
      <c r="A11" s="958" t="s">
        <v>6144</v>
      </c>
      <c r="B11" s="959">
        <v>45478</v>
      </c>
      <c r="C11" t="s">
        <v>4459</v>
      </c>
      <c r="D11">
        <v>473.6</v>
      </c>
      <c r="E11">
        <v>473.6</v>
      </c>
      <c r="F11">
        <v>473.6</v>
      </c>
      <c r="G11">
        <v>473.6</v>
      </c>
      <c r="H11">
        <v>473.6</v>
      </c>
      <c r="I11" t="s">
        <v>6145</v>
      </c>
      <c r="J11">
        <v>473.6</v>
      </c>
      <c r="K11">
        <v>148.49</v>
      </c>
      <c r="L11">
        <v>70324.86</v>
      </c>
      <c r="M11">
        <v>473.6</v>
      </c>
      <c r="N11">
        <v>464</v>
      </c>
    </row>
    <row r="12" spans="1:14" x14ac:dyDescent="0.2">
      <c r="A12" s="958" t="s">
        <v>6146</v>
      </c>
      <c r="B12" s="959">
        <v>45478</v>
      </c>
      <c r="C12" t="s">
        <v>4662</v>
      </c>
      <c r="D12">
        <v>435.6</v>
      </c>
      <c r="E12">
        <v>435.6</v>
      </c>
      <c r="F12">
        <v>435.6</v>
      </c>
      <c r="G12">
        <v>435.6</v>
      </c>
      <c r="H12">
        <v>435.6</v>
      </c>
      <c r="I12" t="s">
        <v>6121</v>
      </c>
      <c r="J12">
        <v>435.6</v>
      </c>
      <c r="K12">
        <v>148.49</v>
      </c>
      <c r="L12">
        <v>64682.239999999998</v>
      </c>
      <c r="M12">
        <v>435.6</v>
      </c>
      <c r="N12">
        <v>435.6</v>
      </c>
    </row>
    <row r="13" spans="1:14" x14ac:dyDescent="0.2">
      <c r="A13" s="958" t="s">
        <v>6147</v>
      </c>
      <c r="B13" s="959">
        <v>45478</v>
      </c>
      <c r="C13" t="s">
        <v>5216</v>
      </c>
      <c r="D13">
        <v>294</v>
      </c>
      <c r="E13">
        <v>294</v>
      </c>
      <c r="F13">
        <v>294</v>
      </c>
      <c r="G13">
        <v>294</v>
      </c>
      <c r="H13">
        <v>294</v>
      </c>
      <c r="I13" t="s">
        <v>5392</v>
      </c>
      <c r="J13">
        <v>294</v>
      </c>
      <c r="K13">
        <v>243.16</v>
      </c>
      <c r="L13">
        <v>71489.63</v>
      </c>
      <c r="M13">
        <v>294</v>
      </c>
      <c r="N13">
        <v>294</v>
      </c>
    </row>
    <row r="14" spans="1:14" x14ac:dyDescent="0.2">
      <c r="A14" s="958" t="s">
        <v>6147</v>
      </c>
      <c r="B14" s="959">
        <v>45478</v>
      </c>
      <c r="C14" t="s">
        <v>4727</v>
      </c>
      <c r="D14">
        <v>888</v>
      </c>
      <c r="E14">
        <v>1446</v>
      </c>
      <c r="F14">
        <v>558</v>
      </c>
      <c r="G14">
        <v>1446</v>
      </c>
      <c r="H14">
        <v>558</v>
      </c>
      <c r="I14" t="s">
        <v>5366</v>
      </c>
      <c r="J14">
        <v>888</v>
      </c>
      <c r="K14">
        <v>78.489999999999995</v>
      </c>
      <c r="L14">
        <v>69698.23</v>
      </c>
      <c r="M14">
        <v>888</v>
      </c>
      <c r="N14">
        <v>330</v>
      </c>
    </row>
    <row r="15" spans="1:14" x14ac:dyDescent="0.2">
      <c r="A15" s="958" t="s">
        <v>6148</v>
      </c>
      <c r="B15" s="959">
        <v>45483</v>
      </c>
      <c r="C15" t="s">
        <v>1751</v>
      </c>
      <c r="D15">
        <v>78.400000000000006</v>
      </c>
      <c r="E15">
        <v>78.400000000000006</v>
      </c>
      <c r="F15">
        <v>78.400000000000006</v>
      </c>
      <c r="G15">
        <v>78.400000000000006</v>
      </c>
      <c r="H15">
        <v>78.400000000000006</v>
      </c>
      <c r="I15" t="s">
        <v>5471</v>
      </c>
      <c r="J15">
        <v>78.400000000000006</v>
      </c>
      <c r="K15">
        <v>289.97000000000003</v>
      </c>
      <c r="L15">
        <v>22733.73</v>
      </c>
      <c r="M15">
        <v>78.400000000000006</v>
      </c>
      <c r="N15">
        <v>78.400000000000006</v>
      </c>
    </row>
    <row r="16" spans="1:14" x14ac:dyDescent="0.2">
      <c r="A16" s="958" t="s">
        <v>6149</v>
      </c>
      <c r="B16" s="959">
        <v>45484</v>
      </c>
      <c r="C16" t="s">
        <v>2963</v>
      </c>
      <c r="D16">
        <v>591.6</v>
      </c>
      <c r="E16">
        <v>591.6</v>
      </c>
      <c r="F16">
        <v>591.6</v>
      </c>
      <c r="G16">
        <v>591.6</v>
      </c>
      <c r="H16">
        <v>591.6</v>
      </c>
      <c r="I16" t="s">
        <v>5363</v>
      </c>
      <c r="J16">
        <v>591.6</v>
      </c>
      <c r="K16">
        <v>74.989999999999995</v>
      </c>
      <c r="L16">
        <v>44366.45</v>
      </c>
      <c r="M16">
        <v>591.6</v>
      </c>
      <c r="N16">
        <v>591.6</v>
      </c>
    </row>
    <row r="17" spans="1:14" x14ac:dyDescent="0.2">
      <c r="A17" s="958" t="s">
        <v>6150</v>
      </c>
      <c r="B17" s="959">
        <v>45484</v>
      </c>
      <c r="C17" t="s">
        <v>4582</v>
      </c>
      <c r="D17">
        <v>2772</v>
      </c>
      <c r="E17">
        <v>2772</v>
      </c>
      <c r="F17">
        <v>2772</v>
      </c>
      <c r="G17">
        <v>2772</v>
      </c>
      <c r="H17">
        <v>2772</v>
      </c>
      <c r="I17" t="s">
        <v>5393</v>
      </c>
      <c r="J17">
        <v>2772</v>
      </c>
      <c r="K17">
        <v>44.14</v>
      </c>
      <c r="L17">
        <v>122347.76</v>
      </c>
      <c r="M17">
        <v>2772</v>
      </c>
      <c r="N17">
        <v>2772</v>
      </c>
    </row>
    <row r="18" spans="1:14" x14ac:dyDescent="0.2">
      <c r="A18" s="958" t="s">
        <v>6150</v>
      </c>
      <c r="B18" s="959">
        <v>45484</v>
      </c>
      <c r="C18" t="s">
        <v>4378</v>
      </c>
      <c r="D18">
        <v>1224</v>
      </c>
      <c r="E18">
        <v>1224</v>
      </c>
      <c r="F18">
        <v>1224</v>
      </c>
      <c r="G18">
        <v>1224</v>
      </c>
      <c r="H18">
        <v>1224</v>
      </c>
      <c r="I18" t="s">
        <v>5076</v>
      </c>
      <c r="J18">
        <v>1224</v>
      </c>
      <c r="K18">
        <v>93.13</v>
      </c>
      <c r="L18">
        <v>113989.9</v>
      </c>
      <c r="M18">
        <v>1224</v>
      </c>
      <c r="N18">
        <v>1224</v>
      </c>
    </row>
    <row r="19" spans="1:14" x14ac:dyDescent="0.2">
      <c r="A19" s="958" t="s">
        <v>6150</v>
      </c>
      <c r="B19" s="959">
        <v>45484</v>
      </c>
      <c r="C19" t="s">
        <v>4998</v>
      </c>
      <c r="D19">
        <v>768</v>
      </c>
      <c r="E19">
        <v>768</v>
      </c>
      <c r="F19">
        <v>768</v>
      </c>
      <c r="G19">
        <v>768</v>
      </c>
      <c r="H19">
        <v>768</v>
      </c>
      <c r="I19" t="s">
        <v>6123</v>
      </c>
      <c r="J19">
        <v>768</v>
      </c>
      <c r="K19">
        <v>113.78</v>
      </c>
      <c r="L19">
        <v>87379.199999999997</v>
      </c>
      <c r="M19">
        <v>768</v>
      </c>
      <c r="N19">
        <v>768</v>
      </c>
    </row>
    <row r="20" spans="1:14" x14ac:dyDescent="0.2">
      <c r="A20" s="958" t="s">
        <v>6151</v>
      </c>
      <c r="B20" s="959">
        <v>45484</v>
      </c>
      <c r="C20" t="s">
        <v>4813</v>
      </c>
      <c r="D20">
        <v>894</v>
      </c>
      <c r="E20">
        <v>894</v>
      </c>
      <c r="F20">
        <v>894</v>
      </c>
      <c r="G20">
        <v>894</v>
      </c>
      <c r="H20">
        <v>894</v>
      </c>
      <c r="I20" t="s">
        <v>4148</v>
      </c>
      <c r="J20">
        <v>894</v>
      </c>
      <c r="K20">
        <v>134.5</v>
      </c>
      <c r="L20">
        <v>120243</v>
      </c>
      <c r="M20">
        <v>894</v>
      </c>
      <c r="N20">
        <v>870</v>
      </c>
    </row>
    <row r="21" spans="1:14" x14ac:dyDescent="0.2">
      <c r="A21" s="958" t="s">
        <v>6152</v>
      </c>
      <c r="B21" s="959">
        <v>45484</v>
      </c>
      <c r="C21" t="s">
        <v>5158</v>
      </c>
      <c r="D21">
        <v>1458</v>
      </c>
      <c r="E21">
        <v>1458</v>
      </c>
      <c r="F21">
        <v>1458</v>
      </c>
      <c r="G21">
        <v>1458</v>
      </c>
      <c r="H21">
        <v>1458</v>
      </c>
      <c r="I21" t="s">
        <v>5460</v>
      </c>
      <c r="J21">
        <v>1458</v>
      </c>
      <c r="K21">
        <v>136.76</v>
      </c>
      <c r="L21">
        <v>199396.08</v>
      </c>
      <c r="M21">
        <v>1458</v>
      </c>
      <c r="N21">
        <v>1458</v>
      </c>
    </row>
    <row r="22" spans="1:14" x14ac:dyDescent="0.2">
      <c r="A22" s="958" t="s">
        <v>6153</v>
      </c>
      <c r="B22" s="959">
        <v>45485</v>
      </c>
      <c r="C22" t="s">
        <v>5118</v>
      </c>
      <c r="D22">
        <v>24</v>
      </c>
      <c r="E22">
        <v>24</v>
      </c>
      <c r="F22">
        <v>24</v>
      </c>
      <c r="G22">
        <v>24</v>
      </c>
      <c r="H22">
        <v>24</v>
      </c>
      <c r="I22" t="s">
        <v>6127</v>
      </c>
      <c r="J22">
        <v>24</v>
      </c>
      <c r="K22">
        <v>2769.17</v>
      </c>
      <c r="L22">
        <v>66460</v>
      </c>
      <c r="M22">
        <v>24</v>
      </c>
      <c r="N22">
        <v>24</v>
      </c>
    </row>
    <row r="23" spans="1:14" x14ac:dyDescent="0.2">
      <c r="A23" s="958" t="s">
        <v>6154</v>
      </c>
      <c r="B23" s="959">
        <v>45488</v>
      </c>
      <c r="C23" t="s">
        <v>4393</v>
      </c>
      <c r="D23">
        <v>528</v>
      </c>
      <c r="E23">
        <v>528</v>
      </c>
      <c r="F23">
        <v>528</v>
      </c>
      <c r="G23">
        <v>528</v>
      </c>
      <c r="H23">
        <v>528</v>
      </c>
      <c r="I23" t="s">
        <v>5472</v>
      </c>
      <c r="J23">
        <v>528</v>
      </c>
      <c r="K23">
        <v>187.19</v>
      </c>
      <c r="L23">
        <v>98836.58</v>
      </c>
      <c r="M23">
        <v>528</v>
      </c>
      <c r="N23">
        <v>528</v>
      </c>
    </row>
    <row r="24" spans="1:14" x14ac:dyDescent="0.2">
      <c r="A24" s="958" t="s">
        <v>6155</v>
      </c>
      <c r="B24" s="959">
        <v>45488</v>
      </c>
      <c r="C24" t="s">
        <v>4582</v>
      </c>
      <c r="D24">
        <v>2568</v>
      </c>
      <c r="E24">
        <v>2568</v>
      </c>
      <c r="F24">
        <v>2568</v>
      </c>
      <c r="G24">
        <v>2568</v>
      </c>
      <c r="H24">
        <v>2568</v>
      </c>
      <c r="I24" t="s">
        <v>5393</v>
      </c>
      <c r="J24">
        <v>2568</v>
      </c>
      <c r="K24">
        <v>44.14</v>
      </c>
      <c r="L24">
        <v>113343.82</v>
      </c>
      <c r="M24">
        <v>2568</v>
      </c>
      <c r="N24">
        <v>2532</v>
      </c>
    </row>
    <row r="25" spans="1:14" x14ac:dyDescent="0.2">
      <c r="A25" s="958" t="s">
        <v>6155</v>
      </c>
      <c r="B25" s="959">
        <v>45488</v>
      </c>
      <c r="C25" t="s">
        <v>4378</v>
      </c>
      <c r="D25">
        <v>1110</v>
      </c>
      <c r="E25">
        <v>1110</v>
      </c>
      <c r="F25">
        <v>1110</v>
      </c>
      <c r="G25">
        <v>1110</v>
      </c>
      <c r="H25">
        <v>1110</v>
      </c>
      <c r="I25" t="s">
        <v>5076</v>
      </c>
      <c r="J25">
        <v>1110</v>
      </c>
      <c r="K25">
        <v>93.13</v>
      </c>
      <c r="L25">
        <v>103373.19</v>
      </c>
      <c r="M25">
        <v>1110</v>
      </c>
      <c r="N25">
        <v>1110</v>
      </c>
    </row>
    <row r="26" spans="1:14" x14ac:dyDescent="0.2">
      <c r="A26" s="958" t="s">
        <v>6156</v>
      </c>
      <c r="B26" s="959">
        <v>45488</v>
      </c>
      <c r="C26" t="s">
        <v>5214</v>
      </c>
      <c r="D26">
        <v>567.20000000000005</v>
      </c>
      <c r="E26">
        <v>567.20000000000005</v>
      </c>
      <c r="F26">
        <v>567.20000000000005</v>
      </c>
      <c r="G26">
        <v>567.20000000000005</v>
      </c>
      <c r="H26">
        <v>567.20000000000005</v>
      </c>
      <c r="I26" t="s">
        <v>5473</v>
      </c>
      <c r="J26">
        <v>567.20000000000005</v>
      </c>
      <c r="K26">
        <v>82.1</v>
      </c>
      <c r="L26">
        <v>46567.12</v>
      </c>
      <c r="M26">
        <v>567.20000000000005</v>
      </c>
      <c r="N26">
        <v>567.20000000000005</v>
      </c>
    </row>
    <row r="27" spans="1:14" x14ac:dyDescent="0.2">
      <c r="A27" s="958" t="s">
        <v>6156</v>
      </c>
      <c r="B27" s="959">
        <v>45488</v>
      </c>
      <c r="C27" t="s">
        <v>5215</v>
      </c>
      <c r="D27">
        <v>2262</v>
      </c>
      <c r="E27">
        <v>2262</v>
      </c>
      <c r="F27">
        <v>1602.25</v>
      </c>
      <c r="G27">
        <v>2262</v>
      </c>
      <c r="H27">
        <v>1602.25</v>
      </c>
      <c r="I27" t="s">
        <v>5474</v>
      </c>
      <c r="J27">
        <v>2262</v>
      </c>
      <c r="K27">
        <v>91.8</v>
      </c>
      <c r="L27">
        <v>207651.6</v>
      </c>
      <c r="M27">
        <v>659.75</v>
      </c>
      <c r="N27">
        <v>2262</v>
      </c>
    </row>
    <row r="28" spans="1:14" x14ac:dyDescent="0.2">
      <c r="A28" s="958" t="s">
        <v>6157</v>
      </c>
      <c r="B28" s="959">
        <v>45488</v>
      </c>
      <c r="C28" t="s">
        <v>78</v>
      </c>
      <c r="D28">
        <v>1770</v>
      </c>
      <c r="E28">
        <v>1770</v>
      </c>
      <c r="F28">
        <v>1770</v>
      </c>
      <c r="G28">
        <v>1770</v>
      </c>
      <c r="H28">
        <v>1770</v>
      </c>
      <c r="I28" t="s">
        <v>5385</v>
      </c>
      <c r="J28">
        <v>1770</v>
      </c>
      <c r="K28">
        <v>74.849999999999994</v>
      </c>
      <c r="L28">
        <v>132486.26999999999</v>
      </c>
      <c r="M28">
        <v>1770</v>
      </c>
      <c r="N28">
        <v>1698</v>
      </c>
    </row>
    <row r="29" spans="1:14" x14ac:dyDescent="0.2">
      <c r="A29" s="958" t="s">
        <v>6158</v>
      </c>
      <c r="B29" s="959">
        <v>45490</v>
      </c>
      <c r="C29" t="s">
        <v>5216</v>
      </c>
      <c r="D29">
        <v>108</v>
      </c>
      <c r="E29">
        <v>162</v>
      </c>
      <c r="F29">
        <v>162</v>
      </c>
      <c r="G29">
        <v>144</v>
      </c>
      <c r="I29" t="s">
        <v>5392</v>
      </c>
      <c r="J29">
        <v>108</v>
      </c>
      <c r="K29">
        <v>243.16</v>
      </c>
      <c r="L29">
        <v>26261.279999999999</v>
      </c>
    </row>
    <row r="30" spans="1:14" x14ac:dyDescent="0.2">
      <c r="A30" s="958" t="s">
        <v>6159</v>
      </c>
      <c r="B30" s="959">
        <v>45491</v>
      </c>
      <c r="C30" t="s">
        <v>5220</v>
      </c>
      <c r="D30">
        <v>402</v>
      </c>
      <c r="E30">
        <v>402</v>
      </c>
      <c r="F30">
        <v>402</v>
      </c>
      <c r="G30">
        <v>402</v>
      </c>
      <c r="H30">
        <v>402</v>
      </c>
      <c r="I30" t="s">
        <v>5411</v>
      </c>
      <c r="J30">
        <v>402</v>
      </c>
      <c r="K30">
        <v>114.3</v>
      </c>
      <c r="L30">
        <v>45947.839999999997</v>
      </c>
      <c r="M30">
        <v>402</v>
      </c>
    </row>
    <row r="31" spans="1:14" x14ac:dyDescent="0.2">
      <c r="A31" s="958" t="s">
        <v>6160</v>
      </c>
      <c r="B31" s="959">
        <v>45492</v>
      </c>
      <c r="C31" t="s">
        <v>4276</v>
      </c>
      <c r="D31">
        <v>600.75</v>
      </c>
      <c r="E31">
        <v>600.75</v>
      </c>
      <c r="F31">
        <v>600.75</v>
      </c>
      <c r="G31">
        <v>600.75</v>
      </c>
      <c r="H31">
        <v>600.75</v>
      </c>
      <c r="I31" t="s">
        <v>6712</v>
      </c>
      <c r="J31">
        <v>600.75</v>
      </c>
      <c r="K31">
        <v>136.53</v>
      </c>
      <c r="L31">
        <v>82018.289999999994</v>
      </c>
      <c r="M31">
        <v>600.75</v>
      </c>
      <c r="N31">
        <v>596.29999999999995</v>
      </c>
    </row>
    <row r="32" spans="1:14" x14ac:dyDescent="0.2">
      <c r="A32" s="958" t="s">
        <v>6161</v>
      </c>
      <c r="B32" s="959">
        <v>45495</v>
      </c>
      <c r="C32" t="s">
        <v>6513</v>
      </c>
      <c r="D32">
        <v>172</v>
      </c>
      <c r="E32">
        <v>172</v>
      </c>
      <c r="F32">
        <v>172</v>
      </c>
      <c r="G32">
        <v>172</v>
      </c>
      <c r="H32">
        <v>172</v>
      </c>
      <c r="I32" t="s">
        <v>6514</v>
      </c>
      <c r="J32">
        <v>172</v>
      </c>
      <c r="K32">
        <v>608.37</v>
      </c>
      <c r="L32">
        <v>104640</v>
      </c>
      <c r="M32">
        <v>172</v>
      </c>
    </row>
    <row r="33" spans="1:14" x14ac:dyDescent="0.2">
      <c r="A33" s="958" t="s">
        <v>6162</v>
      </c>
      <c r="B33" s="959">
        <v>45496</v>
      </c>
      <c r="C33" t="s">
        <v>5862</v>
      </c>
      <c r="D33">
        <v>1542</v>
      </c>
      <c r="E33">
        <v>1542</v>
      </c>
      <c r="F33">
        <v>1542</v>
      </c>
      <c r="G33">
        <v>1542</v>
      </c>
      <c r="H33">
        <v>1542</v>
      </c>
      <c r="I33" t="s">
        <v>5831</v>
      </c>
      <c r="J33">
        <v>1542</v>
      </c>
      <c r="K33">
        <v>136.32</v>
      </c>
      <c r="L33">
        <v>210210.07</v>
      </c>
      <c r="M33">
        <v>1542</v>
      </c>
      <c r="N33">
        <v>1518</v>
      </c>
    </row>
    <row r="34" spans="1:14" x14ac:dyDescent="0.2">
      <c r="A34" s="958" t="s">
        <v>6163</v>
      </c>
      <c r="B34" s="959">
        <v>45496</v>
      </c>
      <c r="C34" t="s">
        <v>1751</v>
      </c>
      <c r="D34">
        <v>156.80000000000001</v>
      </c>
      <c r="E34">
        <v>156.80000000000001</v>
      </c>
      <c r="F34">
        <v>156.80000000000001</v>
      </c>
      <c r="G34">
        <v>156.80000000000001</v>
      </c>
      <c r="H34">
        <v>156.80000000000001</v>
      </c>
      <c r="I34" t="s">
        <v>5471</v>
      </c>
      <c r="J34">
        <v>156.80000000000001</v>
      </c>
      <c r="K34">
        <v>289.97000000000003</v>
      </c>
      <c r="L34">
        <v>45467.45</v>
      </c>
      <c r="M34">
        <v>156.80000000000001</v>
      </c>
      <c r="N34">
        <v>132.30000000000001</v>
      </c>
    </row>
    <row r="35" spans="1:14" x14ac:dyDescent="0.2">
      <c r="A35" s="958" t="s">
        <v>6164</v>
      </c>
      <c r="B35" s="959">
        <v>45496</v>
      </c>
      <c r="C35" t="s">
        <v>5204</v>
      </c>
      <c r="D35">
        <v>1000</v>
      </c>
      <c r="E35">
        <v>1000</v>
      </c>
      <c r="F35">
        <v>1000</v>
      </c>
      <c r="G35">
        <v>1000</v>
      </c>
      <c r="H35">
        <v>1000</v>
      </c>
      <c r="I35" t="s">
        <v>6165</v>
      </c>
      <c r="J35">
        <v>1000</v>
      </c>
      <c r="K35">
        <v>91.92</v>
      </c>
      <c r="L35">
        <v>91920</v>
      </c>
      <c r="M35">
        <v>1000</v>
      </c>
      <c r="N35">
        <v>500</v>
      </c>
    </row>
    <row r="36" spans="1:14" x14ac:dyDescent="0.2">
      <c r="A36" s="958" t="s">
        <v>6166</v>
      </c>
      <c r="B36" s="959">
        <v>45496</v>
      </c>
      <c r="C36" t="s">
        <v>6167</v>
      </c>
      <c r="D36">
        <v>950</v>
      </c>
      <c r="I36" t="s">
        <v>6168</v>
      </c>
      <c r="J36">
        <v>950</v>
      </c>
      <c r="K36">
        <v>84.48</v>
      </c>
      <c r="L36">
        <v>80253.149999999994</v>
      </c>
    </row>
    <row r="37" spans="1:14" x14ac:dyDescent="0.2">
      <c r="A37" s="958" t="s">
        <v>6169</v>
      </c>
      <c r="B37" s="959">
        <v>45497</v>
      </c>
      <c r="C37" t="s">
        <v>5134</v>
      </c>
      <c r="D37">
        <v>266.2</v>
      </c>
      <c r="E37">
        <v>266.2</v>
      </c>
      <c r="F37">
        <v>266.2</v>
      </c>
      <c r="G37">
        <v>266.2</v>
      </c>
      <c r="H37">
        <v>266.2</v>
      </c>
      <c r="I37" t="s">
        <v>6128</v>
      </c>
      <c r="J37">
        <v>266.2</v>
      </c>
      <c r="K37">
        <v>192.41</v>
      </c>
      <c r="L37">
        <v>51220</v>
      </c>
      <c r="M37">
        <v>266.2</v>
      </c>
      <c r="N37">
        <v>266.2</v>
      </c>
    </row>
    <row r="38" spans="1:14" x14ac:dyDescent="0.2">
      <c r="A38" s="958" t="s">
        <v>6169</v>
      </c>
      <c r="B38" s="959">
        <v>45497</v>
      </c>
      <c r="C38" t="s">
        <v>5135</v>
      </c>
      <c r="D38">
        <v>145.19999999999999</v>
      </c>
      <c r="E38">
        <v>145.19999999999999</v>
      </c>
      <c r="F38">
        <v>145.19999999999999</v>
      </c>
      <c r="G38">
        <v>145.19999999999999</v>
      </c>
      <c r="H38">
        <v>145.19999999999999</v>
      </c>
      <c r="I38" t="s">
        <v>6129</v>
      </c>
      <c r="J38">
        <v>145.19999999999999</v>
      </c>
      <c r="K38">
        <v>271.35000000000002</v>
      </c>
      <c r="L38">
        <v>39400</v>
      </c>
      <c r="M38">
        <v>145.19999999999999</v>
      </c>
      <c r="N38">
        <v>145.19999999999999</v>
      </c>
    </row>
    <row r="39" spans="1:14" x14ac:dyDescent="0.2">
      <c r="A39" s="958" t="s">
        <v>6170</v>
      </c>
      <c r="B39" s="959">
        <v>45497</v>
      </c>
      <c r="C39" t="s">
        <v>5010</v>
      </c>
      <c r="D39">
        <v>96</v>
      </c>
      <c r="E39">
        <v>96</v>
      </c>
      <c r="F39">
        <v>96</v>
      </c>
      <c r="G39">
        <v>96</v>
      </c>
      <c r="H39">
        <v>96</v>
      </c>
      <c r="I39" t="s">
        <v>5413</v>
      </c>
      <c r="J39">
        <v>96</v>
      </c>
      <c r="K39">
        <v>262.3</v>
      </c>
      <c r="L39">
        <v>25180.799999999999</v>
      </c>
      <c r="M39">
        <v>96</v>
      </c>
      <c r="N39">
        <v>96</v>
      </c>
    </row>
    <row r="40" spans="1:14" x14ac:dyDescent="0.2">
      <c r="A40" s="958" t="s">
        <v>6170</v>
      </c>
      <c r="B40" s="959">
        <v>45497</v>
      </c>
      <c r="C40" t="s">
        <v>5009</v>
      </c>
      <c r="D40">
        <v>96</v>
      </c>
      <c r="E40">
        <v>96</v>
      </c>
      <c r="F40">
        <v>96</v>
      </c>
      <c r="G40">
        <v>96</v>
      </c>
      <c r="H40">
        <v>96</v>
      </c>
      <c r="I40" t="s">
        <v>5412</v>
      </c>
      <c r="J40">
        <v>96</v>
      </c>
      <c r="K40">
        <v>251.6</v>
      </c>
      <c r="L40">
        <v>24153.599999999999</v>
      </c>
      <c r="M40">
        <v>96</v>
      </c>
      <c r="N40">
        <v>96</v>
      </c>
    </row>
    <row r="41" spans="1:14" x14ac:dyDescent="0.2">
      <c r="A41" s="958" t="s">
        <v>6171</v>
      </c>
      <c r="B41" s="959">
        <v>45497</v>
      </c>
      <c r="C41" t="s">
        <v>6515</v>
      </c>
      <c r="D41">
        <v>44</v>
      </c>
      <c r="E41">
        <v>44</v>
      </c>
      <c r="F41">
        <v>44</v>
      </c>
      <c r="G41">
        <v>44</v>
      </c>
      <c r="H41">
        <v>44</v>
      </c>
      <c r="I41" t="s">
        <v>5415</v>
      </c>
      <c r="J41">
        <v>44</v>
      </c>
      <c r="K41">
        <v>230</v>
      </c>
      <c r="L41">
        <v>10120</v>
      </c>
      <c r="M41">
        <v>44</v>
      </c>
      <c r="N41">
        <v>44</v>
      </c>
    </row>
    <row r="42" spans="1:14" x14ac:dyDescent="0.2">
      <c r="A42" s="958" t="s">
        <v>6171</v>
      </c>
      <c r="B42" s="959">
        <v>45497</v>
      </c>
      <c r="C42" t="s">
        <v>5141</v>
      </c>
      <c r="D42">
        <v>44</v>
      </c>
      <c r="E42">
        <v>44</v>
      </c>
      <c r="F42">
        <v>44</v>
      </c>
      <c r="G42">
        <v>44</v>
      </c>
      <c r="H42">
        <v>44</v>
      </c>
      <c r="I42" t="s">
        <v>5416</v>
      </c>
      <c r="J42">
        <v>44</v>
      </c>
      <c r="K42">
        <v>230</v>
      </c>
      <c r="L42">
        <v>10120</v>
      </c>
      <c r="M42">
        <v>44</v>
      </c>
      <c r="N42">
        <v>44</v>
      </c>
    </row>
    <row r="43" spans="1:14" x14ac:dyDescent="0.2">
      <c r="A43" s="958" t="s">
        <v>6171</v>
      </c>
      <c r="B43" s="959">
        <v>45497</v>
      </c>
      <c r="C43" t="s">
        <v>5142</v>
      </c>
      <c r="D43">
        <v>8</v>
      </c>
      <c r="E43">
        <v>8</v>
      </c>
      <c r="F43">
        <v>8</v>
      </c>
      <c r="G43">
        <v>8</v>
      </c>
      <c r="H43">
        <v>8</v>
      </c>
      <c r="I43" t="s">
        <v>5417</v>
      </c>
      <c r="J43">
        <v>8</v>
      </c>
      <c r="K43">
        <v>313</v>
      </c>
      <c r="L43">
        <v>2504</v>
      </c>
      <c r="M43">
        <v>8</v>
      </c>
      <c r="N43">
        <v>8</v>
      </c>
    </row>
    <row r="44" spans="1:14" x14ac:dyDescent="0.2">
      <c r="A44" s="958" t="s">
        <v>6171</v>
      </c>
      <c r="B44" s="959">
        <v>45497</v>
      </c>
      <c r="C44" t="s">
        <v>5143</v>
      </c>
      <c r="D44">
        <v>8</v>
      </c>
      <c r="E44">
        <v>8</v>
      </c>
      <c r="F44">
        <v>8</v>
      </c>
      <c r="G44">
        <v>8</v>
      </c>
      <c r="H44">
        <v>8</v>
      </c>
      <c r="I44" t="s">
        <v>5418</v>
      </c>
      <c r="J44">
        <v>8</v>
      </c>
      <c r="K44">
        <v>313</v>
      </c>
      <c r="L44">
        <v>2504</v>
      </c>
      <c r="M44">
        <v>8</v>
      </c>
      <c r="N44">
        <v>8</v>
      </c>
    </row>
    <row r="45" spans="1:14" x14ac:dyDescent="0.2">
      <c r="A45" s="958" t="s">
        <v>6171</v>
      </c>
      <c r="B45" s="959">
        <v>45497</v>
      </c>
      <c r="C45" t="s">
        <v>5144</v>
      </c>
      <c r="D45">
        <v>104</v>
      </c>
      <c r="E45">
        <v>104</v>
      </c>
      <c r="F45">
        <v>104</v>
      </c>
      <c r="G45">
        <v>104</v>
      </c>
      <c r="H45">
        <v>104</v>
      </c>
      <c r="I45" t="s">
        <v>5419</v>
      </c>
      <c r="J45">
        <v>104</v>
      </c>
      <c r="K45">
        <v>335</v>
      </c>
      <c r="L45">
        <v>34840</v>
      </c>
      <c r="M45">
        <v>104</v>
      </c>
      <c r="N45">
        <v>104</v>
      </c>
    </row>
    <row r="46" spans="1:14" x14ac:dyDescent="0.2">
      <c r="A46" s="958" t="s">
        <v>6171</v>
      </c>
      <c r="B46" s="959">
        <v>45497</v>
      </c>
      <c r="C46" t="s">
        <v>5145</v>
      </c>
      <c r="D46">
        <v>104</v>
      </c>
      <c r="E46">
        <v>104</v>
      </c>
      <c r="F46">
        <v>104</v>
      </c>
      <c r="G46">
        <v>104</v>
      </c>
      <c r="H46">
        <v>104</v>
      </c>
      <c r="I46" t="s">
        <v>5420</v>
      </c>
      <c r="J46">
        <v>104</v>
      </c>
      <c r="K46">
        <v>335</v>
      </c>
      <c r="L46">
        <v>34840</v>
      </c>
      <c r="M46">
        <v>104</v>
      </c>
      <c r="N46">
        <v>104</v>
      </c>
    </row>
    <row r="47" spans="1:14" x14ac:dyDescent="0.2">
      <c r="A47" s="958" t="s">
        <v>6172</v>
      </c>
      <c r="B47" s="959">
        <v>45498</v>
      </c>
      <c r="C47" t="s">
        <v>2234</v>
      </c>
      <c r="D47">
        <v>2592</v>
      </c>
      <c r="E47">
        <v>2592</v>
      </c>
      <c r="F47">
        <v>2592</v>
      </c>
      <c r="G47">
        <v>2592</v>
      </c>
      <c r="H47">
        <v>2592</v>
      </c>
      <c r="I47" t="s">
        <v>6173</v>
      </c>
      <c r="J47">
        <v>2592</v>
      </c>
      <c r="K47">
        <v>27.6</v>
      </c>
      <c r="L47">
        <v>71539.199999999997</v>
      </c>
      <c r="M47">
        <v>2592</v>
      </c>
      <c r="N47">
        <v>2592</v>
      </c>
    </row>
    <row r="48" spans="1:14" x14ac:dyDescent="0.2">
      <c r="A48" s="958" t="s">
        <v>6174</v>
      </c>
      <c r="B48" s="959">
        <v>45498</v>
      </c>
      <c r="C48" t="s">
        <v>2963</v>
      </c>
      <c r="D48">
        <v>2035.8</v>
      </c>
      <c r="E48">
        <v>2035.8</v>
      </c>
      <c r="F48">
        <v>2035.8</v>
      </c>
      <c r="G48">
        <v>2035.8</v>
      </c>
      <c r="H48">
        <v>2035.8</v>
      </c>
      <c r="I48" t="s">
        <v>5363</v>
      </c>
      <c r="J48">
        <v>2035.8</v>
      </c>
      <c r="K48">
        <v>74.989999999999995</v>
      </c>
      <c r="L48">
        <v>152672.79</v>
      </c>
      <c r="M48">
        <v>2035.8</v>
      </c>
      <c r="N48">
        <v>2035.8</v>
      </c>
    </row>
    <row r="49" spans="1:14" x14ac:dyDescent="0.2">
      <c r="A49" s="958" t="s">
        <v>6175</v>
      </c>
      <c r="B49" s="959">
        <v>45498</v>
      </c>
      <c r="C49" t="s">
        <v>6516</v>
      </c>
      <c r="D49">
        <v>16</v>
      </c>
      <c r="E49">
        <v>16</v>
      </c>
      <c r="F49">
        <v>16</v>
      </c>
      <c r="G49">
        <v>16</v>
      </c>
      <c r="H49">
        <v>16</v>
      </c>
      <c r="I49" t="s">
        <v>6790</v>
      </c>
      <c r="J49">
        <v>16</v>
      </c>
      <c r="K49">
        <v>5200</v>
      </c>
      <c r="L49">
        <v>83200</v>
      </c>
      <c r="M49">
        <v>16</v>
      </c>
      <c r="N49">
        <v>16</v>
      </c>
    </row>
    <row r="50" spans="1:14" x14ac:dyDescent="0.2">
      <c r="A50" s="958" t="s">
        <v>6175</v>
      </c>
      <c r="B50" s="959">
        <v>45498</v>
      </c>
      <c r="C50" t="s">
        <v>6517</v>
      </c>
      <c r="D50">
        <v>16</v>
      </c>
      <c r="E50">
        <v>16</v>
      </c>
      <c r="F50">
        <v>16</v>
      </c>
      <c r="G50">
        <v>16</v>
      </c>
      <c r="H50">
        <v>16</v>
      </c>
      <c r="I50" t="s">
        <v>6791</v>
      </c>
      <c r="J50">
        <v>16</v>
      </c>
      <c r="K50">
        <v>4100</v>
      </c>
      <c r="L50">
        <v>65600</v>
      </c>
      <c r="M50">
        <v>16</v>
      </c>
      <c r="N50">
        <v>16</v>
      </c>
    </row>
    <row r="51" spans="1:14" x14ac:dyDescent="0.2">
      <c r="A51" s="958" t="s">
        <v>6175</v>
      </c>
      <c r="B51" s="959">
        <v>45498</v>
      </c>
      <c r="C51" t="s">
        <v>6518</v>
      </c>
      <c r="D51">
        <v>16</v>
      </c>
      <c r="E51">
        <v>16</v>
      </c>
      <c r="F51">
        <v>16</v>
      </c>
      <c r="G51">
        <v>16</v>
      </c>
      <c r="H51">
        <v>16</v>
      </c>
      <c r="I51" t="s">
        <v>6792</v>
      </c>
      <c r="J51">
        <v>16</v>
      </c>
      <c r="K51">
        <v>3600</v>
      </c>
      <c r="L51">
        <v>57600</v>
      </c>
      <c r="M51">
        <v>16</v>
      </c>
      <c r="N51">
        <v>16</v>
      </c>
    </row>
    <row r="52" spans="1:14" x14ac:dyDescent="0.2">
      <c r="A52" s="958" t="s">
        <v>6175</v>
      </c>
      <c r="B52" s="959">
        <v>45498</v>
      </c>
      <c r="C52" t="s">
        <v>6519</v>
      </c>
      <c r="D52">
        <v>16</v>
      </c>
      <c r="E52">
        <v>16</v>
      </c>
      <c r="F52">
        <v>16</v>
      </c>
      <c r="G52">
        <v>16</v>
      </c>
      <c r="H52">
        <v>16</v>
      </c>
      <c r="I52" t="s">
        <v>6793</v>
      </c>
      <c r="J52">
        <v>16</v>
      </c>
      <c r="K52">
        <v>3300</v>
      </c>
      <c r="L52">
        <v>52800</v>
      </c>
      <c r="M52">
        <v>16</v>
      </c>
      <c r="N52">
        <v>16</v>
      </c>
    </row>
    <row r="53" spans="1:14" x14ac:dyDescent="0.2">
      <c r="A53" s="958" t="s">
        <v>6175</v>
      </c>
      <c r="B53" s="959">
        <v>45498</v>
      </c>
      <c r="C53" t="s">
        <v>6520</v>
      </c>
      <c r="D53">
        <v>16</v>
      </c>
      <c r="E53">
        <v>16</v>
      </c>
      <c r="F53">
        <v>16</v>
      </c>
      <c r="G53">
        <v>16</v>
      </c>
      <c r="H53">
        <v>16</v>
      </c>
      <c r="I53" t="s">
        <v>6794</v>
      </c>
      <c r="J53">
        <v>16</v>
      </c>
      <c r="K53">
        <v>3100</v>
      </c>
      <c r="L53">
        <v>49600</v>
      </c>
      <c r="M53">
        <v>16</v>
      </c>
      <c r="N53">
        <v>16</v>
      </c>
    </row>
    <row r="54" spans="1:14" x14ac:dyDescent="0.2">
      <c r="A54" s="958" t="s">
        <v>6176</v>
      </c>
      <c r="B54" s="959">
        <v>45498</v>
      </c>
      <c r="C54" t="s">
        <v>5056</v>
      </c>
      <c r="D54">
        <v>86</v>
      </c>
      <c r="E54">
        <v>172</v>
      </c>
      <c r="G54">
        <v>86</v>
      </c>
      <c r="I54" t="s">
        <v>5442</v>
      </c>
      <c r="J54">
        <v>86</v>
      </c>
      <c r="K54">
        <v>2750</v>
      </c>
      <c r="L54">
        <v>236500</v>
      </c>
      <c r="M54">
        <v>86</v>
      </c>
      <c r="N54">
        <v>86</v>
      </c>
    </row>
    <row r="55" spans="1:14" x14ac:dyDescent="0.2">
      <c r="A55" s="958" t="s">
        <v>6176</v>
      </c>
      <c r="B55" s="959">
        <v>45498</v>
      </c>
      <c r="C55" t="s">
        <v>5058</v>
      </c>
      <c r="D55">
        <v>56</v>
      </c>
      <c r="E55">
        <v>56</v>
      </c>
      <c r="F55">
        <v>56</v>
      </c>
      <c r="G55">
        <v>56</v>
      </c>
      <c r="H55">
        <v>56</v>
      </c>
      <c r="I55" t="s">
        <v>5444</v>
      </c>
      <c r="J55">
        <v>56</v>
      </c>
      <c r="K55">
        <v>2700</v>
      </c>
      <c r="L55">
        <v>151200</v>
      </c>
      <c r="M55">
        <v>56</v>
      </c>
      <c r="N55">
        <v>56</v>
      </c>
    </row>
    <row r="56" spans="1:14" x14ac:dyDescent="0.2">
      <c r="A56" s="958" t="s">
        <v>6176</v>
      </c>
      <c r="B56" s="959">
        <v>45498</v>
      </c>
      <c r="C56" t="s">
        <v>5057</v>
      </c>
      <c r="D56">
        <v>2</v>
      </c>
      <c r="E56">
        <v>4</v>
      </c>
      <c r="G56">
        <v>2</v>
      </c>
      <c r="I56" t="s">
        <v>5443</v>
      </c>
      <c r="J56">
        <v>2</v>
      </c>
      <c r="K56">
        <v>2600</v>
      </c>
      <c r="L56">
        <v>5200</v>
      </c>
      <c r="M56">
        <v>2</v>
      </c>
      <c r="N56">
        <v>2</v>
      </c>
    </row>
    <row r="57" spans="1:14" x14ac:dyDescent="0.2">
      <c r="A57" s="958" t="s">
        <v>6176</v>
      </c>
      <c r="B57" s="959">
        <v>45498</v>
      </c>
      <c r="C57" t="s">
        <v>5055</v>
      </c>
      <c r="D57">
        <v>6</v>
      </c>
      <c r="E57">
        <v>6</v>
      </c>
      <c r="F57">
        <v>6</v>
      </c>
      <c r="G57">
        <v>6</v>
      </c>
      <c r="H57">
        <v>6</v>
      </c>
      <c r="I57" t="s">
        <v>5441</v>
      </c>
      <c r="J57">
        <v>6</v>
      </c>
      <c r="K57">
        <v>2500</v>
      </c>
      <c r="L57">
        <v>15000</v>
      </c>
      <c r="M57">
        <v>6</v>
      </c>
    </row>
    <row r="58" spans="1:14" x14ac:dyDescent="0.2">
      <c r="A58" s="958" t="s">
        <v>6176</v>
      </c>
      <c r="B58" s="959">
        <v>45498</v>
      </c>
      <c r="C58" t="s">
        <v>5139</v>
      </c>
      <c r="D58">
        <v>4</v>
      </c>
      <c r="E58">
        <v>4</v>
      </c>
      <c r="F58">
        <v>4</v>
      </c>
      <c r="G58">
        <v>4</v>
      </c>
      <c r="H58">
        <v>4</v>
      </c>
      <c r="I58" t="s">
        <v>6133</v>
      </c>
      <c r="J58">
        <v>4</v>
      </c>
      <c r="K58">
        <v>2400</v>
      </c>
      <c r="L58">
        <v>9600</v>
      </c>
      <c r="M58">
        <v>4</v>
      </c>
      <c r="N58">
        <v>4</v>
      </c>
    </row>
    <row r="59" spans="1:14" x14ac:dyDescent="0.2">
      <c r="A59" s="958" t="s">
        <v>6176</v>
      </c>
      <c r="B59" s="959">
        <v>45498</v>
      </c>
      <c r="C59" t="s">
        <v>5054</v>
      </c>
      <c r="D59">
        <v>12</v>
      </c>
      <c r="E59">
        <v>12</v>
      </c>
      <c r="F59">
        <v>12</v>
      </c>
      <c r="G59">
        <v>12</v>
      </c>
      <c r="H59">
        <v>12</v>
      </c>
      <c r="I59" t="s">
        <v>5440</v>
      </c>
      <c r="J59">
        <v>12</v>
      </c>
      <c r="K59">
        <v>2300</v>
      </c>
      <c r="L59">
        <v>27600</v>
      </c>
      <c r="M59">
        <v>12</v>
      </c>
      <c r="N59">
        <v>12</v>
      </c>
    </row>
    <row r="60" spans="1:14" x14ac:dyDescent="0.2">
      <c r="A60" s="958" t="s">
        <v>6176</v>
      </c>
      <c r="B60" s="959">
        <v>45498</v>
      </c>
      <c r="C60" t="s">
        <v>5136</v>
      </c>
      <c r="D60">
        <v>4</v>
      </c>
      <c r="E60">
        <v>4</v>
      </c>
      <c r="F60">
        <v>4</v>
      </c>
      <c r="G60">
        <v>4</v>
      </c>
      <c r="H60">
        <v>4</v>
      </c>
      <c r="I60" t="s">
        <v>6130</v>
      </c>
      <c r="J60">
        <v>4</v>
      </c>
      <c r="K60">
        <v>2350</v>
      </c>
      <c r="L60">
        <v>9400</v>
      </c>
      <c r="M60">
        <v>4</v>
      </c>
      <c r="N60">
        <v>4</v>
      </c>
    </row>
    <row r="61" spans="1:14" x14ac:dyDescent="0.2">
      <c r="A61" s="958" t="s">
        <v>6176</v>
      </c>
      <c r="B61" s="959">
        <v>45498</v>
      </c>
      <c r="C61" t="s">
        <v>5137</v>
      </c>
      <c r="D61">
        <v>4</v>
      </c>
      <c r="E61">
        <v>4</v>
      </c>
      <c r="F61">
        <v>4</v>
      </c>
      <c r="G61">
        <v>4</v>
      </c>
      <c r="H61">
        <v>4</v>
      </c>
      <c r="I61" t="s">
        <v>6131</v>
      </c>
      <c r="J61">
        <v>4</v>
      </c>
      <c r="K61">
        <v>2000</v>
      </c>
      <c r="L61">
        <v>8000</v>
      </c>
      <c r="M61">
        <v>4</v>
      </c>
      <c r="N61">
        <v>4</v>
      </c>
    </row>
    <row r="62" spans="1:14" x14ac:dyDescent="0.2">
      <c r="A62" s="958" t="s">
        <v>6176</v>
      </c>
      <c r="B62" s="959">
        <v>45498</v>
      </c>
      <c r="C62" t="s">
        <v>5053</v>
      </c>
      <c r="D62">
        <v>2</v>
      </c>
      <c r="E62">
        <v>2</v>
      </c>
      <c r="F62">
        <v>2</v>
      </c>
      <c r="G62">
        <v>2</v>
      </c>
      <c r="H62">
        <v>2</v>
      </c>
      <c r="I62" t="s">
        <v>5439</v>
      </c>
      <c r="J62">
        <v>2</v>
      </c>
      <c r="K62">
        <v>4400</v>
      </c>
      <c r="L62">
        <v>8800</v>
      </c>
      <c r="M62">
        <v>2</v>
      </c>
      <c r="N62">
        <v>2</v>
      </c>
    </row>
    <row r="63" spans="1:14" x14ac:dyDescent="0.2">
      <c r="A63" s="958" t="s">
        <v>6176</v>
      </c>
      <c r="B63" s="959">
        <v>45498</v>
      </c>
      <c r="C63" t="s">
        <v>5052</v>
      </c>
      <c r="D63">
        <v>2</v>
      </c>
      <c r="E63">
        <v>2</v>
      </c>
      <c r="F63">
        <v>2</v>
      </c>
      <c r="G63">
        <v>2</v>
      </c>
      <c r="H63">
        <v>2</v>
      </c>
      <c r="I63" t="s">
        <v>5438</v>
      </c>
      <c r="J63">
        <v>2</v>
      </c>
      <c r="K63">
        <v>3800</v>
      </c>
      <c r="L63">
        <v>7600</v>
      </c>
      <c r="M63">
        <v>2</v>
      </c>
      <c r="N63">
        <v>2</v>
      </c>
    </row>
    <row r="64" spans="1:14" x14ac:dyDescent="0.2">
      <c r="A64" s="958" t="s">
        <v>6176</v>
      </c>
      <c r="B64" s="959">
        <v>45498</v>
      </c>
      <c r="C64" t="s">
        <v>5051</v>
      </c>
      <c r="D64">
        <v>18</v>
      </c>
      <c r="E64">
        <v>18</v>
      </c>
      <c r="F64">
        <v>18</v>
      </c>
      <c r="G64">
        <v>18</v>
      </c>
      <c r="H64">
        <v>18</v>
      </c>
      <c r="I64" t="s">
        <v>5437</v>
      </c>
      <c r="J64">
        <v>18</v>
      </c>
      <c r="K64">
        <v>1611</v>
      </c>
      <c r="L64">
        <v>28998</v>
      </c>
      <c r="M64">
        <v>18</v>
      </c>
      <c r="N64">
        <v>18</v>
      </c>
    </row>
    <row r="65" spans="1:14" x14ac:dyDescent="0.2">
      <c r="A65" s="958" t="s">
        <v>6176</v>
      </c>
      <c r="B65" s="959">
        <v>45498</v>
      </c>
      <c r="C65" t="s">
        <v>5047</v>
      </c>
      <c r="D65">
        <v>14</v>
      </c>
      <c r="E65">
        <v>14</v>
      </c>
      <c r="F65">
        <v>14</v>
      </c>
      <c r="G65">
        <v>14</v>
      </c>
      <c r="H65">
        <v>14</v>
      </c>
      <c r="I65" t="s">
        <v>5434</v>
      </c>
      <c r="J65">
        <v>14</v>
      </c>
      <c r="K65">
        <v>800</v>
      </c>
      <c r="L65">
        <v>11200</v>
      </c>
      <c r="M65">
        <v>14</v>
      </c>
      <c r="N65">
        <v>14</v>
      </c>
    </row>
    <row r="66" spans="1:14" x14ac:dyDescent="0.2">
      <c r="A66" s="958" t="s">
        <v>6176</v>
      </c>
      <c r="B66" s="959">
        <v>45498</v>
      </c>
      <c r="C66" t="s">
        <v>5048</v>
      </c>
      <c r="D66">
        <v>2</v>
      </c>
      <c r="E66">
        <v>2</v>
      </c>
      <c r="F66">
        <v>2</v>
      </c>
      <c r="G66">
        <v>2</v>
      </c>
      <c r="H66">
        <v>2</v>
      </c>
      <c r="I66" t="s">
        <v>5435</v>
      </c>
      <c r="J66">
        <v>2</v>
      </c>
      <c r="K66">
        <v>700</v>
      </c>
      <c r="L66">
        <v>1400</v>
      </c>
      <c r="M66">
        <v>2</v>
      </c>
      <c r="N66">
        <v>2</v>
      </c>
    </row>
    <row r="67" spans="1:14" x14ac:dyDescent="0.2">
      <c r="A67" s="958" t="s">
        <v>6176</v>
      </c>
      <c r="B67" s="959">
        <v>45498</v>
      </c>
      <c r="C67" t="s">
        <v>5049</v>
      </c>
      <c r="D67">
        <v>56</v>
      </c>
      <c r="E67">
        <v>56</v>
      </c>
      <c r="F67">
        <v>56</v>
      </c>
      <c r="G67">
        <v>56</v>
      </c>
      <c r="H67">
        <v>56</v>
      </c>
      <c r="I67" t="s">
        <v>5436</v>
      </c>
      <c r="J67">
        <v>56</v>
      </c>
      <c r="K67">
        <v>900</v>
      </c>
      <c r="L67">
        <v>50400</v>
      </c>
      <c r="M67">
        <v>56</v>
      </c>
      <c r="N67">
        <v>56</v>
      </c>
    </row>
    <row r="68" spans="1:14" x14ac:dyDescent="0.2">
      <c r="A68" s="958" t="s">
        <v>6176</v>
      </c>
      <c r="B68" s="959">
        <v>45498</v>
      </c>
      <c r="C68" t="s">
        <v>5138</v>
      </c>
      <c r="D68">
        <v>4</v>
      </c>
      <c r="E68">
        <v>4</v>
      </c>
      <c r="F68">
        <v>4</v>
      </c>
      <c r="G68">
        <v>4</v>
      </c>
      <c r="H68">
        <v>4</v>
      </c>
      <c r="I68" t="s">
        <v>6132</v>
      </c>
      <c r="J68">
        <v>4</v>
      </c>
      <c r="K68">
        <v>1200</v>
      </c>
      <c r="L68">
        <v>4800</v>
      </c>
      <c r="M68">
        <v>4</v>
      </c>
      <c r="N68">
        <v>4</v>
      </c>
    </row>
    <row r="69" spans="1:14" x14ac:dyDescent="0.2">
      <c r="A69" s="958" t="s">
        <v>6176</v>
      </c>
      <c r="B69" s="959">
        <v>45498</v>
      </c>
      <c r="C69" t="s">
        <v>5045</v>
      </c>
      <c r="D69">
        <v>10</v>
      </c>
      <c r="E69">
        <v>10</v>
      </c>
      <c r="F69">
        <v>6</v>
      </c>
      <c r="G69">
        <v>6</v>
      </c>
      <c r="H69">
        <v>6</v>
      </c>
      <c r="I69" t="s">
        <v>5433</v>
      </c>
      <c r="J69">
        <v>10</v>
      </c>
      <c r="K69">
        <v>300</v>
      </c>
      <c r="L69">
        <v>3000</v>
      </c>
      <c r="M69">
        <v>6</v>
      </c>
      <c r="N69">
        <v>6</v>
      </c>
    </row>
    <row r="70" spans="1:14" x14ac:dyDescent="0.2">
      <c r="A70" s="958" t="s">
        <v>6176</v>
      </c>
      <c r="B70" s="959">
        <v>45498</v>
      </c>
      <c r="C70" t="s">
        <v>5044</v>
      </c>
      <c r="D70">
        <v>220</v>
      </c>
      <c r="E70">
        <v>220</v>
      </c>
      <c r="F70">
        <v>216</v>
      </c>
      <c r="G70">
        <v>216</v>
      </c>
      <c r="H70">
        <v>216</v>
      </c>
      <c r="I70" t="s">
        <v>5432</v>
      </c>
      <c r="J70">
        <v>220</v>
      </c>
      <c r="K70">
        <v>392.73</v>
      </c>
      <c r="L70">
        <v>86400</v>
      </c>
      <c r="M70">
        <v>216</v>
      </c>
      <c r="N70">
        <v>216</v>
      </c>
    </row>
    <row r="71" spans="1:14" x14ac:dyDescent="0.2">
      <c r="A71" s="958" t="s">
        <v>6177</v>
      </c>
      <c r="B71" s="959">
        <v>45499</v>
      </c>
      <c r="C71" t="s">
        <v>5158</v>
      </c>
      <c r="D71">
        <v>1162.8</v>
      </c>
      <c r="E71">
        <v>1162.8</v>
      </c>
      <c r="F71">
        <v>1162.8</v>
      </c>
      <c r="G71">
        <v>1162.8</v>
      </c>
      <c r="H71">
        <v>1162.8</v>
      </c>
      <c r="I71" t="s">
        <v>5460</v>
      </c>
      <c r="J71">
        <v>1162.8</v>
      </c>
      <c r="K71">
        <v>136.76</v>
      </c>
      <c r="L71">
        <v>159024.99</v>
      </c>
      <c r="M71">
        <v>1162.8</v>
      </c>
      <c r="N71">
        <v>1152</v>
      </c>
    </row>
    <row r="72" spans="1:14" x14ac:dyDescent="0.2">
      <c r="A72" s="958" t="s">
        <v>6178</v>
      </c>
      <c r="B72" s="959">
        <v>45499</v>
      </c>
      <c r="C72" t="s">
        <v>1975</v>
      </c>
      <c r="D72">
        <v>494.4</v>
      </c>
      <c r="E72">
        <v>494.4</v>
      </c>
      <c r="F72">
        <v>494.4</v>
      </c>
      <c r="G72">
        <v>494.4</v>
      </c>
      <c r="H72">
        <v>494.4</v>
      </c>
      <c r="I72" t="s">
        <v>5270</v>
      </c>
      <c r="J72">
        <v>494.4</v>
      </c>
      <c r="K72">
        <v>68.69</v>
      </c>
      <c r="L72">
        <v>33958.61</v>
      </c>
      <c r="M72">
        <v>494.4</v>
      </c>
      <c r="N72">
        <v>484.1</v>
      </c>
    </row>
    <row r="73" spans="1:14" x14ac:dyDescent="0.2">
      <c r="A73" s="958" t="s">
        <v>6179</v>
      </c>
      <c r="B73" s="959">
        <v>45499</v>
      </c>
      <c r="C73" t="s">
        <v>5319</v>
      </c>
      <c r="D73">
        <v>163.35</v>
      </c>
      <c r="E73">
        <v>163.35</v>
      </c>
      <c r="I73" t="s">
        <v>5475</v>
      </c>
      <c r="J73">
        <v>163.35</v>
      </c>
      <c r="K73">
        <v>74.849999999999994</v>
      </c>
      <c r="L73">
        <v>12226.91</v>
      </c>
    </row>
    <row r="74" spans="1:14" x14ac:dyDescent="0.2">
      <c r="A74" s="958" t="s">
        <v>6180</v>
      </c>
      <c r="B74" s="959">
        <v>45499</v>
      </c>
      <c r="C74" t="s">
        <v>4994</v>
      </c>
      <c r="D74">
        <v>2184</v>
      </c>
      <c r="E74">
        <v>2184</v>
      </c>
      <c r="F74">
        <v>2184</v>
      </c>
      <c r="G74">
        <v>2184</v>
      </c>
      <c r="H74">
        <v>2184</v>
      </c>
      <c r="I74" t="s">
        <v>5365</v>
      </c>
      <c r="J74">
        <v>2184</v>
      </c>
      <c r="K74">
        <v>81.25</v>
      </c>
      <c r="L74">
        <v>177454.37</v>
      </c>
      <c r="M74">
        <v>2184</v>
      </c>
      <c r="N74">
        <v>2124</v>
      </c>
    </row>
    <row r="75" spans="1:14" x14ac:dyDescent="0.2">
      <c r="A75" s="958" t="s">
        <v>6180</v>
      </c>
      <c r="B75" s="959">
        <v>45499</v>
      </c>
      <c r="C75" t="s">
        <v>4998</v>
      </c>
      <c r="D75">
        <v>240</v>
      </c>
      <c r="E75">
        <v>240</v>
      </c>
      <c r="F75">
        <v>240</v>
      </c>
      <c r="G75">
        <v>240</v>
      </c>
      <c r="H75">
        <v>240</v>
      </c>
      <c r="I75" t="s">
        <v>6123</v>
      </c>
      <c r="J75">
        <v>240</v>
      </c>
      <c r="K75">
        <v>113.78</v>
      </c>
      <c r="L75">
        <v>27306</v>
      </c>
      <c r="M75">
        <v>240</v>
      </c>
      <c r="N75">
        <v>240</v>
      </c>
    </row>
    <row r="76" spans="1:14" x14ac:dyDescent="0.2">
      <c r="A76" s="958" t="s">
        <v>6181</v>
      </c>
      <c r="B76" s="959">
        <v>45502</v>
      </c>
      <c r="C76" t="s">
        <v>4378</v>
      </c>
      <c r="D76">
        <v>1392</v>
      </c>
      <c r="E76">
        <v>1392</v>
      </c>
      <c r="F76">
        <v>1392</v>
      </c>
      <c r="G76">
        <v>1392</v>
      </c>
      <c r="H76">
        <v>1392</v>
      </c>
      <c r="I76" t="s">
        <v>5076</v>
      </c>
      <c r="J76">
        <v>1392</v>
      </c>
      <c r="K76">
        <v>93.13</v>
      </c>
      <c r="L76">
        <v>129635.57</v>
      </c>
      <c r="M76">
        <v>1392</v>
      </c>
      <c r="N76">
        <v>1356</v>
      </c>
    </row>
    <row r="77" spans="1:14" x14ac:dyDescent="0.2">
      <c r="A77" s="958" t="s">
        <v>6182</v>
      </c>
      <c r="B77" s="959">
        <v>45503</v>
      </c>
      <c r="C77" t="s">
        <v>5405</v>
      </c>
      <c r="D77">
        <v>2586</v>
      </c>
      <c r="E77">
        <v>2586</v>
      </c>
      <c r="F77">
        <v>2586</v>
      </c>
      <c r="G77">
        <v>2586</v>
      </c>
      <c r="H77">
        <v>2586</v>
      </c>
      <c r="I77" t="s">
        <v>6018</v>
      </c>
      <c r="J77">
        <v>2586</v>
      </c>
      <c r="K77">
        <v>41.88</v>
      </c>
      <c r="L77">
        <v>108304.27</v>
      </c>
      <c r="M77">
        <v>2586</v>
      </c>
      <c r="N77">
        <v>2586</v>
      </c>
    </row>
    <row r="78" spans="1:14" x14ac:dyDescent="0.2">
      <c r="A78" s="958" t="s">
        <v>6182</v>
      </c>
      <c r="B78" s="959">
        <v>45503</v>
      </c>
      <c r="C78" t="s">
        <v>5397</v>
      </c>
      <c r="D78">
        <v>1986</v>
      </c>
      <c r="E78">
        <v>1986</v>
      </c>
      <c r="F78">
        <v>1986</v>
      </c>
      <c r="G78">
        <v>1986</v>
      </c>
      <c r="H78">
        <v>1986</v>
      </c>
      <c r="I78" t="s">
        <v>5398</v>
      </c>
      <c r="J78">
        <v>1986</v>
      </c>
      <c r="K78">
        <v>34.07</v>
      </c>
      <c r="L78">
        <v>67661.03</v>
      </c>
      <c r="M78">
        <v>1986</v>
      </c>
      <c r="N78">
        <v>1986</v>
      </c>
    </row>
    <row r="79" spans="1:14" x14ac:dyDescent="0.2">
      <c r="A79" s="958" t="s">
        <v>6182</v>
      </c>
      <c r="B79" s="959">
        <v>45503</v>
      </c>
      <c r="C79" t="s">
        <v>5427</v>
      </c>
      <c r="D79">
        <v>1020</v>
      </c>
      <c r="E79">
        <v>1020</v>
      </c>
      <c r="F79">
        <v>1020</v>
      </c>
      <c r="G79">
        <v>1020</v>
      </c>
      <c r="H79">
        <v>1020</v>
      </c>
      <c r="I79" t="s">
        <v>5428</v>
      </c>
      <c r="J79">
        <v>1020</v>
      </c>
      <c r="K79">
        <v>68.56</v>
      </c>
      <c r="L79">
        <v>69930.789999999994</v>
      </c>
      <c r="M79">
        <v>1020</v>
      </c>
      <c r="N79">
        <v>1020</v>
      </c>
    </row>
    <row r="80" spans="1:14" x14ac:dyDescent="0.2">
      <c r="A80" s="958" t="s">
        <v>6183</v>
      </c>
      <c r="B80" s="959">
        <v>45503</v>
      </c>
      <c r="C80" t="s">
        <v>4276</v>
      </c>
      <c r="D80">
        <v>4917.25</v>
      </c>
      <c r="E80">
        <v>4917.25</v>
      </c>
      <c r="F80">
        <v>4917.25</v>
      </c>
      <c r="G80">
        <v>4917.25</v>
      </c>
      <c r="H80">
        <v>4917.25</v>
      </c>
      <c r="I80" t="s">
        <v>6712</v>
      </c>
      <c r="J80">
        <v>4917.25</v>
      </c>
      <c r="K80">
        <v>136.53</v>
      </c>
      <c r="L80">
        <v>671334.93</v>
      </c>
      <c r="M80">
        <v>4917.25</v>
      </c>
      <c r="N80">
        <v>4863.8500000000004</v>
      </c>
    </row>
    <row r="81" spans="1:14" x14ac:dyDescent="0.2">
      <c r="A81" s="958" t="s">
        <v>6183</v>
      </c>
      <c r="B81" s="959">
        <v>45503</v>
      </c>
      <c r="C81" t="s">
        <v>6008</v>
      </c>
      <c r="D81">
        <v>1828.1</v>
      </c>
      <c r="E81">
        <v>1828.1</v>
      </c>
      <c r="F81">
        <v>1828.1</v>
      </c>
      <c r="G81">
        <v>1828.1</v>
      </c>
      <c r="H81">
        <v>1828.1</v>
      </c>
      <c r="I81" t="s">
        <v>5400</v>
      </c>
      <c r="J81">
        <v>1828.1</v>
      </c>
      <c r="K81">
        <v>115.32</v>
      </c>
      <c r="L81">
        <v>210813.75</v>
      </c>
      <c r="M81">
        <v>1828.1</v>
      </c>
      <c r="N81">
        <v>1742.25</v>
      </c>
    </row>
    <row r="82" spans="1:14" x14ac:dyDescent="0.2">
      <c r="A82" s="958" t="s">
        <v>6184</v>
      </c>
      <c r="B82" s="959">
        <v>45503</v>
      </c>
      <c r="C82" t="s">
        <v>5232</v>
      </c>
      <c r="D82">
        <v>193.2</v>
      </c>
      <c r="E82">
        <v>193.2</v>
      </c>
      <c r="F82">
        <v>193.2</v>
      </c>
      <c r="G82">
        <v>193.2</v>
      </c>
      <c r="H82">
        <v>193.2</v>
      </c>
      <c r="I82" t="s">
        <v>6185</v>
      </c>
      <c r="J82">
        <v>193.2</v>
      </c>
      <c r="K82">
        <v>500</v>
      </c>
      <c r="L82">
        <v>96600</v>
      </c>
      <c r="M82">
        <v>193.2</v>
      </c>
      <c r="N82">
        <v>193.2</v>
      </c>
    </row>
    <row r="83" spans="1:14" x14ac:dyDescent="0.2">
      <c r="A83" s="958" t="s">
        <v>6184</v>
      </c>
      <c r="B83" s="959">
        <v>45503</v>
      </c>
      <c r="C83" t="s">
        <v>5233</v>
      </c>
      <c r="D83">
        <v>11.24</v>
      </c>
      <c r="E83">
        <v>11.24</v>
      </c>
      <c r="F83">
        <v>11.24</v>
      </c>
      <c r="G83">
        <v>11.24</v>
      </c>
      <c r="H83">
        <v>11.24</v>
      </c>
      <c r="I83" t="s">
        <v>6186</v>
      </c>
      <c r="J83">
        <v>11.24</v>
      </c>
      <c r="K83">
        <v>400</v>
      </c>
      <c r="L83">
        <v>4496</v>
      </c>
      <c r="M83">
        <v>11.24</v>
      </c>
      <c r="N83">
        <v>11.24</v>
      </c>
    </row>
    <row r="84" spans="1:14" x14ac:dyDescent="0.2">
      <c r="A84" s="958" t="s">
        <v>6184</v>
      </c>
      <c r="B84" s="959">
        <v>45503</v>
      </c>
      <c r="C84" t="s">
        <v>5234</v>
      </c>
      <c r="D84">
        <v>345.96</v>
      </c>
      <c r="E84">
        <v>345.96</v>
      </c>
      <c r="F84">
        <v>345.96</v>
      </c>
      <c r="G84">
        <v>345.96</v>
      </c>
      <c r="H84">
        <v>345.96</v>
      </c>
      <c r="I84" t="s">
        <v>6187</v>
      </c>
      <c r="J84">
        <v>345.96</v>
      </c>
      <c r="K84">
        <v>200</v>
      </c>
      <c r="L84">
        <v>69192</v>
      </c>
      <c r="M84">
        <v>345.96</v>
      </c>
      <c r="N84">
        <v>345.96</v>
      </c>
    </row>
    <row r="85" spans="1:14" x14ac:dyDescent="0.2">
      <c r="A85" s="958" t="s">
        <v>6184</v>
      </c>
      <c r="B85" s="959">
        <v>45503</v>
      </c>
      <c r="C85" t="s">
        <v>5235</v>
      </c>
      <c r="D85">
        <v>72</v>
      </c>
      <c r="E85">
        <v>72</v>
      </c>
      <c r="F85">
        <v>72</v>
      </c>
      <c r="G85">
        <v>72</v>
      </c>
      <c r="H85">
        <v>72</v>
      </c>
      <c r="I85" t="s">
        <v>6188</v>
      </c>
      <c r="J85">
        <v>72</v>
      </c>
      <c r="K85">
        <v>545</v>
      </c>
      <c r="L85">
        <v>39240</v>
      </c>
      <c r="M85">
        <v>72</v>
      </c>
      <c r="N85">
        <v>72</v>
      </c>
    </row>
    <row r="86" spans="1:14" x14ac:dyDescent="0.2">
      <c r="A86" s="958" t="s">
        <v>6184</v>
      </c>
      <c r="B86" s="959">
        <v>45503</v>
      </c>
      <c r="C86" t="s">
        <v>5236</v>
      </c>
      <c r="D86">
        <v>23.06</v>
      </c>
      <c r="E86">
        <v>23.06</v>
      </c>
      <c r="F86">
        <v>23.06</v>
      </c>
      <c r="G86">
        <v>23.06</v>
      </c>
      <c r="H86">
        <v>23.06</v>
      </c>
      <c r="I86" t="s">
        <v>6189</v>
      </c>
      <c r="J86">
        <v>23.06</v>
      </c>
      <c r="K86">
        <v>100</v>
      </c>
      <c r="L86">
        <v>2305.6</v>
      </c>
      <c r="M86">
        <v>23.06</v>
      </c>
      <c r="N86">
        <v>23.06</v>
      </c>
    </row>
    <row r="87" spans="1:14" x14ac:dyDescent="0.2">
      <c r="A87" s="958" t="s">
        <v>6184</v>
      </c>
      <c r="B87" s="959">
        <v>45503</v>
      </c>
      <c r="C87" t="s">
        <v>5237</v>
      </c>
      <c r="D87">
        <v>11.92</v>
      </c>
      <c r="E87">
        <v>11.92</v>
      </c>
      <c r="F87">
        <v>11.92</v>
      </c>
      <c r="G87">
        <v>11.92</v>
      </c>
      <c r="H87">
        <v>11.92</v>
      </c>
      <c r="I87" t="s">
        <v>6190</v>
      </c>
      <c r="J87">
        <v>11.92</v>
      </c>
      <c r="K87">
        <v>100</v>
      </c>
      <c r="L87">
        <v>1192</v>
      </c>
      <c r="M87">
        <v>11.92</v>
      </c>
      <c r="N87">
        <v>11.92</v>
      </c>
    </row>
    <row r="88" spans="1:14" x14ac:dyDescent="0.2">
      <c r="A88" s="958" t="s">
        <v>6191</v>
      </c>
      <c r="B88" s="959">
        <v>45504</v>
      </c>
      <c r="C88" t="s">
        <v>5240</v>
      </c>
      <c r="D88">
        <v>468</v>
      </c>
      <c r="E88">
        <v>468</v>
      </c>
      <c r="F88">
        <v>468</v>
      </c>
      <c r="I88" t="s">
        <v>5808</v>
      </c>
      <c r="J88">
        <v>468</v>
      </c>
      <c r="K88">
        <v>364.17</v>
      </c>
      <c r="L88">
        <v>170430</v>
      </c>
    </row>
    <row r="89" spans="1:14" x14ac:dyDescent="0.2">
      <c r="A89" s="958" t="s">
        <v>6192</v>
      </c>
      <c r="B89" s="959">
        <v>45504</v>
      </c>
      <c r="C89" t="s">
        <v>5202</v>
      </c>
      <c r="D89">
        <v>2400</v>
      </c>
      <c r="E89">
        <v>2400</v>
      </c>
      <c r="F89">
        <v>2400</v>
      </c>
      <c r="G89">
        <v>2400</v>
      </c>
      <c r="H89">
        <v>2400</v>
      </c>
      <c r="I89" t="s">
        <v>6141</v>
      </c>
      <c r="J89">
        <v>2400</v>
      </c>
      <c r="K89">
        <v>44.79</v>
      </c>
      <c r="L89">
        <v>107500</v>
      </c>
      <c r="M89">
        <v>2400</v>
      </c>
      <c r="N89">
        <v>2400</v>
      </c>
    </row>
    <row r="90" spans="1:14" x14ac:dyDescent="0.2">
      <c r="A90" s="958" t="s">
        <v>6193</v>
      </c>
      <c r="B90" s="959">
        <v>45504</v>
      </c>
      <c r="C90" t="s">
        <v>4864</v>
      </c>
      <c r="D90">
        <v>1404</v>
      </c>
      <c r="E90">
        <v>1404</v>
      </c>
      <c r="F90">
        <v>1404</v>
      </c>
      <c r="G90">
        <v>1404</v>
      </c>
      <c r="H90">
        <v>1404</v>
      </c>
      <c r="I90" t="s">
        <v>6122</v>
      </c>
      <c r="J90">
        <v>1404</v>
      </c>
      <c r="K90">
        <v>137.83000000000001</v>
      </c>
      <c r="L90">
        <v>193519</v>
      </c>
      <c r="M90">
        <v>1404</v>
      </c>
      <c r="N90">
        <v>1377</v>
      </c>
    </row>
    <row r="91" spans="1:14" x14ac:dyDescent="0.2">
      <c r="A91" s="958" t="s">
        <v>6194</v>
      </c>
      <c r="B91" s="959">
        <v>45504</v>
      </c>
      <c r="C91" t="s">
        <v>4461</v>
      </c>
      <c r="D91">
        <v>594</v>
      </c>
      <c r="E91">
        <v>594</v>
      </c>
      <c r="F91">
        <v>594</v>
      </c>
      <c r="G91">
        <v>594</v>
      </c>
      <c r="H91">
        <v>594</v>
      </c>
      <c r="I91" t="s">
        <v>5391</v>
      </c>
      <c r="J91">
        <v>594</v>
      </c>
      <c r="K91">
        <v>125.55</v>
      </c>
      <c r="L91">
        <v>74576.7</v>
      </c>
      <c r="M91">
        <v>594</v>
      </c>
      <c r="N91">
        <v>594</v>
      </c>
    </row>
    <row r="92" spans="1:14" x14ac:dyDescent="0.2">
      <c r="A92" s="958" t="s">
        <v>6195</v>
      </c>
      <c r="B92" s="959">
        <v>45504</v>
      </c>
      <c r="C92" t="s">
        <v>5231</v>
      </c>
      <c r="D92">
        <v>5442</v>
      </c>
      <c r="E92">
        <v>5442</v>
      </c>
      <c r="F92">
        <v>3276</v>
      </c>
      <c r="G92">
        <v>3276</v>
      </c>
      <c r="H92">
        <v>3276</v>
      </c>
      <c r="I92" t="s">
        <v>5809</v>
      </c>
      <c r="J92">
        <v>5442</v>
      </c>
      <c r="K92">
        <v>106</v>
      </c>
      <c r="L92">
        <v>576840</v>
      </c>
      <c r="M92">
        <v>3276</v>
      </c>
      <c r="N92">
        <v>3276</v>
      </c>
    </row>
    <row r="93" spans="1:14" x14ac:dyDescent="0.2">
      <c r="A93" s="958" t="s">
        <v>6195</v>
      </c>
      <c r="B93" s="959">
        <v>45504</v>
      </c>
      <c r="C93" t="s">
        <v>5240</v>
      </c>
      <c r="D93">
        <v>468</v>
      </c>
      <c r="E93">
        <v>468</v>
      </c>
      <c r="F93">
        <v>468</v>
      </c>
      <c r="G93">
        <v>468</v>
      </c>
      <c r="H93">
        <v>468</v>
      </c>
      <c r="I93" t="s">
        <v>5808</v>
      </c>
      <c r="J93">
        <v>468</v>
      </c>
      <c r="K93">
        <v>364.17</v>
      </c>
      <c r="L93">
        <v>170430</v>
      </c>
      <c r="M93">
        <v>468</v>
      </c>
      <c r="N93">
        <v>468</v>
      </c>
    </row>
    <row r="94" spans="1:14" x14ac:dyDescent="0.2">
      <c r="A94" s="958" t="s">
        <v>6196</v>
      </c>
      <c r="B94" s="959">
        <v>45505</v>
      </c>
      <c r="C94" t="s">
        <v>6521</v>
      </c>
      <c r="D94">
        <v>6</v>
      </c>
      <c r="I94" t="s">
        <v>6522</v>
      </c>
      <c r="J94">
        <v>6</v>
      </c>
      <c r="K94">
        <v>945</v>
      </c>
      <c r="L94">
        <v>5670</v>
      </c>
    </row>
    <row r="95" spans="1:14" x14ac:dyDescent="0.2">
      <c r="A95" s="958" t="s">
        <v>6196</v>
      </c>
      <c r="B95" s="959">
        <v>45505</v>
      </c>
      <c r="C95" t="s">
        <v>6523</v>
      </c>
      <c r="D95">
        <v>4</v>
      </c>
      <c r="I95" t="s">
        <v>6524</v>
      </c>
      <c r="J95">
        <v>4</v>
      </c>
      <c r="K95">
        <v>1916</v>
      </c>
      <c r="L95">
        <v>7664</v>
      </c>
    </row>
    <row r="96" spans="1:14" x14ac:dyDescent="0.2">
      <c r="A96" s="958" t="s">
        <v>6196</v>
      </c>
      <c r="B96" s="959">
        <v>45505</v>
      </c>
      <c r="C96" t="s">
        <v>6525</v>
      </c>
      <c r="D96">
        <v>8</v>
      </c>
      <c r="I96" t="s">
        <v>6526</v>
      </c>
      <c r="J96">
        <v>8</v>
      </c>
      <c r="K96">
        <v>1367</v>
      </c>
      <c r="L96">
        <v>10936</v>
      </c>
    </row>
    <row r="97" spans="1:14" x14ac:dyDescent="0.2">
      <c r="A97" s="958" t="s">
        <v>6196</v>
      </c>
      <c r="B97" s="959">
        <v>45505</v>
      </c>
      <c r="C97" t="s">
        <v>6527</v>
      </c>
      <c r="D97">
        <v>4</v>
      </c>
      <c r="I97" t="s">
        <v>6528</v>
      </c>
      <c r="J97">
        <v>4</v>
      </c>
      <c r="K97">
        <v>1531</v>
      </c>
      <c r="L97">
        <v>6124</v>
      </c>
    </row>
    <row r="98" spans="1:14" x14ac:dyDescent="0.2">
      <c r="A98" s="958" t="s">
        <v>6196</v>
      </c>
      <c r="B98" s="959">
        <v>45505</v>
      </c>
      <c r="C98" t="s">
        <v>6529</v>
      </c>
      <c r="D98">
        <v>4</v>
      </c>
      <c r="I98" t="s">
        <v>6530</v>
      </c>
      <c r="J98">
        <v>4</v>
      </c>
      <c r="K98">
        <v>671.5</v>
      </c>
      <c r="L98">
        <v>2686</v>
      </c>
    </row>
    <row r="99" spans="1:14" x14ac:dyDescent="0.2">
      <c r="A99" s="958" t="s">
        <v>6197</v>
      </c>
      <c r="B99" s="959">
        <v>45506</v>
      </c>
      <c r="C99" t="s">
        <v>78</v>
      </c>
      <c r="D99">
        <v>228</v>
      </c>
      <c r="E99">
        <v>228</v>
      </c>
      <c r="F99">
        <v>228</v>
      </c>
      <c r="G99">
        <v>228</v>
      </c>
      <c r="H99">
        <v>228</v>
      </c>
      <c r="I99" t="s">
        <v>5385</v>
      </c>
      <c r="J99">
        <v>228</v>
      </c>
      <c r="K99">
        <v>74.849999999999994</v>
      </c>
      <c r="L99">
        <v>17065.8</v>
      </c>
      <c r="M99">
        <v>228</v>
      </c>
      <c r="N99">
        <v>228</v>
      </c>
    </row>
    <row r="100" spans="1:14" x14ac:dyDescent="0.2">
      <c r="A100" s="958" t="s">
        <v>6198</v>
      </c>
      <c r="B100" s="959">
        <v>45506</v>
      </c>
      <c r="C100" t="s">
        <v>4984</v>
      </c>
      <c r="D100">
        <v>180</v>
      </c>
      <c r="E100">
        <v>180</v>
      </c>
      <c r="F100">
        <v>180</v>
      </c>
      <c r="G100">
        <v>180</v>
      </c>
      <c r="H100">
        <v>180</v>
      </c>
      <c r="I100" t="s">
        <v>6124</v>
      </c>
      <c r="J100">
        <v>180</v>
      </c>
      <c r="K100">
        <v>123.33</v>
      </c>
      <c r="L100">
        <v>22200</v>
      </c>
      <c r="M100">
        <v>180</v>
      </c>
      <c r="N100">
        <v>180</v>
      </c>
    </row>
    <row r="101" spans="1:14" x14ac:dyDescent="0.2">
      <c r="A101" s="958" t="s">
        <v>6199</v>
      </c>
      <c r="B101" s="959">
        <v>45509</v>
      </c>
      <c r="C101" t="s">
        <v>5373</v>
      </c>
      <c r="D101">
        <v>1872</v>
      </c>
      <c r="E101">
        <v>1872</v>
      </c>
      <c r="F101">
        <v>1872</v>
      </c>
      <c r="G101">
        <v>1872</v>
      </c>
      <c r="H101">
        <v>1872</v>
      </c>
      <c r="I101" t="s">
        <v>5374</v>
      </c>
      <c r="J101">
        <v>1872</v>
      </c>
      <c r="K101">
        <v>44.7</v>
      </c>
      <c r="L101">
        <v>83682.14</v>
      </c>
      <c r="M101">
        <v>1872</v>
      </c>
      <c r="N101">
        <v>1872</v>
      </c>
    </row>
    <row r="102" spans="1:14" x14ac:dyDescent="0.2">
      <c r="A102" s="958" t="s">
        <v>6199</v>
      </c>
      <c r="B102" s="959">
        <v>45509</v>
      </c>
      <c r="C102" t="s">
        <v>5382</v>
      </c>
      <c r="D102">
        <v>960</v>
      </c>
      <c r="E102">
        <v>960</v>
      </c>
      <c r="F102">
        <v>960</v>
      </c>
      <c r="G102">
        <v>960</v>
      </c>
      <c r="H102">
        <v>960</v>
      </c>
      <c r="I102" t="s">
        <v>6006</v>
      </c>
      <c r="J102">
        <v>960</v>
      </c>
      <c r="K102">
        <v>49.1</v>
      </c>
      <c r="L102">
        <v>47136</v>
      </c>
      <c r="M102">
        <v>960</v>
      </c>
      <c r="N102">
        <v>960</v>
      </c>
    </row>
    <row r="103" spans="1:14" x14ac:dyDescent="0.2">
      <c r="A103" s="958" t="s">
        <v>6199</v>
      </c>
      <c r="B103" s="959">
        <v>45509</v>
      </c>
      <c r="C103" t="s">
        <v>6119</v>
      </c>
      <c r="D103">
        <v>1020</v>
      </c>
      <c r="E103">
        <v>1020</v>
      </c>
      <c r="F103">
        <v>1020</v>
      </c>
      <c r="G103">
        <v>1020</v>
      </c>
      <c r="H103">
        <v>1020</v>
      </c>
      <c r="I103" t="s">
        <v>6120</v>
      </c>
      <c r="J103">
        <v>1020</v>
      </c>
      <c r="K103">
        <v>52.17</v>
      </c>
      <c r="L103">
        <v>53216.46</v>
      </c>
      <c r="M103">
        <v>1020</v>
      </c>
      <c r="N103">
        <v>1020</v>
      </c>
    </row>
    <row r="104" spans="1:14" x14ac:dyDescent="0.2">
      <c r="A104" s="958" t="s">
        <v>6199</v>
      </c>
      <c r="B104" s="959">
        <v>45509</v>
      </c>
      <c r="C104" t="s">
        <v>5381</v>
      </c>
      <c r="D104">
        <v>1878</v>
      </c>
      <c r="E104">
        <v>1878</v>
      </c>
      <c r="F104">
        <v>1878</v>
      </c>
      <c r="G104">
        <v>1878</v>
      </c>
      <c r="H104">
        <v>1878</v>
      </c>
      <c r="I104" t="s">
        <v>6005</v>
      </c>
      <c r="J104">
        <v>1878</v>
      </c>
      <c r="K104">
        <v>55.65</v>
      </c>
      <c r="L104">
        <v>104501.31</v>
      </c>
      <c r="M104">
        <v>1878</v>
      </c>
      <c r="N104">
        <v>1878</v>
      </c>
    </row>
    <row r="105" spans="1:14" x14ac:dyDescent="0.2">
      <c r="A105" s="958" t="s">
        <v>6200</v>
      </c>
      <c r="B105" s="959">
        <v>45509</v>
      </c>
      <c r="C105" t="s">
        <v>4446</v>
      </c>
      <c r="D105">
        <v>734.5</v>
      </c>
      <c r="I105" t="s">
        <v>6201</v>
      </c>
      <c r="J105">
        <v>734.5</v>
      </c>
      <c r="K105">
        <v>59.49</v>
      </c>
      <c r="L105">
        <v>43698.71</v>
      </c>
    </row>
    <row r="106" spans="1:14" x14ac:dyDescent="0.2">
      <c r="A106" s="958" t="s">
        <v>6202</v>
      </c>
      <c r="B106" s="959">
        <v>45510</v>
      </c>
      <c r="C106" t="s">
        <v>149</v>
      </c>
      <c r="D106">
        <v>560</v>
      </c>
      <c r="E106">
        <v>560</v>
      </c>
      <c r="F106">
        <v>560</v>
      </c>
      <c r="G106">
        <v>560</v>
      </c>
      <c r="H106">
        <v>560</v>
      </c>
      <c r="I106" t="s">
        <v>5481</v>
      </c>
      <c r="J106">
        <v>560</v>
      </c>
      <c r="K106">
        <v>79.87</v>
      </c>
      <c r="L106">
        <v>44724.959999999999</v>
      </c>
      <c r="M106">
        <v>560</v>
      </c>
      <c r="N106">
        <v>560</v>
      </c>
    </row>
    <row r="107" spans="1:14" x14ac:dyDescent="0.2">
      <c r="A107" s="958" t="s">
        <v>6203</v>
      </c>
      <c r="B107" s="959">
        <v>45511</v>
      </c>
      <c r="C107" t="s">
        <v>5252</v>
      </c>
      <c r="D107">
        <v>768</v>
      </c>
      <c r="E107">
        <v>768</v>
      </c>
      <c r="F107">
        <v>768</v>
      </c>
      <c r="G107">
        <v>768</v>
      </c>
      <c r="H107">
        <v>768</v>
      </c>
      <c r="I107" t="s">
        <v>6660</v>
      </c>
      <c r="J107">
        <v>768</v>
      </c>
      <c r="K107">
        <v>54.48</v>
      </c>
      <c r="L107">
        <v>41840</v>
      </c>
      <c r="M107">
        <v>768</v>
      </c>
      <c r="N107">
        <v>768</v>
      </c>
    </row>
    <row r="108" spans="1:14" x14ac:dyDescent="0.2">
      <c r="A108" s="958" t="s">
        <v>6204</v>
      </c>
      <c r="B108" s="959">
        <v>45511</v>
      </c>
      <c r="C108" t="s">
        <v>2348</v>
      </c>
      <c r="D108">
        <v>1584</v>
      </c>
      <c r="E108">
        <v>1584</v>
      </c>
      <c r="F108">
        <v>1584</v>
      </c>
      <c r="G108">
        <v>1584</v>
      </c>
      <c r="H108">
        <v>1584</v>
      </c>
      <c r="I108" t="s">
        <v>6205</v>
      </c>
      <c r="J108">
        <v>1584</v>
      </c>
      <c r="K108">
        <v>138.68</v>
      </c>
      <c r="L108">
        <v>219665.95</v>
      </c>
      <c r="M108">
        <v>1584</v>
      </c>
      <c r="N108">
        <v>1584</v>
      </c>
    </row>
    <row r="109" spans="1:14" x14ac:dyDescent="0.2">
      <c r="A109" s="958" t="s">
        <v>6206</v>
      </c>
      <c r="B109" s="959">
        <v>45511</v>
      </c>
      <c r="C109" t="s">
        <v>4446</v>
      </c>
      <c r="D109">
        <v>734.5</v>
      </c>
      <c r="E109">
        <v>734.5</v>
      </c>
      <c r="F109">
        <v>734.5</v>
      </c>
      <c r="G109">
        <v>734.5</v>
      </c>
      <c r="H109">
        <v>734.5</v>
      </c>
      <c r="I109" t="s">
        <v>6201</v>
      </c>
      <c r="J109">
        <v>734.5</v>
      </c>
      <c r="K109">
        <v>70.37</v>
      </c>
      <c r="L109">
        <v>51683.17</v>
      </c>
      <c r="M109">
        <v>734.5</v>
      </c>
      <c r="N109">
        <v>723.2</v>
      </c>
    </row>
    <row r="110" spans="1:14" x14ac:dyDescent="0.2">
      <c r="A110" s="958" t="s">
        <v>6207</v>
      </c>
      <c r="B110" s="959">
        <v>45511</v>
      </c>
      <c r="C110" t="s">
        <v>5253</v>
      </c>
      <c r="D110">
        <v>2081.1999999999998</v>
      </c>
      <c r="E110">
        <v>2081.1999999999998</v>
      </c>
      <c r="F110">
        <v>2081.1999999999998</v>
      </c>
      <c r="G110">
        <v>2081.1999999999998</v>
      </c>
      <c r="H110">
        <v>2081.1999999999998</v>
      </c>
      <c r="I110" t="s">
        <v>6795</v>
      </c>
      <c r="J110">
        <v>2081.1999999999998</v>
      </c>
      <c r="K110">
        <v>83.63</v>
      </c>
      <c r="L110">
        <v>174040.35</v>
      </c>
      <c r="M110">
        <v>2081.1999999999998</v>
      </c>
      <c r="N110">
        <v>2075.15</v>
      </c>
    </row>
    <row r="111" spans="1:14" x14ac:dyDescent="0.2">
      <c r="A111" s="958" t="s">
        <v>6208</v>
      </c>
      <c r="B111" s="959">
        <v>45511</v>
      </c>
      <c r="C111" t="s">
        <v>4590</v>
      </c>
      <c r="D111">
        <v>672</v>
      </c>
      <c r="E111">
        <v>672</v>
      </c>
      <c r="F111">
        <v>672</v>
      </c>
      <c r="G111">
        <v>672</v>
      </c>
      <c r="H111">
        <v>672</v>
      </c>
      <c r="I111" t="s">
        <v>5383</v>
      </c>
      <c r="J111">
        <v>672</v>
      </c>
      <c r="K111">
        <v>168.54</v>
      </c>
      <c r="L111">
        <v>113255.52</v>
      </c>
      <c r="M111">
        <v>672</v>
      </c>
      <c r="N111">
        <v>672</v>
      </c>
    </row>
    <row r="112" spans="1:14" x14ac:dyDescent="0.2">
      <c r="A112" s="958" t="s">
        <v>6208</v>
      </c>
      <c r="B112" s="959">
        <v>45511</v>
      </c>
      <c r="C112" t="s">
        <v>3346</v>
      </c>
      <c r="D112">
        <v>68</v>
      </c>
      <c r="E112">
        <v>68</v>
      </c>
      <c r="F112">
        <v>68</v>
      </c>
      <c r="G112">
        <v>68</v>
      </c>
      <c r="H112">
        <v>68</v>
      </c>
      <c r="I112" t="s">
        <v>6209</v>
      </c>
      <c r="J112">
        <v>68</v>
      </c>
      <c r="K112">
        <v>168.54</v>
      </c>
      <c r="L112">
        <v>11460.38</v>
      </c>
      <c r="M112">
        <v>68</v>
      </c>
      <c r="N112">
        <v>68</v>
      </c>
    </row>
    <row r="113" spans="1:14" x14ac:dyDescent="0.2">
      <c r="A113" s="958" t="s">
        <v>6210</v>
      </c>
      <c r="B113" s="959">
        <v>45516</v>
      </c>
      <c r="C113" t="s">
        <v>5401</v>
      </c>
      <c r="D113">
        <v>1584</v>
      </c>
      <c r="E113">
        <v>1584</v>
      </c>
      <c r="F113">
        <v>1584</v>
      </c>
      <c r="G113">
        <v>1584</v>
      </c>
      <c r="H113">
        <v>1584</v>
      </c>
      <c r="I113" t="s">
        <v>5402</v>
      </c>
      <c r="J113">
        <v>1584</v>
      </c>
      <c r="K113">
        <v>52.79</v>
      </c>
      <c r="L113">
        <v>83624.11</v>
      </c>
      <c r="M113">
        <v>1584</v>
      </c>
      <c r="N113">
        <v>1584</v>
      </c>
    </row>
    <row r="114" spans="1:14" x14ac:dyDescent="0.2">
      <c r="A114" s="958" t="s">
        <v>6210</v>
      </c>
      <c r="B114" s="959">
        <v>45516</v>
      </c>
      <c r="C114" t="s">
        <v>5403</v>
      </c>
      <c r="D114">
        <v>2508</v>
      </c>
      <c r="E114">
        <v>2508</v>
      </c>
      <c r="F114">
        <v>2508</v>
      </c>
      <c r="G114">
        <v>2508</v>
      </c>
      <c r="H114">
        <v>2508</v>
      </c>
      <c r="I114" t="s">
        <v>5404</v>
      </c>
      <c r="J114">
        <v>2508</v>
      </c>
      <c r="K114">
        <v>33.64</v>
      </c>
      <c r="L114">
        <v>84356.58</v>
      </c>
      <c r="M114">
        <v>2508</v>
      </c>
      <c r="N114">
        <v>2508</v>
      </c>
    </row>
    <row r="115" spans="1:14" x14ac:dyDescent="0.2">
      <c r="A115" s="958" t="s">
        <v>6210</v>
      </c>
      <c r="B115" s="959">
        <v>45516</v>
      </c>
      <c r="C115" t="s">
        <v>5386</v>
      </c>
      <c r="D115">
        <v>1500</v>
      </c>
      <c r="E115">
        <v>1500</v>
      </c>
      <c r="F115">
        <v>1500</v>
      </c>
      <c r="G115">
        <v>1500</v>
      </c>
      <c r="H115">
        <v>1500</v>
      </c>
      <c r="I115" t="s">
        <v>5387</v>
      </c>
      <c r="J115">
        <v>1500</v>
      </c>
      <c r="K115">
        <v>63.61</v>
      </c>
      <c r="L115">
        <v>95418</v>
      </c>
      <c r="M115">
        <v>1500</v>
      </c>
      <c r="N115">
        <v>1500</v>
      </c>
    </row>
    <row r="116" spans="1:14" x14ac:dyDescent="0.2">
      <c r="A116" s="958" t="s">
        <v>6210</v>
      </c>
      <c r="B116" s="959">
        <v>45516</v>
      </c>
      <c r="C116" t="s">
        <v>5367</v>
      </c>
      <c r="D116">
        <v>5664</v>
      </c>
      <c r="E116">
        <v>5664</v>
      </c>
      <c r="F116">
        <v>5664</v>
      </c>
      <c r="G116">
        <v>5664</v>
      </c>
      <c r="H116">
        <v>5664</v>
      </c>
      <c r="I116" t="s">
        <v>5368</v>
      </c>
      <c r="J116">
        <v>5664</v>
      </c>
      <c r="K116">
        <v>31.16</v>
      </c>
      <c r="L116">
        <v>176461.92</v>
      </c>
      <c r="M116">
        <v>5664</v>
      </c>
      <c r="N116">
        <v>5664</v>
      </c>
    </row>
    <row r="117" spans="1:14" x14ac:dyDescent="0.2">
      <c r="A117" s="958" t="s">
        <v>6211</v>
      </c>
      <c r="B117" s="959">
        <v>45516</v>
      </c>
      <c r="C117" t="s">
        <v>5161</v>
      </c>
      <c r="D117">
        <v>1500</v>
      </c>
      <c r="E117">
        <v>1828</v>
      </c>
      <c r="F117">
        <v>328</v>
      </c>
      <c r="G117">
        <v>1500</v>
      </c>
      <c r="H117">
        <v>328</v>
      </c>
      <c r="I117" t="s">
        <v>5463</v>
      </c>
      <c r="J117">
        <v>1500</v>
      </c>
      <c r="K117">
        <v>1416.67</v>
      </c>
      <c r="L117">
        <v>2124990</v>
      </c>
      <c r="M117">
        <v>1500</v>
      </c>
      <c r="N117">
        <v>1500</v>
      </c>
    </row>
    <row r="118" spans="1:14" x14ac:dyDescent="0.2">
      <c r="A118" s="958" t="s">
        <v>6212</v>
      </c>
      <c r="B118" s="959">
        <v>45517</v>
      </c>
      <c r="C118" t="s">
        <v>2608</v>
      </c>
      <c r="D118">
        <v>5460</v>
      </c>
      <c r="E118">
        <v>5460</v>
      </c>
      <c r="F118">
        <v>5460</v>
      </c>
      <c r="G118">
        <v>5460</v>
      </c>
      <c r="H118">
        <v>5460</v>
      </c>
      <c r="I118" t="s">
        <v>5465</v>
      </c>
      <c r="J118">
        <v>5460</v>
      </c>
      <c r="K118">
        <v>133.63</v>
      </c>
      <c r="L118">
        <v>729630.71999999997</v>
      </c>
      <c r="M118">
        <v>5460</v>
      </c>
      <c r="N118">
        <v>5442</v>
      </c>
    </row>
    <row r="119" spans="1:14" x14ac:dyDescent="0.2">
      <c r="A119" s="958" t="s">
        <v>6213</v>
      </c>
      <c r="B119" s="959">
        <v>45517</v>
      </c>
      <c r="C119" t="s">
        <v>6117</v>
      </c>
      <c r="D119">
        <v>459</v>
      </c>
      <c r="E119">
        <v>459</v>
      </c>
      <c r="F119">
        <v>459</v>
      </c>
      <c r="G119">
        <v>459</v>
      </c>
      <c r="H119">
        <v>459</v>
      </c>
      <c r="I119" t="s">
        <v>6118</v>
      </c>
      <c r="J119">
        <v>459</v>
      </c>
      <c r="K119">
        <v>73.489999999999995</v>
      </c>
      <c r="L119">
        <v>33730.99</v>
      </c>
      <c r="M119">
        <v>459</v>
      </c>
      <c r="N119">
        <v>459</v>
      </c>
    </row>
    <row r="120" spans="1:14" x14ac:dyDescent="0.2">
      <c r="A120" s="958" t="s">
        <v>6214</v>
      </c>
      <c r="B120" s="959">
        <v>45518</v>
      </c>
      <c r="C120" t="s">
        <v>628</v>
      </c>
      <c r="D120">
        <v>2420</v>
      </c>
      <c r="E120">
        <v>2420</v>
      </c>
      <c r="F120">
        <v>2420</v>
      </c>
      <c r="G120">
        <v>2420</v>
      </c>
      <c r="H120">
        <v>2420</v>
      </c>
      <c r="I120" t="s">
        <v>5482</v>
      </c>
      <c r="J120">
        <v>2420</v>
      </c>
      <c r="K120">
        <v>90.41</v>
      </c>
      <c r="L120">
        <v>218780.1</v>
      </c>
      <c r="M120">
        <v>2420</v>
      </c>
      <c r="N120">
        <v>2401.85</v>
      </c>
    </row>
    <row r="121" spans="1:14" x14ac:dyDescent="0.2">
      <c r="A121" s="958" t="s">
        <v>6215</v>
      </c>
      <c r="B121" s="959">
        <v>45518</v>
      </c>
      <c r="C121" t="s">
        <v>5158</v>
      </c>
      <c r="D121">
        <v>1224</v>
      </c>
      <c r="E121">
        <v>1224</v>
      </c>
      <c r="F121">
        <v>1224</v>
      </c>
      <c r="G121">
        <v>1224</v>
      </c>
      <c r="H121">
        <v>1224</v>
      </c>
      <c r="I121" t="s">
        <v>5460</v>
      </c>
      <c r="J121">
        <v>1224</v>
      </c>
      <c r="K121">
        <v>136.76</v>
      </c>
      <c r="L121">
        <v>167394.73000000001</v>
      </c>
      <c r="M121">
        <v>1224</v>
      </c>
      <c r="N121">
        <v>1213.2</v>
      </c>
    </row>
    <row r="122" spans="1:14" x14ac:dyDescent="0.2">
      <c r="A122" s="958" t="s">
        <v>6216</v>
      </c>
      <c r="B122" s="959">
        <v>45518</v>
      </c>
      <c r="C122" t="s">
        <v>5264</v>
      </c>
      <c r="D122">
        <v>1872</v>
      </c>
      <c r="E122">
        <v>1872</v>
      </c>
      <c r="F122">
        <v>1872</v>
      </c>
      <c r="G122">
        <v>1872</v>
      </c>
      <c r="H122">
        <v>1872</v>
      </c>
      <c r="I122" t="s">
        <v>6217</v>
      </c>
      <c r="J122">
        <v>1872</v>
      </c>
      <c r="K122">
        <v>78.400000000000006</v>
      </c>
      <c r="L122">
        <v>146760.68</v>
      </c>
      <c r="M122">
        <v>1872</v>
      </c>
      <c r="N122">
        <v>1868.4</v>
      </c>
    </row>
    <row r="123" spans="1:14" x14ac:dyDescent="0.2">
      <c r="A123" s="958" t="s">
        <v>6218</v>
      </c>
      <c r="B123" s="959">
        <v>45518</v>
      </c>
      <c r="C123" t="s">
        <v>4590</v>
      </c>
      <c r="D123">
        <v>378</v>
      </c>
      <c r="E123">
        <v>378</v>
      </c>
      <c r="F123">
        <v>378</v>
      </c>
      <c r="G123">
        <v>378</v>
      </c>
      <c r="H123">
        <v>378</v>
      </c>
      <c r="I123" t="s">
        <v>5383</v>
      </c>
      <c r="J123">
        <v>378</v>
      </c>
      <c r="K123">
        <v>168.54</v>
      </c>
      <c r="L123">
        <v>63706.23</v>
      </c>
      <c r="M123">
        <v>378</v>
      </c>
      <c r="N123">
        <v>378</v>
      </c>
    </row>
    <row r="124" spans="1:14" x14ac:dyDescent="0.2">
      <c r="A124" s="958" t="s">
        <v>6218</v>
      </c>
      <c r="B124" s="959">
        <v>45518</v>
      </c>
      <c r="C124" t="s">
        <v>3346</v>
      </c>
      <c r="D124">
        <v>148</v>
      </c>
      <c r="E124">
        <v>148</v>
      </c>
      <c r="F124">
        <v>148</v>
      </c>
      <c r="G124">
        <v>148</v>
      </c>
      <c r="H124">
        <v>148</v>
      </c>
      <c r="I124" t="s">
        <v>6209</v>
      </c>
      <c r="J124">
        <v>148</v>
      </c>
      <c r="K124">
        <v>168.54</v>
      </c>
      <c r="L124">
        <v>24943.18</v>
      </c>
      <c r="M124">
        <v>148</v>
      </c>
      <c r="N124">
        <v>144</v>
      </c>
    </row>
    <row r="125" spans="1:14" x14ac:dyDescent="0.2">
      <c r="A125" s="958" t="s">
        <v>6219</v>
      </c>
      <c r="B125" s="959">
        <v>45518</v>
      </c>
      <c r="C125" t="s">
        <v>6531</v>
      </c>
      <c r="D125">
        <v>774</v>
      </c>
      <c r="E125">
        <v>774</v>
      </c>
      <c r="F125">
        <v>774</v>
      </c>
      <c r="G125">
        <v>774</v>
      </c>
      <c r="H125">
        <v>774</v>
      </c>
      <c r="I125" t="s">
        <v>6509</v>
      </c>
      <c r="J125">
        <v>774</v>
      </c>
      <c r="K125">
        <v>99.54</v>
      </c>
      <c r="L125">
        <v>77043.960000000006</v>
      </c>
      <c r="M125">
        <v>774</v>
      </c>
      <c r="N125">
        <v>774</v>
      </c>
    </row>
    <row r="126" spans="1:14" x14ac:dyDescent="0.2">
      <c r="A126" s="958" t="s">
        <v>6220</v>
      </c>
      <c r="B126" s="959">
        <v>45519</v>
      </c>
      <c r="C126" t="s">
        <v>5272</v>
      </c>
      <c r="D126">
        <v>11418</v>
      </c>
      <c r="E126">
        <v>11418</v>
      </c>
      <c r="F126">
        <v>7578</v>
      </c>
      <c r="G126">
        <v>7578</v>
      </c>
      <c r="H126">
        <v>7578</v>
      </c>
      <c r="I126" t="s">
        <v>5807</v>
      </c>
      <c r="J126">
        <v>11418</v>
      </c>
      <c r="K126">
        <v>101.68</v>
      </c>
      <c r="L126">
        <v>1161000</v>
      </c>
      <c r="M126">
        <v>7578</v>
      </c>
      <c r="N126">
        <v>7578</v>
      </c>
    </row>
    <row r="127" spans="1:14" x14ac:dyDescent="0.2">
      <c r="A127" s="958" t="s">
        <v>6220</v>
      </c>
      <c r="B127" s="959">
        <v>45519</v>
      </c>
      <c r="C127" t="s">
        <v>5273</v>
      </c>
      <c r="D127">
        <v>138</v>
      </c>
      <c r="E127">
        <v>138</v>
      </c>
      <c r="F127">
        <v>73.599999999999994</v>
      </c>
      <c r="G127">
        <v>73.599999999999994</v>
      </c>
      <c r="H127">
        <v>73.599999999999994</v>
      </c>
      <c r="I127" t="s">
        <v>5810</v>
      </c>
      <c r="J127">
        <v>138</v>
      </c>
      <c r="K127">
        <v>97.83</v>
      </c>
      <c r="L127">
        <v>13500</v>
      </c>
      <c r="M127">
        <v>73.599999999999994</v>
      </c>
      <c r="N127">
        <v>73.599999999999994</v>
      </c>
    </row>
    <row r="128" spans="1:14" x14ac:dyDescent="0.2">
      <c r="A128" s="958" t="s">
        <v>6220</v>
      </c>
      <c r="B128" s="959">
        <v>45519</v>
      </c>
      <c r="C128" t="s">
        <v>5274</v>
      </c>
      <c r="D128">
        <v>376</v>
      </c>
      <c r="E128">
        <v>356</v>
      </c>
      <c r="I128" t="s">
        <v>5483</v>
      </c>
      <c r="J128">
        <v>376</v>
      </c>
      <c r="K128">
        <v>854.12</v>
      </c>
      <c r="L128">
        <v>321150</v>
      </c>
    </row>
    <row r="129" spans="1:14" x14ac:dyDescent="0.2">
      <c r="A129" s="958" t="s">
        <v>6220</v>
      </c>
      <c r="B129" s="959">
        <v>45519</v>
      </c>
      <c r="C129" t="s">
        <v>5275</v>
      </c>
      <c r="D129">
        <v>1524</v>
      </c>
      <c r="E129">
        <v>1524</v>
      </c>
      <c r="F129">
        <v>1524</v>
      </c>
      <c r="G129">
        <v>1524</v>
      </c>
      <c r="H129">
        <v>1524</v>
      </c>
      <c r="I129" t="s">
        <v>5811</v>
      </c>
      <c r="J129">
        <v>1524</v>
      </c>
      <c r="K129">
        <v>248.03</v>
      </c>
      <c r="L129">
        <v>378000</v>
      </c>
      <c r="M129">
        <v>1524</v>
      </c>
      <c r="N129">
        <v>1524</v>
      </c>
    </row>
    <row r="130" spans="1:14" x14ac:dyDescent="0.2">
      <c r="A130" s="958" t="s">
        <v>6220</v>
      </c>
      <c r="B130" s="959">
        <v>45519</v>
      </c>
      <c r="C130" t="s">
        <v>5276</v>
      </c>
      <c r="D130">
        <v>216</v>
      </c>
      <c r="E130">
        <v>216</v>
      </c>
      <c r="F130">
        <v>48</v>
      </c>
      <c r="G130">
        <v>216</v>
      </c>
      <c r="H130">
        <v>48</v>
      </c>
      <c r="I130" t="s">
        <v>5484</v>
      </c>
      <c r="J130">
        <v>216</v>
      </c>
      <c r="K130">
        <v>483.33</v>
      </c>
      <c r="L130">
        <v>104400</v>
      </c>
      <c r="M130">
        <v>216</v>
      </c>
      <c r="N130">
        <v>216</v>
      </c>
    </row>
    <row r="131" spans="1:14" x14ac:dyDescent="0.2">
      <c r="A131" s="958" t="s">
        <v>6220</v>
      </c>
      <c r="B131" s="959">
        <v>45519</v>
      </c>
      <c r="C131" t="s">
        <v>5277</v>
      </c>
      <c r="D131">
        <v>54</v>
      </c>
      <c r="E131">
        <v>54</v>
      </c>
      <c r="F131">
        <v>54</v>
      </c>
      <c r="G131">
        <v>54</v>
      </c>
      <c r="H131">
        <v>54</v>
      </c>
      <c r="I131" t="s">
        <v>5812</v>
      </c>
      <c r="J131">
        <v>54</v>
      </c>
      <c r="K131">
        <v>250</v>
      </c>
      <c r="L131">
        <v>13500</v>
      </c>
      <c r="M131">
        <v>54</v>
      </c>
      <c r="N131">
        <v>54</v>
      </c>
    </row>
    <row r="132" spans="1:14" x14ac:dyDescent="0.2">
      <c r="A132" s="958" t="s">
        <v>6221</v>
      </c>
      <c r="B132" s="959">
        <v>45523</v>
      </c>
      <c r="C132" t="s">
        <v>5406</v>
      </c>
      <c r="D132">
        <v>1704</v>
      </c>
      <c r="E132">
        <v>2352</v>
      </c>
      <c r="F132">
        <v>1704</v>
      </c>
      <c r="G132">
        <v>1704</v>
      </c>
      <c r="H132">
        <v>1962</v>
      </c>
      <c r="I132" t="s">
        <v>5407</v>
      </c>
      <c r="J132">
        <v>1704</v>
      </c>
      <c r="K132">
        <v>27.32</v>
      </c>
      <c r="L132">
        <v>46553.279999999999</v>
      </c>
      <c r="M132">
        <v>1428</v>
      </c>
      <c r="N132">
        <v>1704</v>
      </c>
    </row>
    <row r="133" spans="1:14" x14ac:dyDescent="0.2">
      <c r="A133" s="958" t="s">
        <v>6221</v>
      </c>
      <c r="B133" s="959">
        <v>45523</v>
      </c>
      <c r="C133" t="s">
        <v>5367</v>
      </c>
      <c r="D133">
        <v>3936</v>
      </c>
      <c r="E133">
        <v>3936</v>
      </c>
      <c r="F133">
        <v>3936</v>
      </c>
      <c r="G133">
        <v>3936</v>
      </c>
      <c r="H133">
        <v>3936</v>
      </c>
      <c r="I133" t="s">
        <v>5368</v>
      </c>
      <c r="J133">
        <v>3936</v>
      </c>
      <c r="K133">
        <v>33.17</v>
      </c>
      <c r="L133">
        <v>130537.44</v>
      </c>
      <c r="M133">
        <v>3936</v>
      </c>
      <c r="N133">
        <v>3936</v>
      </c>
    </row>
    <row r="134" spans="1:14" x14ac:dyDescent="0.2">
      <c r="A134" s="958" t="s">
        <v>6221</v>
      </c>
      <c r="B134" s="959">
        <v>45523</v>
      </c>
      <c r="C134" t="s">
        <v>5388</v>
      </c>
      <c r="D134">
        <v>1890</v>
      </c>
      <c r="E134">
        <v>1890</v>
      </c>
      <c r="F134">
        <v>1890</v>
      </c>
      <c r="G134">
        <v>1890</v>
      </c>
      <c r="H134">
        <v>1890</v>
      </c>
      <c r="I134" t="s">
        <v>5389</v>
      </c>
      <c r="J134">
        <v>1890</v>
      </c>
      <c r="K134">
        <v>36.270000000000003</v>
      </c>
      <c r="L134">
        <v>68544.63</v>
      </c>
      <c r="M134">
        <v>1890</v>
      </c>
      <c r="N134">
        <v>1890</v>
      </c>
    </row>
    <row r="135" spans="1:14" x14ac:dyDescent="0.2">
      <c r="A135" s="958" t="s">
        <v>6222</v>
      </c>
      <c r="B135" s="959">
        <v>45523</v>
      </c>
      <c r="C135" t="s">
        <v>6531</v>
      </c>
      <c r="D135">
        <v>768</v>
      </c>
      <c r="E135">
        <v>768</v>
      </c>
      <c r="F135">
        <v>768</v>
      </c>
      <c r="G135">
        <v>768</v>
      </c>
      <c r="H135">
        <v>768</v>
      </c>
      <c r="I135" t="s">
        <v>6509</v>
      </c>
      <c r="J135">
        <v>768</v>
      </c>
      <c r="K135">
        <v>104.58</v>
      </c>
      <c r="L135">
        <v>80317.440000000002</v>
      </c>
      <c r="M135">
        <v>768</v>
      </c>
      <c r="N135">
        <v>756</v>
      </c>
    </row>
    <row r="136" spans="1:14" x14ac:dyDescent="0.2">
      <c r="A136" s="958" t="s">
        <v>6223</v>
      </c>
      <c r="B136" s="959">
        <v>45523</v>
      </c>
      <c r="C136" t="s">
        <v>2624</v>
      </c>
      <c r="D136">
        <v>1404</v>
      </c>
      <c r="E136">
        <v>1404</v>
      </c>
      <c r="F136">
        <v>1404</v>
      </c>
      <c r="G136">
        <v>1404</v>
      </c>
      <c r="H136">
        <v>1404</v>
      </c>
      <c r="I136" t="s">
        <v>5485</v>
      </c>
      <c r="J136">
        <v>1404</v>
      </c>
      <c r="K136">
        <v>41.47</v>
      </c>
      <c r="L136">
        <v>58223.32</v>
      </c>
      <c r="M136">
        <v>1404</v>
      </c>
      <c r="N136">
        <v>1404</v>
      </c>
    </row>
    <row r="137" spans="1:14" x14ac:dyDescent="0.2">
      <c r="A137" s="958" t="s">
        <v>6224</v>
      </c>
      <c r="B137" s="959">
        <v>45523</v>
      </c>
      <c r="C137" t="s">
        <v>2841</v>
      </c>
      <c r="D137">
        <v>5204.05</v>
      </c>
      <c r="E137">
        <v>5204.05</v>
      </c>
      <c r="F137">
        <v>5204.05</v>
      </c>
      <c r="G137">
        <v>5204.05</v>
      </c>
      <c r="H137">
        <v>5204.05</v>
      </c>
      <c r="I137" t="s">
        <v>5486</v>
      </c>
      <c r="J137">
        <v>5204.05</v>
      </c>
      <c r="K137">
        <v>49.23</v>
      </c>
      <c r="L137">
        <v>256216.2</v>
      </c>
      <c r="M137">
        <v>5204.05</v>
      </c>
      <c r="N137">
        <v>5204.05</v>
      </c>
    </row>
    <row r="138" spans="1:14" x14ac:dyDescent="0.2">
      <c r="A138" s="958" t="s">
        <v>6225</v>
      </c>
      <c r="B138" s="959">
        <v>45524</v>
      </c>
      <c r="C138" t="s">
        <v>5216</v>
      </c>
      <c r="D138">
        <v>396</v>
      </c>
      <c r="E138">
        <v>396</v>
      </c>
      <c r="F138">
        <v>396</v>
      </c>
      <c r="G138">
        <v>396</v>
      </c>
      <c r="H138">
        <v>252</v>
      </c>
      <c r="I138" t="s">
        <v>5392</v>
      </c>
      <c r="J138">
        <v>396</v>
      </c>
      <c r="K138">
        <v>255.17</v>
      </c>
      <c r="L138">
        <v>101047.32</v>
      </c>
      <c r="M138">
        <v>252</v>
      </c>
      <c r="N138">
        <v>252</v>
      </c>
    </row>
    <row r="139" spans="1:14" x14ac:dyDescent="0.2">
      <c r="A139" s="958" t="s">
        <v>6226</v>
      </c>
      <c r="B139" s="959">
        <v>45525</v>
      </c>
      <c r="C139" t="s">
        <v>5281</v>
      </c>
      <c r="D139">
        <v>48</v>
      </c>
      <c r="E139">
        <v>48</v>
      </c>
      <c r="F139">
        <v>48</v>
      </c>
      <c r="G139">
        <v>48</v>
      </c>
      <c r="H139">
        <v>48</v>
      </c>
      <c r="I139" t="s">
        <v>5392</v>
      </c>
      <c r="J139">
        <v>48</v>
      </c>
      <c r="K139">
        <v>254.66</v>
      </c>
      <c r="L139">
        <v>12223.68</v>
      </c>
      <c r="M139">
        <v>48</v>
      </c>
      <c r="N139">
        <v>48</v>
      </c>
    </row>
    <row r="140" spans="1:14" x14ac:dyDescent="0.2">
      <c r="A140" s="958" t="s">
        <v>6226</v>
      </c>
      <c r="B140" s="959">
        <v>45525</v>
      </c>
      <c r="C140" t="s">
        <v>4461</v>
      </c>
      <c r="D140">
        <v>96</v>
      </c>
      <c r="E140">
        <v>96</v>
      </c>
      <c r="F140">
        <v>96</v>
      </c>
      <c r="G140">
        <v>96</v>
      </c>
      <c r="H140">
        <v>96</v>
      </c>
      <c r="I140" t="s">
        <v>5391</v>
      </c>
      <c r="J140">
        <v>96</v>
      </c>
      <c r="K140">
        <v>131.75</v>
      </c>
      <c r="L140">
        <v>12648</v>
      </c>
      <c r="M140">
        <v>96</v>
      </c>
      <c r="N140">
        <v>96</v>
      </c>
    </row>
    <row r="141" spans="1:14" x14ac:dyDescent="0.2">
      <c r="A141" s="958" t="s">
        <v>6227</v>
      </c>
      <c r="B141" s="959">
        <v>45526</v>
      </c>
      <c r="C141" t="s">
        <v>5373</v>
      </c>
      <c r="D141">
        <v>2928</v>
      </c>
      <c r="E141">
        <v>2928</v>
      </c>
      <c r="F141">
        <v>2928</v>
      </c>
      <c r="G141">
        <v>2928</v>
      </c>
      <c r="H141">
        <v>2928</v>
      </c>
      <c r="I141" t="s">
        <v>5374</v>
      </c>
      <c r="J141">
        <v>2928</v>
      </c>
      <c r="K141">
        <v>47.59</v>
      </c>
      <c r="L141">
        <v>139331.81</v>
      </c>
      <c r="M141">
        <v>2928</v>
      </c>
      <c r="N141">
        <v>2928</v>
      </c>
    </row>
    <row r="142" spans="1:14" x14ac:dyDescent="0.2">
      <c r="A142" s="958" t="s">
        <v>6227</v>
      </c>
      <c r="B142" s="959">
        <v>45526</v>
      </c>
      <c r="C142" t="s">
        <v>5409</v>
      </c>
      <c r="D142">
        <v>1656</v>
      </c>
      <c r="E142">
        <v>1656</v>
      </c>
      <c r="F142">
        <v>1656</v>
      </c>
      <c r="G142">
        <v>1656</v>
      </c>
      <c r="H142">
        <v>1656</v>
      </c>
      <c r="I142" t="s">
        <v>5410</v>
      </c>
      <c r="J142">
        <v>1656</v>
      </c>
      <c r="K142">
        <v>67.72</v>
      </c>
      <c r="L142">
        <v>112137.7</v>
      </c>
      <c r="M142">
        <v>1656</v>
      </c>
      <c r="N142">
        <v>1656</v>
      </c>
    </row>
    <row r="143" spans="1:14" x14ac:dyDescent="0.2">
      <c r="A143" s="958" t="s">
        <v>6228</v>
      </c>
      <c r="B143" s="959">
        <v>45526</v>
      </c>
      <c r="C143" t="s">
        <v>5284</v>
      </c>
      <c r="D143">
        <v>12.6</v>
      </c>
      <c r="E143">
        <v>12.6</v>
      </c>
      <c r="F143">
        <v>12.6</v>
      </c>
      <c r="G143">
        <v>12.6</v>
      </c>
      <c r="I143" t="s">
        <v>6229</v>
      </c>
      <c r="J143">
        <v>12.6</v>
      </c>
      <c r="K143">
        <v>91.43</v>
      </c>
      <c r="L143">
        <v>1152.01</v>
      </c>
    </row>
    <row r="144" spans="1:14" x14ac:dyDescent="0.2">
      <c r="A144" s="958" t="s">
        <v>6230</v>
      </c>
      <c r="B144" s="959">
        <v>45527</v>
      </c>
      <c r="C144" t="s">
        <v>5684</v>
      </c>
      <c r="D144">
        <v>36</v>
      </c>
      <c r="E144">
        <v>60</v>
      </c>
      <c r="F144">
        <v>60</v>
      </c>
      <c r="G144">
        <v>60</v>
      </c>
      <c r="H144">
        <v>60</v>
      </c>
      <c r="I144" t="s">
        <v>6126</v>
      </c>
      <c r="J144">
        <v>36</v>
      </c>
      <c r="K144">
        <v>2135</v>
      </c>
      <c r="L144">
        <v>76860</v>
      </c>
      <c r="M144">
        <v>60</v>
      </c>
      <c r="N144">
        <v>36</v>
      </c>
    </row>
    <row r="145" spans="1:14" x14ac:dyDescent="0.2">
      <c r="A145" s="958" t="s">
        <v>6230</v>
      </c>
      <c r="B145" s="959">
        <v>45527</v>
      </c>
      <c r="C145" t="s">
        <v>5684</v>
      </c>
      <c r="D145">
        <v>24</v>
      </c>
      <c r="E145">
        <v>60</v>
      </c>
      <c r="F145">
        <v>60</v>
      </c>
      <c r="G145">
        <v>60</v>
      </c>
      <c r="H145">
        <v>60</v>
      </c>
      <c r="I145" t="s">
        <v>5487</v>
      </c>
      <c r="J145">
        <v>24</v>
      </c>
      <c r="K145">
        <v>2135</v>
      </c>
      <c r="L145">
        <v>51240</v>
      </c>
      <c r="M145">
        <v>60</v>
      </c>
      <c r="N145">
        <v>24</v>
      </c>
    </row>
    <row r="146" spans="1:14" x14ac:dyDescent="0.2">
      <c r="A146" s="958" t="s">
        <v>6231</v>
      </c>
      <c r="B146" s="959">
        <v>45527</v>
      </c>
      <c r="C146" t="s">
        <v>4461</v>
      </c>
      <c r="D146">
        <v>192</v>
      </c>
      <c r="E146">
        <v>192</v>
      </c>
      <c r="F146">
        <v>192</v>
      </c>
      <c r="G146">
        <v>192</v>
      </c>
      <c r="H146">
        <v>192</v>
      </c>
      <c r="I146" t="s">
        <v>5391</v>
      </c>
      <c r="J146">
        <v>192</v>
      </c>
      <c r="K146">
        <v>131.75</v>
      </c>
      <c r="L146">
        <v>25296</v>
      </c>
      <c r="M146">
        <v>192</v>
      </c>
      <c r="N146">
        <v>192</v>
      </c>
    </row>
    <row r="147" spans="1:14" x14ac:dyDescent="0.2">
      <c r="A147" s="958" t="s">
        <v>6232</v>
      </c>
      <c r="B147" s="959">
        <v>45531</v>
      </c>
      <c r="C147" t="s">
        <v>1975</v>
      </c>
      <c r="D147">
        <v>1019.7</v>
      </c>
      <c r="E147">
        <v>1019.7</v>
      </c>
      <c r="F147">
        <v>1019.7</v>
      </c>
      <c r="G147">
        <v>1019.7</v>
      </c>
      <c r="H147">
        <v>1019.7</v>
      </c>
      <c r="I147" t="s">
        <v>5270</v>
      </c>
      <c r="J147">
        <v>1019.7</v>
      </c>
      <c r="K147">
        <v>68.69</v>
      </c>
      <c r="L147">
        <v>70039.62</v>
      </c>
      <c r="M147">
        <v>1019.7</v>
      </c>
      <c r="N147">
        <v>1019.7</v>
      </c>
    </row>
    <row r="148" spans="1:14" x14ac:dyDescent="0.2">
      <c r="A148" s="958" t="s">
        <v>6233</v>
      </c>
      <c r="B148" s="959">
        <v>45532</v>
      </c>
      <c r="C148" t="s">
        <v>4682</v>
      </c>
      <c r="D148">
        <v>330</v>
      </c>
      <c r="E148">
        <v>330</v>
      </c>
      <c r="F148">
        <v>330</v>
      </c>
      <c r="G148">
        <v>330</v>
      </c>
      <c r="H148">
        <v>330</v>
      </c>
      <c r="I148" t="s">
        <v>6698</v>
      </c>
      <c r="J148">
        <v>330</v>
      </c>
      <c r="K148">
        <v>148.82</v>
      </c>
      <c r="L148">
        <v>49110.27</v>
      </c>
      <c r="M148">
        <v>330</v>
      </c>
      <c r="N148">
        <v>330</v>
      </c>
    </row>
    <row r="149" spans="1:14" x14ac:dyDescent="0.2">
      <c r="A149" s="958" t="s">
        <v>6233</v>
      </c>
      <c r="B149" s="959">
        <v>45532</v>
      </c>
      <c r="C149" t="s">
        <v>4675</v>
      </c>
      <c r="D149">
        <v>216</v>
      </c>
      <c r="E149">
        <v>216</v>
      </c>
      <c r="F149">
        <v>216</v>
      </c>
      <c r="G149">
        <v>216</v>
      </c>
      <c r="H149">
        <v>216</v>
      </c>
      <c r="I149" t="s">
        <v>6234</v>
      </c>
      <c r="J149">
        <v>216</v>
      </c>
      <c r="K149">
        <v>220.9</v>
      </c>
      <c r="L149">
        <v>47715.37</v>
      </c>
      <c r="M149">
        <v>216</v>
      </c>
      <c r="N149">
        <v>216</v>
      </c>
    </row>
    <row r="150" spans="1:14" x14ac:dyDescent="0.2">
      <c r="A150" s="958" t="s">
        <v>6235</v>
      </c>
      <c r="B150" s="959">
        <v>45532</v>
      </c>
      <c r="C150" t="s">
        <v>2719</v>
      </c>
      <c r="D150">
        <v>336</v>
      </c>
      <c r="E150">
        <v>336</v>
      </c>
      <c r="F150">
        <v>336</v>
      </c>
      <c r="G150">
        <v>336</v>
      </c>
      <c r="H150">
        <v>336</v>
      </c>
      <c r="I150" t="s">
        <v>5488</v>
      </c>
      <c r="J150">
        <v>336</v>
      </c>
      <c r="K150">
        <v>313.13</v>
      </c>
      <c r="L150">
        <v>105212.02</v>
      </c>
      <c r="M150">
        <v>336</v>
      </c>
      <c r="N150">
        <v>336</v>
      </c>
    </row>
    <row r="151" spans="1:14" x14ac:dyDescent="0.2">
      <c r="A151" s="958" t="s">
        <v>6236</v>
      </c>
      <c r="B151" s="959">
        <v>45532</v>
      </c>
      <c r="C151" t="s">
        <v>5289</v>
      </c>
      <c r="D151">
        <v>1767.9</v>
      </c>
      <c r="E151">
        <v>1767.9</v>
      </c>
      <c r="F151">
        <v>1767.9</v>
      </c>
      <c r="G151">
        <v>1767.9</v>
      </c>
      <c r="H151">
        <v>1767.9</v>
      </c>
      <c r="I151" t="s">
        <v>5489</v>
      </c>
      <c r="J151">
        <v>1767.9</v>
      </c>
      <c r="K151">
        <v>97.78</v>
      </c>
      <c r="L151">
        <v>172858.19</v>
      </c>
      <c r="M151">
        <v>1767.9</v>
      </c>
      <c r="N151">
        <v>1764.35</v>
      </c>
    </row>
    <row r="152" spans="1:14" x14ac:dyDescent="0.2">
      <c r="A152" s="958" t="s">
        <v>6237</v>
      </c>
      <c r="B152" s="959">
        <v>45532</v>
      </c>
      <c r="C152" t="s">
        <v>5158</v>
      </c>
      <c r="D152">
        <v>1296</v>
      </c>
      <c r="E152">
        <v>1296</v>
      </c>
      <c r="F152">
        <v>1296</v>
      </c>
      <c r="G152">
        <v>1296</v>
      </c>
      <c r="H152">
        <v>1296</v>
      </c>
      <c r="I152" t="s">
        <v>5460</v>
      </c>
      <c r="J152">
        <v>1296</v>
      </c>
      <c r="K152">
        <v>146.97</v>
      </c>
      <c r="L152">
        <v>190468.45</v>
      </c>
      <c r="M152">
        <v>1296</v>
      </c>
      <c r="N152">
        <v>1296</v>
      </c>
    </row>
    <row r="153" spans="1:14" x14ac:dyDescent="0.2">
      <c r="A153" s="958" t="s">
        <v>6238</v>
      </c>
      <c r="B153" s="959">
        <v>45532</v>
      </c>
      <c r="C153" t="s">
        <v>4590</v>
      </c>
      <c r="D153">
        <v>198</v>
      </c>
      <c r="E153">
        <v>198</v>
      </c>
      <c r="F153">
        <v>198</v>
      </c>
      <c r="G153">
        <v>198</v>
      </c>
      <c r="H153">
        <v>198</v>
      </c>
      <c r="I153" t="s">
        <v>5383</v>
      </c>
      <c r="J153">
        <v>198</v>
      </c>
      <c r="K153">
        <v>179.92</v>
      </c>
      <c r="L153">
        <v>35624.660000000003</v>
      </c>
      <c r="M153">
        <v>198</v>
      </c>
      <c r="N153">
        <v>198</v>
      </c>
    </row>
    <row r="154" spans="1:14" x14ac:dyDescent="0.2">
      <c r="A154" s="958" t="s">
        <v>6239</v>
      </c>
      <c r="B154" s="959">
        <v>45532</v>
      </c>
      <c r="C154" t="s">
        <v>5091</v>
      </c>
      <c r="D154">
        <v>1188</v>
      </c>
      <c r="E154">
        <v>1188</v>
      </c>
      <c r="F154">
        <v>1188</v>
      </c>
      <c r="G154">
        <v>1188</v>
      </c>
      <c r="H154">
        <v>1188</v>
      </c>
      <c r="I154" t="s">
        <v>5411</v>
      </c>
      <c r="J154">
        <v>1188</v>
      </c>
      <c r="K154">
        <v>74.38</v>
      </c>
      <c r="L154">
        <v>88361.66</v>
      </c>
      <c r="M154">
        <v>1188</v>
      </c>
      <c r="N154">
        <v>1188</v>
      </c>
    </row>
    <row r="155" spans="1:14" x14ac:dyDescent="0.2">
      <c r="A155" s="958" t="s">
        <v>6240</v>
      </c>
      <c r="B155" s="959">
        <v>45532</v>
      </c>
      <c r="C155" t="s">
        <v>5083</v>
      </c>
      <c r="D155">
        <v>150</v>
      </c>
      <c r="E155">
        <v>150</v>
      </c>
      <c r="F155">
        <v>150</v>
      </c>
      <c r="G155">
        <v>150</v>
      </c>
      <c r="H155">
        <v>150</v>
      </c>
      <c r="I155" t="s">
        <v>5446</v>
      </c>
      <c r="J155">
        <v>150</v>
      </c>
      <c r="K155">
        <v>650.41</v>
      </c>
      <c r="L155">
        <v>97561.52</v>
      </c>
      <c r="M155">
        <v>150</v>
      </c>
      <c r="N155">
        <v>150</v>
      </c>
    </row>
    <row r="156" spans="1:14" x14ac:dyDescent="0.2">
      <c r="A156" s="958" t="s">
        <v>6240</v>
      </c>
      <c r="B156" s="959">
        <v>45532</v>
      </c>
      <c r="C156" t="s">
        <v>5084</v>
      </c>
      <c r="D156">
        <v>309</v>
      </c>
      <c r="E156">
        <v>309</v>
      </c>
      <c r="F156">
        <v>309</v>
      </c>
      <c r="G156">
        <v>309</v>
      </c>
      <c r="H156">
        <v>309</v>
      </c>
      <c r="I156" t="s">
        <v>6125</v>
      </c>
      <c r="J156">
        <v>309</v>
      </c>
      <c r="K156">
        <v>547.89</v>
      </c>
      <c r="L156">
        <v>169297.76</v>
      </c>
      <c r="M156">
        <v>309</v>
      </c>
      <c r="N156">
        <v>309</v>
      </c>
    </row>
    <row r="157" spans="1:14" x14ac:dyDescent="0.2">
      <c r="A157" s="958" t="s">
        <v>6241</v>
      </c>
      <c r="B157" s="959">
        <v>45532</v>
      </c>
      <c r="C157" t="s">
        <v>5490</v>
      </c>
      <c r="D157">
        <v>724</v>
      </c>
      <c r="E157">
        <v>724</v>
      </c>
      <c r="F157">
        <v>724</v>
      </c>
      <c r="G157">
        <v>724</v>
      </c>
      <c r="H157">
        <v>724</v>
      </c>
      <c r="I157" t="s">
        <v>5491</v>
      </c>
      <c r="J157">
        <v>724</v>
      </c>
      <c r="K157">
        <v>76.739999999999995</v>
      </c>
      <c r="L157">
        <v>55562</v>
      </c>
      <c r="M157">
        <v>724</v>
      </c>
      <c r="N157">
        <v>724</v>
      </c>
    </row>
    <row r="158" spans="1:14" x14ac:dyDescent="0.2">
      <c r="A158" s="958" t="s">
        <v>6242</v>
      </c>
      <c r="B158" s="959">
        <v>45533</v>
      </c>
      <c r="C158" t="s">
        <v>5291</v>
      </c>
      <c r="D158">
        <v>363</v>
      </c>
      <c r="E158">
        <v>363</v>
      </c>
      <c r="F158">
        <v>363</v>
      </c>
      <c r="G158">
        <v>363</v>
      </c>
      <c r="H158">
        <v>363</v>
      </c>
      <c r="I158" t="s">
        <v>6243</v>
      </c>
      <c r="J158">
        <v>363</v>
      </c>
      <c r="K158">
        <v>137.33000000000001</v>
      </c>
      <c r="L158">
        <v>49850</v>
      </c>
      <c r="M158">
        <v>363</v>
      </c>
      <c r="N158">
        <v>363</v>
      </c>
    </row>
    <row r="159" spans="1:14" x14ac:dyDescent="0.2">
      <c r="A159" s="958" t="s">
        <v>6242</v>
      </c>
      <c r="B159" s="959">
        <v>45533</v>
      </c>
      <c r="C159" t="s">
        <v>5292</v>
      </c>
      <c r="D159">
        <v>72.599999999999994</v>
      </c>
      <c r="E159">
        <v>72.599999999999994</v>
      </c>
      <c r="F159">
        <v>72.599999999999994</v>
      </c>
      <c r="G159">
        <v>72.599999999999994</v>
      </c>
      <c r="H159">
        <v>72.599999999999994</v>
      </c>
      <c r="I159" t="s">
        <v>5492</v>
      </c>
      <c r="J159">
        <v>72.599999999999994</v>
      </c>
      <c r="K159">
        <v>343.32</v>
      </c>
      <c r="L159">
        <v>24925</v>
      </c>
      <c r="M159">
        <v>72.599999999999994</v>
      </c>
      <c r="N159">
        <v>72.599999999999994</v>
      </c>
    </row>
    <row r="160" spans="1:14" x14ac:dyDescent="0.2">
      <c r="A160" s="958" t="s">
        <v>6242</v>
      </c>
      <c r="B160" s="959">
        <v>45533</v>
      </c>
      <c r="C160" t="s">
        <v>5164</v>
      </c>
      <c r="D160">
        <v>145.19999999999999</v>
      </c>
      <c r="E160">
        <v>145.19999999999999</v>
      </c>
      <c r="F160">
        <v>145.19999999999999</v>
      </c>
      <c r="G160">
        <v>145.19999999999999</v>
      </c>
      <c r="H160">
        <v>145.19999999999999</v>
      </c>
      <c r="I160" t="s">
        <v>5466</v>
      </c>
      <c r="J160">
        <v>145.19999999999999</v>
      </c>
      <c r="K160">
        <v>446.32</v>
      </c>
      <c r="L160">
        <v>64805</v>
      </c>
      <c r="M160">
        <v>145.19999999999999</v>
      </c>
      <c r="N160">
        <v>145.19999999999999</v>
      </c>
    </row>
    <row r="161" spans="1:14" x14ac:dyDescent="0.2">
      <c r="A161" s="958" t="s">
        <v>6242</v>
      </c>
      <c r="B161" s="959">
        <v>45533</v>
      </c>
      <c r="C161" t="s">
        <v>5493</v>
      </c>
      <c r="D161">
        <v>6.1</v>
      </c>
      <c r="E161">
        <v>6.1</v>
      </c>
      <c r="F161">
        <v>6.1</v>
      </c>
      <c r="G161">
        <v>6.1</v>
      </c>
      <c r="H161">
        <v>6.1</v>
      </c>
      <c r="I161" t="s">
        <v>6244</v>
      </c>
      <c r="J161">
        <v>6.1</v>
      </c>
      <c r="K161">
        <v>817.21</v>
      </c>
      <c r="L161">
        <v>4985</v>
      </c>
      <c r="M161">
        <v>6.1</v>
      </c>
      <c r="N161">
        <v>6.1</v>
      </c>
    </row>
    <row r="162" spans="1:14" x14ac:dyDescent="0.2">
      <c r="A162" s="958" t="s">
        <v>6242</v>
      </c>
      <c r="B162" s="959">
        <v>45533</v>
      </c>
      <c r="C162" t="s">
        <v>6245</v>
      </c>
      <c r="D162">
        <v>4.8</v>
      </c>
      <c r="E162">
        <v>4.8</v>
      </c>
      <c r="F162">
        <v>4.8</v>
      </c>
      <c r="G162">
        <v>4.8</v>
      </c>
      <c r="H162">
        <v>4.8</v>
      </c>
      <c r="I162" t="s">
        <v>6246</v>
      </c>
      <c r="J162">
        <v>4.8</v>
      </c>
      <c r="K162">
        <v>1038.54</v>
      </c>
      <c r="L162">
        <v>4985</v>
      </c>
      <c r="M162">
        <v>4.8</v>
      </c>
      <c r="N162">
        <v>4.8</v>
      </c>
    </row>
    <row r="163" spans="1:14" x14ac:dyDescent="0.2">
      <c r="A163" s="958" t="s">
        <v>6247</v>
      </c>
      <c r="B163" s="959">
        <v>45533</v>
      </c>
      <c r="C163" t="s">
        <v>2963</v>
      </c>
      <c r="D163">
        <v>1339.8</v>
      </c>
      <c r="E163">
        <v>1339.8</v>
      </c>
      <c r="F163">
        <v>1339.8</v>
      </c>
      <c r="G163">
        <v>1339.8</v>
      </c>
      <c r="H163">
        <v>1339.8</v>
      </c>
      <c r="I163" t="s">
        <v>5363</v>
      </c>
      <c r="J163">
        <v>1339.8</v>
      </c>
      <c r="K163">
        <v>78.44</v>
      </c>
      <c r="L163">
        <v>105096.59</v>
      </c>
      <c r="M163">
        <v>1339.8</v>
      </c>
      <c r="N163">
        <v>1339.8</v>
      </c>
    </row>
    <row r="164" spans="1:14" x14ac:dyDescent="0.2">
      <c r="A164" s="958" t="s">
        <v>6248</v>
      </c>
      <c r="B164" s="959">
        <v>45534</v>
      </c>
      <c r="C164" t="s">
        <v>5367</v>
      </c>
      <c r="D164">
        <v>8100</v>
      </c>
      <c r="E164">
        <v>8100</v>
      </c>
      <c r="F164">
        <v>8100</v>
      </c>
      <c r="G164">
        <v>8100</v>
      </c>
      <c r="H164">
        <v>8100</v>
      </c>
      <c r="I164" t="s">
        <v>5368</v>
      </c>
      <c r="J164">
        <v>8100</v>
      </c>
      <c r="K164">
        <v>33.17</v>
      </c>
      <c r="L164">
        <v>268636.5</v>
      </c>
      <c r="M164">
        <v>8100</v>
      </c>
      <c r="N164">
        <v>8100</v>
      </c>
    </row>
    <row r="165" spans="1:14" x14ac:dyDescent="0.2">
      <c r="A165" s="958" t="s">
        <v>6249</v>
      </c>
      <c r="B165" s="959">
        <v>45534</v>
      </c>
      <c r="C165" t="s">
        <v>5294</v>
      </c>
      <c r="D165">
        <v>26</v>
      </c>
      <c r="E165">
        <v>26</v>
      </c>
      <c r="F165">
        <v>26</v>
      </c>
      <c r="G165">
        <v>26</v>
      </c>
      <c r="H165">
        <v>26</v>
      </c>
      <c r="I165" t="s">
        <v>6250</v>
      </c>
      <c r="J165">
        <v>26</v>
      </c>
      <c r="K165">
        <v>5032.21</v>
      </c>
      <c r="L165">
        <v>130837.36</v>
      </c>
      <c r="M165">
        <v>26</v>
      </c>
      <c r="N165">
        <v>26</v>
      </c>
    </row>
    <row r="166" spans="1:14" x14ac:dyDescent="0.2">
      <c r="A166" s="958" t="s">
        <v>6251</v>
      </c>
      <c r="B166" s="959">
        <v>45534</v>
      </c>
      <c r="C166" t="s">
        <v>78</v>
      </c>
      <c r="D166">
        <v>3114</v>
      </c>
      <c r="E166">
        <v>3114</v>
      </c>
      <c r="F166">
        <v>3114</v>
      </c>
      <c r="G166">
        <v>3114</v>
      </c>
      <c r="H166">
        <v>3114</v>
      </c>
      <c r="I166" t="s">
        <v>5385</v>
      </c>
      <c r="J166">
        <v>3114</v>
      </c>
      <c r="K166">
        <v>79.91</v>
      </c>
      <c r="L166">
        <v>248835.07</v>
      </c>
      <c r="M166">
        <v>3114</v>
      </c>
      <c r="N166">
        <v>3114</v>
      </c>
    </row>
    <row r="167" spans="1:14" x14ac:dyDescent="0.2">
      <c r="A167" s="958" t="s">
        <v>6252</v>
      </c>
      <c r="B167" s="959">
        <v>45534</v>
      </c>
      <c r="C167" t="s">
        <v>5289</v>
      </c>
      <c r="D167">
        <v>170.4</v>
      </c>
      <c r="E167">
        <v>170.4</v>
      </c>
      <c r="F167">
        <v>170.4</v>
      </c>
      <c r="G167">
        <v>170.4</v>
      </c>
      <c r="H167">
        <v>170.4</v>
      </c>
      <c r="I167" t="s">
        <v>5489</v>
      </c>
      <c r="J167">
        <v>170.4</v>
      </c>
      <c r="K167">
        <v>117.33</v>
      </c>
      <c r="L167">
        <v>19993.240000000002</v>
      </c>
      <c r="M167">
        <v>170.4</v>
      </c>
      <c r="N167">
        <v>170.4</v>
      </c>
    </row>
    <row r="168" spans="1:14" x14ac:dyDescent="0.2">
      <c r="A168" s="958" t="s">
        <v>5494</v>
      </c>
      <c r="B168" s="959">
        <v>45538</v>
      </c>
      <c r="C168" t="s">
        <v>5298</v>
      </c>
      <c r="D168">
        <v>56</v>
      </c>
      <c r="E168">
        <v>56</v>
      </c>
      <c r="F168">
        <v>56</v>
      </c>
      <c r="G168">
        <v>56</v>
      </c>
      <c r="H168">
        <v>56</v>
      </c>
      <c r="I168" t="s">
        <v>5495</v>
      </c>
      <c r="J168">
        <v>56</v>
      </c>
      <c r="K168">
        <v>515.66999999999996</v>
      </c>
      <c r="L168">
        <v>28877.5</v>
      </c>
      <c r="M168">
        <v>56</v>
      </c>
      <c r="N168">
        <v>56</v>
      </c>
    </row>
    <row r="169" spans="1:14" x14ac:dyDescent="0.2">
      <c r="A169" s="958" t="s">
        <v>5494</v>
      </c>
      <c r="B169" s="959">
        <v>45538</v>
      </c>
      <c r="C169" t="s">
        <v>5299</v>
      </c>
      <c r="D169">
        <v>66</v>
      </c>
      <c r="E169">
        <v>66</v>
      </c>
      <c r="F169">
        <v>66</v>
      </c>
      <c r="G169">
        <v>66</v>
      </c>
      <c r="H169">
        <v>66</v>
      </c>
      <c r="I169" t="s">
        <v>5453</v>
      </c>
      <c r="J169">
        <v>66</v>
      </c>
      <c r="K169">
        <v>350.03</v>
      </c>
      <c r="L169">
        <v>23102</v>
      </c>
      <c r="M169">
        <v>66</v>
      </c>
      <c r="N169">
        <v>66</v>
      </c>
    </row>
    <row r="170" spans="1:14" x14ac:dyDescent="0.2">
      <c r="A170" s="958" t="s">
        <v>5494</v>
      </c>
      <c r="B170" s="959">
        <v>45538</v>
      </c>
      <c r="C170" t="s">
        <v>5300</v>
      </c>
      <c r="D170">
        <v>28</v>
      </c>
      <c r="E170">
        <v>28</v>
      </c>
      <c r="F170">
        <v>28</v>
      </c>
      <c r="G170">
        <v>28</v>
      </c>
      <c r="H170">
        <v>28</v>
      </c>
      <c r="I170" t="s">
        <v>5496</v>
      </c>
      <c r="J170">
        <v>28</v>
      </c>
      <c r="K170">
        <v>1031.3399999999999</v>
      </c>
      <c r="L170">
        <v>28877.5</v>
      </c>
      <c r="M170">
        <v>28</v>
      </c>
      <c r="N170">
        <v>28</v>
      </c>
    </row>
    <row r="171" spans="1:14" x14ac:dyDescent="0.2">
      <c r="A171" s="958" t="s">
        <v>5494</v>
      </c>
      <c r="B171" s="959">
        <v>45538</v>
      </c>
      <c r="C171" t="s">
        <v>5301</v>
      </c>
      <c r="D171">
        <v>6</v>
      </c>
      <c r="E171">
        <v>6</v>
      </c>
      <c r="F171">
        <v>6</v>
      </c>
      <c r="G171">
        <v>6</v>
      </c>
      <c r="H171">
        <v>6</v>
      </c>
      <c r="I171" t="s">
        <v>5497</v>
      </c>
      <c r="J171">
        <v>6</v>
      </c>
      <c r="K171">
        <v>481.29</v>
      </c>
      <c r="L171">
        <v>2887.75</v>
      </c>
      <c r="M171">
        <v>6</v>
      </c>
      <c r="N171">
        <v>6</v>
      </c>
    </row>
    <row r="172" spans="1:14" x14ac:dyDescent="0.2">
      <c r="A172" s="958" t="s">
        <v>5494</v>
      </c>
      <c r="B172" s="959">
        <v>45538</v>
      </c>
      <c r="C172" t="s">
        <v>5302</v>
      </c>
      <c r="D172">
        <v>6</v>
      </c>
      <c r="E172">
        <v>6</v>
      </c>
      <c r="F172">
        <v>6</v>
      </c>
      <c r="G172">
        <v>6</v>
      </c>
      <c r="H172">
        <v>6</v>
      </c>
      <c r="I172" t="s">
        <v>5498</v>
      </c>
      <c r="J172">
        <v>6</v>
      </c>
      <c r="K172">
        <v>481.29</v>
      </c>
      <c r="L172">
        <v>2887.75</v>
      </c>
      <c r="M172">
        <v>6</v>
      </c>
      <c r="N172">
        <v>6</v>
      </c>
    </row>
    <row r="173" spans="1:14" x14ac:dyDescent="0.2">
      <c r="A173" s="958" t="s">
        <v>5494</v>
      </c>
      <c r="B173" s="959">
        <v>45538</v>
      </c>
      <c r="C173" t="s">
        <v>5303</v>
      </c>
      <c r="D173">
        <v>6</v>
      </c>
      <c r="E173">
        <v>6</v>
      </c>
      <c r="F173">
        <v>6</v>
      </c>
      <c r="G173">
        <v>6</v>
      </c>
      <c r="H173">
        <v>6</v>
      </c>
      <c r="I173" t="s">
        <v>5499</v>
      </c>
      <c r="J173">
        <v>6</v>
      </c>
      <c r="K173">
        <v>481.25</v>
      </c>
      <c r="L173">
        <v>2887.5</v>
      </c>
      <c r="M173">
        <v>6</v>
      </c>
      <c r="N173">
        <v>6</v>
      </c>
    </row>
    <row r="174" spans="1:14" x14ac:dyDescent="0.2">
      <c r="A174" s="958" t="s">
        <v>5494</v>
      </c>
      <c r="B174" s="959">
        <v>45538</v>
      </c>
      <c r="C174" t="s">
        <v>5112</v>
      </c>
      <c r="D174">
        <v>85</v>
      </c>
      <c r="E174">
        <v>85</v>
      </c>
      <c r="F174">
        <v>85</v>
      </c>
      <c r="G174">
        <v>85</v>
      </c>
      <c r="H174">
        <v>85</v>
      </c>
      <c r="I174" t="s">
        <v>5454</v>
      </c>
      <c r="J174">
        <v>85</v>
      </c>
      <c r="K174">
        <v>290</v>
      </c>
      <c r="L174">
        <v>24650</v>
      </c>
      <c r="M174">
        <v>85</v>
      </c>
      <c r="N174">
        <v>85</v>
      </c>
    </row>
    <row r="175" spans="1:14" x14ac:dyDescent="0.2">
      <c r="A175" s="958" t="s">
        <v>5494</v>
      </c>
      <c r="B175" s="959">
        <v>45538</v>
      </c>
      <c r="C175" t="s">
        <v>5114</v>
      </c>
      <c r="D175">
        <v>15</v>
      </c>
      <c r="E175">
        <v>15</v>
      </c>
      <c r="F175">
        <v>15</v>
      </c>
      <c r="G175">
        <v>15</v>
      </c>
      <c r="H175">
        <v>15</v>
      </c>
      <c r="I175" t="s">
        <v>5455</v>
      </c>
      <c r="J175">
        <v>15</v>
      </c>
      <c r="K175">
        <v>440</v>
      </c>
      <c r="L175">
        <v>6600</v>
      </c>
      <c r="M175">
        <v>15</v>
      </c>
      <c r="N175">
        <v>15</v>
      </c>
    </row>
    <row r="176" spans="1:14" x14ac:dyDescent="0.2">
      <c r="A176" s="958" t="s">
        <v>5494</v>
      </c>
      <c r="B176" s="959">
        <v>45538</v>
      </c>
      <c r="C176" t="s">
        <v>5304</v>
      </c>
      <c r="D176">
        <v>72</v>
      </c>
      <c r="E176">
        <v>72</v>
      </c>
      <c r="F176">
        <v>72</v>
      </c>
      <c r="G176">
        <v>72</v>
      </c>
      <c r="H176">
        <v>72</v>
      </c>
      <c r="I176" t="s">
        <v>5500</v>
      </c>
      <c r="J176">
        <v>72</v>
      </c>
      <c r="K176">
        <v>360.97</v>
      </c>
      <c r="L176">
        <v>25990</v>
      </c>
      <c r="M176">
        <v>72</v>
      </c>
      <c r="N176">
        <v>72</v>
      </c>
    </row>
    <row r="177" spans="1:14" x14ac:dyDescent="0.2">
      <c r="A177" s="958" t="s">
        <v>5501</v>
      </c>
      <c r="B177" s="959">
        <v>45539</v>
      </c>
      <c r="C177" t="s">
        <v>5862</v>
      </c>
      <c r="D177">
        <v>648</v>
      </c>
      <c r="E177">
        <v>648</v>
      </c>
      <c r="F177">
        <v>648</v>
      </c>
      <c r="G177">
        <v>648</v>
      </c>
      <c r="H177">
        <v>648</v>
      </c>
      <c r="I177" t="s">
        <v>5831</v>
      </c>
      <c r="J177">
        <v>648</v>
      </c>
      <c r="K177">
        <v>143.06</v>
      </c>
      <c r="L177">
        <v>92699.64</v>
      </c>
      <c r="M177">
        <v>648</v>
      </c>
      <c r="N177">
        <v>648</v>
      </c>
    </row>
    <row r="178" spans="1:14" x14ac:dyDescent="0.2">
      <c r="A178" s="958" t="s">
        <v>5502</v>
      </c>
      <c r="B178" s="959">
        <v>45539</v>
      </c>
      <c r="C178" t="s">
        <v>4544</v>
      </c>
      <c r="D178">
        <v>512</v>
      </c>
      <c r="E178">
        <v>512</v>
      </c>
      <c r="F178">
        <v>512</v>
      </c>
      <c r="G178">
        <v>512</v>
      </c>
      <c r="H178">
        <v>512</v>
      </c>
      <c r="I178" t="s">
        <v>5379</v>
      </c>
      <c r="J178">
        <v>512</v>
      </c>
      <c r="K178">
        <v>164.61</v>
      </c>
      <c r="L178">
        <v>84278.48</v>
      </c>
      <c r="M178">
        <v>512</v>
      </c>
      <c r="N178">
        <v>512</v>
      </c>
    </row>
    <row r="179" spans="1:14" x14ac:dyDescent="0.2">
      <c r="A179" s="958" t="s">
        <v>5503</v>
      </c>
      <c r="B179" s="959">
        <v>45539</v>
      </c>
      <c r="C179" t="s">
        <v>4785</v>
      </c>
      <c r="D179">
        <v>1152</v>
      </c>
      <c r="E179">
        <v>1152</v>
      </c>
      <c r="F179">
        <v>1152</v>
      </c>
      <c r="G179">
        <v>1152</v>
      </c>
      <c r="H179">
        <v>1152</v>
      </c>
      <c r="I179" t="s">
        <v>5384</v>
      </c>
      <c r="J179">
        <v>1152</v>
      </c>
      <c r="K179">
        <v>190.65</v>
      </c>
      <c r="L179">
        <v>219623.04000000001</v>
      </c>
      <c r="M179">
        <v>1152</v>
      </c>
      <c r="N179">
        <v>1146</v>
      </c>
    </row>
    <row r="180" spans="1:14" x14ac:dyDescent="0.2">
      <c r="A180" s="958" t="s">
        <v>5504</v>
      </c>
      <c r="B180" s="959">
        <v>45541</v>
      </c>
      <c r="C180" t="s">
        <v>2202</v>
      </c>
      <c r="D180">
        <v>696</v>
      </c>
      <c r="E180">
        <v>696</v>
      </c>
      <c r="F180">
        <v>696</v>
      </c>
      <c r="G180">
        <v>696</v>
      </c>
      <c r="H180">
        <v>696</v>
      </c>
      <c r="I180" t="s">
        <v>5449</v>
      </c>
      <c r="J180">
        <v>696</v>
      </c>
      <c r="K180">
        <v>130.86000000000001</v>
      </c>
      <c r="L180">
        <v>91077.17</v>
      </c>
      <c r="M180">
        <v>696</v>
      </c>
      <c r="N180">
        <v>696</v>
      </c>
    </row>
    <row r="181" spans="1:14" x14ac:dyDescent="0.2">
      <c r="A181" s="958" t="s">
        <v>5505</v>
      </c>
      <c r="B181" s="959">
        <v>45541</v>
      </c>
      <c r="C181" t="s">
        <v>4393</v>
      </c>
      <c r="D181">
        <v>396</v>
      </c>
      <c r="E181">
        <v>396</v>
      </c>
      <c r="F181">
        <v>396</v>
      </c>
      <c r="G181">
        <v>396</v>
      </c>
      <c r="H181">
        <v>396</v>
      </c>
      <c r="I181" t="s">
        <v>5472</v>
      </c>
      <c r="J181">
        <v>396</v>
      </c>
      <c r="K181">
        <v>196.67</v>
      </c>
      <c r="L181">
        <v>77880.73</v>
      </c>
      <c r="M181">
        <v>396</v>
      </c>
      <c r="N181">
        <v>396</v>
      </c>
    </row>
    <row r="182" spans="1:14" x14ac:dyDescent="0.2">
      <c r="A182" s="958" t="s">
        <v>5506</v>
      </c>
      <c r="B182" s="959">
        <v>45541</v>
      </c>
      <c r="C182" t="s">
        <v>5158</v>
      </c>
      <c r="D182">
        <v>1162.8</v>
      </c>
      <c r="E182">
        <v>1162.8</v>
      </c>
      <c r="F182">
        <v>1162.8</v>
      </c>
      <c r="G182">
        <v>1162.8</v>
      </c>
      <c r="H182">
        <v>1162.8</v>
      </c>
      <c r="I182" t="s">
        <v>5460</v>
      </c>
      <c r="J182">
        <v>1162.8</v>
      </c>
      <c r="K182">
        <v>146.97</v>
      </c>
      <c r="L182">
        <v>170896.72</v>
      </c>
      <c r="M182">
        <v>1162.8</v>
      </c>
      <c r="N182">
        <v>1162.8</v>
      </c>
    </row>
    <row r="183" spans="1:14" x14ac:dyDescent="0.2">
      <c r="A183" s="958" t="s">
        <v>5507</v>
      </c>
      <c r="B183" s="959">
        <v>45544</v>
      </c>
      <c r="C183" t="s">
        <v>4667</v>
      </c>
      <c r="D183">
        <v>870</v>
      </c>
      <c r="E183">
        <v>870</v>
      </c>
      <c r="F183">
        <v>870</v>
      </c>
      <c r="G183">
        <v>870</v>
      </c>
      <c r="H183">
        <v>870</v>
      </c>
      <c r="I183" t="s">
        <v>5508</v>
      </c>
      <c r="J183">
        <v>870</v>
      </c>
      <c r="K183">
        <v>158.52000000000001</v>
      </c>
      <c r="L183">
        <v>137914.14000000001</v>
      </c>
      <c r="M183">
        <v>870</v>
      </c>
      <c r="N183">
        <v>846</v>
      </c>
    </row>
    <row r="184" spans="1:14" x14ac:dyDescent="0.2">
      <c r="A184" s="958" t="s">
        <v>5509</v>
      </c>
      <c r="B184" s="959">
        <v>45547</v>
      </c>
      <c r="C184" t="s">
        <v>652</v>
      </c>
      <c r="D184">
        <v>1149.5</v>
      </c>
      <c r="E184">
        <v>1149.5</v>
      </c>
      <c r="F184">
        <v>1149.5</v>
      </c>
      <c r="G184">
        <v>1149.5</v>
      </c>
      <c r="H184">
        <v>1149.5</v>
      </c>
      <c r="I184" t="s">
        <v>5510</v>
      </c>
      <c r="J184">
        <v>1149.5</v>
      </c>
      <c r="K184">
        <v>56.02</v>
      </c>
      <c r="L184">
        <v>64395.91</v>
      </c>
      <c r="M184">
        <v>1149.5</v>
      </c>
      <c r="N184">
        <v>1149.5</v>
      </c>
    </row>
    <row r="185" spans="1:14" x14ac:dyDescent="0.2">
      <c r="A185" s="958" t="s">
        <v>5511</v>
      </c>
      <c r="B185" s="959">
        <v>45547</v>
      </c>
      <c r="C185" t="s">
        <v>1362</v>
      </c>
      <c r="D185">
        <v>237.9</v>
      </c>
      <c r="E185">
        <v>237.9</v>
      </c>
      <c r="F185">
        <v>237.9</v>
      </c>
      <c r="G185">
        <v>237.9</v>
      </c>
      <c r="H185">
        <v>237.9</v>
      </c>
      <c r="I185" t="s">
        <v>5361</v>
      </c>
      <c r="J185">
        <v>237.9</v>
      </c>
      <c r="K185">
        <v>513.71</v>
      </c>
      <c r="L185">
        <v>122211.48</v>
      </c>
      <c r="M185">
        <v>237.9</v>
      </c>
      <c r="N185">
        <v>237.9</v>
      </c>
    </row>
    <row r="186" spans="1:14" x14ac:dyDescent="0.2">
      <c r="A186" s="958" t="s">
        <v>5512</v>
      </c>
      <c r="B186" s="959">
        <v>45547</v>
      </c>
      <c r="C186" t="s">
        <v>5313</v>
      </c>
      <c r="D186">
        <v>36</v>
      </c>
      <c r="E186">
        <v>36</v>
      </c>
      <c r="F186">
        <v>36</v>
      </c>
      <c r="G186">
        <v>36</v>
      </c>
      <c r="H186">
        <v>36</v>
      </c>
      <c r="I186" t="s">
        <v>5513</v>
      </c>
      <c r="J186">
        <v>36</v>
      </c>
      <c r="K186">
        <v>774.76</v>
      </c>
      <c r="L186">
        <v>27891.200000000001</v>
      </c>
      <c r="M186">
        <v>36</v>
      </c>
      <c r="N186">
        <v>36</v>
      </c>
    </row>
    <row r="187" spans="1:14" x14ac:dyDescent="0.2">
      <c r="A187" s="958" t="s">
        <v>5514</v>
      </c>
      <c r="B187" s="959">
        <v>45547</v>
      </c>
      <c r="C187" t="s">
        <v>5515</v>
      </c>
      <c r="D187">
        <v>498</v>
      </c>
      <c r="E187">
        <v>498</v>
      </c>
      <c r="F187">
        <v>498</v>
      </c>
      <c r="G187">
        <v>498</v>
      </c>
      <c r="H187">
        <v>498</v>
      </c>
      <c r="I187" t="s">
        <v>5516</v>
      </c>
      <c r="J187">
        <v>498</v>
      </c>
      <c r="K187">
        <v>255.24</v>
      </c>
      <c r="L187">
        <v>127109.88</v>
      </c>
      <c r="M187">
        <v>498</v>
      </c>
      <c r="N187">
        <v>498</v>
      </c>
    </row>
    <row r="188" spans="1:14" x14ac:dyDescent="0.2">
      <c r="A188" s="958" t="s">
        <v>5680</v>
      </c>
      <c r="B188" s="959">
        <v>45548</v>
      </c>
      <c r="C188" t="s">
        <v>5490</v>
      </c>
      <c r="D188">
        <v>1810</v>
      </c>
      <c r="E188">
        <v>1810</v>
      </c>
      <c r="F188">
        <v>1810</v>
      </c>
      <c r="G188">
        <v>1810</v>
      </c>
      <c r="H188">
        <v>1810</v>
      </c>
      <c r="I188" t="s">
        <v>5491</v>
      </c>
      <c r="J188">
        <v>1810</v>
      </c>
      <c r="K188">
        <v>78.14</v>
      </c>
      <c r="L188">
        <v>141430</v>
      </c>
      <c r="M188">
        <v>1810</v>
      </c>
      <c r="N188">
        <v>1810</v>
      </c>
    </row>
    <row r="189" spans="1:14" x14ac:dyDescent="0.2">
      <c r="A189" s="958" t="s">
        <v>5517</v>
      </c>
      <c r="B189" s="959">
        <v>45551</v>
      </c>
      <c r="C189" t="s">
        <v>4544</v>
      </c>
      <c r="D189">
        <v>776</v>
      </c>
      <c r="E189">
        <v>776</v>
      </c>
      <c r="F189">
        <v>776</v>
      </c>
      <c r="G189">
        <v>776</v>
      </c>
      <c r="H189">
        <v>776</v>
      </c>
      <c r="I189" t="s">
        <v>5379</v>
      </c>
      <c r="J189">
        <v>776</v>
      </c>
      <c r="K189">
        <v>164.61</v>
      </c>
      <c r="L189">
        <v>127734.57</v>
      </c>
      <c r="M189">
        <v>776</v>
      </c>
      <c r="N189">
        <v>772</v>
      </c>
    </row>
    <row r="190" spans="1:14" x14ac:dyDescent="0.2">
      <c r="A190" s="958" t="s">
        <v>5517</v>
      </c>
      <c r="B190" s="959">
        <v>45551</v>
      </c>
      <c r="C190" t="s">
        <v>3974</v>
      </c>
      <c r="D190">
        <v>1508.8</v>
      </c>
      <c r="E190">
        <v>1508.8</v>
      </c>
      <c r="F190">
        <v>1508.8</v>
      </c>
      <c r="G190">
        <v>1508.8</v>
      </c>
      <c r="H190">
        <v>1508.8</v>
      </c>
      <c r="I190" t="s">
        <v>5380</v>
      </c>
      <c r="J190">
        <v>1508.8</v>
      </c>
      <c r="K190">
        <v>164.61</v>
      </c>
      <c r="L190">
        <v>248358.14</v>
      </c>
      <c r="M190">
        <v>1508.8</v>
      </c>
      <c r="N190">
        <v>1481.2</v>
      </c>
    </row>
    <row r="191" spans="1:14" x14ac:dyDescent="0.2">
      <c r="A191" s="958" t="s">
        <v>5518</v>
      </c>
      <c r="B191" s="959">
        <v>45551</v>
      </c>
      <c r="C191" t="s">
        <v>6463</v>
      </c>
      <c r="D191">
        <v>1356</v>
      </c>
      <c r="E191">
        <v>1356</v>
      </c>
      <c r="F191">
        <v>1356</v>
      </c>
      <c r="G191">
        <v>1356</v>
      </c>
      <c r="H191">
        <v>1356</v>
      </c>
      <c r="I191" t="s">
        <v>5399</v>
      </c>
      <c r="J191">
        <v>1356</v>
      </c>
      <c r="K191">
        <v>53.9</v>
      </c>
      <c r="L191">
        <v>73088.399999999994</v>
      </c>
      <c r="M191">
        <v>1356</v>
      </c>
      <c r="N191">
        <v>1328</v>
      </c>
    </row>
    <row r="192" spans="1:14" x14ac:dyDescent="0.2">
      <c r="A192" s="958" t="s">
        <v>5519</v>
      </c>
      <c r="B192" s="959">
        <v>45551</v>
      </c>
      <c r="C192" t="s">
        <v>78</v>
      </c>
      <c r="D192">
        <v>1332</v>
      </c>
      <c r="E192">
        <v>1332</v>
      </c>
      <c r="F192">
        <v>1332</v>
      </c>
      <c r="G192">
        <v>1332</v>
      </c>
      <c r="H192">
        <v>1332</v>
      </c>
      <c r="I192" t="s">
        <v>5385</v>
      </c>
      <c r="J192">
        <v>1332</v>
      </c>
      <c r="K192">
        <v>79.91</v>
      </c>
      <c r="L192">
        <v>106440.12</v>
      </c>
      <c r="M192">
        <v>1332</v>
      </c>
      <c r="N192">
        <v>1272</v>
      </c>
    </row>
    <row r="193" spans="1:14" x14ac:dyDescent="0.2">
      <c r="A193" s="958" t="s">
        <v>5520</v>
      </c>
      <c r="B193" s="959">
        <v>45551</v>
      </c>
      <c r="C193" t="s">
        <v>5311</v>
      </c>
      <c r="D193">
        <v>1530</v>
      </c>
      <c r="E193">
        <v>1530</v>
      </c>
      <c r="F193">
        <v>1530</v>
      </c>
      <c r="G193">
        <v>1530</v>
      </c>
      <c r="H193">
        <v>1530</v>
      </c>
      <c r="I193" t="s">
        <v>5378</v>
      </c>
      <c r="J193">
        <v>1530</v>
      </c>
      <c r="K193">
        <v>41.34</v>
      </c>
      <c r="L193">
        <v>63252.19</v>
      </c>
      <c r="M193">
        <v>1530</v>
      </c>
      <c r="N193">
        <v>1530</v>
      </c>
    </row>
    <row r="194" spans="1:14" x14ac:dyDescent="0.2">
      <c r="A194" s="958" t="s">
        <v>5521</v>
      </c>
      <c r="B194" s="959">
        <v>45552</v>
      </c>
      <c r="C194" t="s">
        <v>5522</v>
      </c>
      <c r="D194">
        <v>4002</v>
      </c>
      <c r="E194">
        <v>4002</v>
      </c>
      <c r="F194">
        <v>4002</v>
      </c>
      <c r="G194">
        <v>4002</v>
      </c>
      <c r="H194">
        <v>4002</v>
      </c>
      <c r="I194" t="s">
        <v>5523</v>
      </c>
      <c r="J194">
        <v>4002</v>
      </c>
      <c r="K194">
        <v>35.270000000000003</v>
      </c>
      <c r="L194">
        <v>141165.35</v>
      </c>
      <c r="M194">
        <v>4002</v>
      </c>
      <c r="N194">
        <v>4002</v>
      </c>
    </row>
    <row r="195" spans="1:14" x14ac:dyDescent="0.2">
      <c r="A195" s="958" t="s">
        <v>5524</v>
      </c>
      <c r="B195" s="959">
        <v>45552</v>
      </c>
      <c r="C195" t="s">
        <v>5522</v>
      </c>
      <c r="D195">
        <v>90</v>
      </c>
      <c r="E195">
        <v>90</v>
      </c>
      <c r="F195">
        <v>90</v>
      </c>
      <c r="G195">
        <v>90</v>
      </c>
      <c r="H195">
        <v>90</v>
      </c>
      <c r="I195" t="s">
        <v>5523</v>
      </c>
      <c r="J195">
        <v>90</v>
      </c>
      <c r="K195">
        <v>35.270000000000003</v>
      </c>
      <c r="L195">
        <v>3174.3</v>
      </c>
      <c r="M195">
        <v>90</v>
      </c>
      <c r="N195">
        <v>90</v>
      </c>
    </row>
    <row r="196" spans="1:14" x14ac:dyDescent="0.2">
      <c r="A196" s="958" t="s">
        <v>5525</v>
      </c>
      <c r="B196" s="959">
        <v>45552</v>
      </c>
      <c r="C196" t="s">
        <v>2561</v>
      </c>
      <c r="D196">
        <v>942</v>
      </c>
      <c r="E196">
        <v>942</v>
      </c>
      <c r="F196">
        <v>942</v>
      </c>
      <c r="G196">
        <v>942</v>
      </c>
      <c r="H196">
        <v>942</v>
      </c>
      <c r="I196" t="s">
        <v>5408</v>
      </c>
      <c r="J196">
        <v>942</v>
      </c>
      <c r="K196">
        <v>167.68</v>
      </c>
      <c r="L196">
        <v>157957.29</v>
      </c>
      <c r="M196">
        <v>942</v>
      </c>
      <c r="N196">
        <v>852</v>
      </c>
    </row>
    <row r="197" spans="1:14" x14ac:dyDescent="0.2">
      <c r="A197" s="958" t="s">
        <v>5526</v>
      </c>
      <c r="B197" s="959">
        <v>45552</v>
      </c>
      <c r="C197" t="s">
        <v>4461</v>
      </c>
      <c r="D197">
        <v>270</v>
      </c>
      <c r="E197">
        <v>270</v>
      </c>
      <c r="F197">
        <v>270</v>
      </c>
      <c r="G197">
        <v>270</v>
      </c>
      <c r="H197">
        <v>270</v>
      </c>
      <c r="I197" t="s">
        <v>5391</v>
      </c>
      <c r="J197">
        <v>270</v>
      </c>
      <c r="K197">
        <v>131.75</v>
      </c>
      <c r="L197">
        <v>35572.5</v>
      </c>
      <c r="M197">
        <v>270</v>
      </c>
      <c r="N197">
        <v>270</v>
      </c>
    </row>
    <row r="198" spans="1:14" x14ac:dyDescent="0.2">
      <c r="A198" s="958" t="s">
        <v>5527</v>
      </c>
      <c r="B198" s="959">
        <v>45552</v>
      </c>
      <c r="C198" t="s">
        <v>1975</v>
      </c>
      <c r="D198">
        <v>2348.4</v>
      </c>
      <c r="E198">
        <v>2348.4</v>
      </c>
      <c r="F198">
        <v>988.8</v>
      </c>
      <c r="G198">
        <v>2348.4</v>
      </c>
      <c r="H198">
        <v>988.8</v>
      </c>
      <c r="I198" t="s">
        <v>5270</v>
      </c>
      <c r="J198">
        <v>2348.4</v>
      </c>
      <c r="K198">
        <v>68.69</v>
      </c>
      <c r="L198">
        <v>161311.6</v>
      </c>
      <c r="M198">
        <v>2348.4</v>
      </c>
      <c r="N198">
        <v>2343.25</v>
      </c>
    </row>
    <row r="199" spans="1:14" x14ac:dyDescent="0.2">
      <c r="A199" s="958" t="s">
        <v>5527</v>
      </c>
      <c r="B199" s="959">
        <v>45552</v>
      </c>
      <c r="C199" t="s">
        <v>2841</v>
      </c>
      <c r="D199">
        <v>4049.75</v>
      </c>
      <c r="E199">
        <v>4049.75</v>
      </c>
      <c r="F199">
        <v>4049.75</v>
      </c>
      <c r="G199">
        <v>4049.75</v>
      </c>
      <c r="H199">
        <v>4049.75</v>
      </c>
      <c r="I199" t="s">
        <v>5486</v>
      </c>
      <c r="J199">
        <v>4049.75</v>
      </c>
      <c r="K199">
        <v>49.23</v>
      </c>
      <c r="L199">
        <v>199385.39</v>
      </c>
      <c r="M199">
        <v>4049.75</v>
      </c>
      <c r="N199">
        <v>4049.75</v>
      </c>
    </row>
    <row r="200" spans="1:14" x14ac:dyDescent="0.2">
      <c r="A200" s="958" t="s">
        <v>5528</v>
      </c>
      <c r="B200" s="959">
        <v>45553</v>
      </c>
      <c r="C200" t="s">
        <v>4732</v>
      </c>
      <c r="D200">
        <v>60</v>
      </c>
      <c r="E200">
        <v>60</v>
      </c>
      <c r="F200">
        <v>60</v>
      </c>
      <c r="I200" t="s">
        <v>5369</v>
      </c>
      <c r="J200">
        <v>60</v>
      </c>
      <c r="K200">
        <v>202.09</v>
      </c>
      <c r="L200">
        <v>12125.25</v>
      </c>
      <c r="M200">
        <v>60</v>
      </c>
      <c r="N200">
        <v>60</v>
      </c>
    </row>
    <row r="201" spans="1:14" x14ac:dyDescent="0.2">
      <c r="A201" s="958" t="s">
        <v>5529</v>
      </c>
      <c r="B201" s="959">
        <v>45554</v>
      </c>
      <c r="C201" t="s">
        <v>5318</v>
      </c>
      <c r="D201">
        <v>2466</v>
      </c>
      <c r="E201">
        <v>2466</v>
      </c>
      <c r="F201">
        <v>2466</v>
      </c>
      <c r="G201">
        <v>2466</v>
      </c>
      <c r="H201">
        <v>2466</v>
      </c>
      <c r="I201" t="s">
        <v>5530</v>
      </c>
      <c r="J201">
        <v>2466</v>
      </c>
      <c r="K201">
        <v>97.15</v>
      </c>
      <c r="L201">
        <v>239576.83</v>
      </c>
      <c r="M201">
        <v>2466</v>
      </c>
      <c r="N201">
        <v>2466</v>
      </c>
    </row>
    <row r="202" spans="1:14" x14ac:dyDescent="0.2">
      <c r="A202" s="958" t="s">
        <v>5531</v>
      </c>
      <c r="B202" s="959">
        <v>45554</v>
      </c>
      <c r="C202" t="s">
        <v>5319</v>
      </c>
      <c r="D202">
        <v>163.35</v>
      </c>
      <c r="E202">
        <v>163.35</v>
      </c>
      <c r="F202">
        <v>163.35</v>
      </c>
      <c r="G202">
        <v>163.35</v>
      </c>
      <c r="H202">
        <v>163.35</v>
      </c>
      <c r="I202" t="s">
        <v>5475</v>
      </c>
      <c r="J202">
        <v>163.35</v>
      </c>
      <c r="K202">
        <v>79.91</v>
      </c>
      <c r="L202">
        <v>13053.05</v>
      </c>
      <c r="M202">
        <v>163.35</v>
      </c>
    </row>
    <row r="203" spans="1:14" x14ac:dyDescent="0.2">
      <c r="A203" s="958" t="s">
        <v>5532</v>
      </c>
      <c r="B203" s="959">
        <v>45554</v>
      </c>
      <c r="C203" t="s">
        <v>5296</v>
      </c>
      <c r="D203">
        <v>2256</v>
      </c>
      <c r="E203">
        <v>2256</v>
      </c>
      <c r="F203">
        <v>2256</v>
      </c>
      <c r="G203">
        <v>2256</v>
      </c>
      <c r="H203">
        <v>2256</v>
      </c>
      <c r="I203" t="s">
        <v>5533</v>
      </c>
      <c r="J203">
        <v>2256</v>
      </c>
      <c r="K203">
        <v>71.680000000000007</v>
      </c>
      <c r="L203">
        <v>161701.06</v>
      </c>
      <c r="M203">
        <v>2256</v>
      </c>
      <c r="N203">
        <v>2184</v>
      </c>
    </row>
    <row r="204" spans="1:14" x14ac:dyDescent="0.2">
      <c r="A204" s="958" t="s">
        <v>5534</v>
      </c>
      <c r="B204" s="959">
        <v>45558</v>
      </c>
      <c r="C204" t="s">
        <v>2841</v>
      </c>
      <c r="D204">
        <v>669.3</v>
      </c>
      <c r="E204">
        <v>669.3</v>
      </c>
      <c r="F204">
        <v>669.3</v>
      </c>
      <c r="G204">
        <v>669.3</v>
      </c>
      <c r="H204">
        <v>669.3</v>
      </c>
      <c r="I204" t="s">
        <v>5486</v>
      </c>
      <c r="J204">
        <v>669.3</v>
      </c>
      <c r="K204">
        <v>49.23</v>
      </c>
      <c r="L204">
        <v>32952.32</v>
      </c>
      <c r="M204">
        <v>669.3</v>
      </c>
      <c r="N204">
        <v>669.3</v>
      </c>
    </row>
    <row r="205" spans="1:14" x14ac:dyDescent="0.2">
      <c r="A205" s="958" t="s">
        <v>5535</v>
      </c>
      <c r="B205" s="959">
        <v>45558</v>
      </c>
      <c r="C205" t="s">
        <v>5320</v>
      </c>
      <c r="D205">
        <v>517.75</v>
      </c>
      <c r="E205">
        <v>517.75</v>
      </c>
      <c r="F205">
        <v>517.75</v>
      </c>
      <c r="G205">
        <v>517.75</v>
      </c>
      <c r="H205">
        <v>517.75</v>
      </c>
      <c r="I205" t="s">
        <v>5536</v>
      </c>
      <c r="J205">
        <v>517.75</v>
      </c>
      <c r="K205">
        <v>313.13</v>
      </c>
      <c r="L205">
        <v>162123.57999999999</v>
      </c>
      <c r="M205">
        <v>517.75</v>
      </c>
      <c r="N205">
        <v>517.75</v>
      </c>
    </row>
    <row r="206" spans="1:14" x14ac:dyDescent="0.2">
      <c r="A206" s="958" t="s">
        <v>5537</v>
      </c>
      <c r="B206" s="959">
        <v>45561</v>
      </c>
      <c r="C206" t="s">
        <v>4667</v>
      </c>
      <c r="D206">
        <v>882</v>
      </c>
      <c r="E206">
        <v>882</v>
      </c>
      <c r="F206">
        <v>882</v>
      </c>
      <c r="G206">
        <v>882</v>
      </c>
      <c r="H206">
        <v>882</v>
      </c>
      <c r="I206" t="s">
        <v>5508</v>
      </c>
      <c r="J206">
        <v>882</v>
      </c>
      <c r="K206">
        <v>158.52000000000001</v>
      </c>
      <c r="L206">
        <v>139816.4</v>
      </c>
      <c r="M206">
        <v>882</v>
      </c>
      <c r="N206">
        <v>882</v>
      </c>
    </row>
    <row r="207" spans="1:14" x14ac:dyDescent="0.2">
      <c r="A207" s="958" t="s">
        <v>5538</v>
      </c>
      <c r="B207" s="959">
        <v>45562</v>
      </c>
      <c r="C207" t="s">
        <v>5367</v>
      </c>
      <c r="D207">
        <v>1236</v>
      </c>
      <c r="E207">
        <v>1236</v>
      </c>
      <c r="F207">
        <v>1236</v>
      </c>
      <c r="G207">
        <v>1236</v>
      </c>
      <c r="H207">
        <v>1236</v>
      </c>
      <c r="I207" t="s">
        <v>5368</v>
      </c>
      <c r="J207">
        <v>1236</v>
      </c>
      <c r="M207">
        <v>1236</v>
      </c>
      <c r="N207">
        <v>1236</v>
      </c>
    </row>
    <row r="208" spans="1:14" x14ac:dyDescent="0.2">
      <c r="A208" s="958" t="s">
        <v>5538</v>
      </c>
      <c r="B208" s="959">
        <v>45562</v>
      </c>
      <c r="C208" t="s">
        <v>5390</v>
      </c>
      <c r="D208">
        <v>2538</v>
      </c>
      <c r="E208">
        <v>2538</v>
      </c>
      <c r="F208">
        <v>2538</v>
      </c>
      <c r="G208">
        <v>2538</v>
      </c>
      <c r="H208">
        <v>2538</v>
      </c>
      <c r="I208" t="s">
        <v>6007</v>
      </c>
      <c r="J208">
        <v>2538</v>
      </c>
      <c r="M208">
        <v>2532</v>
      </c>
      <c r="N208">
        <v>2532</v>
      </c>
    </row>
    <row r="209" spans="1:14" x14ac:dyDescent="0.2">
      <c r="A209" s="958" t="s">
        <v>5538</v>
      </c>
      <c r="B209" s="959">
        <v>45562</v>
      </c>
      <c r="C209" t="s">
        <v>5427</v>
      </c>
      <c r="D209">
        <v>534</v>
      </c>
      <c r="E209">
        <v>534</v>
      </c>
      <c r="F209">
        <v>534</v>
      </c>
      <c r="G209">
        <v>534</v>
      </c>
      <c r="H209">
        <v>534</v>
      </c>
      <c r="I209" t="s">
        <v>5428</v>
      </c>
      <c r="J209">
        <v>534</v>
      </c>
      <c r="M209">
        <v>534</v>
      </c>
      <c r="N209">
        <v>534</v>
      </c>
    </row>
    <row r="210" spans="1:14" x14ac:dyDescent="0.2">
      <c r="A210" s="958" t="s">
        <v>5539</v>
      </c>
      <c r="B210" s="959">
        <v>45562</v>
      </c>
      <c r="C210" t="s">
        <v>6532</v>
      </c>
      <c r="D210">
        <v>24</v>
      </c>
      <c r="E210">
        <v>24</v>
      </c>
      <c r="F210">
        <v>24</v>
      </c>
      <c r="G210">
        <v>24</v>
      </c>
      <c r="H210">
        <v>24</v>
      </c>
      <c r="I210" t="s">
        <v>6796</v>
      </c>
      <c r="J210">
        <v>24</v>
      </c>
      <c r="K210">
        <v>1300.67</v>
      </c>
      <c r="L210">
        <v>31216</v>
      </c>
      <c r="M210">
        <v>24</v>
      </c>
      <c r="N210">
        <v>24</v>
      </c>
    </row>
    <row r="211" spans="1:14" x14ac:dyDescent="0.2">
      <c r="A211" s="958" t="s">
        <v>5539</v>
      </c>
      <c r="B211" s="959">
        <v>45562</v>
      </c>
      <c r="C211" t="s">
        <v>6533</v>
      </c>
      <c r="D211">
        <v>24</v>
      </c>
      <c r="E211">
        <v>24</v>
      </c>
      <c r="F211">
        <v>24</v>
      </c>
      <c r="G211">
        <v>24</v>
      </c>
      <c r="H211">
        <v>24</v>
      </c>
      <c r="I211" t="s">
        <v>6797</v>
      </c>
      <c r="J211">
        <v>24</v>
      </c>
      <c r="K211">
        <v>1948.33</v>
      </c>
      <c r="L211">
        <v>46760</v>
      </c>
      <c r="M211">
        <v>24</v>
      </c>
      <c r="N211">
        <v>24</v>
      </c>
    </row>
    <row r="212" spans="1:14" x14ac:dyDescent="0.2">
      <c r="A212" s="958" t="s">
        <v>5539</v>
      </c>
      <c r="B212" s="959">
        <v>45562</v>
      </c>
      <c r="C212" t="s">
        <v>6534</v>
      </c>
      <c r="D212">
        <v>24</v>
      </c>
      <c r="E212">
        <v>24</v>
      </c>
      <c r="F212">
        <v>24</v>
      </c>
      <c r="G212">
        <v>24</v>
      </c>
      <c r="H212">
        <v>24</v>
      </c>
      <c r="I212" t="s">
        <v>6798</v>
      </c>
      <c r="J212">
        <v>24</v>
      </c>
      <c r="K212">
        <v>1069.33</v>
      </c>
      <c r="L212">
        <v>25664</v>
      </c>
      <c r="M212">
        <v>24</v>
      </c>
      <c r="N212">
        <v>24</v>
      </c>
    </row>
    <row r="213" spans="1:14" x14ac:dyDescent="0.2">
      <c r="A213" s="958" t="s">
        <v>5539</v>
      </c>
      <c r="B213" s="959">
        <v>45562</v>
      </c>
      <c r="C213" t="s">
        <v>6535</v>
      </c>
      <c r="D213">
        <v>32</v>
      </c>
      <c r="E213">
        <v>32</v>
      </c>
      <c r="F213">
        <v>32</v>
      </c>
      <c r="G213">
        <v>32</v>
      </c>
      <c r="H213">
        <v>32</v>
      </c>
      <c r="I213" t="s">
        <v>6799</v>
      </c>
      <c r="J213">
        <v>32</v>
      </c>
      <c r="K213">
        <v>2454.25</v>
      </c>
      <c r="L213">
        <v>78536</v>
      </c>
      <c r="M213">
        <v>32</v>
      </c>
      <c r="N213">
        <v>32</v>
      </c>
    </row>
    <row r="214" spans="1:14" x14ac:dyDescent="0.2">
      <c r="A214" s="958" t="s">
        <v>5539</v>
      </c>
      <c r="B214" s="959">
        <v>45562</v>
      </c>
      <c r="C214" t="s">
        <v>6536</v>
      </c>
      <c r="D214">
        <v>32</v>
      </c>
      <c r="E214">
        <v>32</v>
      </c>
      <c r="F214">
        <v>32</v>
      </c>
      <c r="G214">
        <v>32</v>
      </c>
      <c r="H214">
        <v>32</v>
      </c>
      <c r="I214" t="s">
        <v>6570</v>
      </c>
      <c r="J214">
        <v>32</v>
      </c>
      <c r="K214">
        <v>4081.5</v>
      </c>
      <c r="L214">
        <v>130608</v>
      </c>
      <c r="M214">
        <v>32</v>
      </c>
      <c r="N214">
        <v>32</v>
      </c>
    </row>
    <row r="215" spans="1:14" x14ac:dyDescent="0.2">
      <c r="A215" s="958" t="s">
        <v>5540</v>
      </c>
      <c r="B215" s="959">
        <v>45562</v>
      </c>
      <c r="C215" t="s">
        <v>5271</v>
      </c>
      <c r="D215">
        <v>715</v>
      </c>
      <c r="E215">
        <v>715</v>
      </c>
      <c r="F215">
        <v>715</v>
      </c>
      <c r="G215">
        <v>715</v>
      </c>
      <c r="H215">
        <v>715</v>
      </c>
      <c r="I215" t="s">
        <v>5464</v>
      </c>
      <c r="J215">
        <v>715</v>
      </c>
      <c r="K215">
        <v>200.32</v>
      </c>
      <c r="L215">
        <v>143228.79999999999</v>
      </c>
      <c r="M215">
        <v>715</v>
      </c>
      <c r="N215">
        <v>715</v>
      </c>
    </row>
    <row r="216" spans="1:14" x14ac:dyDescent="0.2">
      <c r="A216" s="958" t="s">
        <v>5540</v>
      </c>
      <c r="B216" s="959">
        <v>45562</v>
      </c>
      <c r="C216" t="s">
        <v>5371</v>
      </c>
      <c r="D216">
        <v>624</v>
      </c>
      <c r="E216">
        <v>624</v>
      </c>
      <c r="F216">
        <v>624</v>
      </c>
      <c r="G216">
        <v>624</v>
      </c>
      <c r="H216">
        <v>624</v>
      </c>
      <c r="I216" t="s">
        <v>5372</v>
      </c>
      <c r="J216">
        <v>624</v>
      </c>
      <c r="K216">
        <v>197.73</v>
      </c>
      <c r="L216">
        <v>123382.27</v>
      </c>
      <c r="M216">
        <v>611</v>
      </c>
      <c r="N216">
        <v>611</v>
      </c>
    </row>
    <row r="217" spans="1:14" x14ac:dyDescent="0.2">
      <c r="A217" s="958" t="s">
        <v>5540</v>
      </c>
      <c r="B217" s="959">
        <v>45562</v>
      </c>
      <c r="C217" t="s">
        <v>4491</v>
      </c>
      <c r="D217">
        <v>650</v>
      </c>
      <c r="E217">
        <v>650</v>
      </c>
      <c r="F217">
        <v>650</v>
      </c>
      <c r="G217">
        <v>650</v>
      </c>
      <c r="H217">
        <v>650</v>
      </c>
      <c r="I217" t="s">
        <v>6025</v>
      </c>
      <c r="J217">
        <v>650</v>
      </c>
      <c r="K217">
        <v>172.96</v>
      </c>
      <c r="L217">
        <v>112424</v>
      </c>
      <c r="M217">
        <v>650</v>
      </c>
      <c r="N217">
        <v>650</v>
      </c>
    </row>
    <row r="218" spans="1:14" x14ac:dyDescent="0.2">
      <c r="A218" s="958" t="s">
        <v>5540</v>
      </c>
      <c r="B218" s="959">
        <v>45562</v>
      </c>
      <c r="C218" t="s">
        <v>5342</v>
      </c>
      <c r="D218">
        <v>558</v>
      </c>
      <c r="E218">
        <v>1116</v>
      </c>
      <c r="F218">
        <v>558</v>
      </c>
      <c r="G218">
        <v>558</v>
      </c>
      <c r="H218">
        <v>558</v>
      </c>
      <c r="I218" t="s">
        <v>5541</v>
      </c>
      <c r="J218">
        <v>558</v>
      </c>
      <c r="K218">
        <v>135.04</v>
      </c>
      <c r="L218">
        <v>75352.320000000007</v>
      </c>
      <c r="M218">
        <v>558</v>
      </c>
      <c r="N218">
        <v>558</v>
      </c>
    </row>
    <row r="219" spans="1:14" x14ac:dyDescent="0.2">
      <c r="A219" s="958" t="s">
        <v>5542</v>
      </c>
      <c r="B219" s="959">
        <v>45562</v>
      </c>
      <c r="C219" t="s">
        <v>5373</v>
      </c>
      <c r="D219">
        <v>2868</v>
      </c>
      <c r="E219">
        <v>2868</v>
      </c>
      <c r="F219">
        <v>2868</v>
      </c>
      <c r="G219">
        <v>2868</v>
      </c>
      <c r="H219">
        <v>2868</v>
      </c>
      <c r="I219" t="s">
        <v>5374</v>
      </c>
      <c r="J219">
        <v>2868</v>
      </c>
      <c r="M219">
        <v>2868</v>
      </c>
      <c r="N219">
        <v>2868</v>
      </c>
    </row>
    <row r="220" spans="1:14" x14ac:dyDescent="0.2">
      <c r="A220" s="958" t="s">
        <v>5543</v>
      </c>
      <c r="B220" s="959">
        <v>45562</v>
      </c>
      <c r="C220" t="s">
        <v>5370</v>
      </c>
      <c r="D220">
        <v>338</v>
      </c>
      <c r="E220">
        <v>338</v>
      </c>
      <c r="F220">
        <v>338</v>
      </c>
      <c r="G220">
        <v>338</v>
      </c>
      <c r="H220">
        <v>338</v>
      </c>
      <c r="I220" t="s">
        <v>6887</v>
      </c>
      <c r="J220">
        <v>338</v>
      </c>
      <c r="K220">
        <v>199.68</v>
      </c>
      <c r="L220">
        <v>67491.839999999997</v>
      </c>
      <c r="M220">
        <v>318.5</v>
      </c>
      <c r="N220">
        <v>318.5</v>
      </c>
    </row>
    <row r="221" spans="1:14" x14ac:dyDescent="0.2">
      <c r="A221" s="958" t="s">
        <v>5543</v>
      </c>
      <c r="B221" s="959">
        <v>45562</v>
      </c>
      <c r="C221" t="s">
        <v>5429</v>
      </c>
      <c r="D221">
        <v>351</v>
      </c>
      <c r="E221">
        <v>351</v>
      </c>
      <c r="F221">
        <v>351</v>
      </c>
      <c r="G221">
        <v>351</v>
      </c>
      <c r="H221">
        <v>351</v>
      </c>
      <c r="I221" t="s">
        <v>6888</v>
      </c>
      <c r="J221">
        <v>351</v>
      </c>
      <c r="K221">
        <v>198.4</v>
      </c>
      <c r="L221">
        <v>69638.399999999994</v>
      </c>
      <c r="M221">
        <v>351</v>
      </c>
      <c r="N221">
        <v>351</v>
      </c>
    </row>
    <row r="222" spans="1:14" x14ac:dyDescent="0.2">
      <c r="A222" s="958" t="s">
        <v>5543</v>
      </c>
      <c r="B222" s="959">
        <v>45562</v>
      </c>
      <c r="C222" t="s">
        <v>4733</v>
      </c>
      <c r="D222">
        <v>357.5</v>
      </c>
      <c r="E222">
        <v>357.5</v>
      </c>
      <c r="F222">
        <v>357.5</v>
      </c>
      <c r="G222">
        <v>357.5</v>
      </c>
      <c r="H222">
        <v>357.5</v>
      </c>
      <c r="I222" t="s">
        <v>6889</v>
      </c>
      <c r="J222">
        <v>357.5</v>
      </c>
      <c r="K222">
        <v>173.12</v>
      </c>
      <c r="L222">
        <v>61890.400000000001</v>
      </c>
      <c r="M222">
        <v>357.5</v>
      </c>
      <c r="N222">
        <v>357.5</v>
      </c>
    </row>
    <row r="223" spans="1:14" x14ac:dyDescent="0.2">
      <c r="A223" s="958" t="s">
        <v>5544</v>
      </c>
      <c r="B223" s="959">
        <v>45562</v>
      </c>
      <c r="C223" t="s">
        <v>1472</v>
      </c>
      <c r="D223">
        <v>450</v>
      </c>
      <c r="E223">
        <v>450</v>
      </c>
      <c r="F223">
        <v>450</v>
      </c>
      <c r="G223">
        <v>450</v>
      </c>
      <c r="H223">
        <v>450</v>
      </c>
      <c r="I223" t="s">
        <v>5448</v>
      </c>
      <c r="J223">
        <v>450</v>
      </c>
      <c r="K223">
        <v>187.64</v>
      </c>
      <c r="L223">
        <v>84438</v>
      </c>
      <c r="M223">
        <v>450</v>
      </c>
      <c r="N223">
        <v>450</v>
      </c>
    </row>
    <row r="224" spans="1:14" x14ac:dyDescent="0.2">
      <c r="A224" s="958" t="s">
        <v>5545</v>
      </c>
      <c r="B224" s="959">
        <v>45562</v>
      </c>
      <c r="C224" t="s">
        <v>2841</v>
      </c>
      <c r="D224">
        <v>4297.1000000000004</v>
      </c>
      <c r="E224">
        <v>4297.1000000000004</v>
      </c>
      <c r="F224">
        <v>4297.1000000000004</v>
      </c>
      <c r="G224">
        <v>4297.1000000000004</v>
      </c>
      <c r="H224">
        <v>4297.1000000000004</v>
      </c>
      <c r="I224" t="s">
        <v>5486</v>
      </c>
      <c r="J224">
        <v>4297.1000000000004</v>
      </c>
      <c r="K224">
        <v>49.23</v>
      </c>
      <c r="L224">
        <v>211563.42</v>
      </c>
      <c r="M224">
        <v>4297.1000000000004</v>
      </c>
      <c r="N224">
        <v>4282.55</v>
      </c>
    </row>
    <row r="225" spans="1:14" x14ac:dyDescent="0.2">
      <c r="A225" s="958" t="s">
        <v>5546</v>
      </c>
      <c r="B225" s="959">
        <v>45565</v>
      </c>
      <c r="C225" t="s">
        <v>4994</v>
      </c>
      <c r="D225">
        <v>1920</v>
      </c>
      <c r="E225">
        <v>1920</v>
      </c>
      <c r="F225">
        <v>1920</v>
      </c>
      <c r="G225">
        <v>1920</v>
      </c>
      <c r="H225">
        <v>1920</v>
      </c>
      <c r="I225" t="s">
        <v>5459</v>
      </c>
      <c r="J225">
        <v>1920</v>
      </c>
      <c r="M225">
        <v>1890</v>
      </c>
      <c r="N225">
        <v>1890</v>
      </c>
    </row>
    <row r="226" spans="1:14" x14ac:dyDescent="0.2">
      <c r="A226" s="958" t="s">
        <v>5546</v>
      </c>
      <c r="B226" s="959">
        <v>45565</v>
      </c>
      <c r="C226" t="s">
        <v>4378</v>
      </c>
      <c r="D226">
        <v>540</v>
      </c>
      <c r="E226">
        <v>540</v>
      </c>
      <c r="F226">
        <v>540</v>
      </c>
      <c r="G226">
        <v>540</v>
      </c>
      <c r="H226">
        <v>540</v>
      </c>
      <c r="I226" t="s">
        <v>5547</v>
      </c>
      <c r="J226">
        <v>540</v>
      </c>
      <c r="M226">
        <v>540</v>
      </c>
      <c r="N226">
        <v>540</v>
      </c>
    </row>
    <row r="227" spans="1:14" x14ac:dyDescent="0.2">
      <c r="A227" s="958" t="s">
        <v>5546</v>
      </c>
      <c r="B227" s="959">
        <v>45565</v>
      </c>
      <c r="C227" t="s">
        <v>5003</v>
      </c>
      <c r="D227">
        <v>1818</v>
      </c>
      <c r="E227">
        <v>1818</v>
      </c>
      <c r="F227">
        <v>1818</v>
      </c>
      <c r="G227">
        <v>1818</v>
      </c>
      <c r="H227">
        <v>1818</v>
      </c>
      <c r="I227" t="s">
        <v>5548</v>
      </c>
      <c r="J227">
        <v>1818</v>
      </c>
      <c r="M227">
        <v>1812</v>
      </c>
      <c r="N227">
        <v>1812</v>
      </c>
    </row>
    <row r="228" spans="1:14" x14ac:dyDescent="0.2">
      <c r="A228" s="958" t="s">
        <v>5546</v>
      </c>
      <c r="B228" s="959">
        <v>45565</v>
      </c>
      <c r="C228" t="s">
        <v>5091</v>
      </c>
      <c r="D228">
        <v>972</v>
      </c>
      <c r="E228">
        <v>972</v>
      </c>
      <c r="F228">
        <v>972</v>
      </c>
      <c r="G228">
        <v>972</v>
      </c>
      <c r="H228">
        <v>972</v>
      </c>
      <c r="I228" t="s">
        <v>5220</v>
      </c>
      <c r="J228">
        <v>972</v>
      </c>
      <c r="M228">
        <v>972</v>
      </c>
      <c r="N228">
        <v>972</v>
      </c>
    </row>
    <row r="229" spans="1:14" x14ac:dyDescent="0.2">
      <c r="A229" s="958" t="s">
        <v>5549</v>
      </c>
      <c r="B229" s="959">
        <v>45565</v>
      </c>
      <c r="C229" t="s">
        <v>5341</v>
      </c>
      <c r="D229">
        <v>108</v>
      </c>
      <c r="E229">
        <v>108</v>
      </c>
      <c r="F229">
        <v>108</v>
      </c>
      <c r="G229">
        <v>108</v>
      </c>
      <c r="H229">
        <v>108</v>
      </c>
      <c r="I229" t="s">
        <v>5550</v>
      </c>
      <c r="J229">
        <v>108</v>
      </c>
      <c r="K229">
        <v>112.37</v>
      </c>
      <c r="L229">
        <v>12135.96</v>
      </c>
      <c r="M229">
        <v>108</v>
      </c>
      <c r="N229">
        <v>108</v>
      </c>
    </row>
    <row r="230" spans="1:14" x14ac:dyDescent="0.2">
      <c r="A230" s="958" t="s">
        <v>5549</v>
      </c>
      <c r="B230" s="959">
        <v>45565</v>
      </c>
      <c r="C230" t="s">
        <v>5342</v>
      </c>
      <c r="D230">
        <v>66</v>
      </c>
      <c r="E230">
        <v>66</v>
      </c>
      <c r="F230">
        <v>66</v>
      </c>
      <c r="G230">
        <v>66</v>
      </c>
      <c r="H230">
        <v>66</v>
      </c>
      <c r="I230" t="s">
        <v>5541</v>
      </c>
      <c r="J230">
        <v>66</v>
      </c>
      <c r="K230">
        <v>179.35</v>
      </c>
      <c r="L230">
        <v>11837.1</v>
      </c>
      <c r="M230">
        <v>66</v>
      </c>
      <c r="N230">
        <v>66</v>
      </c>
    </row>
    <row r="231" spans="1:14" x14ac:dyDescent="0.2">
      <c r="A231" s="958" t="s">
        <v>5551</v>
      </c>
      <c r="B231" s="959">
        <v>45566</v>
      </c>
      <c r="C231" t="s">
        <v>5318</v>
      </c>
      <c r="D231">
        <v>1020</v>
      </c>
      <c r="E231">
        <v>1020</v>
      </c>
      <c r="F231">
        <v>1020</v>
      </c>
      <c r="G231">
        <v>1020</v>
      </c>
      <c r="H231">
        <v>1020</v>
      </c>
      <c r="I231" t="s">
        <v>5530</v>
      </c>
      <c r="J231">
        <v>1020</v>
      </c>
      <c r="K231">
        <v>97.15</v>
      </c>
      <c r="L231">
        <v>99093</v>
      </c>
      <c r="M231">
        <v>1020</v>
      </c>
      <c r="N231">
        <v>1020</v>
      </c>
    </row>
    <row r="232" spans="1:14" x14ac:dyDescent="0.2">
      <c r="A232" s="958" t="s">
        <v>5552</v>
      </c>
      <c r="B232" s="959">
        <v>45566</v>
      </c>
      <c r="C232" t="s">
        <v>628</v>
      </c>
      <c r="D232">
        <v>2438.15</v>
      </c>
      <c r="E232">
        <v>2438.15</v>
      </c>
      <c r="F232">
        <v>2438.15</v>
      </c>
      <c r="G232">
        <v>2438.15</v>
      </c>
      <c r="H232">
        <v>2438.15</v>
      </c>
      <c r="I232" t="s">
        <v>5482</v>
      </c>
      <c r="J232">
        <v>2438.15</v>
      </c>
      <c r="K232">
        <v>88.4</v>
      </c>
      <c r="L232">
        <v>215522.71</v>
      </c>
      <c r="M232">
        <v>2438.15</v>
      </c>
      <c r="N232">
        <v>2377.65</v>
      </c>
    </row>
    <row r="233" spans="1:14" x14ac:dyDescent="0.2">
      <c r="A233" s="958" t="s">
        <v>5553</v>
      </c>
      <c r="B233" s="959">
        <v>45566</v>
      </c>
      <c r="C233" t="s">
        <v>5320</v>
      </c>
      <c r="D233">
        <v>381.5</v>
      </c>
      <c r="E233">
        <v>381.5</v>
      </c>
      <c r="F233">
        <v>381.5</v>
      </c>
      <c r="G233">
        <v>381.5</v>
      </c>
      <c r="H233">
        <v>381.5</v>
      </c>
      <c r="I233" t="s">
        <v>5536</v>
      </c>
      <c r="J233">
        <v>381.5</v>
      </c>
      <c r="K233">
        <v>313.13</v>
      </c>
      <c r="L233">
        <v>119459.1</v>
      </c>
      <c r="M233">
        <v>381.5</v>
      </c>
      <c r="N233">
        <v>381.5</v>
      </c>
    </row>
    <row r="234" spans="1:14" x14ac:dyDescent="0.2">
      <c r="A234" s="958" t="s">
        <v>5554</v>
      </c>
      <c r="B234" s="959">
        <v>45566</v>
      </c>
      <c r="C234" t="s">
        <v>5158</v>
      </c>
      <c r="D234">
        <v>453.6</v>
      </c>
      <c r="E234">
        <v>453.6</v>
      </c>
      <c r="F234">
        <v>453.6</v>
      </c>
      <c r="G234">
        <v>453.6</v>
      </c>
      <c r="H234">
        <v>453.6</v>
      </c>
      <c r="I234" t="s">
        <v>5460</v>
      </c>
      <c r="J234">
        <v>453.6</v>
      </c>
      <c r="K234">
        <v>146.97</v>
      </c>
      <c r="L234">
        <v>66663.960000000006</v>
      </c>
      <c r="M234">
        <v>453.6</v>
      </c>
      <c r="N234">
        <v>453.6</v>
      </c>
    </row>
    <row r="235" spans="1:14" x14ac:dyDescent="0.2">
      <c r="A235" s="958" t="s">
        <v>5555</v>
      </c>
      <c r="B235" s="959">
        <v>45566</v>
      </c>
      <c r="C235" t="s">
        <v>2624</v>
      </c>
      <c r="D235">
        <v>1110</v>
      </c>
      <c r="E235">
        <v>1110</v>
      </c>
      <c r="F235">
        <v>1110</v>
      </c>
      <c r="G235">
        <v>1110</v>
      </c>
      <c r="H235">
        <v>1110</v>
      </c>
      <c r="I235" t="s">
        <v>5485</v>
      </c>
      <c r="J235">
        <v>1110</v>
      </c>
      <c r="K235">
        <v>41.47</v>
      </c>
      <c r="L235">
        <v>46031.26</v>
      </c>
      <c r="M235">
        <v>1110</v>
      </c>
      <c r="N235">
        <v>1110</v>
      </c>
    </row>
    <row r="236" spans="1:14" x14ac:dyDescent="0.2">
      <c r="A236" s="958" t="s">
        <v>5556</v>
      </c>
      <c r="B236" s="959">
        <v>45566</v>
      </c>
      <c r="C236" t="s">
        <v>4378</v>
      </c>
      <c r="D236">
        <v>960</v>
      </c>
      <c r="E236">
        <v>1920</v>
      </c>
      <c r="F236">
        <v>960</v>
      </c>
      <c r="G236">
        <v>960</v>
      </c>
      <c r="H236">
        <v>960</v>
      </c>
      <c r="I236" t="s">
        <v>5076</v>
      </c>
      <c r="J236">
        <v>960</v>
      </c>
      <c r="K236">
        <v>99.42</v>
      </c>
      <c r="L236">
        <v>95444.64</v>
      </c>
      <c r="M236">
        <v>960</v>
      </c>
      <c r="N236">
        <v>960</v>
      </c>
    </row>
    <row r="237" spans="1:14" x14ac:dyDescent="0.2">
      <c r="A237" s="958" t="s">
        <v>5556</v>
      </c>
      <c r="B237" s="959">
        <v>45566</v>
      </c>
      <c r="C237" t="s">
        <v>5091</v>
      </c>
      <c r="D237">
        <v>864</v>
      </c>
      <c r="E237">
        <v>864</v>
      </c>
      <c r="F237">
        <v>864</v>
      </c>
      <c r="G237">
        <v>864</v>
      </c>
      <c r="H237">
        <v>864</v>
      </c>
      <c r="I237" t="s">
        <v>5411</v>
      </c>
      <c r="J237">
        <v>864</v>
      </c>
      <c r="K237">
        <v>74.38</v>
      </c>
      <c r="L237">
        <v>64263.02</v>
      </c>
      <c r="M237">
        <v>864</v>
      </c>
      <c r="N237">
        <v>864</v>
      </c>
    </row>
    <row r="238" spans="1:14" x14ac:dyDescent="0.2">
      <c r="A238" s="958" t="s">
        <v>5557</v>
      </c>
      <c r="B238" s="959">
        <v>45567</v>
      </c>
      <c r="C238" t="s">
        <v>4903</v>
      </c>
      <c r="D238">
        <v>14</v>
      </c>
      <c r="E238">
        <v>14</v>
      </c>
      <c r="F238">
        <v>14</v>
      </c>
      <c r="G238">
        <v>14</v>
      </c>
      <c r="H238">
        <v>14</v>
      </c>
      <c r="I238" t="s">
        <v>5395</v>
      </c>
      <c r="J238">
        <v>14</v>
      </c>
      <c r="K238">
        <v>3115.71</v>
      </c>
      <c r="L238">
        <v>43620</v>
      </c>
      <c r="M238">
        <v>14</v>
      </c>
      <c r="N238">
        <v>14</v>
      </c>
    </row>
    <row r="239" spans="1:14" x14ac:dyDescent="0.2">
      <c r="A239" s="958" t="s">
        <v>5557</v>
      </c>
      <c r="B239" s="959">
        <v>45567</v>
      </c>
      <c r="C239" t="s">
        <v>4904</v>
      </c>
      <c r="D239">
        <v>14</v>
      </c>
      <c r="E239">
        <v>14</v>
      </c>
      <c r="F239">
        <v>14</v>
      </c>
      <c r="G239">
        <v>14</v>
      </c>
      <c r="H239">
        <v>14</v>
      </c>
      <c r="I239" t="s">
        <v>5396</v>
      </c>
      <c r="J239">
        <v>14</v>
      </c>
      <c r="K239">
        <v>2150</v>
      </c>
      <c r="L239">
        <v>30100</v>
      </c>
      <c r="M239">
        <v>14</v>
      </c>
      <c r="N239">
        <v>14</v>
      </c>
    </row>
    <row r="240" spans="1:14" x14ac:dyDescent="0.2">
      <c r="A240" s="958" t="s">
        <v>5558</v>
      </c>
      <c r="B240" s="959">
        <v>45569</v>
      </c>
      <c r="C240" t="s">
        <v>5340</v>
      </c>
      <c r="D240">
        <v>36.299999999999997</v>
      </c>
      <c r="E240">
        <v>36.299999999999997</v>
      </c>
      <c r="F240">
        <v>36.299999999999997</v>
      </c>
      <c r="G240">
        <v>36.299999999999997</v>
      </c>
      <c r="H240">
        <v>36.299999999999997</v>
      </c>
      <c r="I240" t="s">
        <v>5559</v>
      </c>
      <c r="J240">
        <v>36.299999999999997</v>
      </c>
      <c r="K240">
        <v>804.55</v>
      </c>
      <c r="L240">
        <v>29205</v>
      </c>
      <c r="M240">
        <v>36.299999999999997</v>
      </c>
      <c r="N240">
        <v>36.299999999999997</v>
      </c>
    </row>
    <row r="241" spans="1:14" x14ac:dyDescent="0.2">
      <c r="A241" s="958" t="s">
        <v>5558</v>
      </c>
      <c r="B241" s="959">
        <v>45569</v>
      </c>
      <c r="C241" t="s">
        <v>5166</v>
      </c>
      <c r="D241">
        <v>54.45</v>
      </c>
      <c r="E241">
        <v>54.45</v>
      </c>
      <c r="F241">
        <v>54.45</v>
      </c>
      <c r="G241">
        <v>54.45</v>
      </c>
      <c r="H241">
        <v>54.45</v>
      </c>
      <c r="I241" t="s">
        <v>5469</v>
      </c>
      <c r="J241">
        <v>54.45</v>
      </c>
      <c r="K241">
        <v>655.56</v>
      </c>
      <c r="L241">
        <v>35695</v>
      </c>
      <c r="M241">
        <v>54.45</v>
      </c>
      <c r="N241">
        <v>54.45</v>
      </c>
    </row>
    <row r="242" spans="1:14" x14ac:dyDescent="0.2">
      <c r="A242" s="958" t="s">
        <v>5560</v>
      </c>
      <c r="B242" s="959">
        <v>45569</v>
      </c>
      <c r="C242" t="s">
        <v>5406</v>
      </c>
      <c r="D242">
        <v>90</v>
      </c>
      <c r="E242">
        <v>90</v>
      </c>
      <c r="F242">
        <v>90</v>
      </c>
      <c r="G242">
        <v>90</v>
      </c>
      <c r="H242">
        <v>90</v>
      </c>
      <c r="I242" t="s">
        <v>5407</v>
      </c>
      <c r="J242">
        <v>90</v>
      </c>
      <c r="K242">
        <v>27.32</v>
      </c>
      <c r="L242">
        <v>2459.16</v>
      </c>
      <c r="M242">
        <v>90</v>
      </c>
      <c r="N242">
        <v>90</v>
      </c>
    </row>
    <row r="243" spans="1:14" x14ac:dyDescent="0.2">
      <c r="A243" s="958" t="s">
        <v>5561</v>
      </c>
      <c r="B243" s="959">
        <v>45572</v>
      </c>
      <c r="C243" t="s">
        <v>78</v>
      </c>
      <c r="D243">
        <v>4242</v>
      </c>
      <c r="E243">
        <v>8484</v>
      </c>
      <c r="F243">
        <v>4242</v>
      </c>
      <c r="G243">
        <v>8484</v>
      </c>
      <c r="H243">
        <v>4242</v>
      </c>
      <c r="I243" t="s">
        <v>5385</v>
      </c>
      <c r="J243">
        <v>4242</v>
      </c>
      <c r="K243">
        <v>79.91</v>
      </c>
      <c r="L243">
        <v>338971.86</v>
      </c>
      <c r="M243">
        <v>4242</v>
      </c>
      <c r="N243">
        <v>3462</v>
      </c>
    </row>
    <row r="244" spans="1:14" x14ac:dyDescent="0.2">
      <c r="A244" s="958" t="s">
        <v>5562</v>
      </c>
      <c r="B244" s="959">
        <v>45572</v>
      </c>
      <c r="C244" t="s">
        <v>5344</v>
      </c>
      <c r="D244">
        <v>138</v>
      </c>
      <c r="E244">
        <v>138</v>
      </c>
      <c r="F244">
        <v>138</v>
      </c>
      <c r="G244">
        <v>138</v>
      </c>
      <c r="H244">
        <v>138</v>
      </c>
      <c r="I244" t="s">
        <v>5563</v>
      </c>
      <c r="J244">
        <v>138</v>
      </c>
      <c r="K244">
        <v>29.18</v>
      </c>
      <c r="L244">
        <v>4027.39</v>
      </c>
      <c r="M244">
        <v>138</v>
      </c>
      <c r="N244">
        <v>138</v>
      </c>
    </row>
    <row r="245" spans="1:14" x14ac:dyDescent="0.2">
      <c r="A245" s="958" t="s">
        <v>5564</v>
      </c>
      <c r="B245" s="959">
        <v>45573</v>
      </c>
      <c r="C245" t="s">
        <v>3901</v>
      </c>
      <c r="D245">
        <v>480</v>
      </c>
      <c r="E245">
        <v>480</v>
      </c>
      <c r="F245">
        <v>480</v>
      </c>
      <c r="G245">
        <v>480</v>
      </c>
      <c r="H245">
        <v>480</v>
      </c>
      <c r="I245" t="s">
        <v>5565</v>
      </c>
      <c r="J245">
        <v>480</v>
      </c>
      <c r="K245">
        <v>94.59</v>
      </c>
      <c r="L245">
        <v>45405.36</v>
      </c>
      <c r="M245">
        <v>480</v>
      </c>
      <c r="N245">
        <v>480</v>
      </c>
    </row>
    <row r="246" spans="1:14" x14ac:dyDescent="0.2">
      <c r="A246" s="958" t="s">
        <v>5566</v>
      </c>
      <c r="B246" s="959">
        <v>45573</v>
      </c>
      <c r="C246" t="s">
        <v>5567</v>
      </c>
      <c r="D246">
        <v>377</v>
      </c>
      <c r="E246">
        <v>384.8</v>
      </c>
      <c r="F246">
        <v>377</v>
      </c>
      <c r="G246">
        <v>377</v>
      </c>
      <c r="H246">
        <v>377</v>
      </c>
      <c r="I246" t="s">
        <v>5568</v>
      </c>
      <c r="J246">
        <v>377</v>
      </c>
      <c r="K246">
        <v>378.93</v>
      </c>
      <c r="L246">
        <v>142855</v>
      </c>
      <c r="M246">
        <v>377</v>
      </c>
      <c r="N246">
        <v>377</v>
      </c>
    </row>
    <row r="247" spans="1:14" x14ac:dyDescent="0.2">
      <c r="A247" s="958" t="s">
        <v>5566</v>
      </c>
      <c r="B247" s="959">
        <v>45573</v>
      </c>
      <c r="C247" t="s">
        <v>5569</v>
      </c>
      <c r="D247">
        <v>240</v>
      </c>
      <c r="E247">
        <v>240</v>
      </c>
      <c r="F247">
        <v>240</v>
      </c>
      <c r="G247">
        <v>240</v>
      </c>
      <c r="H247">
        <v>240</v>
      </c>
      <c r="I247" t="s">
        <v>5570</v>
      </c>
      <c r="J247">
        <v>240</v>
      </c>
      <c r="K247">
        <v>357.69</v>
      </c>
      <c r="L247">
        <v>85845</v>
      </c>
      <c r="M247">
        <v>240</v>
      </c>
      <c r="N247">
        <v>240</v>
      </c>
    </row>
    <row r="248" spans="1:14" x14ac:dyDescent="0.2">
      <c r="A248" s="958" t="s">
        <v>5571</v>
      </c>
      <c r="B248" s="959">
        <v>45573</v>
      </c>
      <c r="C248" t="s">
        <v>4727</v>
      </c>
      <c r="D248">
        <v>558</v>
      </c>
      <c r="E248">
        <v>558</v>
      </c>
      <c r="F248">
        <v>558</v>
      </c>
      <c r="G248">
        <v>558</v>
      </c>
      <c r="H248">
        <v>558</v>
      </c>
      <c r="I248" t="s">
        <v>5366</v>
      </c>
      <c r="J248">
        <v>558</v>
      </c>
      <c r="K248">
        <v>82.37</v>
      </c>
      <c r="L248">
        <v>45959.67</v>
      </c>
      <c r="M248">
        <v>558</v>
      </c>
      <c r="N248">
        <v>558</v>
      </c>
    </row>
    <row r="249" spans="1:14" x14ac:dyDescent="0.2">
      <c r="A249" s="958" t="s">
        <v>5650</v>
      </c>
      <c r="B249" s="959">
        <v>45574</v>
      </c>
      <c r="C249" t="s">
        <v>4733</v>
      </c>
      <c r="D249">
        <v>292.5</v>
      </c>
      <c r="E249">
        <v>585</v>
      </c>
      <c r="F249">
        <v>292.5</v>
      </c>
      <c r="G249">
        <v>585</v>
      </c>
      <c r="H249">
        <v>292.5</v>
      </c>
      <c r="I249" t="s">
        <v>6889</v>
      </c>
      <c r="J249">
        <v>292.5</v>
      </c>
      <c r="K249">
        <v>229.93</v>
      </c>
      <c r="L249">
        <v>67254.53</v>
      </c>
      <c r="M249">
        <v>292.5</v>
      </c>
    </row>
    <row r="250" spans="1:14" x14ac:dyDescent="0.2">
      <c r="A250" s="958" t="s">
        <v>5650</v>
      </c>
      <c r="B250" s="959">
        <v>45574</v>
      </c>
      <c r="C250" t="s">
        <v>5370</v>
      </c>
      <c r="D250">
        <v>442</v>
      </c>
      <c r="E250">
        <v>884</v>
      </c>
      <c r="F250">
        <v>442</v>
      </c>
      <c r="G250">
        <v>884</v>
      </c>
      <c r="H250">
        <v>442</v>
      </c>
      <c r="I250" t="s">
        <v>6887</v>
      </c>
      <c r="J250">
        <v>442</v>
      </c>
      <c r="K250">
        <v>265.2</v>
      </c>
      <c r="L250">
        <v>117218.4</v>
      </c>
      <c r="M250">
        <v>442</v>
      </c>
    </row>
    <row r="251" spans="1:14" x14ac:dyDescent="0.2">
      <c r="A251" s="958" t="s">
        <v>5650</v>
      </c>
      <c r="B251" s="959">
        <v>45574</v>
      </c>
      <c r="C251" t="s">
        <v>4491</v>
      </c>
      <c r="D251">
        <v>136.5</v>
      </c>
      <c r="E251">
        <v>273</v>
      </c>
      <c r="F251">
        <v>136.5</v>
      </c>
      <c r="G251">
        <v>273</v>
      </c>
      <c r="H251">
        <v>136.5</v>
      </c>
      <c r="I251" t="s">
        <v>6889</v>
      </c>
      <c r="J251">
        <v>136.5</v>
      </c>
      <c r="K251">
        <v>229.71</v>
      </c>
      <c r="L251">
        <v>31355.42</v>
      </c>
      <c r="M251">
        <v>136.5</v>
      </c>
    </row>
    <row r="252" spans="1:14" x14ac:dyDescent="0.2">
      <c r="A252" s="958" t="s">
        <v>5650</v>
      </c>
      <c r="B252" s="959">
        <v>45574</v>
      </c>
      <c r="C252" t="s">
        <v>5271</v>
      </c>
      <c r="D252">
        <v>364</v>
      </c>
      <c r="E252">
        <v>728</v>
      </c>
      <c r="F252">
        <v>364</v>
      </c>
      <c r="G252">
        <v>728</v>
      </c>
      <c r="H252">
        <v>364</v>
      </c>
      <c r="I252" t="s">
        <v>6887</v>
      </c>
      <c r="J252">
        <v>364</v>
      </c>
      <c r="K252">
        <v>266.05</v>
      </c>
      <c r="L252">
        <v>96842.2</v>
      </c>
      <c r="M252">
        <v>364</v>
      </c>
    </row>
    <row r="253" spans="1:14" x14ac:dyDescent="0.2">
      <c r="A253" s="958" t="s">
        <v>5655</v>
      </c>
      <c r="B253" s="959">
        <v>45575</v>
      </c>
      <c r="C253" t="s">
        <v>4491</v>
      </c>
      <c r="D253">
        <v>136.5</v>
      </c>
      <c r="E253">
        <v>136.5</v>
      </c>
      <c r="F253">
        <v>136.5</v>
      </c>
      <c r="G253">
        <v>136.5</v>
      </c>
      <c r="H253">
        <v>136.5</v>
      </c>
      <c r="I253" t="s">
        <v>6889</v>
      </c>
      <c r="J253">
        <v>136.5</v>
      </c>
      <c r="K253">
        <v>229.71</v>
      </c>
      <c r="L253">
        <v>31355.759999999998</v>
      </c>
      <c r="M253">
        <v>136.5</v>
      </c>
      <c r="N253">
        <v>656.5</v>
      </c>
    </row>
    <row r="254" spans="1:14" x14ac:dyDescent="0.2">
      <c r="A254" s="958" t="s">
        <v>5655</v>
      </c>
      <c r="B254" s="959">
        <v>45575</v>
      </c>
      <c r="C254" t="s">
        <v>4733</v>
      </c>
      <c r="D254">
        <v>520</v>
      </c>
      <c r="E254">
        <v>520</v>
      </c>
      <c r="F254">
        <v>520</v>
      </c>
      <c r="G254">
        <v>520</v>
      </c>
      <c r="H254">
        <v>520</v>
      </c>
      <c r="I254" t="s">
        <v>6889</v>
      </c>
      <c r="J254">
        <v>520</v>
      </c>
      <c r="K254">
        <v>229.93</v>
      </c>
      <c r="L254">
        <v>119561</v>
      </c>
      <c r="M254">
        <v>520</v>
      </c>
      <c r="N254">
        <v>656.5</v>
      </c>
    </row>
    <row r="255" spans="1:14" x14ac:dyDescent="0.2">
      <c r="A255" s="958" t="s">
        <v>5655</v>
      </c>
      <c r="B255" s="959">
        <v>45575</v>
      </c>
      <c r="C255" t="s">
        <v>5370</v>
      </c>
      <c r="D255">
        <v>780</v>
      </c>
      <c r="E255">
        <v>780</v>
      </c>
      <c r="F255">
        <v>780</v>
      </c>
      <c r="G255">
        <v>780</v>
      </c>
      <c r="H255">
        <v>780</v>
      </c>
      <c r="I255" t="s">
        <v>6887</v>
      </c>
      <c r="J255">
        <v>780</v>
      </c>
      <c r="K255">
        <v>265.2</v>
      </c>
      <c r="L255">
        <v>206856</v>
      </c>
      <c r="M255">
        <v>780</v>
      </c>
      <c r="N255">
        <v>429</v>
      </c>
    </row>
    <row r="256" spans="1:14" x14ac:dyDescent="0.2">
      <c r="A256" s="958" t="s">
        <v>5655</v>
      </c>
      <c r="B256" s="959">
        <v>45575</v>
      </c>
      <c r="C256" t="s">
        <v>5429</v>
      </c>
      <c r="D256">
        <v>273</v>
      </c>
      <c r="E256">
        <v>273</v>
      </c>
      <c r="F256">
        <v>273</v>
      </c>
      <c r="G256">
        <v>273</v>
      </c>
      <c r="H256">
        <v>273</v>
      </c>
      <c r="I256" t="s">
        <v>5372</v>
      </c>
      <c r="J256">
        <v>273</v>
      </c>
      <c r="K256">
        <v>263.5</v>
      </c>
      <c r="L256">
        <v>71935.5</v>
      </c>
      <c r="M256">
        <v>273</v>
      </c>
    </row>
    <row r="257" spans="1:14" x14ac:dyDescent="0.2">
      <c r="A257" s="958" t="s">
        <v>5660</v>
      </c>
      <c r="B257" s="959">
        <v>45575</v>
      </c>
      <c r="C257" t="s">
        <v>5381</v>
      </c>
      <c r="D257">
        <v>1260</v>
      </c>
      <c r="E257">
        <v>1260</v>
      </c>
      <c r="F257">
        <v>1260</v>
      </c>
      <c r="G257">
        <v>1260</v>
      </c>
      <c r="H257">
        <v>1260</v>
      </c>
      <c r="I257" t="s">
        <v>6005</v>
      </c>
      <c r="J257">
        <v>1260</v>
      </c>
      <c r="K257">
        <v>59.24</v>
      </c>
      <c r="L257">
        <v>74636.100000000006</v>
      </c>
      <c r="M257">
        <v>1260</v>
      </c>
      <c r="N257">
        <v>1260</v>
      </c>
    </row>
    <row r="258" spans="1:14" x14ac:dyDescent="0.2">
      <c r="A258" s="958" t="s">
        <v>5660</v>
      </c>
      <c r="B258" s="959">
        <v>45575</v>
      </c>
      <c r="C258" t="s">
        <v>5382</v>
      </c>
      <c r="D258">
        <v>1236</v>
      </c>
      <c r="E258">
        <v>1236</v>
      </c>
      <c r="F258">
        <v>1236</v>
      </c>
      <c r="G258">
        <v>1236</v>
      </c>
      <c r="H258">
        <v>1236</v>
      </c>
      <c r="I258" t="s">
        <v>6006</v>
      </c>
      <c r="J258">
        <v>1236</v>
      </c>
      <c r="K258">
        <v>52.27</v>
      </c>
      <c r="L258">
        <v>64608.19</v>
      </c>
      <c r="M258">
        <v>1236</v>
      </c>
      <c r="N258">
        <v>1236</v>
      </c>
    </row>
    <row r="259" spans="1:14" x14ac:dyDescent="0.2">
      <c r="A259" s="958" t="s">
        <v>5663</v>
      </c>
      <c r="B259" s="959">
        <v>45579</v>
      </c>
      <c r="C259" t="s">
        <v>2841</v>
      </c>
      <c r="D259">
        <v>2197.0500000000002</v>
      </c>
      <c r="E259">
        <v>2197.0500000000002</v>
      </c>
      <c r="F259">
        <v>2197.0500000000002</v>
      </c>
      <c r="G259">
        <v>2197.0500000000002</v>
      </c>
      <c r="H259">
        <v>2197.0500000000002</v>
      </c>
      <c r="I259" t="s">
        <v>5486</v>
      </c>
      <c r="J259">
        <v>2197.0500000000002</v>
      </c>
      <c r="K259">
        <v>49.23</v>
      </c>
      <c r="L259">
        <v>108160.77</v>
      </c>
      <c r="M259">
        <v>2197.0500000000002</v>
      </c>
      <c r="N259">
        <v>2197.0500000000002</v>
      </c>
    </row>
    <row r="260" spans="1:14" x14ac:dyDescent="0.2">
      <c r="A260" s="958" t="s">
        <v>5663</v>
      </c>
      <c r="B260" s="959">
        <v>45579</v>
      </c>
      <c r="C260" t="s">
        <v>1975</v>
      </c>
      <c r="D260">
        <v>2904.6</v>
      </c>
      <c r="E260">
        <v>2904.6</v>
      </c>
      <c r="F260">
        <v>2904.6</v>
      </c>
      <c r="G260">
        <v>2904.6</v>
      </c>
      <c r="H260">
        <v>2904.6</v>
      </c>
      <c r="I260" t="s">
        <v>5270</v>
      </c>
      <c r="J260">
        <v>2904.6</v>
      </c>
      <c r="K260">
        <v>68.69</v>
      </c>
      <c r="L260">
        <v>199506.81</v>
      </c>
      <c r="M260">
        <v>2904.6</v>
      </c>
      <c r="N260">
        <v>2899.45</v>
      </c>
    </row>
    <row r="261" spans="1:14" x14ac:dyDescent="0.2">
      <c r="A261" s="958" t="s">
        <v>5664</v>
      </c>
      <c r="B261" s="959">
        <v>45579</v>
      </c>
      <c r="C261" t="s">
        <v>4544</v>
      </c>
      <c r="D261">
        <v>1008</v>
      </c>
      <c r="E261">
        <v>1008</v>
      </c>
      <c r="F261">
        <v>1008</v>
      </c>
      <c r="G261">
        <v>1008</v>
      </c>
      <c r="H261">
        <v>1008</v>
      </c>
      <c r="I261" t="s">
        <v>5379</v>
      </c>
      <c r="J261">
        <v>1008</v>
      </c>
      <c r="K261">
        <v>164.61</v>
      </c>
      <c r="L261">
        <v>165923.25</v>
      </c>
      <c r="M261">
        <v>1008</v>
      </c>
      <c r="N261">
        <v>1008</v>
      </c>
    </row>
    <row r="262" spans="1:14" x14ac:dyDescent="0.2">
      <c r="A262" s="958" t="s">
        <v>5665</v>
      </c>
      <c r="B262" s="959">
        <v>45579</v>
      </c>
      <c r="C262" t="s">
        <v>2561</v>
      </c>
      <c r="D262">
        <v>288</v>
      </c>
      <c r="E262">
        <v>288</v>
      </c>
      <c r="F262">
        <v>288</v>
      </c>
      <c r="G262">
        <v>288</v>
      </c>
      <c r="H262">
        <v>288</v>
      </c>
      <c r="I262" t="s">
        <v>5408</v>
      </c>
      <c r="J262">
        <v>288</v>
      </c>
      <c r="K262">
        <v>167.68</v>
      </c>
      <c r="L262">
        <v>48292.68</v>
      </c>
      <c r="M262">
        <v>288</v>
      </c>
      <c r="N262">
        <v>258</v>
      </c>
    </row>
    <row r="263" spans="1:14" x14ac:dyDescent="0.2">
      <c r="A263" s="958" t="s">
        <v>5666</v>
      </c>
      <c r="B263" s="959">
        <v>45579</v>
      </c>
      <c r="C263" t="s">
        <v>5320</v>
      </c>
      <c r="D263">
        <v>168.95</v>
      </c>
      <c r="E263">
        <v>168.95</v>
      </c>
      <c r="F263">
        <v>168.95</v>
      </c>
      <c r="G263">
        <v>168.95</v>
      </c>
      <c r="H263">
        <v>168.95</v>
      </c>
      <c r="I263" t="s">
        <v>5536</v>
      </c>
      <c r="J263">
        <v>168.95</v>
      </c>
      <c r="K263">
        <v>313.13</v>
      </c>
      <c r="L263">
        <v>52903.48</v>
      </c>
      <c r="M263">
        <v>168.95</v>
      </c>
      <c r="N263">
        <v>168.95</v>
      </c>
    </row>
    <row r="264" spans="1:14" x14ac:dyDescent="0.2">
      <c r="A264" s="958" t="s">
        <v>5667</v>
      </c>
      <c r="B264" s="959">
        <v>45579</v>
      </c>
      <c r="C264" t="s">
        <v>4582</v>
      </c>
      <c r="D264">
        <v>840</v>
      </c>
      <c r="E264">
        <v>840</v>
      </c>
      <c r="F264">
        <v>840</v>
      </c>
      <c r="G264">
        <v>840</v>
      </c>
      <c r="H264">
        <v>840</v>
      </c>
      <c r="I264" t="s">
        <v>5393</v>
      </c>
      <c r="J264">
        <v>840</v>
      </c>
      <c r="K264">
        <v>39.9</v>
      </c>
      <c r="L264">
        <v>33511.800000000003</v>
      </c>
      <c r="M264">
        <v>840</v>
      </c>
      <c r="N264">
        <v>840</v>
      </c>
    </row>
    <row r="265" spans="1:14" x14ac:dyDescent="0.2">
      <c r="A265" s="958" t="s">
        <v>5667</v>
      </c>
      <c r="B265" s="959">
        <v>45579</v>
      </c>
      <c r="C265" t="s">
        <v>5091</v>
      </c>
      <c r="D265">
        <v>756</v>
      </c>
      <c r="E265">
        <v>756</v>
      </c>
      <c r="F265">
        <v>756</v>
      </c>
      <c r="G265">
        <v>756</v>
      </c>
      <c r="H265">
        <v>756</v>
      </c>
      <c r="I265" t="s">
        <v>5411</v>
      </c>
      <c r="J265">
        <v>756</v>
      </c>
      <c r="K265">
        <v>74.38</v>
      </c>
      <c r="L265">
        <v>56231.28</v>
      </c>
      <c r="M265">
        <v>756</v>
      </c>
      <c r="N265">
        <v>732</v>
      </c>
    </row>
    <row r="266" spans="1:14" x14ac:dyDescent="0.2">
      <c r="A266" s="958" t="s">
        <v>5689</v>
      </c>
      <c r="B266" s="959">
        <v>45581</v>
      </c>
      <c r="C266" t="s">
        <v>5367</v>
      </c>
      <c r="D266">
        <v>4608</v>
      </c>
      <c r="E266">
        <v>4608</v>
      </c>
      <c r="F266">
        <v>4608</v>
      </c>
      <c r="G266">
        <v>4608</v>
      </c>
      <c r="H266">
        <v>4608</v>
      </c>
      <c r="I266" t="s">
        <v>5368</v>
      </c>
      <c r="J266">
        <v>4608</v>
      </c>
      <c r="K266">
        <v>33.17</v>
      </c>
      <c r="L266">
        <v>152824.32000000001</v>
      </c>
      <c r="M266">
        <v>4608</v>
      </c>
      <c r="N266">
        <v>4608</v>
      </c>
    </row>
    <row r="267" spans="1:14" x14ac:dyDescent="0.2">
      <c r="A267" s="958" t="s">
        <v>5699</v>
      </c>
      <c r="B267" s="959">
        <v>45586</v>
      </c>
      <c r="C267" t="s">
        <v>1751</v>
      </c>
      <c r="D267">
        <v>529.20000000000005</v>
      </c>
      <c r="E267">
        <v>529.20000000000005</v>
      </c>
      <c r="F267">
        <v>529.20000000000005</v>
      </c>
      <c r="G267">
        <v>529.20000000000005</v>
      </c>
      <c r="H267">
        <v>529.20000000000005</v>
      </c>
      <c r="I267" t="s">
        <v>5471</v>
      </c>
      <c r="J267">
        <v>529.20000000000005</v>
      </c>
      <c r="K267">
        <v>359.3</v>
      </c>
      <c r="L267">
        <v>190140.18</v>
      </c>
      <c r="M267">
        <v>529.20000000000005</v>
      </c>
      <c r="N267">
        <v>529.20000000000005</v>
      </c>
    </row>
    <row r="268" spans="1:14" x14ac:dyDescent="0.2">
      <c r="A268" s="958" t="s">
        <v>5700</v>
      </c>
      <c r="B268" s="959">
        <v>45586</v>
      </c>
      <c r="C268" t="s">
        <v>6008</v>
      </c>
      <c r="D268">
        <v>606</v>
      </c>
      <c r="E268">
        <v>606</v>
      </c>
      <c r="F268">
        <v>606</v>
      </c>
      <c r="G268">
        <v>606</v>
      </c>
      <c r="H268">
        <v>606</v>
      </c>
      <c r="I268" t="s">
        <v>5400</v>
      </c>
      <c r="J268">
        <v>606</v>
      </c>
      <c r="K268">
        <v>115.32</v>
      </c>
      <c r="L268">
        <v>69883.009999999995</v>
      </c>
      <c r="M268">
        <v>606</v>
      </c>
      <c r="N268">
        <v>595.9</v>
      </c>
    </row>
    <row r="269" spans="1:14" x14ac:dyDescent="0.2">
      <c r="A269" s="958" t="s">
        <v>5701</v>
      </c>
      <c r="B269" s="959">
        <v>45586</v>
      </c>
      <c r="C269" t="s">
        <v>5252</v>
      </c>
      <c r="D269">
        <v>768</v>
      </c>
      <c r="I269" t="s">
        <v>6660</v>
      </c>
      <c r="J269">
        <v>768</v>
      </c>
      <c r="K269">
        <v>75.959999999999994</v>
      </c>
      <c r="L269">
        <v>58340</v>
      </c>
      <c r="M269">
        <v>768</v>
      </c>
      <c r="N269">
        <v>768</v>
      </c>
    </row>
    <row r="270" spans="1:14" x14ac:dyDescent="0.2">
      <c r="A270" s="958" t="s">
        <v>5705</v>
      </c>
      <c r="B270" s="959">
        <v>45586</v>
      </c>
      <c r="C270" t="s">
        <v>4903</v>
      </c>
      <c r="D270">
        <v>11</v>
      </c>
      <c r="E270">
        <v>11</v>
      </c>
      <c r="F270">
        <v>11</v>
      </c>
      <c r="G270">
        <v>11</v>
      </c>
      <c r="H270">
        <v>11</v>
      </c>
      <c r="I270" t="s">
        <v>5395</v>
      </c>
      <c r="J270">
        <v>11</v>
      </c>
      <c r="K270">
        <v>3290.91</v>
      </c>
      <c r="L270">
        <v>36200</v>
      </c>
      <c r="M270">
        <v>11</v>
      </c>
      <c r="N270">
        <v>11</v>
      </c>
    </row>
    <row r="271" spans="1:14" x14ac:dyDescent="0.2">
      <c r="A271" s="958" t="s">
        <v>5707</v>
      </c>
      <c r="B271" s="959">
        <v>45587</v>
      </c>
      <c r="C271" t="s">
        <v>5382</v>
      </c>
      <c r="D271">
        <v>912</v>
      </c>
      <c r="E271">
        <v>912</v>
      </c>
      <c r="F271">
        <v>912</v>
      </c>
      <c r="G271">
        <v>912</v>
      </c>
      <c r="H271">
        <v>912</v>
      </c>
      <c r="I271" t="s">
        <v>6006</v>
      </c>
      <c r="J271">
        <v>912</v>
      </c>
      <c r="K271">
        <v>52.27</v>
      </c>
      <c r="L271">
        <v>47672.06</v>
      </c>
      <c r="M271">
        <v>912</v>
      </c>
      <c r="N271">
        <v>912</v>
      </c>
    </row>
    <row r="272" spans="1:14" x14ac:dyDescent="0.2">
      <c r="A272" s="958" t="s">
        <v>5715</v>
      </c>
      <c r="B272" s="959">
        <v>45587</v>
      </c>
      <c r="C272" t="s">
        <v>5712</v>
      </c>
      <c r="D272">
        <v>797.45</v>
      </c>
      <c r="E272">
        <v>797.45</v>
      </c>
      <c r="F272">
        <v>797.45</v>
      </c>
      <c r="G272">
        <v>797.45</v>
      </c>
      <c r="H272">
        <v>797.45</v>
      </c>
      <c r="I272" t="s">
        <v>5716</v>
      </c>
      <c r="J272">
        <v>797.45</v>
      </c>
      <c r="K272">
        <v>421.34</v>
      </c>
      <c r="L272">
        <v>336000</v>
      </c>
      <c r="M272">
        <v>797.45</v>
      </c>
      <c r="N272">
        <v>797.45</v>
      </c>
    </row>
    <row r="273" spans="1:14" x14ac:dyDescent="0.2">
      <c r="A273" s="958" t="s">
        <v>5717</v>
      </c>
      <c r="B273" s="959">
        <v>45587</v>
      </c>
      <c r="C273" t="s">
        <v>5862</v>
      </c>
      <c r="D273">
        <v>450</v>
      </c>
      <c r="E273">
        <v>450</v>
      </c>
      <c r="F273">
        <v>450</v>
      </c>
      <c r="G273">
        <v>450</v>
      </c>
      <c r="H273">
        <v>450</v>
      </c>
      <c r="I273" t="s">
        <v>5831</v>
      </c>
      <c r="J273">
        <v>450</v>
      </c>
      <c r="K273">
        <v>143.06</v>
      </c>
      <c r="L273">
        <v>64374.75</v>
      </c>
      <c r="M273">
        <v>450</v>
      </c>
      <c r="N273">
        <v>438</v>
      </c>
    </row>
    <row r="274" spans="1:14" x14ac:dyDescent="0.2">
      <c r="A274" s="958" t="s">
        <v>5721</v>
      </c>
      <c r="B274" s="959">
        <v>45589</v>
      </c>
      <c r="C274" t="s">
        <v>3678</v>
      </c>
      <c r="D274">
        <v>681</v>
      </c>
      <c r="E274">
        <v>681</v>
      </c>
      <c r="F274">
        <v>681</v>
      </c>
      <c r="G274">
        <v>681</v>
      </c>
      <c r="H274">
        <v>681</v>
      </c>
      <c r="I274" t="s">
        <v>5461</v>
      </c>
      <c r="J274">
        <v>681</v>
      </c>
      <c r="K274">
        <v>371.28</v>
      </c>
      <c r="L274">
        <v>252841.68</v>
      </c>
      <c r="M274">
        <v>681</v>
      </c>
      <c r="N274">
        <v>681</v>
      </c>
    </row>
    <row r="275" spans="1:14" x14ac:dyDescent="0.2">
      <c r="A275" s="958" t="s">
        <v>5722</v>
      </c>
      <c r="B275" s="959">
        <v>45589</v>
      </c>
      <c r="C275" t="s">
        <v>3121</v>
      </c>
      <c r="D275">
        <v>624.15</v>
      </c>
      <c r="E275">
        <v>1248.3</v>
      </c>
      <c r="F275">
        <v>624.15</v>
      </c>
      <c r="G275">
        <v>624.15</v>
      </c>
      <c r="H275">
        <v>624.15</v>
      </c>
      <c r="I275" t="s">
        <v>5423</v>
      </c>
      <c r="J275">
        <v>624.15</v>
      </c>
      <c r="K275">
        <v>149.66</v>
      </c>
      <c r="L275">
        <v>93410.29</v>
      </c>
      <c r="M275">
        <v>624.15</v>
      </c>
      <c r="N275">
        <v>624.15</v>
      </c>
    </row>
    <row r="276" spans="1:14" x14ac:dyDescent="0.2">
      <c r="A276" s="958" t="s">
        <v>5722</v>
      </c>
      <c r="B276" s="959">
        <v>45589</v>
      </c>
      <c r="C276" t="s">
        <v>85</v>
      </c>
      <c r="D276">
        <v>1147.5</v>
      </c>
      <c r="E276">
        <v>2295</v>
      </c>
      <c r="F276">
        <v>1147.5</v>
      </c>
      <c r="G276">
        <v>1147.5</v>
      </c>
      <c r="H276">
        <v>1147.5</v>
      </c>
      <c r="I276" t="s">
        <v>5422</v>
      </c>
      <c r="J276">
        <v>1147.5</v>
      </c>
      <c r="K276">
        <v>149.66</v>
      </c>
      <c r="L276">
        <v>171734.85</v>
      </c>
      <c r="M276">
        <v>1147.5</v>
      </c>
      <c r="N276">
        <v>1147.5</v>
      </c>
    </row>
    <row r="277" spans="1:14" x14ac:dyDescent="0.2">
      <c r="A277" s="958" t="s">
        <v>5723</v>
      </c>
      <c r="B277" s="959">
        <v>45589</v>
      </c>
      <c r="C277" t="s">
        <v>3645</v>
      </c>
      <c r="D277">
        <v>540</v>
      </c>
      <c r="E277">
        <v>540</v>
      </c>
      <c r="F277">
        <v>540</v>
      </c>
      <c r="G277">
        <v>540</v>
      </c>
      <c r="H277">
        <v>540</v>
      </c>
      <c r="I277" t="s">
        <v>5720</v>
      </c>
      <c r="J277">
        <v>540</v>
      </c>
      <c r="K277">
        <v>191.45</v>
      </c>
      <c r="L277">
        <v>103380.49</v>
      </c>
      <c r="M277">
        <v>540</v>
      </c>
      <c r="N277">
        <v>540</v>
      </c>
    </row>
    <row r="278" spans="1:14" x14ac:dyDescent="0.2">
      <c r="A278" s="958" t="s">
        <v>5797</v>
      </c>
      <c r="B278" s="959">
        <v>45590</v>
      </c>
      <c r="C278" t="s">
        <v>6008</v>
      </c>
      <c r="D278">
        <v>3368.35</v>
      </c>
      <c r="E278">
        <v>3368.35</v>
      </c>
      <c r="F278">
        <v>3368.35</v>
      </c>
      <c r="G278">
        <v>3368.35</v>
      </c>
      <c r="H278">
        <v>3368.35</v>
      </c>
      <c r="I278" t="s">
        <v>5400</v>
      </c>
      <c r="J278">
        <v>3368.35</v>
      </c>
      <c r="K278">
        <v>115.32</v>
      </c>
      <c r="L278">
        <v>388433.07</v>
      </c>
      <c r="M278">
        <v>3368.35</v>
      </c>
      <c r="N278">
        <v>3327.95</v>
      </c>
    </row>
    <row r="279" spans="1:14" x14ac:dyDescent="0.2">
      <c r="A279" s="958" t="s">
        <v>5797</v>
      </c>
      <c r="B279" s="959">
        <v>45590</v>
      </c>
      <c r="C279" t="s">
        <v>4276</v>
      </c>
      <c r="D279">
        <v>258.10000000000002</v>
      </c>
      <c r="E279">
        <v>258.10000000000002</v>
      </c>
      <c r="F279">
        <v>258.10000000000002</v>
      </c>
      <c r="G279">
        <v>258.10000000000002</v>
      </c>
      <c r="H279">
        <v>258.10000000000002</v>
      </c>
      <c r="I279" t="s">
        <v>6712</v>
      </c>
      <c r="J279">
        <v>258.10000000000002</v>
      </c>
      <c r="K279">
        <v>136.53</v>
      </c>
      <c r="L279">
        <v>35238.39</v>
      </c>
      <c r="M279">
        <v>258.10000000000002</v>
      </c>
      <c r="N279">
        <v>258.10000000000002</v>
      </c>
    </row>
    <row r="280" spans="1:14" x14ac:dyDescent="0.2">
      <c r="A280" s="958" t="s">
        <v>5737</v>
      </c>
      <c r="B280" s="959">
        <v>45590</v>
      </c>
      <c r="C280" t="s">
        <v>5276</v>
      </c>
      <c r="D280">
        <v>72</v>
      </c>
      <c r="I280" t="s">
        <v>5484</v>
      </c>
      <c r="J280">
        <v>72</v>
      </c>
      <c r="K280">
        <v>308.33</v>
      </c>
      <c r="L280">
        <v>22200</v>
      </c>
    </row>
    <row r="281" spans="1:14" x14ac:dyDescent="0.2">
      <c r="A281" s="958" t="s">
        <v>5737</v>
      </c>
      <c r="B281" s="959">
        <v>45590</v>
      </c>
      <c r="C281" t="s">
        <v>5273</v>
      </c>
      <c r="D281">
        <v>248.4</v>
      </c>
      <c r="I281" t="s">
        <v>5810</v>
      </c>
      <c r="J281">
        <v>248.4</v>
      </c>
      <c r="K281">
        <v>68.44</v>
      </c>
      <c r="L281">
        <v>17000</v>
      </c>
    </row>
    <row r="282" spans="1:14" x14ac:dyDescent="0.2">
      <c r="A282" s="958" t="s">
        <v>5737</v>
      </c>
      <c r="B282" s="959">
        <v>45590</v>
      </c>
      <c r="C282" t="s">
        <v>5275</v>
      </c>
      <c r="D282">
        <v>1008</v>
      </c>
      <c r="I282" t="s">
        <v>5811</v>
      </c>
      <c r="J282">
        <v>1008</v>
      </c>
      <c r="K282">
        <v>320.44</v>
      </c>
      <c r="L282">
        <v>323000</v>
      </c>
    </row>
    <row r="283" spans="1:14" x14ac:dyDescent="0.2">
      <c r="A283" s="958" t="s">
        <v>5737</v>
      </c>
      <c r="B283" s="959">
        <v>45590</v>
      </c>
      <c r="C283" t="s">
        <v>5729</v>
      </c>
      <c r="D283">
        <v>36</v>
      </c>
      <c r="I283" t="s">
        <v>5813</v>
      </c>
      <c r="J283">
        <v>36</v>
      </c>
      <c r="K283">
        <v>472.22</v>
      </c>
      <c r="L283">
        <v>17000</v>
      </c>
    </row>
    <row r="284" spans="1:14" x14ac:dyDescent="0.2">
      <c r="A284" s="958" t="s">
        <v>5737</v>
      </c>
      <c r="B284" s="959">
        <v>45590</v>
      </c>
      <c r="C284" t="s">
        <v>5231</v>
      </c>
      <c r="D284">
        <v>948</v>
      </c>
      <c r="I284" t="s">
        <v>5809</v>
      </c>
      <c r="J284">
        <v>948</v>
      </c>
      <c r="K284">
        <v>125.53</v>
      </c>
      <c r="L284">
        <v>119000</v>
      </c>
    </row>
    <row r="285" spans="1:14" x14ac:dyDescent="0.2">
      <c r="A285" s="958" t="s">
        <v>5737</v>
      </c>
      <c r="B285" s="959">
        <v>45590</v>
      </c>
      <c r="C285" t="s">
        <v>5274</v>
      </c>
      <c r="D285">
        <v>88</v>
      </c>
      <c r="I285" t="s">
        <v>5483</v>
      </c>
      <c r="J285">
        <v>88</v>
      </c>
      <c r="K285">
        <v>964.77</v>
      </c>
      <c r="L285">
        <v>84900</v>
      </c>
    </row>
    <row r="286" spans="1:14" x14ac:dyDescent="0.2">
      <c r="A286" s="958" t="s">
        <v>5737</v>
      </c>
      <c r="B286" s="959">
        <v>45590</v>
      </c>
      <c r="C286" t="s">
        <v>5240</v>
      </c>
      <c r="D286">
        <v>360</v>
      </c>
      <c r="I286" t="s">
        <v>5808</v>
      </c>
      <c r="J286">
        <v>360</v>
      </c>
      <c r="K286">
        <v>498.89</v>
      </c>
      <c r="L286">
        <v>179600</v>
      </c>
    </row>
    <row r="287" spans="1:14" x14ac:dyDescent="0.2">
      <c r="A287" s="958" t="s">
        <v>5738</v>
      </c>
      <c r="B287" s="959">
        <v>45590</v>
      </c>
      <c r="C287" t="s">
        <v>5730</v>
      </c>
      <c r="D287">
        <v>12</v>
      </c>
      <c r="I287" t="s">
        <v>5814</v>
      </c>
      <c r="J287">
        <v>12</v>
      </c>
      <c r="K287">
        <v>141.66999999999999</v>
      </c>
      <c r="L287">
        <v>1700</v>
      </c>
    </row>
    <row r="288" spans="1:14" x14ac:dyDescent="0.2">
      <c r="A288" s="958" t="s">
        <v>5738</v>
      </c>
      <c r="B288" s="959">
        <v>45590</v>
      </c>
      <c r="C288" t="s">
        <v>5731</v>
      </c>
      <c r="D288">
        <v>2058</v>
      </c>
      <c r="I288" t="s">
        <v>5815</v>
      </c>
      <c r="J288">
        <v>2058</v>
      </c>
      <c r="K288">
        <v>99.13</v>
      </c>
      <c r="L288">
        <v>204000</v>
      </c>
    </row>
    <row r="289" spans="1:14" x14ac:dyDescent="0.2">
      <c r="A289" s="958" t="s">
        <v>5738</v>
      </c>
      <c r="B289" s="959">
        <v>45590</v>
      </c>
      <c r="C289" t="s">
        <v>5732</v>
      </c>
      <c r="D289">
        <v>228</v>
      </c>
      <c r="I289" t="s">
        <v>5816</v>
      </c>
      <c r="J289">
        <v>228</v>
      </c>
      <c r="K289">
        <v>74.56</v>
      </c>
      <c r="L289">
        <v>17000</v>
      </c>
    </row>
    <row r="290" spans="1:14" x14ac:dyDescent="0.2">
      <c r="A290" s="958" t="s">
        <v>5738</v>
      </c>
      <c r="B290" s="959">
        <v>45590</v>
      </c>
      <c r="C290" t="s">
        <v>5733</v>
      </c>
      <c r="D290">
        <v>36</v>
      </c>
      <c r="I290" t="s">
        <v>5817</v>
      </c>
      <c r="J290">
        <v>36</v>
      </c>
      <c r="K290">
        <v>236.11</v>
      </c>
      <c r="L290">
        <v>8500</v>
      </c>
    </row>
    <row r="291" spans="1:14" x14ac:dyDescent="0.2">
      <c r="A291" s="958" t="s">
        <v>5738</v>
      </c>
      <c r="B291" s="959">
        <v>45590</v>
      </c>
      <c r="C291" t="s">
        <v>5272</v>
      </c>
      <c r="D291">
        <v>3744</v>
      </c>
      <c r="I291" t="s">
        <v>5807</v>
      </c>
      <c r="J291">
        <v>3744</v>
      </c>
      <c r="K291">
        <v>118.06</v>
      </c>
      <c r="L291">
        <v>442000</v>
      </c>
    </row>
    <row r="292" spans="1:14" x14ac:dyDescent="0.2">
      <c r="A292" s="958" t="s">
        <v>5738</v>
      </c>
      <c r="B292" s="959">
        <v>45590</v>
      </c>
      <c r="C292" t="s">
        <v>5277</v>
      </c>
      <c r="D292">
        <v>6</v>
      </c>
      <c r="I292" t="s">
        <v>5812</v>
      </c>
      <c r="J292">
        <v>6</v>
      </c>
      <c r="K292">
        <v>566.66999999999996</v>
      </c>
      <c r="L292">
        <v>3400</v>
      </c>
    </row>
    <row r="293" spans="1:14" x14ac:dyDescent="0.2">
      <c r="A293" s="958" t="s">
        <v>5738</v>
      </c>
      <c r="B293" s="959">
        <v>45590</v>
      </c>
      <c r="C293" t="s">
        <v>5231</v>
      </c>
      <c r="D293">
        <v>2328</v>
      </c>
      <c r="I293" t="s">
        <v>5809</v>
      </c>
      <c r="J293">
        <v>2328</v>
      </c>
      <c r="K293">
        <v>146.05000000000001</v>
      </c>
      <c r="L293">
        <v>340000</v>
      </c>
    </row>
    <row r="294" spans="1:14" x14ac:dyDescent="0.2">
      <c r="A294" s="958" t="s">
        <v>5738</v>
      </c>
      <c r="B294" s="959">
        <v>45590</v>
      </c>
      <c r="C294" t="s">
        <v>5734</v>
      </c>
      <c r="D294">
        <v>966</v>
      </c>
      <c r="I294" t="s">
        <v>5818</v>
      </c>
      <c r="J294">
        <v>966</v>
      </c>
      <c r="K294">
        <v>158.38999999999999</v>
      </c>
      <c r="L294">
        <v>153000</v>
      </c>
    </row>
    <row r="295" spans="1:14" x14ac:dyDescent="0.2">
      <c r="A295" s="958" t="s">
        <v>5738</v>
      </c>
      <c r="B295" s="959">
        <v>45590</v>
      </c>
      <c r="C295" t="s">
        <v>5735</v>
      </c>
      <c r="D295">
        <v>612</v>
      </c>
      <c r="I295" t="s">
        <v>5739</v>
      </c>
      <c r="J295">
        <v>612</v>
      </c>
      <c r="K295">
        <v>111.11</v>
      </c>
      <c r="L295">
        <v>68000</v>
      </c>
    </row>
    <row r="296" spans="1:14" x14ac:dyDescent="0.2">
      <c r="A296" s="958" t="s">
        <v>5738</v>
      </c>
      <c r="B296" s="959">
        <v>45590</v>
      </c>
      <c r="C296" t="s">
        <v>5736</v>
      </c>
      <c r="D296">
        <v>24</v>
      </c>
      <c r="I296" t="s">
        <v>5740</v>
      </c>
      <c r="J296">
        <v>24</v>
      </c>
      <c r="K296">
        <v>141.66999999999999</v>
      </c>
      <c r="L296">
        <v>3400</v>
      </c>
    </row>
    <row r="297" spans="1:14" x14ac:dyDescent="0.2">
      <c r="A297" s="958" t="s">
        <v>5758</v>
      </c>
      <c r="B297" s="959">
        <v>45593</v>
      </c>
      <c r="C297" t="s">
        <v>5367</v>
      </c>
      <c r="D297">
        <v>2304</v>
      </c>
      <c r="E297">
        <v>2304</v>
      </c>
      <c r="F297">
        <v>2304</v>
      </c>
      <c r="G297">
        <v>2304</v>
      </c>
      <c r="H297">
        <v>2304</v>
      </c>
      <c r="I297" t="s">
        <v>5368</v>
      </c>
      <c r="J297">
        <v>2304</v>
      </c>
      <c r="K297">
        <v>33.17</v>
      </c>
      <c r="L297">
        <v>76412.160000000003</v>
      </c>
      <c r="M297">
        <v>2304</v>
      </c>
      <c r="N297">
        <v>2304</v>
      </c>
    </row>
    <row r="298" spans="1:14" x14ac:dyDescent="0.2">
      <c r="A298" s="958" t="s">
        <v>5759</v>
      </c>
      <c r="B298" s="959">
        <v>45593</v>
      </c>
      <c r="C298" t="s">
        <v>3403</v>
      </c>
      <c r="D298">
        <v>1890</v>
      </c>
      <c r="E298">
        <v>1890</v>
      </c>
      <c r="F298">
        <v>1890</v>
      </c>
      <c r="G298">
        <v>1890</v>
      </c>
      <c r="H298">
        <v>1890</v>
      </c>
      <c r="I298" t="s">
        <v>5445</v>
      </c>
      <c r="J298">
        <v>1890</v>
      </c>
      <c r="K298">
        <v>72.39</v>
      </c>
      <c r="L298">
        <v>136818.04999999999</v>
      </c>
      <c r="M298">
        <v>1890</v>
      </c>
      <c r="N298">
        <v>1878</v>
      </c>
    </row>
    <row r="299" spans="1:14" x14ac:dyDescent="0.2">
      <c r="A299" s="958" t="s">
        <v>5760</v>
      </c>
      <c r="B299" s="959">
        <v>45593</v>
      </c>
      <c r="C299" t="s">
        <v>4813</v>
      </c>
      <c r="D299">
        <v>1548</v>
      </c>
      <c r="E299">
        <v>1548</v>
      </c>
      <c r="F299">
        <v>1548</v>
      </c>
      <c r="G299">
        <v>1548</v>
      </c>
      <c r="H299">
        <v>1548</v>
      </c>
      <c r="I299" t="s">
        <v>4148</v>
      </c>
      <c r="J299">
        <v>1548</v>
      </c>
      <c r="K299">
        <v>140.69</v>
      </c>
      <c r="L299">
        <v>217781.93</v>
      </c>
      <c r="M299">
        <v>1548</v>
      </c>
      <c r="N299">
        <v>1500</v>
      </c>
    </row>
    <row r="300" spans="1:14" x14ac:dyDescent="0.2">
      <c r="A300" s="958" t="s">
        <v>5761</v>
      </c>
      <c r="B300" s="959">
        <v>45593</v>
      </c>
      <c r="C300" t="s">
        <v>4582</v>
      </c>
      <c r="D300">
        <v>1932</v>
      </c>
      <c r="E300">
        <v>1932</v>
      </c>
      <c r="F300">
        <v>1932</v>
      </c>
      <c r="G300">
        <v>1932</v>
      </c>
      <c r="H300">
        <v>1932</v>
      </c>
      <c r="I300" t="s">
        <v>5393</v>
      </c>
      <c r="J300">
        <v>1932</v>
      </c>
      <c r="K300">
        <v>39.9</v>
      </c>
      <c r="L300">
        <v>77077.14</v>
      </c>
      <c r="M300">
        <v>1932</v>
      </c>
      <c r="N300">
        <v>1932</v>
      </c>
    </row>
    <row r="301" spans="1:14" x14ac:dyDescent="0.2">
      <c r="A301" s="958" t="s">
        <v>5761</v>
      </c>
      <c r="B301" s="959">
        <v>45593</v>
      </c>
      <c r="C301" t="s">
        <v>4994</v>
      </c>
      <c r="D301">
        <v>1704</v>
      </c>
      <c r="E301">
        <v>1704</v>
      </c>
      <c r="F301">
        <v>1704</v>
      </c>
      <c r="G301">
        <v>1704</v>
      </c>
      <c r="H301">
        <v>1704</v>
      </c>
      <c r="I301" t="s">
        <v>5365</v>
      </c>
      <c r="J301">
        <v>1704</v>
      </c>
      <c r="K301">
        <v>86.74</v>
      </c>
      <c r="L301">
        <v>147808.37</v>
      </c>
      <c r="M301">
        <v>1704</v>
      </c>
      <c r="N301">
        <v>1704</v>
      </c>
    </row>
    <row r="302" spans="1:14" x14ac:dyDescent="0.2">
      <c r="A302" s="958" t="s">
        <v>5761</v>
      </c>
      <c r="B302" s="959">
        <v>45593</v>
      </c>
      <c r="C302" t="s">
        <v>5003</v>
      </c>
      <c r="D302">
        <v>1434</v>
      </c>
      <c r="E302">
        <v>1434</v>
      </c>
      <c r="F302">
        <v>1434</v>
      </c>
      <c r="G302">
        <v>1434</v>
      </c>
      <c r="H302">
        <v>1434</v>
      </c>
      <c r="I302" t="s">
        <v>5414</v>
      </c>
      <c r="J302">
        <v>1434</v>
      </c>
      <c r="K302">
        <v>108.39</v>
      </c>
      <c r="L302">
        <v>155428.39000000001</v>
      </c>
      <c r="M302">
        <v>1434</v>
      </c>
      <c r="N302">
        <v>1434</v>
      </c>
    </row>
    <row r="303" spans="1:14" x14ac:dyDescent="0.2">
      <c r="A303" s="958" t="s">
        <v>5762</v>
      </c>
      <c r="B303" s="959">
        <v>45593</v>
      </c>
      <c r="C303" t="s">
        <v>6516</v>
      </c>
      <c r="D303">
        <v>16</v>
      </c>
      <c r="E303">
        <v>16</v>
      </c>
      <c r="F303">
        <v>4</v>
      </c>
      <c r="G303">
        <v>4</v>
      </c>
      <c r="H303">
        <v>4</v>
      </c>
      <c r="I303" t="s">
        <v>6790</v>
      </c>
      <c r="J303">
        <v>16</v>
      </c>
      <c r="K303">
        <v>6222.5</v>
      </c>
      <c r="L303">
        <v>99560</v>
      </c>
      <c r="M303">
        <v>16</v>
      </c>
      <c r="N303">
        <v>16</v>
      </c>
    </row>
    <row r="304" spans="1:14" x14ac:dyDescent="0.2">
      <c r="A304" s="958" t="s">
        <v>5762</v>
      </c>
      <c r="B304" s="959">
        <v>45593</v>
      </c>
      <c r="C304" t="s">
        <v>6517</v>
      </c>
      <c r="D304">
        <v>16</v>
      </c>
      <c r="E304">
        <v>16</v>
      </c>
      <c r="F304">
        <v>4</v>
      </c>
      <c r="G304">
        <v>4</v>
      </c>
      <c r="H304">
        <v>4</v>
      </c>
      <c r="I304" t="s">
        <v>6791</v>
      </c>
      <c r="J304">
        <v>16</v>
      </c>
      <c r="K304">
        <v>6222.5</v>
      </c>
      <c r="L304">
        <v>99560</v>
      </c>
      <c r="M304">
        <v>16</v>
      </c>
      <c r="N304">
        <v>16</v>
      </c>
    </row>
    <row r="305" spans="1:14" x14ac:dyDescent="0.2">
      <c r="A305" s="958" t="s">
        <v>5762</v>
      </c>
      <c r="B305" s="959">
        <v>45593</v>
      </c>
      <c r="C305" t="s">
        <v>6518</v>
      </c>
      <c r="D305">
        <v>16</v>
      </c>
      <c r="E305">
        <v>16</v>
      </c>
      <c r="F305">
        <v>4</v>
      </c>
      <c r="G305">
        <v>4</v>
      </c>
      <c r="H305">
        <v>4</v>
      </c>
      <c r="I305" t="s">
        <v>6792</v>
      </c>
      <c r="J305">
        <v>16</v>
      </c>
      <c r="K305">
        <v>4760</v>
      </c>
      <c r="L305">
        <v>76160</v>
      </c>
      <c r="M305">
        <v>16</v>
      </c>
      <c r="N305">
        <v>16</v>
      </c>
    </row>
    <row r="306" spans="1:14" x14ac:dyDescent="0.2">
      <c r="A306" s="958" t="s">
        <v>5762</v>
      </c>
      <c r="B306" s="959">
        <v>45593</v>
      </c>
      <c r="C306" t="s">
        <v>6519</v>
      </c>
      <c r="D306">
        <v>16</v>
      </c>
      <c r="E306">
        <v>16</v>
      </c>
      <c r="F306">
        <v>4</v>
      </c>
      <c r="G306">
        <v>4</v>
      </c>
      <c r="H306">
        <v>4</v>
      </c>
      <c r="I306" t="s">
        <v>6793</v>
      </c>
      <c r="J306">
        <v>16</v>
      </c>
      <c r="K306">
        <v>3297.5</v>
      </c>
      <c r="L306">
        <v>52760</v>
      </c>
      <c r="M306">
        <v>16</v>
      </c>
      <c r="N306">
        <v>16</v>
      </c>
    </row>
    <row r="307" spans="1:14" x14ac:dyDescent="0.2">
      <c r="A307" s="958" t="s">
        <v>5762</v>
      </c>
      <c r="B307" s="959">
        <v>45593</v>
      </c>
      <c r="C307" t="s">
        <v>6520</v>
      </c>
      <c r="D307">
        <v>16</v>
      </c>
      <c r="E307">
        <v>16</v>
      </c>
      <c r="F307">
        <v>4</v>
      </c>
      <c r="G307">
        <v>4</v>
      </c>
      <c r="H307">
        <v>4</v>
      </c>
      <c r="I307" t="s">
        <v>6794</v>
      </c>
      <c r="J307">
        <v>16</v>
      </c>
      <c r="K307">
        <v>1835</v>
      </c>
      <c r="L307">
        <v>29360</v>
      </c>
      <c r="M307">
        <v>16</v>
      </c>
      <c r="N307">
        <v>16</v>
      </c>
    </row>
    <row r="308" spans="1:14" x14ac:dyDescent="0.2">
      <c r="A308" s="958" t="s">
        <v>5763</v>
      </c>
      <c r="B308" s="959">
        <v>45593</v>
      </c>
      <c r="C308" t="s">
        <v>6515</v>
      </c>
      <c r="D308">
        <v>32</v>
      </c>
      <c r="E308">
        <v>32</v>
      </c>
      <c r="F308">
        <v>32</v>
      </c>
      <c r="G308">
        <v>32</v>
      </c>
      <c r="H308">
        <v>32</v>
      </c>
      <c r="I308" t="s">
        <v>5415</v>
      </c>
      <c r="J308">
        <v>32</v>
      </c>
      <c r="K308">
        <v>337.5</v>
      </c>
      <c r="L308">
        <v>10800</v>
      </c>
      <c r="M308">
        <v>32</v>
      </c>
      <c r="N308">
        <v>32</v>
      </c>
    </row>
    <row r="309" spans="1:14" x14ac:dyDescent="0.2">
      <c r="A309" s="958" t="s">
        <v>5763</v>
      </c>
      <c r="B309" s="959">
        <v>45593</v>
      </c>
      <c r="C309" t="s">
        <v>5141</v>
      </c>
      <c r="D309">
        <v>32</v>
      </c>
      <c r="E309">
        <v>32</v>
      </c>
      <c r="F309">
        <v>32</v>
      </c>
      <c r="G309">
        <v>32</v>
      </c>
      <c r="H309">
        <v>32</v>
      </c>
      <c r="I309" t="s">
        <v>5416</v>
      </c>
      <c r="J309">
        <v>32</v>
      </c>
      <c r="K309">
        <v>337.5</v>
      </c>
      <c r="L309">
        <v>10800</v>
      </c>
      <c r="M309">
        <v>32</v>
      </c>
      <c r="N309">
        <v>32</v>
      </c>
    </row>
    <row r="310" spans="1:14" x14ac:dyDescent="0.2">
      <c r="A310" s="958" t="s">
        <v>5763</v>
      </c>
      <c r="B310" s="959">
        <v>45593</v>
      </c>
      <c r="C310" t="s">
        <v>5142</v>
      </c>
      <c r="D310">
        <v>8</v>
      </c>
      <c r="E310">
        <v>8</v>
      </c>
      <c r="F310">
        <v>8</v>
      </c>
      <c r="G310">
        <v>8</v>
      </c>
      <c r="H310">
        <v>8</v>
      </c>
      <c r="I310" t="s">
        <v>5417</v>
      </c>
      <c r="J310">
        <v>8</v>
      </c>
      <c r="K310">
        <v>375</v>
      </c>
      <c r="L310">
        <v>3000</v>
      </c>
      <c r="M310">
        <v>8</v>
      </c>
      <c r="N310">
        <v>8</v>
      </c>
    </row>
    <row r="311" spans="1:14" x14ac:dyDescent="0.2">
      <c r="A311" s="958" t="s">
        <v>5763</v>
      </c>
      <c r="B311" s="959">
        <v>45593</v>
      </c>
      <c r="C311" t="s">
        <v>5143</v>
      </c>
      <c r="D311">
        <v>8</v>
      </c>
      <c r="E311">
        <v>8</v>
      </c>
      <c r="F311">
        <v>8</v>
      </c>
      <c r="G311">
        <v>8</v>
      </c>
      <c r="H311">
        <v>8</v>
      </c>
      <c r="I311" t="s">
        <v>5418</v>
      </c>
      <c r="J311">
        <v>8</v>
      </c>
      <c r="K311">
        <v>375</v>
      </c>
      <c r="L311">
        <v>3000</v>
      </c>
      <c r="M311">
        <v>8</v>
      </c>
      <c r="N311">
        <v>8</v>
      </c>
    </row>
    <row r="312" spans="1:14" x14ac:dyDescent="0.2">
      <c r="A312" s="958" t="s">
        <v>5763</v>
      </c>
      <c r="B312" s="959">
        <v>45593</v>
      </c>
      <c r="C312" t="s">
        <v>5144</v>
      </c>
      <c r="D312">
        <v>80</v>
      </c>
      <c r="E312">
        <v>80</v>
      </c>
      <c r="F312">
        <v>80</v>
      </c>
      <c r="G312">
        <v>80</v>
      </c>
      <c r="H312">
        <v>80</v>
      </c>
      <c r="I312" t="s">
        <v>5419</v>
      </c>
      <c r="J312">
        <v>80</v>
      </c>
      <c r="K312">
        <v>330</v>
      </c>
      <c r="L312">
        <v>26400</v>
      </c>
      <c r="M312">
        <v>80</v>
      </c>
      <c r="N312">
        <v>80</v>
      </c>
    </row>
    <row r="313" spans="1:14" x14ac:dyDescent="0.2">
      <c r="A313" s="958" t="s">
        <v>5763</v>
      </c>
      <c r="B313" s="959">
        <v>45593</v>
      </c>
      <c r="C313" t="s">
        <v>5145</v>
      </c>
      <c r="D313">
        <v>80</v>
      </c>
      <c r="E313">
        <v>80</v>
      </c>
      <c r="F313">
        <v>80</v>
      </c>
      <c r="G313">
        <v>80</v>
      </c>
      <c r="H313">
        <v>80</v>
      </c>
      <c r="I313" t="s">
        <v>5420</v>
      </c>
      <c r="J313">
        <v>80</v>
      </c>
      <c r="K313">
        <v>330</v>
      </c>
      <c r="L313">
        <v>26400</v>
      </c>
      <c r="M313">
        <v>80</v>
      </c>
      <c r="N313">
        <v>80</v>
      </c>
    </row>
    <row r="314" spans="1:14" x14ac:dyDescent="0.2">
      <c r="A314" s="958" t="s">
        <v>5764</v>
      </c>
      <c r="B314" s="959">
        <v>45593</v>
      </c>
      <c r="C314" t="s">
        <v>5047</v>
      </c>
      <c r="D314">
        <v>16</v>
      </c>
      <c r="I314" t="s">
        <v>5434</v>
      </c>
      <c r="J314">
        <v>16</v>
      </c>
      <c r="K314">
        <v>698.75</v>
      </c>
      <c r="L314">
        <v>11180</v>
      </c>
      <c r="M314">
        <v>16</v>
      </c>
      <c r="N314">
        <v>16</v>
      </c>
    </row>
    <row r="315" spans="1:14" x14ac:dyDescent="0.2">
      <c r="A315" s="958" t="s">
        <v>5764</v>
      </c>
      <c r="B315" s="959">
        <v>45593</v>
      </c>
      <c r="C315" t="s">
        <v>5049</v>
      </c>
      <c r="D315">
        <v>40</v>
      </c>
      <c r="I315" t="s">
        <v>5436</v>
      </c>
      <c r="J315">
        <v>40</v>
      </c>
      <c r="K315">
        <v>908.38</v>
      </c>
      <c r="L315">
        <v>36335</v>
      </c>
      <c r="M315">
        <v>40</v>
      </c>
      <c r="N315">
        <v>40</v>
      </c>
    </row>
    <row r="316" spans="1:14" x14ac:dyDescent="0.2">
      <c r="A316" s="958" t="s">
        <v>5764</v>
      </c>
      <c r="B316" s="959">
        <v>45593</v>
      </c>
      <c r="C316" t="s">
        <v>5044</v>
      </c>
      <c r="D316">
        <v>160</v>
      </c>
      <c r="I316" t="s">
        <v>5432</v>
      </c>
      <c r="J316">
        <v>160</v>
      </c>
      <c r="K316">
        <v>174.69</v>
      </c>
      <c r="L316">
        <v>27950</v>
      </c>
      <c r="M316">
        <v>160</v>
      </c>
      <c r="N316">
        <v>160</v>
      </c>
    </row>
    <row r="317" spans="1:14" x14ac:dyDescent="0.2">
      <c r="A317" s="958" t="s">
        <v>5764</v>
      </c>
      <c r="B317" s="959">
        <v>45593</v>
      </c>
      <c r="C317" t="s">
        <v>5051</v>
      </c>
      <c r="D317">
        <v>20</v>
      </c>
      <c r="I317" t="s">
        <v>5437</v>
      </c>
      <c r="J317">
        <v>20</v>
      </c>
      <c r="K317">
        <v>2096.25</v>
      </c>
      <c r="L317">
        <v>41925</v>
      </c>
      <c r="M317">
        <v>20</v>
      </c>
      <c r="N317">
        <v>20</v>
      </c>
    </row>
    <row r="318" spans="1:14" x14ac:dyDescent="0.2">
      <c r="A318" s="958" t="s">
        <v>5764</v>
      </c>
      <c r="B318" s="959">
        <v>45593</v>
      </c>
      <c r="C318" t="s">
        <v>5054</v>
      </c>
      <c r="D318">
        <v>8</v>
      </c>
      <c r="I318" t="s">
        <v>5440</v>
      </c>
      <c r="J318">
        <v>8</v>
      </c>
      <c r="K318">
        <v>2795</v>
      </c>
      <c r="L318">
        <v>22360</v>
      </c>
      <c r="M318">
        <v>8</v>
      </c>
      <c r="N318">
        <v>8</v>
      </c>
    </row>
    <row r="319" spans="1:14" x14ac:dyDescent="0.2">
      <c r="A319" s="958" t="s">
        <v>5764</v>
      </c>
      <c r="B319" s="959">
        <v>45593</v>
      </c>
      <c r="C319" t="s">
        <v>5055</v>
      </c>
      <c r="D319">
        <v>4</v>
      </c>
      <c r="I319" t="s">
        <v>5441</v>
      </c>
      <c r="J319">
        <v>4</v>
      </c>
      <c r="K319">
        <v>3493.75</v>
      </c>
      <c r="L319">
        <v>13975</v>
      </c>
      <c r="M319">
        <v>4</v>
      </c>
      <c r="N319">
        <v>4</v>
      </c>
    </row>
    <row r="320" spans="1:14" x14ac:dyDescent="0.2">
      <c r="A320" s="958" t="s">
        <v>5764</v>
      </c>
      <c r="B320" s="959">
        <v>45593</v>
      </c>
      <c r="C320" t="s">
        <v>5056</v>
      </c>
      <c r="D320">
        <v>60</v>
      </c>
      <c r="I320" t="s">
        <v>5442</v>
      </c>
      <c r="J320">
        <v>60</v>
      </c>
      <c r="K320">
        <v>3260.83</v>
      </c>
      <c r="L320">
        <v>195650</v>
      </c>
      <c r="M320">
        <v>60</v>
      </c>
      <c r="N320">
        <v>60</v>
      </c>
    </row>
    <row r="321" spans="1:14" x14ac:dyDescent="0.2">
      <c r="A321" s="958" t="s">
        <v>5764</v>
      </c>
      <c r="B321" s="959">
        <v>45593</v>
      </c>
      <c r="C321" t="s">
        <v>5058</v>
      </c>
      <c r="D321">
        <v>48</v>
      </c>
      <c r="I321" t="s">
        <v>5444</v>
      </c>
      <c r="J321">
        <v>48</v>
      </c>
      <c r="K321">
        <v>3377.29</v>
      </c>
      <c r="L321">
        <v>162110</v>
      </c>
      <c r="M321">
        <v>48</v>
      </c>
      <c r="N321">
        <v>48</v>
      </c>
    </row>
    <row r="322" spans="1:14" x14ac:dyDescent="0.2">
      <c r="A322" s="958" t="s">
        <v>5764</v>
      </c>
      <c r="B322" s="959">
        <v>45593</v>
      </c>
      <c r="C322" t="s">
        <v>5057</v>
      </c>
      <c r="D322">
        <v>4</v>
      </c>
      <c r="I322" t="s">
        <v>5443</v>
      </c>
      <c r="J322">
        <v>4</v>
      </c>
      <c r="K322">
        <v>3493.75</v>
      </c>
      <c r="L322">
        <v>13975</v>
      </c>
      <c r="M322">
        <v>4</v>
      </c>
      <c r="N322">
        <v>4</v>
      </c>
    </row>
    <row r="323" spans="1:14" x14ac:dyDescent="0.2">
      <c r="A323" s="958" t="s">
        <v>5764</v>
      </c>
      <c r="B323" s="959">
        <v>45593</v>
      </c>
      <c r="C323" t="s">
        <v>5053</v>
      </c>
      <c r="D323">
        <v>4</v>
      </c>
      <c r="I323" t="s">
        <v>5439</v>
      </c>
      <c r="J323">
        <v>4</v>
      </c>
      <c r="K323">
        <v>2795</v>
      </c>
      <c r="L323">
        <v>11180</v>
      </c>
      <c r="M323">
        <v>4</v>
      </c>
      <c r="N323">
        <v>4</v>
      </c>
    </row>
    <row r="324" spans="1:14" x14ac:dyDescent="0.2">
      <c r="A324" s="958" t="s">
        <v>5764</v>
      </c>
      <c r="B324" s="959">
        <v>45593</v>
      </c>
      <c r="C324" t="s">
        <v>5052</v>
      </c>
      <c r="D324">
        <v>4</v>
      </c>
      <c r="I324" t="s">
        <v>5438</v>
      </c>
      <c r="J324">
        <v>4</v>
      </c>
      <c r="K324">
        <v>3493.75</v>
      </c>
      <c r="L324">
        <v>13975</v>
      </c>
      <c r="M324">
        <v>4</v>
      </c>
      <c r="N324">
        <v>4</v>
      </c>
    </row>
    <row r="325" spans="1:14" x14ac:dyDescent="0.2">
      <c r="A325" s="958" t="s">
        <v>5764</v>
      </c>
      <c r="B325" s="959">
        <v>45593</v>
      </c>
      <c r="C325" t="s">
        <v>5048</v>
      </c>
      <c r="D325">
        <v>4</v>
      </c>
      <c r="I325" t="s">
        <v>5435</v>
      </c>
      <c r="J325">
        <v>4</v>
      </c>
      <c r="K325">
        <v>698.75</v>
      </c>
      <c r="L325">
        <v>2795</v>
      </c>
      <c r="M325">
        <v>4</v>
      </c>
      <c r="N325">
        <v>4</v>
      </c>
    </row>
    <row r="326" spans="1:14" x14ac:dyDescent="0.2">
      <c r="A326" s="958" t="s">
        <v>5764</v>
      </c>
      <c r="B326" s="959">
        <v>45593</v>
      </c>
      <c r="C326" t="s">
        <v>5045</v>
      </c>
      <c r="D326">
        <v>12</v>
      </c>
      <c r="I326" t="s">
        <v>5433</v>
      </c>
      <c r="J326">
        <v>12</v>
      </c>
      <c r="K326">
        <v>465.83</v>
      </c>
      <c r="L326">
        <v>5590</v>
      </c>
      <c r="M326">
        <v>12</v>
      </c>
      <c r="N326">
        <v>12</v>
      </c>
    </row>
    <row r="327" spans="1:14" x14ac:dyDescent="0.2">
      <c r="A327" s="958" t="s">
        <v>5728</v>
      </c>
      <c r="B327" s="959">
        <v>45593</v>
      </c>
      <c r="C327" t="s">
        <v>6513</v>
      </c>
      <c r="D327">
        <v>348</v>
      </c>
      <c r="E327">
        <v>348</v>
      </c>
      <c r="F327">
        <v>348</v>
      </c>
      <c r="G327">
        <v>348</v>
      </c>
      <c r="H327">
        <v>348</v>
      </c>
      <c r="I327" t="s">
        <v>6537</v>
      </c>
      <c r="J327">
        <v>348</v>
      </c>
      <c r="K327">
        <v>562.17999999999995</v>
      </c>
      <c r="L327">
        <v>195640</v>
      </c>
      <c r="M327">
        <v>348</v>
      </c>
      <c r="N327">
        <v>348</v>
      </c>
    </row>
    <row r="328" spans="1:14" x14ac:dyDescent="0.2">
      <c r="A328" s="958" t="s">
        <v>5791</v>
      </c>
      <c r="B328" s="959">
        <v>45594</v>
      </c>
      <c r="C328" t="s">
        <v>5790</v>
      </c>
      <c r="D328">
        <v>270</v>
      </c>
      <c r="E328">
        <v>270</v>
      </c>
      <c r="F328">
        <v>270</v>
      </c>
      <c r="G328">
        <v>270</v>
      </c>
      <c r="H328">
        <v>270</v>
      </c>
      <c r="I328" t="s">
        <v>5792</v>
      </c>
      <c r="J328">
        <v>270</v>
      </c>
      <c r="K328">
        <v>51.89</v>
      </c>
      <c r="L328">
        <v>14010.3</v>
      </c>
      <c r="M328">
        <v>270</v>
      </c>
      <c r="N328">
        <v>270</v>
      </c>
    </row>
    <row r="329" spans="1:14" x14ac:dyDescent="0.2">
      <c r="A329" s="958" t="s">
        <v>5798</v>
      </c>
      <c r="B329" s="959">
        <v>45597</v>
      </c>
      <c r="C329" t="s">
        <v>5164</v>
      </c>
      <c r="D329">
        <v>42.35</v>
      </c>
      <c r="E329">
        <v>42.35</v>
      </c>
      <c r="F329">
        <v>40.75</v>
      </c>
      <c r="G329">
        <v>40.75</v>
      </c>
      <c r="H329">
        <v>40.75</v>
      </c>
      <c r="I329" t="s">
        <v>5466</v>
      </c>
      <c r="J329">
        <v>42.35</v>
      </c>
      <c r="K329">
        <v>510.04</v>
      </c>
      <c r="L329">
        <v>21600.19</v>
      </c>
      <c r="M329">
        <v>40.75</v>
      </c>
      <c r="N329">
        <v>36.299999999999997</v>
      </c>
    </row>
    <row r="330" spans="1:14" x14ac:dyDescent="0.2">
      <c r="A330" s="958" t="s">
        <v>5799</v>
      </c>
      <c r="B330" s="959">
        <v>45597</v>
      </c>
      <c r="C330" t="s">
        <v>4567</v>
      </c>
      <c r="D330">
        <v>288</v>
      </c>
      <c r="E330">
        <v>288</v>
      </c>
      <c r="F330">
        <v>288</v>
      </c>
      <c r="G330">
        <v>288</v>
      </c>
      <c r="H330">
        <v>288</v>
      </c>
      <c r="I330" t="s">
        <v>5394</v>
      </c>
      <c r="J330">
        <v>288</v>
      </c>
      <c r="K330">
        <v>126.48</v>
      </c>
      <c r="L330">
        <v>36426.239999999998</v>
      </c>
      <c r="M330">
        <v>288</v>
      </c>
      <c r="N330">
        <v>288</v>
      </c>
    </row>
    <row r="331" spans="1:14" x14ac:dyDescent="0.2">
      <c r="A331" s="958" t="s">
        <v>5805</v>
      </c>
      <c r="B331" s="959">
        <v>45598</v>
      </c>
      <c r="C331" t="s">
        <v>5430</v>
      </c>
      <c r="D331">
        <v>240</v>
      </c>
      <c r="E331">
        <v>240</v>
      </c>
      <c r="F331">
        <v>240</v>
      </c>
      <c r="G331">
        <v>240</v>
      </c>
      <c r="H331">
        <v>240</v>
      </c>
      <c r="I331" t="s">
        <v>5431</v>
      </c>
      <c r="J331">
        <v>240</v>
      </c>
      <c r="K331">
        <v>195.83</v>
      </c>
      <c r="L331">
        <v>47000</v>
      </c>
      <c r="M331">
        <v>240</v>
      </c>
      <c r="N331">
        <v>240</v>
      </c>
    </row>
    <row r="332" spans="1:14" x14ac:dyDescent="0.2">
      <c r="A332" s="958" t="s">
        <v>5819</v>
      </c>
      <c r="B332" s="959">
        <v>45598</v>
      </c>
      <c r="C332" t="s">
        <v>117</v>
      </c>
      <c r="D332">
        <v>540</v>
      </c>
      <c r="I332" t="s">
        <v>5424</v>
      </c>
      <c r="J332">
        <v>540</v>
      </c>
      <c r="K332">
        <v>78.900000000000006</v>
      </c>
      <c r="L332">
        <v>42604.38</v>
      </c>
      <c r="M332">
        <v>540</v>
      </c>
      <c r="N332">
        <v>540</v>
      </c>
    </row>
    <row r="333" spans="1:14" x14ac:dyDescent="0.2">
      <c r="A333" s="958" t="s">
        <v>5819</v>
      </c>
      <c r="B333" s="959">
        <v>45598</v>
      </c>
      <c r="C333" t="s">
        <v>3502</v>
      </c>
      <c r="D333">
        <v>655</v>
      </c>
      <c r="I333" t="s">
        <v>5377</v>
      </c>
      <c r="J333">
        <v>655</v>
      </c>
      <c r="K333">
        <v>60.15</v>
      </c>
      <c r="L333">
        <v>39398.910000000003</v>
      </c>
      <c r="M333">
        <v>655</v>
      </c>
      <c r="N333">
        <v>655</v>
      </c>
    </row>
    <row r="334" spans="1:14" x14ac:dyDescent="0.2">
      <c r="A334" s="958" t="s">
        <v>5819</v>
      </c>
      <c r="B334" s="959">
        <v>45598</v>
      </c>
      <c r="C334" t="s">
        <v>299</v>
      </c>
      <c r="D334">
        <v>1435</v>
      </c>
      <c r="E334">
        <v>595</v>
      </c>
      <c r="F334">
        <v>200</v>
      </c>
      <c r="G334">
        <v>400</v>
      </c>
      <c r="H334">
        <v>200</v>
      </c>
      <c r="I334" t="s">
        <v>5450</v>
      </c>
      <c r="J334">
        <v>1435</v>
      </c>
      <c r="K334">
        <v>62.84</v>
      </c>
      <c r="L334">
        <v>90168.94</v>
      </c>
      <c r="M334">
        <v>1830</v>
      </c>
      <c r="N334">
        <v>1425</v>
      </c>
    </row>
    <row r="335" spans="1:14" x14ac:dyDescent="0.2">
      <c r="A335" s="958" t="s">
        <v>5828</v>
      </c>
      <c r="B335" s="959">
        <v>45603</v>
      </c>
      <c r="C335" t="s">
        <v>5083</v>
      </c>
      <c r="D335">
        <v>328</v>
      </c>
      <c r="E335">
        <v>328</v>
      </c>
      <c r="F335">
        <v>328</v>
      </c>
      <c r="G335">
        <v>328</v>
      </c>
      <c r="H335">
        <v>328</v>
      </c>
      <c r="I335" t="s">
        <v>5446</v>
      </c>
      <c r="J335">
        <v>328</v>
      </c>
      <c r="K335">
        <v>668.6</v>
      </c>
      <c r="L335">
        <v>219300</v>
      </c>
      <c r="M335">
        <v>328</v>
      </c>
      <c r="N335">
        <v>328</v>
      </c>
    </row>
    <row r="336" spans="1:14" x14ac:dyDescent="0.2">
      <c r="A336" s="958" t="s">
        <v>5832</v>
      </c>
      <c r="B336" s="959">
        <v>45607</v>
      </c>
      <c r="C336" t="s">
        <v>5367</v>
      </c>
      <c r="D336">
        <v>3552</v>
      </c>
      <c r="E336">
        <v>3552</v>
      </c>
      <c r="F336">
        <v>3552</v>
      </c>
      <c r="G336">
        <v>3552</v>
      </c>
      <c r="H336">
        <v>3552</v>
      </c>
      <c r="I336" t="s">
        <v>5368</v>
      </c>
      <c r="J336">
        <v>3552</v>
      </c>
      <c r="K336">
        <v>33.17</v>
      </c>
      <c r="L336">
        <v>117802.08</v>
      </c>
      <c r="M336">
        <v>3552</v>
      </c>
      <c r="N336">
        <v>3552</v>
      </c>
    </row>
    <row r="337" spans="1:14" x14ac:dyDescent="0.2">
      <c r="A337" s="958" t="s">
        <v>5837</v>
      </c>
      <c r="B337" s="959">
        <v>45607</v>
      </c>
      <c r="C337" t="s">
        <v>4785</v>
      </c>
      <c r="D337">
        <v>1854</v>
      </c>
      <c r="E337">
        <v>1854</v>
      </c>
      <c r="F337">
        <v>1854</v>
      </c>
      <c r="G337">
        <v>1854</v>
      </c>
      <c r="H337">
        <v>1854</v>
      </c>
      <c r="I337" t="s">
        <v>5384</v>
      </c>
      <c r="J337">
        <v>1854</v>
      </c>
      <c r="K337">
        <v>190.65</v>
      </c>
      <c r="L337">
        <v>353455.83</v>
      </c>
      <c r="M337">
        <v>1854</v>
      </c>
      <c r="N337">
        <v>1848</v>
      </c>
    </row>
    <row r="338" spans="1:14" x14ac:dyDescent="0.2">
      <c r="A338" s="958" t="s">
        <v>5838</v>
      </c>
      <c r="B338" s="959">
        <v>45607</v>
      </c>
      <c r="C338" t="s">
        <v>3802</v>
      </c>
      <c r="D338">
        <v>2103</v>
      </c>
      <c r="E338">
        <v>2103</v>
      </c>
      <c r="F338">
        <v>2103</v>
      </c>
      <c r="G338">
        <v>2103</v>
      </c>
      <c r="H338">
        <v>2103</v>
      </c>
      <c r="I338" t="s">
        <v>5839</v>
      </c>
      <c r="J338">
        <v>2103</v>
      </c>
      <c r="K338">
        <v>44.32</v>
      </c>
      <c r="L338">
        <v>93201.81</v>
      </c>
      <c r="M338">
        <v>2103</v>
      </c>
      <c r="N338">
        <v>2103</v>
      </c>
    </row>
    <row r="339" spans="1:14" x14ac:dyDescent="0.2">
      <c r="A339" s="958" t="s">
        <v>5840</v>
      </c>
      <c r="B339" s="959">
        <v>45607</v>
      </c>
      <c r="C339" t="s">
        <v>2841</v>
      </c>
      <c r="D339">
        <v>2759.65</v>
      </c>
      <c r="E339">
        <v>2759.65</v>
      </c>
      <c r="F339">
        <v>2759.65</v>
      </c>
      <c r="G339">
        <v>2759.65</v>
      </c>
      <c r="H339">
        <v>2759.65</v>
      </c>
      <c r="I339" t="s">
        <v>5486</v>
      </c>
      <c r="J339">
        <v>2759.65</v>
      </c>
      <c r="K339">
        <v>49.23</v>
      </c>
      <c r="L339">
        <v>135868.60999999999</v>
      </c>
      <c r="M339">
        <v>2759.65</v>
      </c>
      <c r="N339">
        <v>2759.65</v>
      </c>
    </row>
    <row r="340" spans="1:14" x14ac:dyDescent="0.2">
      <c r="A340" s="958" t="s">
        <v>5845</v>
      </c>
      <c r="B340" s="959">
        <v>45607</v>
      </c>
      <c r="C340" t="s">
        <v>5320</v>
      </c>
      <c r="D340">
        <v>316.10000000000002</v>
      </c>
      <c r="E340">
        <v>316.10000000000002</v>
      </c>
      <c r="F340">
        <v>316.10000000000002</v>
      </c>
      <c r="G340">
        <v>316.10000000000002</v>
      </c>
      <c r="H340">
        <v>316.10000000000002</v>
      </c>
      <c r="I340" t="s">
        <v>5536</v>
      </c>
      <c r="J340">
        <v>316.10000000000002</v>
      </c>
      <c r="K340">
        <v>313.13</v>
      </c>
      <c r="L340">
        <v>98980.71</v>
      </c>
      <c r="M340">
        <v>316.10000000000002</v>
      </c>
      <c r="N340">
        <v>316.10000000000002</v>
      </c>
    </row>
    <row r="341" spans="1:14" x14ac:dyDescent="0.2">
      <c r="A341" s="958" t="s">
        <v>5846</v>
      </c>
      <c r="B341" s="959">
        <v>45607</v>
      </c>
      <c r="C341" t="s">
        <v>4582</v>
      </c>
      <c r="D341">
        <v>3318</v>
      </c>
      <c r="E341">
        <v>3318</v>
      </c>
      <c r="F341">
        <v>3318</v>
      </c>
      <c r="G341">
        <v>3318</v>
      </c>
      <c r="H341">
        <v>3318</v>
      </c>
      <c r="I341" t="s">
        <v>5393</v>
      </c>
      <c r="J341">
        <v>3318</v>
      </c>
      <c r="K341">
        <v>39.9</v>
      </c>
      <c r="L341">
        <v>132371.60999999999</v>
      </c>
      <c r="M341">
        <v>3318</v>
      </c>
      <c r="N341">
        <v>3264</v>
      </c>
    </row>
    <row r="342" spans="1:14" x14ac:dyDescent="0.2">
      <c r="A342" s="958" t="s">
        <v>5846</v>
      </c>
      <c r="B342" s="959">
        <v>45607</v>
      </c>
      <c r="C342" t="s">
        <v>4378</v>
      </c>
      <c r="D342">
        <v>3276</v>
      </c>
      <c r="E342">
        <v>3276</v>
      </c>
      <c r="F342">
        <v>3276</v>
      </c>
      <c r="G342">
        <v>3276</v>
      </c>
      <c r="H342">
        <v>3276</v>
      </c>
      <c r="I342" t="s">
        <v>5076</v>
      </c>
      <c r="J342">
        <v>3276</v>
      </c>
      <c r="K342">
        <v>99.42</v>
      </c>
      <c r="L342">
        <v>325704.83</v>
      </c>
      <c r="M342">
        <v>3276</v>
      </c>
      <c r="N342">
        <v>3270</v>
      </c>
    </row>
    <row r="343" spans="1:14" x14ac:dyDescent="0.2">
      <c r="A343" s="958" t="s">
        <v>5846</v>
      </c>
      <c r="B343" s="959">
        <v>45607</v>
      </c>
      <c r="C343" t="s">
        <v>5091</v>
      </c>
      <c r="D343">
        <v>756</v>
      </c>
      <c r="E343">
        <v>756</v>
      </c>
      <c r="F343">
        <v>756</v>
      </c>
      <c r="G343">
        <v>756</v>
      </c>
      <c r="H343">
        <v>756</v>
      </c>
      <c r="I343" t="s">
        <v>5411</v>
      </c>
      <c r="J343">
        <v>756</v>
      </c>
      <c r="K343">
        <v>74.38</v>
      </c>
      <c r="L343">
        <v>56230.15</v>
      </c>
      <c r="M343">
        <v>756</v>
      </c>
      <c r="N343">
        <v>756</v>
      </c>
    </row>
    <row r="344" spans="1:14" x14ac:dyDescent="0.2">
      <c r="A344" s="958" t="s">
        <v>5847</v>
      </c>
      <c r="B344" s="959">
        <v>45607</v>
      </c>
      <c r="C344" t="s">
        <v>5253</v>
      </c>
      <c r="D344">
        <v>1052.7</v>
      </c>
      <c r="E344">
        <v>1052.7</v>
      </c>
      <c r="F344">
        <v>1052.7</v>
      </c>
      <c r="G344">
        <v>1052.7</v>
      </c>
      <c r="H344">
        <v>1052.7</v>
      </c>
      <c r="I344" t="s">
        <v>6795</v>
      </c>
      <c r="J344">
        <v>1052.7</v>
      </c>
      <c r="K344">
        <v>98.12</v>
      </c>
      <c r="L344">
        <v>103290.92</v>
      </c>
      <c r="M344">
        <v>1052.7</v>
      </c>
      <c r="N344">
        <v>1052.7</v>
      </c>
    </row>
    <row r="345" spans="1:14" x14ac:dyDescent="0.2">
      <c r="A345" s="958" t="s">
        <v>5857</v>
      </c>
      <c r="B345" s="959">
        <v>45608</v>
      </c>
      <c r="C345" t="s">
        <v>5216</v>
      </c>
      <c r="D345">
        <v>246</v>
      </c>
      <c r="E345">
        <v>246</v>
      </c>
      <c r="F345">
        <v>246</v>
      </c>
      <c r="G345">
        <v>246</v>
      </c>
      <c r="H345">
        <v>246</v>
      </c>
      <c r="I345" t="s">
        <v>5392</v>
      </c>
      <c r="J345">
        <v>246</v>
      </c>
      <c r="K345">
        <v>255.17</v>
      </c>
      <c r="L345">
        <v>62771.82</v>
      </c>
      <c r="M345">
        <v>246</v>
      </c>
      <c r="N345">
        <v>654</v>
      </c>
    </row>
    <row r="346" spans="1:14" x14ac:dyDescent="0.2">
      <c r="A346" s="958" t="s">
        <v>5857</v>
      </c>
      <c r="B346" s="959">
        <v>45608</v>
      </c>
      <c r="C346" t="s">
        <v>5862</v>
      </c>
      <c r="D346">
        <v>180</v>
      </c>
      <c r="E346">
        <v>180</v>
      </c>
      <c r="F346">
        <v>180</v>
      </c>
      <c r="G346">
        <v>180</v>
      </c>
      <c r="H346">
        <v>180</v>
      </c>
      <c r="I346" t="s">
        <v>5831</v>
      </c>
      <c r="J346">
        <v>180</v>
      </c>
      <c r="K346">
        <v>143.06</v>
      </c>
      <c r="L346">
        <v>25749.9</v>
      </c>
      <c r="M346">
        <v>180</v>
      </c>
      <c r="N346">
        <v>180</v>
      </c>
    </row>
    <row r="347" spans="1:14" x14ac:dyDescent="0.2">
      <c r="A347" s="958" t="s">
        <v>5857</v>
      </c>
      <c r="B347" s="959">
        <v>45608</v>
      </c>
      <c r="C347" t="s">
        <v>5281</v>
      </c>
      <c r="D347">
        <v>408</v>
      </c>
      <c r="E347">
        <v>408</v>
      </c>
      <c r="F347">
        <v>408</v>
      </c>
      <c r="G347">
        <v>408</v>
      </c>
      <c r="H347">
        <v>408</v>
      </c>
      <c r="I347" t="s">
        <v>5392</v>
      </c>
      <c r="J347">
        <v>408</v>
      </c>
      <c r="K347">
        <v>254.66</v>
      </c>
      <c r="L347">
        <v>103901.28</v>
      </c>
      <c r="M347">
        <v>408</v>
      </c>
      <c r="N347">
        <v>654</v>
      </c>
    </row>
    <row r="348" spans="1:14" x14ac:dyDescent="0.2">
      <c r="A348" s="958" t="s">
        <v>5863</v>
      </c>
      <c r="B348" s="959">
        <v>45611</v>
      </c>
      <c r="C348" t="s">
        <v>4378</v>
      </c>
      <c r="D348">
        <v>1512</v>
      </c>
      <c r="E348">
        <v>1512</v>
      </c>
      <c r="F348">
        <v>1512</v>
      </c>
      <c r="G348">
        <v>1512</v>
      </c>
      <c r="H348">
        <v>1512</v>
      </c>
      <c r="I348" t="s">
        <v>5547</v>
      </c>
      <c r="J348">
        <v>1512</v>
      </c>
      <c r="M348">
        <v>1512</v>
      </c>
      <c r="N348">
        <v>1506</v>
      </c>
    </row>
    <row r="349" spans="1:14" x14ac:dyDescent="0.2">
      <c r="A349" s="958" t="s">
        <v>5863</v>
      </c>
      <c r="B349" s="959">
        <v>45611</v>
      </c>
      <c r="C349" t="s">
        <v>4998</v>
      </c>
      <c r="D349">
        <v>726</v>
      </c>
      <c r="E349">
        <v>726</v>
      </c>
      <c r="F349">
        <v>726</v>
      </c>
      <c r="G349">
        <v>726</v>
      </c>
      <c r="H349">
        <v>726</v>
      </c>
      <c r="I349" t="s">
        <v>5864</v>
      </c>
      <c r="J349">
        <v>726</v>
      </c>
      <c r="M349">
        <v>726</v>
      </c>
      <c r="N349">
        <v>726</v>
      </c>
    </row>
    <row r="350" spans="1:14" x14ac:dyDescent="0.2">
      <c r="A350" s="958" t="s">
        <v>5863</v>
      </c>
      <c r="B350" s="959">
        <v>45611</v>
      </c>
      <c r="C350" t="s">
        <v>5091</v>
      </c>
      <c r="D350">
        <v>864</v>
      </c>
      <c r="E350">
        <v>864</v>
      </c>
      <c r="F350">
        <v>864</v>
      </c>
      <c r="G350">
        <v>864</v>
      </c>
      <c r="H350">
        <v>864</v>
      </c>
      <c r="I350" t="s">
        <v>5220</v>
      </c>
      <c r="J350">
        <v>864</v>
      </c>
      <c r="M350">
        <v>864</v>
      </c>
      <c r="N350">
        <v>864</v>
      </c>
    </row>
    <row r="351" spans="1:14" x14ac:dyDescent="0.2">
      <c r="A351" s="958" t="s">
        <v>5865</v>
      </c>
      <c r="B351" s="959">
        <v>45611</v>
      </c>
      <c r="C351" t="s">
        <v>5367</v>
      </c>
      <c r="D351">
        <v>16830</v>
      </c>
      <c r="E351">
        <v>16830</v>
      </c>
      <c r="F351">
        <v>16830</v>
      </c>
      <c r="G351">
        <v>16830</v>
      </c>
      <c r="H351">
        <v>16830</v>
      </c>
      <c r="I351" t="s">
        <v>5368</v>
      </c>
      <c r="J351">
        <v>16830</v>
      </c>
      <c r="M351">
        <v>16830</v>
      </c>
      <c r="N351">
        <v>16788</v>
      </c>
    </row>
    <row r="352" spans="1:14" x14ac:dyDescent="0.2">
      <c r="A352" s="958" t="s">
        <v>5865</v>
      </c>
      <c r="B352" s="959">
        <v>45611</v>
      </c>
      <c r="C352" t="s">
        <v>5397</v>
      </c>
      <c r="D352">
        <v>2604</v>
      </c>
      <c r="E352">
        <v>2604</v>
      </c>
      <c r="F352">
        <v>2604</v>
      </c>
      <c r="G352">
        <v>2604</v>
      </c>
      <c r="H352">
        <v>2604</v>
      </c>
      <c r="I352" t="s">
        <v>5398</v>
      </c>
      <c r="J352">
        <v>2604</v>
      </c>
      <c r="M352">
        <v>2604</v>
      </c>
      <c r="N352">
        <v>2268</v>
      </c>
    </row>
    <row r="353" spans="1:14" x14ac:dyDescent="0.2">
      <c r="A353" s="958" t="s">
        <v>5865</v>
      </c>
      <c r="B353" s="959">
        <v>45611</v>
      </c>
      <c r="C353" t="s">
        <v>5388</v>
      </c>
      <c r="D353">
        <v>1620</v>
      </c>
      <c r="E353">
        <v>1620</v>
      </c>
      <c r="F353">
        <v>1620</v>
      </c>
      <c r="G353">
        <v>1620</v>
      </c>
      <c r="H353">
        <v>1620</v>
      </c>
      <c r="I353" t="s">
        <v>5389</v>
      </c>
      <c r="J353">
        <v>1620</v>
      </c>
      <c r="M353">
        <v>1620</v>
      </c>
      <c r="N353">
        <v>1620</v>
      </c>
    </row>
    <row r="354" spans="1:14" x14ac:dyDescent="0.2">
      <c r="A354" s="958" t="s">
        <v>5865</v>
      </c>
      <c r="B354" s="959">
        <v>45611</v>
      </c>
      <c r="C354" t="s">
        <v>5403</v>
      </c>
      <c r="D354">
        <v>5580</v>
      </c>
      <c r="E354">
        <v>5580</v>
      </c>
      <c r="F354">
        <v>5580</v>
      </c>
      <c r="G354">
        <v>5580</v>
      </c>
      <c r="H354">
        <v>5580</v>
      </c>
      <c r="I354" t="s">
        <v>5404</v>
      </c>
      <c r="J354">
        <v>5580</v>
      </c>
      <c r="M354">
        <v>5580</v>
      </c>
      <c r="N354">
        <v>5532</v>
      </c>
    </row>
    <row r="355" spans="1:14" x14ac:dyDescent="0.2">
      <c r="A355" s="958" t="s">
        <v>5865</v>
      </c>
      <c r="B355" s="959">
        <v>45611</v>
      </c>
      <c r="C355" t="s">
        <v>5425</v>
      </c>
      <c r="D355">
        <v>1278</v>
      </c>
      <c r="E355">
        <v>1278</v>
      </c>
      <c r="F355">
        <v>1278</v>
      </c>
      <c r="G355">
        <v>1278</v>
      </c>
      <c r="H355">
        <v>1278</v>
      </c>
      <c r="I355" t="s">
        <v>5426</v>
      </c>
      <c r="J355">
        <v>1278</v>
      </c>
      <c r="M355">
        <v>1278</v>
      </c>
      <c r="N355">
        <v>1278</v>
      </c>
    </row>
    <row r="356" spans="1:14" x14ac:dyDescent="0.2">
      <c r="A356" s="958" t="s">
        <v>5865</v>
      </c>
      <c r="B356" s="959">
        <v>45611</v>
      </c>
      <c r="C356" t="s">
        <v>5405</v>
      </c>
      <c r="D356">
        <v>2784</v>
      </c>
      <c r="E356">
        <v>2784</v>
      </c>
      <c r="F356">
        <v>2784</v>
      </c>
      <c r="G356">
        <v>2784</v>
      </c>
      <c r="H356">
        <v>2784</v>
      </c>
      <c r="I356" t="s">
        <v>6018</v>
      </c>
      <c r="J356">
        <v>2784</v>
      </c>
      <c r="M356">
        <v>2784</v>
      </c>
      <c r="N356">
        <v>2784</v>
      </c>
    </row>
    <row r="357" spans="1:14" x14ac:dyDescent="0.2">
      <c r="A357" s="958" t="s">
        <v>5865</v>
      </c>
      <c r="B357" s="959">
        <v>45611</v>
      </c>
      <c r="C357" t="s">
        <v>5390</v>
      </c>
      <c r="D357">
        <v>2520</v>
      </c>
      <c r="E357">
        <v>2520</v>
      </c>
      <c r="F357">
        <v>2520</v>
      </c>
      <c r="G357">
        <v>2520</v>
      </c>
      <c r="H357">
        <v>2520</v>
      </c>
      <c r="I357" t="s">
        <v>6007</v>
      </c>
      <c r="J357">
        <v>2520</v>
      </c>
      <c r="M357">
        <v>2520</v>
      </c>
      <c r="N357">
        <v>2520</v>
      </c>
    </row>
    <row r="358" spans="1:14" x14ac:dyDescent="0.2">
      <c r="A358" s="958" t="s">
        <v>5865</v>
      </c>
      <c r="B358" s="959">
        <v>45611</v>
      </c>
      <c r="C358" t="s">
        <v>5427</v>
      </c>
      <c r="D358">
        <v>600</v>
      </c>
      <c r="E358">
        <v>600</v>
      </c>
      <c r="F358">
        <v>600</v>
      </c>
      <c r="G358">
        <v>600</v>
      </c>
      <c r="H358">
        <v>600</v>
      </c>
      <c r="I358" t="s">
        <v>5428</v>
      </c>
      <c r="J358">
        <v>600</v>
      </c>
      <c r="M358">
        <v>600</v>
      </c>
      <c r="N358">
        <v>600</v>
      </c>
    </row>
    <row r="359" spans="1:14" x14ac:dyDescent="0.2">
      <c r="A359" s="958" t="s">
        <v>5865</v>
      </c>
      <c r="B359" s="959">
        <v>45611</v>
      </c>
      <c r="C359" t="s">
        <v>5386</v>
      </c>
      <c r="D359">
        <v>1230</v>
      </c>
      <c r="E359">
        <v>1230</v>
      </c>
      <c r="F359">
        <v>1230</v>
      </c>
      <c r="G359">
        <v>1230</v>
      </c>
      <c r="H359">
        <v>1230</v>
      </c>
      <c r="I359" t="s">
        <v>5387</v>
      </c>
      <c r="J359">
        <v>1230</v>
      </c>
      <c r="M359">
        <v>1230</v>
      </c>
      <c r="N359">
        <v>1230</v>
      </c>
    </row>
    <row r="360" spans="1:14" x14ac:dyDescent="0.2">
      <c r="A360" s="958" t="s">
        <v>5929</v>
      </c>
      <c r="B360" s="959">
        <v>45611</v>
      </c>
      <c r="C360" t="s">
        <v>5881</v>
      </c>
      <c r="D360">
        <v>459</v>
      </c>
      <c r="E360">
        <v>459</v>
      </c>
      <c r="F360">
        <v>459</v>
      </c>
      <c r="G360">
        <v>459</v>
      </c>
      <c r="H360">
        <v>459</v>
      </c>
      <c r="I360" t="s">
        <v>5930</v>
      </c>
      <c r="J360">
        <v>459</v>
      </c>
      <c r="K360">
        <v>104.8</v>
      </c>
      <c r="L360">
        <v>48103.199999999997</v>
      </c>
      <c r="M360">
        <v>459</v>
      </c>
      <c r="N360">
        <v>459</v>
      </c>
    </row>
    <row r="361" spans="1:14" x14ac:dyDescent="0.2">
      <c r="A361" s="958" t="s">
        <v>5886</v>
      </c>
      <c r="B361" s="959">
        <v>45614</v>
      </c>
      <c r="C361" t="s">
        <v>5320</v>
      </c>
      <c r="D361">
        <v>877.45</v>
      </c>
      <c r="E361">
        <v>877.45</v>
      </c>
      <c r="F361">
        <v>877.45</v>
      </c>
      <c r="G361">
        <v>877.45</v>
      </c>
      <c r="H361">
        <v>877.45</v>
      </c>
      <c r="I361" t="s">
        <v>5536</v>
      </c>
      <c r="J361">
        <v>877.45</v>
      </c>
      <c r="K361">
        <v>313.13</v>
      </c>
      <c r="L361">
        <v>274756.8</v>
      </c>
      <c r="M361">
        <v>877.45</v>
      </c>
      <c r="N361">
        <v>877.45</v>
      </c>
    </row>
    <row r="362" spans="1:14" x14ac:dyDescent="0.2">
      <c r="A362" s="958" t="s">
        <v>5887</v>
      </c>
      <c r="B362" s="959">
        <v>45614</v>
      </c>
      <c r="C362" t="s">
        <v>2623</v>
      </c>
      <c r="D362">
        <v>2520</v>
      </c>
      <c r="E362">
        <v>2520</v>
      </c>
      <c r="F362">
        <v>2520</v>
      </c>
      <c r="G362">
        <v>2520</v>
      </c>
      <c r="H362">
        <v>2520</v>
      </c>
      <c r="I362" t="s">
        <v>5888</v>
      </c>
      <c r="J362">
        <v>2520</v>
      </c>
      <c r="K362">
        <v>39.21</v>
      </c>
      <c r="L362">
        <v>98810.71</v>
      </c>
      <c r="M362">
        <v>2520</v>
      </c>
      <c r="N362">
        <v>2520</v>
      </c>
    </row>
    <row r="363" spans="1:14" x14ac:dyDescent="0.2">
      <c r="A363" s="958" t="s">
        <v>5889</v>
      </c>
      <c r="B363" s="959">
        <v>45614</v>
      </c>
      <c r="C363" t="s">
        <v>5883</v>
      </c>
      <c r="D363">
        <v>3.1</v>
      </c>
      <c r="E363">
        <v>3.1</v>
      </c>
      <c r="F363">
        <v>3.1</v>
      </c>
      <c r="G363">
        <v>3.1</v>
      </c>
      <c r="H363">
        <v>3.1</v>
      </c>
      <c r="I363" t="s">
        <v>5890</v>
      </c>
      <c r="J363">
        <v>3.1</v>
      </c>
      <c r="K363">
        <v>253.06</v>
      </c>
      <c r="L363">
        <v>784.49</v>
      </c>
      <c r="M363">
        <v>3.1</v>
      </c>
      <c r="N363">
        <v>3.1</v>
      </c>
    </row>
    <row r="364" spans="1:14" x14ac:dyDescent="0.2">
      <c r="A364" s="958" t="s">
        <v>5891</v>
      </c>
      <c r="B364" s="959">
        <v>45614</v>
      </c>
      <c r="C364" t="s">
        <v>5003</v>
      </c>
      <c r="D364">
        <v>2112</v>
      </c>
      <c r="E364">
        <v>2112</v>
      </c>
      <c r="F364">
        <v>2112</v>
      </c>
      <c r="G364">
        <v>2112</v>
      </c>
      <c r="H364">
        <v>2112</v>
      </c>
      <c r="I364" t="s">
        <v>5414</v>
      </c>
      <c r="J364">
        <v>2112</v>
      </c>
      <c r="K364">
        <v>108.39</v>
      </c>
      <c r="L364">
        <v>228915.46</v>
      </c>
      <c r="M364">
        <v>2112</v>
      </c>
      <c r="N364">
        <v>2112</v>
      </c>
    </row>
    <row r="365" spans="1:14" x14ac:dyDescent="0.2">
      <c r="A365" s="958" t="s">
        <v>5892</v>
      </c>
      <c r="B365" s="959">
        <v>45614</v>
      </c>
      <c r="C365" t="s">
        <v>2719</v>
      </c>
      <c r="D365">
        <v>228</v>
      </c>
      <c r="E365">
        <v>228</v>
      </c>
      <c r="F365">
        <v>228</v>
      </c>
      <c r="G365">
        <v>228</v>
      </c>
      <c r="H365">
        <v>228</v>
      </c>
      <c r="I365" t="s">
        <v>5488</v>
      </c>
      <c r="J365">
        <v>228</v>
      </c>
      <c r="K365">
        <v>313.13</v>
      </c>
      <c r="L365">
        <v>71393.87</v>
      </c>
      <c r="M365">
        <v>228</v>
      </c>
      <c r="N365">
        <v>228</v>
      </c>
    </row>
    <row r="366" spans="1:14" x14ac:dyDescent="0.2">
      <c r="A366" s="958" t="s">
        <v>5893</v>
      </c>
      <c r="B366" s="959">
        <v>45614</v>
      </c>
      <c r="C366" t="s">
        <v>2963</v>
      </c>
      <c r="D366">
        <v>626.4</v>
      </c>
      <c r="E366">
        <v>626.4</v>
      </c>
      <c r="F366">
        <v>626.4</v>
      </c>
      <c r="G366">
        <v>626.4</v>
      </c>
      <c r="H366">
        <v>626.4</v>
      </c>
      <c r="I366" t="s">
        <v>5363</v>
      </c>
      <c r="J366">
        <v>626.4</v>
      </c>
      <c r="K366">
        <v>78.44</v>
      </c>
      <c r="L366">
        <v>49136.07</v>
      </c>
      <c r="M366">
        <v>626.4</v>
      </c>
      <c r="N366">
        <v>626.4</v>
      </c>
    </row>
    <row r="367" spans="1:14" x14ac:dyDescent="0.2">
      <c r="A367" s="958" t="s">
        <v>5894</v>
      </c>
      <c r="B367" s="959">
        <v>45614</v>
      </c>
      <c r="C367" t="s">
        <v>2964</v>
      </c>
      <c r="D367">
        <v>3849.1</v>
      </c>
      <c r="E367">
        <v>3849.1</v>
      </c>
      <c r="F367">
        <v>3849.1</v>
      </c>
      <c r="G367">
        <v>3849.1</v>
      </c>
      <c r="H367">
        <v>3849.1</v>
      </c>
      <c r="I367" t="s">
        <v>5895</v>
      </c>
      <c r="J367">
        <v>3849.1</v>
      </c>
      <c r="K367">
        <v>42.03</v>
      </c>
      <c r="L367">
        <v>161760.35</v>
      </c>
      <c r="M367">
        <v>3849.1</v>
      </c>
      <c r="N367">
        <v>3849.1</v>
      </c>
    </row>
    <row r="368" spans="1:14" x14ac:dyDescent="0.2">
      <c r="A368" s="958" t="s">
        <v>5896</v>
      </c>
      <c r="B368" s="959">
        <v>45614</v>
      </c>
      <c r="C368" t="s">
        <v>4785</v>
      </c>
      <c r="D368">
        <v>390</v>
      </c>
      <c r="E368">
        <v>390</v>
      </c>
      <c r="F368">
        <v>390</v>
      </c>
      <c r="G368">
        <v>390</v>
      </c>
      <c r="H368">
        <v>390</v>
      </c>
      <c r="I368" t="s">
        <v>5384</v>
      </c>
      <c r="J368">
        <v>390</v>
      </c>
      <c r="K368">
        <v>190.65</v>
      </c>
      <c r="L368">
        <v>74351.55</v>
      </c>
      <c r="M368">
        <v>390</v>
      </c>
      <c r="N368">
        <v>390</v>
      </c>
    </row>
    <row r="369" spans="1:14" x14ac:dyDescent="0.2">
      <c r="A369" s="958" t="s">
        <v>5905</v>
      </c>
      <c r="B369" s="959">
        <v>45615</v>
      </c>
      <c r="C369" t="s">
        <v>5906</v>
      </c>
      <c r="D369">
        <v>1036</v>
      </c>
      <c r="E369">
        <v>1036</v>
      </c>
      <c r="F369">
        <v>1036</v>
      </c>
      <c r="G369">
        <v>1036</v>
      </c>
      <c r="H369">
        <v>1036</v>
      </c>
      <c r="I369" t="s">
        <v>5907</v>
      </c>
      <c r="J369">
        <v>1036</v>
      </c>
      <c r="K369">
        <v>268.11</v>
      </c>
      <c r="L369">
        <v>277760</v>
      </c>
      <c r="M369">
        <v>1036</v>
      </c>
      <c r="N369">
        <v>1036</v>
      </c>
    </row>
    <row r="370" spans="1:14" x14ac:dyDescent="0.2">
      <c r="A370" s="958" t="s">
        <v>5909</v>
      </c>
      <c r="B370" s="959">
        <v>45617</v>
      </c>
      <c r="C370" t="s">
        <v>5085</v>
      </c>
      <c r="D370">
        <v>480</v>
      </c>
      <c r="E370">
        <v>480</v>
      </c>
      <c r="F370">
        <v>480</v>
      </c>
      <c r="G370">
        <v>480</v>
      </c>
      <c r="H370">
        <v>480</v>
      </c>
      <c r="I370" t="s">
        <v>5447</v>
      </c>
      <c r="J370">
        <v>480</v>
      </c>
      <c r="K370">
        <v>134.38</v>
      </c>
      <c r="L370">
        <v>64500</v>
      </c>
      <c r="M370">
        <v>480</v>
      </c>
      <c r="N370">
        <v>480</v>
      </c>
    </row>
    <row r="371" spans="1:14" x14ac:dyDescent="0.2">
      <c r="A371" s="958" t="s">
        <v>5911</v>
      </c>
      <c r="B371" s="959">
        <v>45618</v>
      </c>
      <c r="C371" t="s">
        <v>4461</v>
      </c>
      <c r="D371">
        <v>300</v>
      </c>
      <c r="E371">
        <v>300</v>
      </c>
      <c r="F371">
        <v>300</v>
      </c>
      <c r="G371">
        <v>300</v>
      </c>
      <c r="H371">
        <v>300</v>
      </c>
      <c r="I371" t="s">
        <v>5391</v>
      </c>
      <c r="J371">
        <v>300</v>
      </c>
      <c r="K371">
        <v>131.75</v>
      </c>
      <c r="L371">
        <v>39525</v>
      </c>
      <c r="M371">
        <v>300</v>
      </c>
      <c r="N371">
        <v>300</v>
      </c>
    </row>
    <row r="372" spans="1:14" x14ac:dyDescent="0.2">
      <c r="A372" s="958" t="s">
        <v>5914</v>
      </c>
      <c r="B372" s="959">
        <v>45621</v>
      </c>
      <c r="C372" t="s">
        <v>149</v>
      </c>
      <c r="D372">
        <v>150</v>
      </c>
      <c r="E372">
        <v>150</v>
      </c>
      <c r="F372">
        <v>150</v>
      </c>
      <c r="G372">
        <v>150</v>
      </c>
      <c r="H372">
        <v>150</v>
      </c>
      <c r="I372" t="s">
        <v>5481</v>
      </c>
      <c r="J372">
        <v>150</v>
      </c>
      <c r="K372">
        <v>83.54</v>
      </c>
      <c r="L372">
        <v>12530.7</v>
      </c>
      <c r="M372">
        <v>150</v>
      </c>
      <c r="N372">
        <v>150</v>
      </c>
    </row>
    <row r="373" spans="1:14" x14ac:dyDescent="0.2">
      <c r="A373" s="958" t="s">
        <v>5915</v>
      </c>
      <c r="B373" s="959">
        <v>45621</v>
      </c>
      <c r="C373" t="s">
        <v>5215</v>
      </c>
      <c r="D373">
        <v>980.2</v>
      </c>
      <c r="E373">
        <v>980.2</v>
      </c>
      <c r="F373">
        <v>980.2</v>
      </c>
      <c r="G373">
        <v>980.2</v>
      </c>
      <c r="H373">
        <v>980.2</v>
      </c>
      <c r="I373" t="s">
        <v>5474</v>
      </c>
      <c r="J373">
        <v>980.2</v>
      </c>
      <c r="K373">
        <v>93.12</v>
      </c>
      <c r="L373">
        <v>91274</v>
      </c>
      <c r="M373">
        <v>980.2</v>
      </c>
      <c r="N373">
        <v>980.2</v>
      </c>
    </row>
    <row r="374" spans="1:14" x14ac:dyDescent="0.2">
      <c r="A374" s="958" t="s">
        <v>5915</v>
      </c>
      <c r="B374" s="959">
        <v>45621</v>
      </c>
      <c r="C374" t="s">
        <v>5214</v>
      </c>
      <c r="D374">
        <v>1134.4000000000001</v>
      </c>
      <c r="E374">
        <v>1134.4000000000001</v>
      </c>
      <c r="F374">
        <v>1134.4000000000001</v>
      </c>
      <c r="G374">
        <v>1134.4000000000001</v>
      </c>
      <c r="H374">
        <v>1134.4000000000001</v>
      </c>
      <c r="I374" t="s">
        <v>5473</v>
      </c>
      <c r="J374">
        <v>1134.4000000000001</v>
      </c>
      <c r="K374">
        <v>86.79</v>
      </c>
      <c r="L374">
        <v>98459</v>
      </c>
      <c r="M374">
        <v>1134.4000000000001</v>
      </c>
      <c r="N374">
        <v>1134.4000000000001</v>
      </c>
    </row>
    <row r="375" spans="1:14" x14ac:dyDescent="0.2">
      <c r="A375" s="958" t="s">
        <v>5916</v>
      </c>
      <c r="B375" s="959">
        <v>45621</v>
      </c>
      <c r="C375" t="s">
        <v>1975</v>
      </c>
      <c r="D375">
        <v>3332.05</v>
      </c>
      <c r="E375">
        <v>3332.05</v>
      </c>
      <c r="F375">
        <v>3332.05</v>
      </c>
      <c r="G375">
        <v>3332.05</v>
      </c>
      <c r="H375">
        <v>3332.05</v>
      </c>
      <c r="I375" t="s">
        <v>5270</v>
      </c>
      <c r="J375">
        <v>3332.05</v>
      </c>
      <c r="K375">
        <v>68.69</v>
      </c>
      <c r="L375">
        <v>228866.85</v>
      </c>
      <c r="M375">
        <v>3332.05</v>
      </c>
      <c r="N375">
        <v>3332.05</v>
      </c>
    </row>
    <row r="376" spans="1:14" x14ac:dyDescent="0.2">
      <c r="A376" s="958" t="s">
        <v>5917</v>
      </c>
      <c r="B376" s="959">
        <v>45621</v>
      </c>
      <c r="C376" t="s">
        <v>4276</v>
      </c>
      <c r="D376">
        <v>356</v>
      </c>
      <c r="I376" t="s">
        <v>6712</v>
      </c>
      <c r="J376">
        <v>356</v>
      </c>
      <c r="K376">
        <v>136.53</v>
      </c>
      <c r="L376">
        <v>48603.43</v>
      </c>
    </row>
    <row r="377" spans="1:14" x14ac:dyDescent="0.2">
      <c r="A377" s="958" t="s">
        <v>5918</v>
      </c>
      <c r="B377" s="959">
        <v>45621</v>
      </c>
      <c r="C377" t="s">
        <v>2965</v>
      </c>
      <c r="D377">
        <v>4141.8999999999996</v>
      </c>
      <c r="E377">
        <v>4141.8999999999996</v>
      </c>
      <c r="F377">
        <v>1335.9</v>
      </c>
      <c r="G377">
        <v>1335.9</v>
      </c>
      <c r="H377">
        <v>1335.9</v>
      </c>
      <c r="I377" t="s">
        <v>5919</v>
      </c>
      <c r="J377">
        <v>4141.8999999999996</v>
      </c>
      <c r="K377">
        <v>40.29</v>
      </c>
      <c r="L377">
        <v>166889.57999999999</v>
      </c>
      <c r="M377">
        <v>4141.8999999999996</v>
      </c>
      <c r="N377">
        <v>4141.8999999999996</v>
      </c>
    </row>
    <row r="378" spans="1:14" x14ac:dyDescent="0.2">
      <c r="A378" s="958" t="s">
        <v>5926</v>
      </c>
      <c r="B378" s="959">
        <v>45622</v>
      </c>
      <c r="C378" t="s">
        <v>5216</v>
      </c>
      <c r="D378">
        <v>810</v>
      </c>
      <c r="E378">
        <v>810</v>
      </c>
      <c r="F378">
        <v>810</v>
      </c>
      <c r="G378">
        <v>810</v>
      </c>
      <c r="H378">
        <v>810</v>
      </c>
      <c r="I378" t="s">
        <v>5392</v>
      </c>
      <c r="J378">
        <v>810</v>
      </c>
      <c r="K378">
        <v>255.17</v>
      </c>
      <c r="L378">
        <v>206687.7</v>
      </c>
      <c r="M378">
        <v>810</v>
      </c>
      <c r="N378">
        <v>810</v>
      </c>
    </row>
    <row r="379" spans="1:14" x14ac:dyDescent="0.2">
      <c r="A379" s="958" t="s">
        <v>5932</v>
      </c>
      <c r="B379" s="959">
        <v>45623</v>
      </c>
      <c r="C379" t="s">
        <v>5712</v>
      </c>
      <c r="D379">
        <v>639.6</v>
      </c>
      <c r="E379">
        <v>639.6</v>
      </c>
      <c r="F379">
        <v>639.6</v>
      </c>
      <c r="G379">
        <v>639.6</v>
      </c>
      <c r="H379">
        <v>639.6</v>
      </c>
      <c r="I379" t="s">
        <v>5716</v>
      </c>
      <c r="J379">
        <v>639.6</v>
      </c>
      <c r="K379">
        <v>426.83</v>
      </c>
      <c r="L379">
        <v>273000</v>
      </c>
      <c r="M379">
        <v>639.6</v>
      </c>
      <c r="N379">
        <v>639.6</v>
      </c>
    </row>
    <row r="380" spans="1:14" x14ac:dyDescent="0.2">
      <c r="A380" s="958" t="s">
        <v>5936</v>
      </c>
      <c r="B380" s="959">
        <v>45624</v>
      </c>
      <c r="C380" t="s">
        <v>5382</v>
      </c>
      <c r="D380">
        <v>3168</v>
      </c>
      <c r="E380">
        <v>3168</v>
      </c>
      <c r="F380">
        <v>3168</v>
      </c>
      <c r="G380">
        <v>3168</v>
      </c>
      <c r="H380">
        <v>3168</v>
      </c>
      <c r="I380" t="s">
        <v>6006</v>
      </c>
      <c r="J380">
        <v>3168</v>
      </c>
      <c r="K380">
        <v>52.27</v>
      </c>
      <c r="L380">
        <v>165597.70000000001</v>
      </c>
      <c r="M380">
        <v>3168</v>
      </c>
      <c r="N380">
        <v>3168</v>
      </c>
    </row>
    <row r="381" spans="1:14" x14ac:dyDescent="0.2">
      <c r="A381" s="958" t="s">
        <v>5936</v>
      </c>
      <c r="B381" s="959">
        <v>45624</v>
      </c>
      <c r="C381" t="s">
        <v>5381</v>
      </c>
      <c r="D381">
        <v>2898</v>
      </c>
      <c r="E381">
        <v>2898</v>
      </c>
      <c r="F381">
        <v>2898</v>
      </c>
      <c r="G381">
        <v>2898</v>
      </c>
      <c r="H381">
        <v>2898</v>
      </c>
      <c r="I381" t="s">
        <v>6005</v>
      </c>
      <c r="J381">
        <v>2898</v>
      </c>
      <c r="K381">
        <v>59.24</v>
      </c>
      <c r="L381">
        <v>171663.03</v>
      </c>
      <c r="M381">
        <v>2898</v>
      </c>
      <c r="N381">
        <v>2898</v>
      </c>
    </row>
    <row r="382" spans="1:14" x14ac:dyDescent="0.2">
      <c r="A382" s="958" t="s">
        <v>5937</v>
      </c>
      <c r="B382" s="959">
        <v>45624</v>
      </c>
      <c r="C382" t="s">
        <v>5010</v>
      </c>
      <c r="D382">
        <v>72</v>
      </c>
      <c r="E382">
        <v>72</v>
      </c>
      <c r="F382">
        <v>72</v>
      </c>
      <c r="G382">
        <v>72</v>
      </c>
      <c r="H382">
        <v>72</v>
      </c>
      <c r="I382" t="s">
        <v>5413</v>
      </c>
      <c r="J382">
        <v>72</v>
      </c>
      <c r="K382">
        <v>326.39</v>
      </c>
      <c r="L382">
        <v>23500</v>
      </c>
      <c r="M382">
        <v>72</v>
      </c>
      <c r="N382">
        <v>72</v>
      </c>
    </row>
    <row r="383" spans="1:14" x14ac:dyDescent="0.2">
      <c r="A383" s="958" t="s">
        <v>5937</v>
      </c>
      <c r="B383" s="959">
        <v>45624</v>
      </c>
      <c r="C383" t="s">
        <v>5009</v>
      </c>
      <c r="D383">
        <v>120</v>
      </c>
      <c r="E383">
        <v>120</v>
      </c>
      <c r="F383">
        <v>120</v>
      </c>
      <c r="G383">
        <v>120</v>
      </c>
      <c r="H383">
        <v>120</v>
      </c>
      <c r="I383" t="s">
        <v>5412</v>
      </c>
      <c r="J383">
        <v>120</v>
      </c>
      <c r="K383">
        <v>195.83</v>
      </c>
      <c r="L383">
        <v>23500</v>
      </c>
      <c r="M383">
        <v>120</v>
      </c>
      <c r="N383">
        <v>120</v>
      </c>
    </row>
    <row r="384" spans="1:14" x14ac:dyDescent="0.2">
      <c r="A384" s="958" t="s">
        <v>5937</v>
      </c>
      <c r="B384" s="959">
        <v>45624</v>
      </c>
      <c r="C384" t="s">
        <v>5934</v>
      </c>
      <c r="D384">
        <v>120</v>
      </c>
      <c r="E384">
        <v>120</v>
      </c>
      <c r="F384">
        <v>120</v>
      </c>
      <c r="G384">
        <v>120</v>
      </c>
      <c r="H384">
        <v>120</v>
      </c>
      <c r="I384" t="s">
        <v>5938</v>
      </c>
      <c r="J384">
        <v>120</v>
      </c>
      <c r="K384">
        <v>195.83</v>
      </c>
      <c r="L384">
        <v>23500</v>
      </c>
      <c r="M384">
        <v>120</v>
      </c>
      <c r="N384">
        <v>75</v>
      </c>
    </row>
    <row r="385" spans="1:14" x14ac:dyDescent="0.2">
      <c r="A385" s="958" t="s">
        <v>5947</v>
      </c>
      <c r="B385" s="959">
        <v>45628</v>
      </c>
      <c r="C385" t="s">
        <v>5946</v>
      </c>
      <c r="D385">
        <v>1380</v>
      </c>
      <c r="E385">
        <v>1380</v>
      </c>
      <c r="F385">
        <v>1380</v>
      </c>
      <c r="G385">
        <v>1380</v>
      </c>
      <c r="H385">
        <v>1380</v>
      </c>
      <c r="I385" t="s">
        <v>5948</v>
      </c>
      <c r="J385">
        <v>1380</v>
      </c>
      <c r="K385">
        <v>63.56</v>
      </c>
      <c r="L385">
        <v>87714</v>
      </c>
      <c r="M385">
        <v>1380</v>
      </c>
      <c r="N385">
        <v>1380</v>
      </c>
    </row>
    <row r="386" spans="1:14" x14ac:dyDescent="0.2">
      <c r="A386" s="958" t="s">
        <v>5954</v>
      </c>
      <c r="B386" s="959">
        <v>45630</v>
      </c>
      <c r="C386" t="s">
        <v>6008</v>
      </c>
      <c r="D386">
        <v>2136.15</v>
      </c>
      <c r="E386">
        <v>2136.15</v>
      </c>
      <c r="F386">
        <v>2136.15</v>
      </c>
      <c r="G386">
        <v>2136.15</v>
      </c>
      <c r="H386">
        <v>2136.15</v>
      </c>
      <c r="I386" t="s">
        <v>5400</v>
      </c>
      <c r="J386">
        <v>2136.15</v>
      </c>
      <c r="K386">
        <v>115.32</v>
      </c>
      <c r="L386">
        <v>246337.61</v>
      </c>
      <c r="M386">
        <v>2136.15</v>
      </c>
      <c r="N386">
        <v>2126.0500000000002</v>
      </c>
    </row>
    <row r="387" spans="1:14" x14ac:dyDescent="0.2">
      <c r="A387" s="958" t="s">
        <v>5955</v>
      </c>
      <c r="B387" s="959">
        <v>45631</v>
      </c>
      <c r="C387" t="s">
        <v>5862</v>
      </c>
      <c r="D387">
        <v>90</v>
      </c>
      <c r="E387">
        <v>90</v>
      </c>
      <c r="F387">
        <v>90</v>
      </c>
      <c r="G387">
        <v>90</v>
      </c>
      <c r="H387">
        <v>90</v>
      </c>
      <c r="I387" t="s">
        <v>5831</v>
      </c>
      <c r="J387">
        <v>90</v>
      </c>
      <c r="K387">
        <v>143.06</v>
      </c>
      <c r="L387">
        <v>12874.95</v>
      </c>
      <c r="M387">
        <v>90</v>
      </c>
      <c r="N387">
        <v>90</v>
      </c>
    </row>
    <row r="388" spans="1:14" x14ac:dyDescent="0.2">
      <c r="A388" s="958" t="s">
        <v>5956</v>
      </c>
      <c r="B388" s="959">
        <v>45631</v>
      </c>
      <c r="C388" t="s">
        <v>1751</v>
      </c>
      <c r="D388">
        <v>220.5</v>
      </c>
      <c r="E388">
        <v>220.5</v>
      </c>
      <c r="F388">
        <v>220.5</v>
      </c>
      <c r="G388">
        <v>220.5</v>
      </c>
      <c r="H388">
        <v>220.5</v>
      </c>
      <c r="I388" t="s">
        <v>5471</v>
      </c>
      <c r="J388">
        <v>220.5</v>
      </c>
      <c r="K388">
        <v>303.3</v>
      </c>
      <c r="L388">
        <v>66878.31</v>
      </c>
      <c r="M388">
        <v>220.5</v>
      </c>
      <c r="N388">
        <v>215.6</v>
      </c>
    </row>
    <row r="389" spans="1:14" x14ac:dyDescent="0.2">
      <c r="A389" s="958" t="s">
        <v>5956</v>
      </c>
      <c r="B389" s="959">
        <v>45631</v>
      </c>
      <c r="C389" t="s">
        <v>1863</v>
      </c>
      <c r="D389">
        <v>499.8</v>
      </c>
      <c r="E389">
        <v>499.8</v>
      </c>
      <c r="F389">
        <v>499.8</v>
      </c>
      <c r="G389">
        <v>499.8</v>
      </c>
      <c r="H389">
        <v>499.8</v>
      </c>
      <c r="I389" t="s">
        <v>5957</v>
      </c>
      <c r="J389">
        <v>499.8</v>
      </c>
      <c r="K389">
        <v>178.68</v>
      </c>
      <c r="L389">
        <v>89303.51</v>
      </c>
      <c r="M389">
        <v>499.8</v>
      </c>
      <c r="N389">
        <v>499.8</v>
      </c>
    </row>
    <row r="390" spans="1:14" x14ac:dyDescent="0.2">
      <c r="A390" s="958" t="s">
        <v>5962</v>
      </c>
      <c r="B390" s="959">
        <v>45631</v>
      </c>
      <c r="C390" t="s">
        <v>5961</v>
      </c>
      <c r="D390">
        <v>73.5</v>
      </c>
      <c r="E390">
        <v>73.5</v>
      </c>
      <c r="F390">
        <v>73.5</v>
      </c>
      <c r="G390">
        <v>73.5</v>
      </c>
      <c r="H390">
        <v>73.5</v>
      </c>
      <c r="I390" t="s">
        <v>5963</v>
      </c>
      <c r="J390">
        <v>73.5</v>
      </c>
      <c r="K390">
        <v>353.74</v>
      </c>
      <c r="L390">
        <v>26000</v>
      </c>
      <c r="M390">
        <v>73.5</v>
      </c>
      <c r="N390">
        <v>73.5</v>
      </c>
    </row>
    <row r="391" spans="1:14" x14ac:dyDescent="0.2">
      <c r="A391" s="958" t="s">
        <v>5965</v>
      </c>
      <c r="B391" s="959">
        <v>45632</v>
      </c>
      <c r="C391" t="s">
        <v>4682</v>
      </c>
      <c r="D391">
        <v>360</v>
      </c>
      <c r="E391">
        <v>360</v>
      </c>
      <c r="F391">
        <v>360</v>
      </c>
      <c r="G391">
        <v>360</v>
      </c>
      <c r="H391">
        <v>360</v>
      </c>
      <c r="I391" t="s">
        <v>5362</v>
      </c>
      <c r="J391">
        <v>360</v>
      </c>
      <c r="K391">
        <v>148.82</v>
      </c>
      <c r="L391">
        <v>53574.84</v>
      </c>
      <c r="M391">
        <v>360</v>
      </c>
      <c r="N391">
        <v>360</v>
      </c>
    </row>
    <row r="392" spans="1:14" x14ac:dyDescent="0.2">
      <c r="A392" s="958" t="s">
        <v>5966</v>
      </c>
      <c r="B392" s="959">
        <v>45632</v>
      </c>
      <c r="C392" t="s">
        <v>628</v>
      </c>
      <c r="D392">
        <v>2069.1</v>
      </c>
      <c r="E392">
        <v>2069.1</v>
      </c>
      <c r="F392">
        <v>2069.1</v>
      </c>
      <c r="G392">
        <v>2069.1</v>
      </c>
      <c r="H392">
        <v>2069.1</v>
      </c>
      <c r="I392" t="s">
        <v>5967</v>
      </c>
      <c r="J392">
        <v>2069.1</v>
      </c>
      <c r="K392">
        <v>88.4</v>
      </c>
      <c r="L392">
        <v>182900.16</v>
      </c>
      <c r="M392">
        <v>2069.1</v>
      </c>
      <c r="N392">
        <v>2069.1</v>
      </c>
    </row>
    <row r="393" spans="1:14" x14ac:dyDescent="0.2">
      <c r="A393" s="958" t="s">
        <v>5970</v>
      </c>
      <c r="B393" s="959">
        <v>45635</v>
      </c>
      <c r="C393" t="s">
        <v>5010</v>
      </c>
      <c r="D393">
        <v>96</v>
      </c>
      <c r="E393">
        <v>96</v>
      </c>
      <c r="F393">
        <v>96</v>
      </c>
      <c r="G393">
        <v>96</v>
      </c>
      <c r="H393">
        <v>96</v>
      </c>
      <c r="I393" t="s">
        <v>5413</v>
      </c>
      <c r="J393">
        <v>96</v>
      </c>
      <c r="K393">
        <v>263.02</v>
      </c>
      <c r="L393">
        <v>25250</v>
      </c>
      <c r="M393">
        <v>96</v>
      </c>
      <c r="N393">
        <v>96</v>
      </c>
    </row>
    <row r="394" spans="1:14" x14ac:dyDescent="0.2">
      <c r="A394" s="958" t="s">
        <v>5971</v>
      </c>
      <c r="B394" s="959">
        <v>45635</v>
      </c>
      <c r="C394" t="s">
        <v>5972</v>
      </c>
      <c r="D394">
        <v>900</v>
      </c>
      <c r="E394">
        <v>900</v>
      </c>
      <c r="F394">
        <v>900</v>
      </c>
      <c r="G394">
        <v>900</v>
      </c>
      <c r="H394">
        <v>900</v>
      </c>
      <c r="I394" t="s">
        <v>5973</v>
      </c>
      <c r="J394">
        <v>900</v>
      </c>
      <c r="K394">
        <v>52.92</v>
      </c>
      <c r="L394">
        <v>47628</v>
      </c>
      <c r="M394">
        <v>900</v>
      </c>
      <c r="N394">
        <v>900</v>
      </c>
    </row>
    <row r="395" spans="1:14" x14ac:dyDescent="0.2">
      <c r="A395" s="958" t="s">
        <v>5976</v>
      </c>
      <c r="B395" s="959">
        <v>45635</v>
      </c>
      <c r="C395" t="s">
        <v>5862</v>
      </c>
      <c r="D395">
        <v>180</v>
      </c>
      <c r="E395">
        <v>180</v>
      </c>
      <c r="F395">
        <v>180</v>
      </c>
      <c r="G395">
        <v>180</v>
      </c>
      <c r="H395">
        <v>180</v>
      </c>
      <c r="I395" t="s">
        <v>5831</v>
      </c>
      <c r="J395">
        <v>180</v>
      </c>
      <c r="K395">
        <v>143.06</v>
      </c>
      <c r="L395">
        <v>25749.9</v>
      </c>
      <c r="M395">
        <v>180</v>
      </c>
      <c r="N395">
        <v>180</v>
      </c>
    </row>
    <row r="396" spans="1:14" x14ac:dyDescent="0.2">
      <c r="A396" s="958" t="s">
        <v>5996</v>
      </c>
      <c r="B396" s="959">
        <v>45638</v>
      </c>
      <c r="C396" t="s">
        <v>2608</v>
      </c>
      <c r="D396">
        <v>3852</v>
      </c>
      <c r="E396">
        <v>3852</v>
      </c>
      <c r="F396">
        <v>3852</v>
      </c>
      <c r="G396">
        <v>3852</v>
      </c>
      <c r="H396">
        <v>3852</v>
      </c>
      <c r="I396" t="s">
        <v>5465</v>
      </c>
      <c r="J396">
        <v>3852</v>
      </c>
      <c r="K396">
        <v>141.05000000000001</v>
      </c>
      <c r="L396">
        <v>543324.6</v>
      </c>
      <c r="M396">
        <v>3852</v>
      </c>
      <c r="N396">
        <v>3852</v>
      </c>
    </row>
    <row r="397" spans="1:14" x14ac:dyDescent="0.2">
      <c r="A397" s="958" t="s">
        <v>5997</v>
      </c>
      <c r="B397" s="959">
        <v>45638</v>
      </c>
      <c r="C397" t="s">
        <v>1975</v>
      </c>
      <c r="D397">
        <v>236.9</v>
      </c>
      <c r="E397">
        <v>236.9</v>
      </c>
      <c r="F397">
        <v>236.9</v>
      </c>
      <c r="G397">
        <v>236.9</v>
      </c>
      <c r="H397">
        <v>236.9</v>
      </c>
      <c r="I397" t="s">
        <v>5270</v>
      </c>
      <c r="J397">
        <v>236.9</v>
      </c>
      <c r="K397">
        <v>68.69</v>
      </c>
      <c r="L397">
        <v>16272.66</v>
      </c>
      <c r="M397">
        <v>236.9</v>
      </c>
      <c r="N397">
        <v>236.9</v>
      </c>
    </row>
    <row r="398" spans="1:14" x14ac:dyDescent="0.2">
      <c r="A398" s="958" t="s">
        <v>5997</v>
      </c>
      <c r="B398" s="959">
        <v>45638</v>
      </c>
      <c r="C398" t="s">
        <v>2841</v>
      </c>
      <c r="D398">
        <v>7294.4</v>
      </c>
      <c r="E398">
        <v>7294.4</v>
      </c>
      <c r="F398">
        <v>7294.4</v>
      </c>
      <c r="G398">
        <v>7294.4</v>
      </c>
      <c r="H398">
        <v>7294.4</v>
      </c>
      <c r="I398" t="s">
        <v>5486</v>
      </c>
      <c r="J398">
        <v>7294.4</v>
      </c>
      <c r="K398">
        <v>47.32</v>
      </c>
      <c r="L398">
        <v>345185.6</v>
      </c>
      <c r="M398">
        <v>7294.4</v>
      </c>
      <c r="N398">
        <v>7255.6</v>
      </c>
    </row>
    <row r="399" spans="1:14" x14ac:dyDescent="0.2">
      <c r="A399" s="958" t="s">
        <v>6009</v>
      </c>
      <c r="B399" s="959">
        <v>45639</v>
      </c>
      <c r="C399" t="s">
        <v>6004</v>
      </c>
      <c r="D399">
        <v>180</v>
      </c>
      <c r="I399" t="s">
        <v>6010</v>
      </c>
      <c r="J399">
        <v>180</v>
      </c>
      <c r="K399">
        <v>155.28</v>
      </c>
      <c r="L399">
        <v>27950</v>
      </c>
    </row>
    <row r="400" spans="1:14" x14ac:dyDescent="0.2">
      <c r="A400" s="958" t="s">
        <v>6009</v>
      </c>
      <c r="B400" s="959">
        <v>45639</v>
      </c>
      <c r="C400" t="s">
        <v>5292</v>
      </c>
      <c r="D400">
        <v>72.599999999999994</v>
      </c>
      <c r="I400" t="s">
        <v>5492</v>
      </c>
      <c r="J400">
        <v>72.599999999999994</v>
      </c>
      <c r="K400">
        <v>384.99</v>
      </c>
      <c r="L400">
        <v>27950</v>
      </c>
    </row>
    <row r="401" spans="1:14" x14ac:dyDescent="0.2">
      <c r="A401" s="958" t="s">
        <v>6009</v>
      </c>
      <c r="B401" s="959">
        <v>45639</v>
      </c>
      <c r="C401" t="s">
        <v>5467</v>
      </c>
      <c r="D401">
        <v>72.599999999999994</v>
      </c>
      <c r="I401" t="s">
        <v>5468</v>
      </c>
      <c r="J401">
        <v>72.599999999999994</v>
      </c>
      <c r="K401">
        <v>296.14</v>
      </c>
      <c r="L401">
        <v>21500</v>
      </c>
    </row>
    <row r="402" spans="1:14" x14ac:dyDescent="0.2">
      <c r="A402" s="958" t="s">
        <v>6009</v>
      </c>
      <c r="B402" s="959">
        <v>45639</v>
      </c>
      <c r="C402" t="s">
        <v>5166</v>
      </c>
      <c r="D402">
        <v>54.45</v>
      </c>
      <c r="I402" t="s">
        <v>5469</v>
      </c>
      <c r="J402">
        <v>54.45</v>
      </c>
      <c r="K402">
        <v>427.92</v>
      </c>
      <c r="L402">
        <v>23300</v>
      </c>
    </row>
    <row r="403" spans="1:14" x14ac:dyDescent="0.2">
      <c r="A403" s="958" t="s">
        <v>6020</v>
      </c>
      <c r="B403" s="959">
        <v>45642</v>
      </c>
      <c r="C403" t="s">
        <v>5161</v>
      </c>
      <c r="D403">
        <v>198</v>
      </c>
      <c r="E403">
        <v>198</v>
      </c>
      <c r="F403">
        <v>198</v>
      </c>
      <c r="G403">
        <v>198</v>
      </c>
      <c r="H403">
        <v>198</v>
      </c>
      <c r="I403" t="s">
        <v>5463</v>
      </c>
      <c r="J403">
        <v>198</v>
      </c>
      <c r="K403">
        <v>1459.5</v>
      </c>
      <c r="L403">
        <v>288981</v>
      </c>
      <c r="M403">
        <v>198</v>
      </c>
      <c r="N403">
        <v>198</v>
      </c>
    </row>
    <row r="404" spans="1:14" x14ac:dyDescent="0.2">
      <c r="A404" s="958" t="s">
        <v>6021</v>
      </c>
      <c r="B404" s="959">
        <v>45642</v>
      </c>
      <c r="C404" t="s">
        <v>6019</v>
      </c>
      <c r="D404">
        <v>1660.8</v>
      </c>
      <c r="E404">
        <v>1660.8</v>
      </c>
      <c r="I404" t="s">
        <v>5376</v>
      </c>
      <c r="J404">
        <v>1660.8</v>
      </c>
      <c r="K404">
        <v>253.01</v>
      </c>
      <c r="L404">
        <v>420202.83</v>
      </c>
    </row>
    <row r="405" spans="1:14" x14ac:dyDescent="0.2">
      <c r="A405" s="958" t="s">
        <v>6021</v>
      </c>
      <c r="B405" s="959">
        <v>45642</v>
      </c>
      <c r="C405" t="s">
        <v>5099</v>
      </c>
      <c r="D405">
        <v>697.15</v>
      </c>
      <c r="E405">
        <v>697.15</v>
      </c>
      <c r="F405">
        <v>697.15</v>
      </c>
      <c r="G405">
        <v>697.15</v>
      </c>
      <c r="H405">
        <v>697.15</v>
      </c>
      <c r="I405" t="s">
        <v>5375</v>
      </c>
      <c r="J405">
        <v>697.15</v>
      </c>
      <c r="K405">
        <v>253.01</v>
      </c>
      <c r="L405">
        <v>176387.52</v>
      </c>
      <c r="M405">
        <v>697.15</v>
      </c>
      <c r="N405">
        <v>689.85</v>
      </c>
    </row>
    <row r="406" spans="1:14" x14ac:dyDescent="0.2">
      <c r="A406" s="958" t="s">
        <v>6026</v>
      </c>
      <c r="B406" s="959">
        <v>45643</v>
      </c>
      <c r="C406" t="s">
        <v>1863</v>
      </c>
      <c r="D406">
        <v>68.599999999999994</v>
      </c>
      <c r="E406">
        <v>68.599999999999994</v>
      </c>
      <c r="F406">
        <v>68.599999999999994</v>
      </c>
      <c r="G406">
        <v>68.599999999999994</v>
      </c>
      <c r="H406">
        <v>68.599999999999994</v>
      </c>
      <c r="I406" t="s">
        <v>5957</v>
      </c>
      <c r="J406">
        <v>68.599999999999994</v>
      </c>
      <c r="K406">
        <v>178.68</v>
      </c>
      <c r="L406">
        <v>12257.35</v>
      </c>
      <c r="M406">
        <v>68.599999999999994</v>
      </c>
      <c r="N406">
        <v>68.599999999999994</v>
      </c>
    </row>
    <row r="407" spans="1:14" x14ac:dyDescent="0.2">
      <c r="A407" s="958" t="s">
        <v>6031</v>
      </c>
      <c r="B407" s="959">
        <v>45645</v>
      </c>
      <c r="C407" t="s">
        <v>4813</v>
      </c>
      <c r="D407">
        <v>2550</v>
      </c>
      <c r="E407">
        <v>2550</v>
      </c>
      <c r="F407">
        <v>2550</v>
      </c>
      <c r="G407">
        <v>2550</v>
      </c>
      <c r="H407">
        <v>2550</v>
      </c>
      <c r="I407" t="s">
        <v>4148</v>
      </c>
      <c r="J407">
        <v>2550</v>
      </c>
      <c r="K407">
        <v>140.69</v>
      </c>
      <c r="L407">
        <v>358749.3</v>
      </c>
      <c r="M407">
        <v>2550</v>
      </c>
      <c r="N407">
        <v>2490</v>
      </c>
    </row>
    <row r="408" spans="1:14" x14ac:dyDescent="0.2">
      <c r="A408" s="958" t="s">
        <v>6032</v>
      </c>
      <c r="B408" s="959">
        <v>45645</v>
      </c>
      <c r="C408" t="s">
        <v>4590</v>
      </c>
      <c r="D408">
        <v>636</v>
      </c>
      <c r="E408">
        <v>636</v>
      </c>
      <c r="F408">
        <v>636</v>
      </c>
      <c r="G408">
        <v>636</v>
      </c>
      <c r="H408">
        <v>636</v>
      </c>
      <c r="I408" t="s">
        <v>5383</v>
      </c>
      <c r="J408">
        <v>636</v>
      </c>
      <c r="K408">
        <v>179.92</v>
      </c>
      <c r="L408">
        <v>114430.71</v>
      </c>
      <c r="M408">
        <v>636</v>
      </c>
      <c r="N408">
        <v>636</v>
      </c>
    </row>
    <row r="409" spans="1:14" x14ac:dyDescent="0.2">
      <c r="A409" s="958" t="s">
        <v>6035</v>
      </c>
      <c r="B409" s="959">
        <v>45645</v>
      </c>
      <c r="C409" t="s">
        <v>6029</v>
      </c>
      <c r="D409">
        <v>12.1</v>
      </c>
      <c r="E409">
        <v>12.1</v>
      </c>
      <c r="F409">
        <v>12.1</v>
      </c>
      <c r="G409">
        <v>12.1</v>
      </c>
      <c r="H409">
        <v>12.1</v>
      </c>
      <c r="I409" t="s">
        <v>6036</v>
      </c>
      <c r="J409">
        <v>12.1</v>
      </c>
      <c r="K409">
        <v>94.86</v>
      </c>
      <c r="L409">
        <v>1147.8499999999999</v>
      </c>
      <c r="M409">
        <v>12.1</v>
      </c>
      <c r="N409">
        <v>12.1</v>
      </c>
    </row>
    <row r="410" spans="1:14" x14ac:dyDescent="0.2">
      <c r="A410" s="958" t="s">
        <v>6035</v>
      </c>
      <c r="B410" s="959">
        <v>45645</v>
      </c>
      <c r="C410" t="s">
        <v>6030</v>
      </c>
      <c r="D410">
        <v>12.1</v>
      </c>
      <c r="E410">
        <v>12.1</v>
      </c>
      <c r="F410">
        <v>12.1</v>
      </c>
      <c r="G410">
        <v>12.1</v>
      </c>
      <c r="H410">
        <v>12.1</v>
      </c>
      <c r="I410" t="s">
        <v>6037</v>
      </c>
      <c r="J410">
        <v>12.1</v>
      </c>
      <c r="K410">
        <v>81.709999999999994</v>
      </c>
      <c r="L410">
        <v>988.67</v>
      </c>
      <c r="M410">
        <v>12.1</v>
      </c>
      <c r="N410">
        <v>12.1</v>
      </c>
    </row>
    <row r="411" spans="1:14" x14ac:dyDescent="0.2">
      <c r="A411" s="958" t="s">
        <v>6038</v>
      </c>
      <c r="B411" s="959">
        <v>45646</v>
      </c>
      <c r="C411" t="s">
        <v>5401</v>
      </c>
      <c r="D411">
        <v>1584</v>
      </c>
      <c r="E411">
        <v>1584</v>
      </c>
      <c r="F411">
        <v>1584</v>
      </c>
      <c r="G411">
        <v>1584</v>
      </c>
      <c r="H411">
        <v>1584</v>
      </c>
      <c r="I411" t="s">
        <v>5402</v>
      </c>
      <c r="J411">
        <v>1584</v>
      </c>
      <c r="K411">
        <v>56.2</v>
      </c>
      <c r="L411">
        <v>89019.22</v>
      </c>
      <c r="M411">
        <v>1584</v>
      </c>
      <c r="N411">
        <v>1584</v>
      </c>
    </row>
    <row r="412" spans="1:14" x14ac:dyDescent="0.2">
      <c r="A412" s="958" t="s">
        <v>6038</v>
      </c>
      <c r="B412" s="959">
        <v>45646</v>
      </c>
      <c r="C412" t="s">
        <v>5406</v>
      </c>
      <c r="D412">
        <v>3168</v>
      </c>
      <c r="E412">
        <v>3168</v>
      </c>
      <c r="F412">
        <v>3168</v>
      </c>
      <c r="G412">
        <v>3168</v>
      </c>
      <c r="H412">
        <v>3168</v>
      </c>
      <c r="I412" t="s">
        <v>5407</v>
      </c>
      <c r="J412">
        <v>3168</v>
      </c>
      <c r="K412">
        <v>27.32</v>
      </c>
      <c r="L412">
        <v>86562.43</v>
      </c>
      <c r="M412">
        <v>3168</v>
      </c>
      <c r="N412">
        <v>3168</v>
      </c>
    </row>
    <row r="413" spans="1:14" x14ac:dyDescent="0.2">
      <c r="A413" s="958" t="s">
        <v>6044</v>
      </c>
      <c r="B413" s="959">
        <v>45649</v>
      </c>
      <c r="C413" t="s">
        <v>6008</v>
      </c>
      <c r="D413">
        <v>2232.1</v>
      </c>
      <c r="E413">
        <v>2232.1</v>
      </c>
      <c r="F413">
        <v>2232.1</v>
      </c>
      <c r="G413">
        <v>2232.1</v>
      </c>
      <c r="H413">
        <v>2232.1</v>
      </c>
      <c r="I413" t="s">
        <v>5400</v>
      </c>
      <c r="J413">
        <v>2232.1</v>
      </c>
      <c r="K413">
        <v>115.32</v>
      </c>
      <c r="L413">
        <v>257402.42</v>
      </c>
      <c r="M413">
        <v>2232.1</v>
      </c>
      <c r="N413">
        <v>2222</v>
      </c>
    </row>
    <row r="414" spans="1:14" x14ac:dyDescent="0.2">
      <c r="A414" s="958" t="s">
        <v>6047</v>
      </c>
      <c r="B414" s="959">
        <v>45649</v>
      </c>
      <c r="C414" t="s">
        <v>2202</v>
      </c>
      <c r="D414">
        <v>708</v>
      </c>
      <c r="E414">
        <v>708</v>
      </c>
      <c r="F414">
        <v>708</v>
      </c>
      <c r="G414">
        <v>708</v>
      </c>
      <c r="H414">
        <v>708</v>
      </c>
      <c r="I414" t="s">
        <v>5449</v>
      </c>
      <c r="J414">
        <v>708</v>
      </c>
      <c r="K414">
        <v>130.86000000000001</v>
      </c>
      <c r="L414">
        <v>92647.46</v>
      </c>
      <c r="M414">
        <v>708</v>
      </c>
      <c r="N414">
        <v>708</v>
      </c>
    </row>
    <row r="415" spans="1:14" x14ac:dyDescent="0.2">
      <c r="A415" s="958" t="s">
        <v>6048</v>
      </c>
      <c r="B415" s="959">
        <v>45649</v>
      </c>
      <c r="C415" t="s">
        <v>5289</v>
      </c>
      <c r="D415">
        <v>788.1</v>
      </c>
      <c r="E415">
        <v>788.1</v>
      </c>
      <c r="F415">
        <v>788.1</v>
      </c>
      <c r="G415">
        <v>788.1</v>
      </c>
      <c r="H415">
        <v>788.1</v>
      </c>
      <c r="I415" t="s">
        <v>5489</v>
      </c>
      <c r="J415">
        <v>788.1</v>
      </c>
      <c r="K415">
        <v>117.33</v>
      </c>
      <c r="L415">
        <v>92468.72</v>
      </c>
      <c r="M415">
        <v>788.1</v>
      </c>
      <c r="N415">
        <v>788.1</v>
      </c>
    </row>
    <row r="416" spans="1:14" x14ac:dyDescent="0.2">
      <c r="A416" s="958" t="s">
        <v>6049</v>
      </c>
      <c r="B416" s="959">
        <v>45649</v>
      </c>
      <c r="C416" t="s">
        <v>4994</v>
      </c>
      <c r="D416">
        <v>864</v>
      </c>
      <c r="E416">
        <v>864</v>
      </c>
      <c r="F416">
        <v>864</v>
      </c>
      <c r="G416">
        <v>864</v>
      </c>
      <c r="H416">
        <v>864</v>
      </c>
      <c r="I416" t="s">
        <v>5365</v>
      </c>
      <c r="J416">
        <v>864</v>
      </c>
      <c r="K416">
        <v>86.74</v>
      </c>
      <c r="L416">
        <v>74945.09</v>
      </c>
      <c r="M416">
        <v>864</v>
      </c>
      <c r="N416">
        <v>864</v>
      </c>
    </row>
    <row r="417" spans="1:14" x14ac:dyDescent="0.2">
      <c r="A417" s="958" t="s">
        <v>6049</v>
      </c>
      <c r="B417" s="959">
        <v>45649</v>
      </c>
      <c r="C417" t="s">
        <v>5003</v>
      </c>
      <c r="D417">
        <v>216</v>
      </c>
      <c r="E417">
        <v>216</v>
      </c>
      <c r="F417">
        <v>216</v>
      </c>
      <c r="G417">
        <v>216</v>
      </c>
      <c r="H417">
        <v>216</v>
      </c>
      <c r="I417" t="s">
        <v>5414</v>
      </c>
      <c r="J417">
        <v>216</v>
      </c>
      <c r="K417">
        <v>108.39</v>
      </c>
      <c r="L417">
        <v>23411.81</v>
      </c>
      <c r="M417">
        <v>216</v>
      </c>
      <c r="N417">
        <v>216</v>
      </c>
    </row>
    <row r="418" spans="1:14" x14ac:dyDescent="0.2">
      <c r="A418" s="958" t="s">
        <v>6057</v>
      </c>
      <c r="B418" s="959">
        <v>45651</v>
      </c>
      <c r="C418" t="s">
        <v>6055</v>
      </c>
      <c r="D418">
        <v>80.400000000000006</v>
      </c>
      <c r="E418">
        <v>79.06</v>
      </c>
      <c r="F418">
        <v>79.06</v>
      </c>
      <c r="G418">
        <v>79.06</v>
      </c>
      <c r="H418">
        <v>79.06</v>
      </c>
      <c r="I418" t="s">
        <v>6491</v>
      </c>
      <c r="J418">
        <v>80.400000000000006</v>
      </c>
      <c r="K418">
        <v>323.38</v>
      </c>
      <c r="L418">
        <v>26000</v>
      </c>
      <c r="M418">
        <v>79.06</v>
      </c>
      <c r="N418">
        <v>79.06</v>
      </c>
    </row>
    <row r="419" spans="1:14" x14ac:dyDescent="0.2">
      <c r="A419" s="958" t="s">
        <v>6060</v>
      </c>
      <c r="B419" s="959">
        <v>45652</v>
      </c>
      <c r="C419" t="s">
        <v>6061</v>
      </c>
      <c r="D419">
        <v>672</v>
      </c>
      <c r="E419">
        <v>672</v>
      </c>
      <c r="F419">
        <v>672</v>
      </c>
      <c r="G419">
        <v>672</v>
      </c>
      <c r="H419">
        <v>672</v>
      </c>
      <c r="I419" t="s">
        <v>6062</v>
      </c>
      <c r="J419">
        <v>672</v>
      </c>
      <c r="K419">
        <v>94.35</v>
      </c>
      <c r="L419">
        <v>63403.199999999997</v>
      </c>
      <c r="M419">
        <v>672</v>
      </c>
      <c r="N419">
        <v>672</v>
      </c>
    </row>
    <row r="420" spans="1:14" x14ac:dyDescent="0.2">
      <c r="A420" s="958" t="s">
        <v>6060</v>
      </c>
      <c r="B420" s="959">
        <v>45652</v>
      </c>
      <c r="C420" t="s">
        <v>6063</v>
      </c>
      <c r="D420">
        <v>240</v>
      </c>
      <c r="E420">
        <v>240</v>
      </c>
      <c r="F420">
        <v>240</v>
      </c>
      <c r="G420">
        <v>240</v>
      </c>
      <c r="H420">
        <v>240</v>
      </c>
      <c r="I420" t="s">
        <v>6064</v>
      </c>
      <c r="J420">
        <v>240</v>
      </c>
      <c r="K420">
        <v>58.75</v>
      </c>
      <c r="L420">
        <v>14100.1</v>
      </c>
      <c r="M420">
        <v>240</v>
      </c>
      <c r="N420">
        <v>240</v>
      </c>
    </row>
    <row r="421" spans="1:14" x14ac:dyDescent="0.2">
      <c r="A421" s="958" t="s">
        <v>6070</v>
      </c>
      <c r="B421" s="959">
        <v>45653</v>
      </c>
      <c r="C421" t="s">
        <v>6463</v>
      </c>
      <c r="D421">
        <v>1460</v>
      </c>
      <c r="E421">
        <v>1460</v>
      </c>
      <c r="F421">
        <v>1460</v>
      </c>
      <c r="G421">
        <v>1460</v>
      </c>
      <c r="H421">
        <v>1460</v>
      </c>
      <c r="I421" t="s">
        <v>5399</v>
      </c>
      <c r="J421">
        <v>1460</v>
      </c>
      <c r="K421">
        <v>49.1</v>
      </c>
      <c r="L421">
        <v>71686</v>
      </c>
      <c r="M421">
        <v>1460</v>
      </c>
      <c r="N421">
        <v>1436</v>
      </c>
    </row>
    <row r="422" spans="1:14" x14ac:dyDescent="0.2">
      <c r="A422" s="958" t="s">
        <v>6071</v>
      </c>
      <c r="B422" s="959">
        <v>45653</v>
      </c>
      <c r="C422" t="s">
        <v>1684</v>
      </c>
      <c r="D422">
        <v>1320</v>
      </c>
      <c r="E422">
        <v>1320</v>
      </c>
      <c r="F422">
        <v>1320</v>
      </c>
      <c r="G422">
        <v>1320</v>
      </c>
      <c r="H422">
        <v>1320</v>
      </c>
      <c r="I422" t="s">
        <v>6102</v>
      </c>
      <c r="J422">
        <v>1320</v>
      </c>
      <c r="K422">
        <v>50.44</v>
      </c>
      <c r="L422">
        <v>66577.5</v>
      </c>
      <c r="M422">
        <v>1320</v>
      </c>
      <c r="N422">
        <v>1320</v>
      </c>
    </row>
    <row r="423" spans="1:14" x14ac:dyDescent="0.2">
      <c r="A423" s="958" t="s">
        <v>6071</v>
      </c>
      <c r="B423" s="959">
        <v>45653</v>
      </c>
      <c r="C423" t="s">
        <v>1686</v>
      </c>
      <c r="D423">
        <v>2088</v>
      </c>
      <c r="E423">
        <v>2088</v>
      </c>
      <c r="F423">
        <v>2088</v>
      </c>
      <c r="G423">
        <v>2088</v>
      </c>
      <c r="H423">
        <v>2088</v>
      </c>
      <c r="I423" t="s">
        <v>5421</v>
      </c>
      <c r="J423">
        <v>2088</v>
      </c>
      <c r="K423">
        <v>38.18</v>
      </c>
      <c r="L423">
        <v>79709.399999999994</v>
      </c>
      <c r="M423">
        <v>2088</v>
      </c>
      <c r="N423">
        <v>2088</v>
      </c>
    </row>
    <row r="424" spans="1:14" x14ac:dyDescent="0.2">
      <c r="A424" s="958" t="s">
        <v>6072</v>
      </c>
      <c r="B424" s="959">
        <v>45653</v>
      </c>
      <c r="C424" t="s">
        <v>2841</v>
      </c>
      <c r="D424">
        <v>727.5</v>
      </c>
      <c r="E424">
        <v>727.5</v>
      </c>
      <c r="F424">
        <v>727.5</v>
      </c>
      <c r="G424">
        <v>727.5</v>
      </c>
      <c r="H424">
        <v>727.5</v>
      </c>
      <c r="I424" t="s">
        <v>5486</v>
      </c>
      <c r="J424">
        <v>727.5</v>
      </c>
      <c r="K424">
        <v>47.32</v>
      </c>
      <c r="L424">
        <v>34425.300000000003</v>
      </c>
      <c r="M424">
        <v>727.5</v>
      </c>
      <c r="N424">
        <v>727.5</v>
      </c>
    </row>
    <row r="425" spans="1:14" x14ac:dyDescent="0.2">
      <c r="A425" s="958" t="s">
        <v>6073</v>
      </c>
      <c r="B425" s="959">
        <v>45653</v>
      </c>
      <c r="C425" t="s">
        <v>4276</v>
      </c>
      <c r="D425">
        <v>1624.25</v>
      </c>
      <c r="E425">
        <v>1624.25</v>
      </c>
      <c r="F425">
        <v>1624.25</v>
      </c>
      <c r="G425">
        <v>1624.25</v>
      </c>
      <c r="H425">
        <v>1624.25</v>
      </c>
      <c r="I425" t="s">
        <v>6712</v>
      </c>
      <c r="J425">
        <v>1624.25</v>
      </c>
      <c r="K425">
        <v>136.53</v>
      </c>
      <c r="L425">
        <v>221758.85</v>
      </c>
      <c r="M425">
        <v>1624.25</v>
      </c>
      <c r="N425">
        <v>1615.35</v>
      </c>
    </row>
    <row r="426" spans="1:14" x14ac:dyDescent="0.2">
      <c r="A426" s="958" t="s">
        <v>6078</v>
      </c>
      <c r="B426" s="959">
        <v>45654</v>
      </c>
      <c r="C426" t="s">
        <v>5409</v>
      </c>
      <c r="D426">
        <v>480</v>
      </c>
      <c r="E426">
        <v>480</v>
      </c>
      <c r="F426">
        <v>480</v>
      </c>
      <c r="G426">
        <v>480</v>
      </c>
      <c r="H426">
        <v>480</v>
      </c>
      <c r="I426" t="s">
        <v>5410</v>
      </c>
      <c r="J426">
        <v>480</v>
      </c>
      <c r="K426">
        <v>67.72</v>
      </c>
      <c r="L426">
        <v>32503.68</v>
      </c>
      <c r="M426">
        <v>480</v>
      </c>
      <c r="N426">
        <v>480</v>
      </c>
    </row>
    <row r="427" spans="1:14" x14ac:dyDescent="0.2">
      <c r="A427" s="958" t="s">
        <v>5360</v>
      </c>
      <c r="B427" s="959">
        <v>45666</v>
      </c>
      <c r="C427" t="s">
        <v>5729</v>
      </c>
      <c r="D427">
        <v>12</v>
      </c>
      <c r="I427" t="s">
        <v>5813</v>
      </c>
      <c r="J427">
        <v>12</v>
      </c>
      <c r="K427">
        <v>354.17</v>
      </c>
      <c r="L427">
        <v>4250</v>
      </c>
    </row>
    <row r="428" spans="1:14" x14ac:dyDescent="0.2">
      <c r="A428" s="958" t="s">
        <v>5360</v>
      </c>
      <c r="B428" s="959">
        <v>45666</v>
      </c>
      <c r="C428" t="s">
        <v>6080</v>
      </c>
      <c r="D428">
        <v>282</v>
      </c>
      <c r="I428" t="s">
        <v>6081</v>
      </c>
      <c r="J428">
        <v>282</v>
      </c>
      <c r="K428">
        <v>120.57</v>
      </c>
      <c r="L428">
        <v>34000</v>
      </c>
    </row>
    <row r="429" spans="1:14" x14ac:dyDescent="0.2">
      <c r="A429" s="958" t="s">
        <v>5360</v>
      </c>
      <c r="B429" s="959">
        <v>45666</v>
      </c>
      <c r="C429" t="s">
        <v>5272</v>
      </c>
      <c r="D429">
        <v>606</v>
      </c>
      <c r="I429" t="s">
        <v>5807</v>
      </c>
      <c r="J429">
        <v>606</v>
      </c>
      <c r="K429">
        <v>112.21</v>
      </c>
      <c r="L429">
        <v>68000</v>
      </c>
    </row>
    <row r="430" spans="1:14" x14ac:dyDescent="0.2">
      <c r="A430" s="958" t="s">
        <v>5360</v>
      </c>
      <c r="B430" s="959">
        <v>45666</v>
      </c>
      <c r="C430" t="s">
        <v>5231</v>
      </c>
      <c r="D430">
        <v>1134</v>
      </c>
      <c r="I430" t="s">
        <v>5809</v>
      </c>
      <c r="J430">
        <v>1134</v>
      </c>
      <c r="K430">
        <v>149.91</v>
      </c>
      <c r="L430">
        <v>170000</v>
      </c>
    </row>
    <row r="431" spans="1:14" x14ac:dyDescent="0.2">
      <c r="A431" s="958" t="s">
        <v>5360</v>
      </c>
      <c r="B431" s="959">
        <v>45666</v>
      </c>
      <c r="C431" t="s">
        <v>5240</v>
      </c>
      <c r="D431">
        <v>18</v>
      </c>
      <c r="I431" t="s">
        <v>5808</v>
      </c>
      <c r="J431">
        <v>18</v>
      </c>
      <c r="K431">
        <v>708.33</v>
      </c>
      <c r="L431">
        <v>12750</v>
      </c>
    </row>
    <row r="432" spans="1:14" x14ac:dyDescent="0.2">
      <c r="A432" s="958" t="s">
        <v>5364</v>
      </c>
      <c r="B432" s="959">
        <v>45673</v>
      </c>
      <c r="C432" t="s">
        <v>5684</v>
      </c>
      <c r="D432">
        <v>60</v>
      </c>
      <c r="E432">
        <v>60</v>
      </c>
      <c r="F432">
        <v>60</v>
      </c>
      <c r="G432">
        <v>60</v>
      </c>
      <c r="H432">
        <v>60</v>
      </c>
      <c r="I432" t="s">
        <v>5487</v>
      </c>
      <c r="J432">
        <v>60</v>
      </c>
      <c r="K432">
        <v>1975</v>
      </c>
      <c r="L432">
        <v>118500</v>
      </c>
      <c r="M432">
        <v>60</v>
      </c>
      <c r="N432">
        <v>60</v>
      </c>
    </row>
    <row r="433" spans="1:14" x14ac:dyDescent="0.2">
      <c r="A433" s="958" t="s">
        <v>6088</v>
      </c>
      <c r="B433" s="959">
        <v>45673</v>
      </c>
      <c r="C433" t="s">
        <v>4998</v>
      </c>
      <c r="D433">
        <v>1446</v>
      </c>
      <c r="E433">
        <v>1446</v>
      </c>
      <c r="F433">
        <v>1446</v>
      </c>
      <c r="G433">
        <v>1446</v>
      </c>
      <c r="H433">
        <v>1446</v>
      </c>
      <c r="I433" t="s">
        <v>5864</v>
      </c>
      <c r="J433">
        <v>1446</v>
      </c>
      <c r="M433">
        <v>1446</v>
      </c>
      <c r="N433">
        <v>1440</v>
      </c>
    </row>
    <row r="434" spans="1:14" x14ac:dyDescent="0.2">
      <c r="A434" s="958" t="s">
        <v>6088</v>
      </c>
      <c r="B434" s="959">
        <v>45673</v>
      </c>
      <c r="C434" t="s">
        <v>5091</v>
      </c>
      <c r="D434">
        <v>1122</v>
      </c>
      <c r="E434">
        <v>1122</v>
      </c>
      <c r="F434">
        <v>1122</v>
      </c>
      <c r="G434">
        <v>1122</v>
      </c>
      <c r="H434">
        <v>1122</v>
      </c>
      <c r="I434" t="s">
        <v>5220</v>
      </c>
      <c r="J434">
        <v>1122</v>
      </c>
      <c r="M434">
        <v>1122</v>
      </c>
      <c r="N434">
        <v>1116</v>
      </c>
    </row>
    <row r="435" spans="1:14" x14ac:dyDescent="0.2">
      <c r="A435" s="958" t="s">
        <v>6092</v>
      </c>
      <c r="B435" s="959">
        <v>45673</v>
      </c>
      <c r="C435" t="s">
        <v>5099</v>
      </c>
      <c r="D435">
        <v>1438.1</v>
      </c>
      <c r="E435">
        <v>1438.1</v>
      </c>
      <c r="F435">
        <v>1438.1</v>
      </c>
      <c r="G435">
        <v>1438.1</v>
      </c>
      <c r="H435">
        <v>1438.1</v>
      </c>
      <c r="I435" t="s">
        <v>5375</v>
      </c>
      <c r="J435">
        <v>1438.1</v>
      </c>
      <c r="K435">
        <v>253.01</v>
      </c>
      <c r="L435">
        <v>363856.99</v>
      </c>
      <c r="M435">
        <v>1438.1</v>
      </c>
      <c r="N435">
        <v>1430.8</v>
      </c>
    </row>
    <row r="436" spans="1:14" x14ac:dyDescent="0.2">
      <c r="A436" s="958" t="s">
        <v>6092</v>
      </c>
      <c r="B436" s="959">
        <v>45673</v>
      </c>
      <c r="C436" t="s">
        <v>5100</v>
      </c>
      <c r="D436">
        <v>2070.4</v>
      </c>
      <c r="E436">
        <v>2070.4</v>
      </c>
      <c r="F436">
        <v>2070.4</v>
      </c>
      <c r="G436">
        <v>2070.4</v>
      </c>
      <c r="H436">
        <v>2070.4</v>
      </c>
      <c r="I436" t="s">
        <v>5376</v>
      </c>
      <c r="J436">
        <v>2070.4</v>
      </c>
      <c r="K436">
        <v>253.01</v>
      </c>
      <c r="L436">
        <v>523836.67</v>
      </c>
      <c r="M436">
        <v>2070.4</v>
      </c>
      <c r="N436">
        <v>2051.1999999999998</v>
      </c>
    </row>
    <row r="437" spans="1:14" x14ac:dyDescent="0.2">
      <c r="A437" s="958" t="s">
        <v>6095</v>
      </c>
      <c r="B437" s="959">
        <v>45674</v>
      </c>
      <c r="C437" t="s">
        <v>4461</v>
      </c>
      <c r="D437">
        <v>90</v>
      </c>
      <c r="E437">
        <v>90</v>
      </c>
      <c r="F437">
        <v>90</v>
      </c>
      <c r="G437">
        <v>90</v>
      </c>
      <c r="H437">
        <v>90</v>
      </c>
      <c r="I437" t="s">
        <v>5391</v>
      </c>
      <c r="J437">
        <v>90</v>
      </c>
      <c r="K437">
        <v>141.05000000000001</v>
      </c>
      <c r="L437">
        <v>12694.5</v>
      </c>
      <c r="M437">
        <v>90</v>
      </c>
      <c r="N437">
        <v>90</v>
      </c>
    </row>
    <row r="438" spans="1:14" x14ac:dyDescent="0.2">
      <c r="A438" s="958" t="s">
        <v>6098</v>
      </c>
      <c r="B438" s="959">
        <v>45677</v>
      </c>
      <c r="C438" t="s">
        <v>6103</v>
      </c>
      <c r="D438">
        <v>75</v>
      </c>
      <c r="E438">
        <v>75</v>
      </c>
      <c r="F438">
        <v>75</v>
      </c>
      <c r="G438">
        <v>75</v>
      </c>
      <c r="H438">
        <v>75</v>
      </c>
      <c r="I438" t="s">
        <v>6104</v>
      </c>
      <c r="J438">
        <v>75</v>
      </c>
      <c r="K438">
        <v>62.21</v>
      </c>
      <c r="L438">
        <v>4665.38</v>
      </c>
      <c r="M438">
        <v>75</v>
      </c>
      <c r="N438">
        <v>75</v>
      </c>
    </row>
    <row r="439" spans="1:14" x14ac:dyDescent="0.2">
      <c r="A439" s="958" t="s">
        <v>6097</v>
      </c>
      <c r="B439" s="959">
        <v>45677</v>
      </c>
      <c r="C439" t="s">
        <v>6105</v>
      </c>
      <c r="D439">
        <v>49.6</v>
      </c>
      <c r="E439">
        <v>49.6</v>
      </c>
      <c r="F439">
        <v>49.6</v>
      </c>
      <c r="G439">
        <v>49.6</v>
      </c>
      <c r="H439">
        <v>49.6</v>
      </c>
      <c r="I439" t="s">
        <v>6106</v>
      </c>
      <c r="J439">
        <v>49.6</v>
      </c>
      <c r="K439">
        <v>213.71</v>
      </c>
      <c r="L439">
        <v>10600</v>
      </c>
      <c r="M439">
        <v>49.6</v>
      </c>
      <c r="N439">
        <v>49.6</v>
      </c>
    </row>
    <row r="440" spans="1:14" x14ac:dyDescent="0.2">
      <c r="A440" s="958" t="s">
        <v>6097</v>
      </c>
      <c r="B440" s="959">
        <v>45677</v>
      </c>
      <c r="C440" t="s">
        <v>6417</v>
      </c>
      <c r="D440">
        <v>18.3</v>
      </c>
      <c r="E440">
        <v>18.3</v>
      </c>
      <c r="F440">
        <v>18.3</v>
      </c>
      <c r="G440">
        <v>18.3</v>
      </c>
      <c r="H440">
        <v>18.3</v>
      </c>
      <c r="I440" t="s">
        <v>6418</v>
      </c>
      <c r="J440">
        <v>18.3</v>
      </c>
      <c r="K440">
        <v>231.69</v>
      </c>
      <c r="L440">
        <v>4240</v>
      </c>
      <c r="M440">
        <v>18.3</v>
      </c>
      <c r="N440">
        <v>18.3</v>
      </c>
    </row>
    <row r="441" spans="1:14" x14ac:dyDescent="0.2">
      <c r="A441" s="958" t="s">
        <v>6097</v>
      </c>
      <c r="B441" s="959">
        <v>45677</v>
      </c>
      <c r="C441" t="s">
        <v>6419</v>
      </c>
      <c r="D441">
        <v>24.4</v>
      </c>
      <c r="E441">
        <v>24.4</v>
      </c>
      <c r="F441">
        <v>24.4</v>
      </c>
      <c r="G441">
        <v>24.4</v>
      </c>
      <c r="H441">
        <v>24.4</v>
      </c>
      <c r="I441" t="s">
        <v>6420</v>
      </c>
      <c r="J441">
        <v>24.4</v>
      </c>
      <c r="K441">
        <v>260.66000000000003</v>
      </c>
      <c r="L441">
        <v>6360</v>
      </c>
      <c r="M441">
        <v>24.4</v>
      </c>
      <c r="N441">
        <v>24.4</v>
      </c>
    </row>
    <row r="442" spans="1:14" x14ac:dyDescent="0.2">
      <c r="A442" s="958" t="s">
        <v>6107</v>
      </c>
      <c r="B442" s="959">
        <v>45677</v>
      </c>
      <c r="C442" t="s">
        <v>6100</v>
      </c>
      <c r="D442">
        <v>36</v>
      </c>
      <c r="E442">
        <v>36</v>
      </c>
      <c r="F442">
        <v>36</v>
      </c>
      <c r="G442">
        <v>36</v>
      </c>
      <c r="H442">
        <v>36</v>
      </c>
      <c r="I442" t="s">
        <v>6101</v>
      </c>
      <c r="J442">
        <v>36</v>
      </c>
      <c r="K442">
        <v>117.02</v>
      </c>
      <c r="L442">
        <v>4212.6499999999996</v>
      </c>
      <c r="M442">
        <v>36</v>
      </c>
      <c r="N442">
        <v>36</v>
      </c>
    </row>
    <row r="443" spans="1:14" x14ac:dyDescent="0.2">
      <c r="A443" s="958" t="s">
        <v>6099</v>
      </c>
      <c r="B443" s="959">
        <v>45678</v>
      </c>
      <c r="C443" t="s">
        <v>4461</v>
      </c>
      <c r="D443">
        <v>90</v>
      </c>
      <c r="E443">
        <v>90</v>
      </c>
      <c r="F443">
        <v>90</v>
      </c>
      <c r="G443">
        <v>90</v>
      </c>
      <c r="H443">
        <v>90</v>
      </c>
      <c r="I443" t="s">
        <v>5391</v>
      </c>
      <c r="J443">
        <v>90</v>
      </c>
      <c r="K443">
        <v>141.05000000000001</v>
      </c>
      <c r="L443">
        <v>12694.5</v>
      </c>
      <c r="M443">
        <v>90</v>
      </c>
      <c r="N443">
        <v>90</v>
      </c>
    </row>
    <row r="444" spans="1:14" x14ac:dyDescent="0.2">
      <c r="A444" s="958" t="s">
        <v>6112</v>
      </c>
      <c r="B444" s="959">
        <v>45678</v>
      </c>
      <c r="C444" t="s">
        <v>6008</v>
      </c>
      <c r="D444">
        <v>5.05</v>
      </c>
      <c r="E444">
        <v>5.05</v>
      </c>
      <c r="F444">
        <v>5.05</v>
      </c>
      <c r="G444">
        <v>5.05</v>
      </c>
      <c r="H444">
        <v>5.05</v>
      </c>
      <c r="I444" t="s">
        <v>5400</v>
      </c>
      <c r="J444">
        <v>5.05</v>
      </c>
      <c r="K444">
        <v>115.32</v>
      </c>
      <c r="L444">
        <v>582.36</v>
      </c>
      <c r="M444">
        <v>5.05</v>
      </c>
      <c r="N444">
        <v>5.05</v>
      </c>
    </row>
    <row r="445" spans="1:14" x14ac:dyDescent="0.2">
      <c r="A445" s="958" t="s">
        <v>6421</v>
      </c>
      <c r="B445" s="959">
        <v>45679</v>
      </c>
      <c r="C445" t="s">
        <v>5862</v>
      </c>
      <c r="D445">
        <v>144</v>
      </c>
      <c r="E445">
        <v>144</v>
      </c>
      <c r="F445">
        <v>144</v>
      </c>
      <c r="G445">
        <v>144</v>
      </c>
      <c r="H445">
        <v>144</v>
      </c>
      <c r="I445" t="s">
        <v>5831</v>
      </c>
      <c r="J445">
        <v>144</v>
      </c>
      <c r="K445">
        <v>143.06</v>
      </c>
      <c r="L445">
        <v>20599.919999999998</v>
      </c>
      <c r="M445">
        <v>144</v>
      </c>
      <c r="N445">
        <v>144</v>
      </c>
    </row>
    <row r="446" spans="1:14" x14ac:dyDescent="0.2">
      <c r="A446" s="958" t="s">
        <v>6422</v>
      </c>
      <c r="B446" s="959">
        <v>45679</v>
      </c>
      <c r="C446" t="s">
        <v>4375</v>
      </c>
      <c r="D446">
        <v>108</v>
      </c>
      <c r="E446">
        <v>108</v>
      </c>
      <c r="F446">
        <v>108</v>
      </c>
      <c r="G446">
        <v>108</v>
      </c>
      <c r="H446">
        <v>108</v>
      </c>
      <c r="I446" t="s">
        <v>6423</v>
      </c>
      <c r="J446">
        <v>108</v>
      </c>
      <c r="K446">
        <v>111.62</v>
      </c>
      <c r="L446">
        <v>12055.07</v>
      </c>
      <c r="M446">
        <v>108</v>
      </c>
      <c r="N446">
        <v>108</v>
      </c>
    </row>
    <row r="447" spans="1:14" x14ac:dyDescent="0.2">
      <c r="A447" s="958" t="s">
        <v>6436</v>
      </c>
      <c r="B447" s="959">
        <v>45679</v>
      </c>
      <c r="C447" t="s">
        <v>5409</v>
      </c>
      <c r="D447">
        <v>1404</v>
      </c>
      <c r="E447">
        <v>1404</v>
      </c>
      <c r="F447">
        <v>1404</v>
      </c>
      <c r="G447">
        <v>1404</v>
      </c>
      <c r="H447">
        <v>1404</v>
      </c>
      <c r="I447" t="s">
        <v>5410</v>
      </c>
      <c r="J447">
        <v>1404</v>
      </c>
      <c r="M447">
        <v>1404</v>
      </c>
      <c r="N447">
        <v>1404</v>
      </c>
    </row>
    <row r="448" spans="1:14" x14ac:dyDescent="0.2">
      <c r="A448" s="958" t="s">
        <v>6436</v>
      </c>
      <c r="B448" s="959">
        <v>45679</v>
      </c>
      <c r="C448" t="s">
        <v>5382</v>
      </c>
      <c r="D448">
        <v>2532</v>
      </c>
      <c r="E448">
        <v>2532</v>
      </c>
      <c r="F448">
        <v>2532</v>
      </c>
      <c r="G448">
        <v>2532</v>
      </c>
      <c r="H448">
        <v>2532</v>
      </c>
      <c r="I448" t="s">
        <v>6006</v>
      </c>
      <c r="J448">
        <v>2532</v>
      </c>
      <c r="M448">
        <v>2532</v>
      </c>
      <c r="N448">
        <v>2526</v>
      </c>
    </row>
    <row r="449" spans="1:14" x14ac:dyDescent="0.2">
      <c r="A449" s="958" t="s">
        <v>6436</v>
      </c>
      <c r="B449" s="959">
        <v>45679</v>
      </c>
      <c r="C449" t="s">
        <v>5381</v>
      </c>
      <c r="D449">
        <v>2622</v>
      </c>
      <c r="E449">
        <v>2622</v>
      </c>
      <c r="F449">
        <v>2622</v>
      </c>
      <c r="G449">
        <v>2622</v>
      </c>
      <c r="H449">
        <v>2622</v>
      </c>
      <c r="I449" t="s">
        <v>6005</v>
      </c>
      <c r="J449">
        <v>2622</v>
      </c>
      <c r="M449">
        <v>2622</v>
      </c>
      <c r="N449">
        <v>2622</v>
      </c>
    </row>
    <row r="450" spans="1:14" x14ac:dyDescent="0.2">
      <c r="A450" s="958" t="s">
        <v>6436</v>
      </c>
      <c r="B450" s="959">
        <v>45679</v>
      </c>
      <c r="C450" t="s">
        <v>5390</v>
      </c>
      <c r="D450">
        <v>1836</v>
      </c>
      <c r="E450">
        <v>1836</v>
      </c>
      <c r="F450">
        <v>1836</v>
      </c>
      <c r="G450">
        <v>1836</v>
      </c>
      <c r="H450">
        <v>1836</v>
      </c>
      <c r="I450" t="s">
        <v>6007</v>
      </c>
      <c r="J450">
        <v>1836</v>
      </c>
      <c r="M450">
        <v>1836</v>
      </c>
      <c r="N450">
        <v>1830</v>
      </c>
    </row>
    <row r="451" spans="1:14" x14ac:dyDescent="0.2">
      <c r="A451" s="958" t="s">
        <v>6436</v>
      </c>
      <c r="B451" s="959">
        <v>45679</v>
      </c>
      <c r="C451" t="s">
        <v>5405</v>
      </c>
      <c r="D451">
        <v>1812</v>
      </c>
      <c r="E451">
        <v>1812</v>
      </c>
      <c r="F451">
        <v>1812</v>
      </c>
      <c r="G451">
        <v>1812</v>
      </c>
      <c r="H451">
        <v>1812</v>
      </c>
      <c r="I451" t="s">
        <v>6018</v>
      </c>
      <c r="J451">
        <v>1812</v>
      </c>
      <c r="M451">
        <v>1812</v>
      </c>
      <c r="N451">
        <v>1800</v>
      </c>
    </row>
    <row r="452" spans="1:14" x14ac:dyDescent="0.2">
      <c r="A452" s="958" t="s">
        <v>6436</v>
      </c>
      <c r="B452" s="959">
        <v>45679</v>
      </c>
      <c r="C452" t="s">
        <v>6119</v>
      </c>
      <c r="D452">
        <v>2424</v>
      </c>
      <c r="E452">
        <v>2424</v>
      </c>
      <c r="F452">
        <v>2424</v>
      </c>
      <c r="G452">
        <v>2424</v>
      </c>
      <c r="H452">
        <v>2424</v>
      </c>
      <c r="I452" t="s">
        <v>6120</v>
      </c>
      <c r="J452">
        <v>2424</v>
      </c>
      <c r="M452">
        <v>2424</v>
      </c>
      <c r="N452">
        <v>2424</v>
      </c>
    </row>
    <row r="453" spans="1:14" x14ac:dyDescent="0.2">
      <c r="A453" s="958" t="s">
        <v>6436</v>
      </c>
      <c r="B453" s="959">
        <v>45679</v>
      </c>
      <c r="C453" t="s">
        <v>5373</v>
      </c>
      <c r="D453">
        <v>1992</v>
      </c>
      <c r="E453">
        <v>1992</v>
      </c>
      <c r="F453">
        <v>1992</v>
      </c>
      <c r="G453">
        <v>1992</v>
      </c>
      <c r="H453">
        <v>1992</v>
      </c>
      <c r="I453" t="s">
        <v>5374</v>
      </c>
      <c r="J453">
        <v>1992</v>
      </c>
      <c r="M453">
        <v>1992</v>
      </c>
      <c r="N453">
        <v>1992</v>
      </c>
    </row>
    <row r="454" spans="1:14" x14ac:dyDescent="0.2">
      <c r="A454" s="958" t="s">
        <v>6428</v>
      </c>
      <c r="B454" s="959">
        <v>45680</v>
      </c>
      <c r="C454" t="s">
        <v>5427</v>
      </c>
      <c r="D454">
        <v>636</v>
      </c>
      <c r="E454">
        <v>636</v>
      </c>
      <c r="F454">
        <v>636</v>
      </c>
      <c r="G454">
        <v>636</v>
      </c>
      <c r="H454">
        <v>636</v>
      </c>
      <c r="I454" t="s">
        <v>5428</v>
      </c>
      <c r="J454">
        <v>636</v>
      </c>
      <c r="M454">
        <v>636</v>
      </c>
      <c r="N454">
        <v>636</v>
      </c>
    </row>
    <row r="455" spans="1:14" x14ac:dyDescent="0.2">
      <c r="A455" s="958" t="s">
        <v>6428</v>
      </c>
      <c r="B455" s="959">
        <v>45680</v>
      </c>
      <c r="C455" t="s">
        <v>5367</v>
      </c>
      <c r="D455">
        <v>6300</v>
      </c>
      <c r="E455">
        <v>6300</v>
      </c>
      <c r="F455">
        <v>6300</v>
      </c>
      <c r="G455">
        <v>6300</v>
      </c>
      <c r="H455">
        <v>6300</v>
      </c>
      <c r="I455" t="s">
        <v>5368</v>
      </c>
      <c r="J455">
        <v>6300</v>
      </c>
      <c r="M455">
        <v>6300</v>
      </c>
      <c r="N455">
        <v>6300</v>
      </c>
    </row>
    <row r="456" spans="1:14" x14ac:dyDescent="0.2">
      <c r="A456" s="958" t="s">
        <v>6429</v>
      </c>
      <c r="B456" s="959">
        <v>45680</v>
      </c>
      <c r="C456" t="s">
        <v>6437</v>
      </c>
      <c r="D456">
        <v>594</v>
      </c>
      <c r="E456">
        <v>594</v>
      </c>
      <c r="F456">
        <v>594</v>
      </c>
      <c r="G456">
        <v>594</v>
      </c>
      <c r="H456">
        <v>594</v>
      </c>
      <c r="I456" t="s">
        <v>6699</v>
      </c>
      <c r="J456">
        <v>594</v>
      </c>
      <c r="M456">
        <v>594</v>
      </c>
      <c r="N456">
        <v>588</v>
      </c>
    </row>
    <row r="457" spans="1:14" x14ac:dyDescent="0.2">
      <c r="A457" s="958" t="s">
        <v>6430</v>
      </c>
      <c r="B457" s="959">
        <v>45680</v>
      </c>
      <c r="C457" t="s">
        <v>652</v>
      </c>
      <c r="D457">
        <v>1318.9</v>
      </c>
      <c r="E457">
        <v>1318.9</v>
      </c>
      <c r="F457">
        <v>1318.9</v>
      </c>
      <c r="G457">
        <v>1318.9</v>
      </c>
      <c r="H457">
        <v>1318.9</v>
      </c>
      <c r="I457" t="s">
        <v>5510</v>
      </c>
      <c r="J457">
        <v>1318.9</v>
      </c>
      <c r="K457">
        <v>56.02</v>
      </c>
      <c r="L457">
        <v>73885.83</v>
      </c>
      <c r="M457">
        <v>1318.9</v>
      </c>
      <c r="N457">
        <v>1318.9</v>
      </c>
    </row>
    <row r="458" spans="1:14" x14ac:dyDescent="0.2">
      <c r="A458" s="958" t="s">
        <v>6431</v>
      </c>
      <c r="B458" s="959">
        <v>45680</v>
      </c>
      <c r="C458" t="s">
        <v>2561</v>
      </c>
      <c r="D458">
        <v>684</v>
      </c>
      <c r="E458">
        <v>684</v>
      </c>
      <c r="F458">
        <v>684</v>
      </c>
      <c r="G458">
        <v>684</v>
      </c>
      <c r="H458">
        <v>684</v>
      </c>
      <c r="I458" t="s">
        <v>5408</v>
      </c>
      <c r="J458">
        <v>684</v>
      </c>
      <c r="K458">
        <v>141.55000000000001</v>
      </c>
      <c r="L458">
        <v>96820.54</v>
      </c>
      <c r="M458">
        <v>684</v>
      </c>
      <c r="N458">
        <v>636</v>
      </c>
    </row>
    <row r="459" spans="1:14" x14ac:dyDescent="0.2">
      <c r="A459" s="958" t="s">
        <v>6432</v>
      </c>
      <c r="B459" s="959">
        <v>45680</v>
      </c>
      <c r="C459" t="s">
        <v>5289</v>
      </c>
      <c r="D459">
        <v>692.25</v>
      </c>
      <c r="E459">
        <v>692.25</v>
      </c>
      <c r="F459">
        <v>692.25</v>
      </c>
      <c r="G459">
        <v>692.25</v>
      </c>
      <c r="H459">
        <v>692.25</v>
      </c>
      <c r="I459" t="s">
        <v>5489</v>
      </c>
      <c r="J459">
        <v>692.25</v>
      </c>
      <c r="K459">
        <v>117.33</v>
      </c>
      <c r="L459">
        <v>81222.52</v>
      </c>
      <c r="M459">
        <v>692.25</v>
      </c>
      <c r="N459">
        <v>692.25</v>
      </c>
    </row>
    <row r="460" spans="1:14" x14ac:dyDescent="0.2">
      <c r="A460" s="958" t="s">
        <v>6433</v>
      </c>
      <c r="B460" s="959">
        <v>45680</v>
      </c>
      <c r="C460" t="s">
        <v>2963</v>
      </c>
      <c r="D460">
        <v>1827</v>
      </c>
      <c r="E460">
        <v>1827</v>
      </c>
      <c r="F460">
        <v>1827</v>
      </c>
      <c r="G460">
        <v>1827</v>
      </c>
      <c r="H460">
        <v>1827</v>
      </c>
      <c r="I460" t="s">
        <v>5363</v>
      </c>
      <c r="J460">
        <v>1827</v>
      </c>
      <c r="K460">
        <v>78.44</v>
      </c>
      <c r="L460">
        <v>143313.53</v>
      </c>
      <c r="M460">
        <v>1827</v>
      </c>
      <c r="N460">
        <v>1827</v>
      </c>
    </row>
    <row r="461" spans="1:14" x14ac:dyDescent="0.2">
      <c r="A461" s="958" t="s">
        <v>6434</v>
      </c>
      <c r="B461" s="959">
        <v>45680</v>
      </c>
      <c r="C461" t="s">
        <v>4673</v>
      </c>
      <c r="D461">
        <v>244.85</v>
      </c>
      <c r="E461">
        <v>244.85</v>
      </c>
      <c r="F461">
        <v>244.85</v>
      </c>
      <c r="G461">
        <v>244.85</v>
      </c>
      <c r="H461">
        <v>244.85</v>
      </c>
      <c r="I461" t="s">
        <v>6435</v>
      </c>
      <c r="J461">
        <v>244.85</v>
      </c>
      <c r="K461">
        <v>90.9</v>
      </c>
      <c r="L461">
        <v>22256.25</v>
      </c>
      <c r="M461">
        <v>244.85</v>
      </c>
      <c r="N461">
        <v>244.85</v>
      </c>
    </row>
    <row r="462" spans="1:14" x14ac:dyDescent="0.2">
      <c r="A462" s="958" t="s">
        <v>6454</v>
      </c>
      <c r="B462" s="959">
        <v>45684</v>
      </c>
      <c r="C462" t="s">
        <v>4867</v>
      </c>
      <c r="D462">
        <v>1021.8</v>
      </c>
      <c r="E462">
        <v>1021.8</v>
      </c>
      <c r="F462">
        <v>1021.8</v>
      </c>
      <c r="G462">
        <v>1021.8</v>
      </c>
      <c r="H462">
        <v>1021.8</v>
      </c>
      <c r="I462" t="s">
        <v>6462</v>
      </c>
      <c r="J462">
        <v>1021.8</v>
      </c>
      <c r="K462">
        <v>86.23</v>
      </c>
      <c r="L462">
        <v>88111.12</v>
      </c>
      <c r="M462">
        <v>1021.8</v>
      </c>
      <c r="N462">
        <v>1021.8</v>
      </c>
    </row>
    <row r="463" spans="1:14" x14ac:dyDescent="0.2">
      <c r="A463" s="958" t="s">
        <v>6468</v>
      </c>
      <c r="B463" s="959">
        <v>45684</v>
      </c>
      <c r="C463" t="s">
        <v>3860</v>
      </c>
      <c r="D463">
        <v>774.4</v>
      </c>
      <c r="E463">
        <v>774.4</v>
      </c>
      <c r="F463">
        <v>774.4</v>
      </c>
      <c r="G463">
        <v>774.4</v>
      </c>
      <c r="H463">
        <v>774.4</v>
      </c>
      <c r="I463" t="s">
        <v>6460</v>
      </c>
      <c r="J463">
        <v>774.4</v>
      </c>
      <c r="K463">
        <v>87.88</v>
      </c>
      <c r="L463">
        <v>68050.399999999994</v>
      </c>
      <c r="M463">
        <v>774.4</v>
      </c>
      <c r="N463">
        <v>774.4</v>
      </c>
    </row>
    <row r="464" spans="1:14" x14ac:dyDescent="0.2">
      <c r="A464" s="958" t="s">
        <v>6472</v>
      </c>
      <c r="B464" s="959">
        <v>45684</v>
      </c>
      <c r="C464" t="s">
        <v>6473</v>
      </c>
      <c r="D464">
        <v>960</v>
      </c>
      <c r="E464">
        <v>960</v>
      </c>
      <c r="F464">
        <v>960</v>
      </c>
      <c r="G464">
        <v>960</v>
      </c>
      <c r="H464">
        <v>960</v>
      </c>
      <c r="I464" t="s">
        <v>6474</v>
      </c>
      <c r="J464">
        <v>960</v>
      </c>
      <c r="K464">
        <v>52.39</v>
      </c>
      <c r="L464">
        <v>50292</v>
      </c>
      <c r="M464">
        <v>960</v>
      </c>
      <c r="N464">
        <v>960</v>
      </c>
    </row>
    <row r="465" spans="1:14" x14ac:dyDescent="0.2">
      <c r="A465" s="958" t="s">
        <v>6455</v>
      </c>
      <c r="B465" s="959">
        <v>45684</v>
      </c>
      <c r="C465" t="s">
        <v>6464</v>
      </c>
      <c r="D465">
        <v>786</v>
      </c>
      <c r="E465">
        <v>786</v>
      </c>
      <c r="F465">
        <v>786</v>
      </c>
      <c r="G465">
        <v>786</v>
      </c>
      <c r="H465">
        <v>786</v>
      </c>
      <c r="I465" t="s">
        <v>6465</v>
      </c>
      <c r="J465">
        <v>786</v>
      </c>
      <c r="K465">
        <v>40.43</v>
      </c>
      <c r="L465">
        <v>31774.05</v>
      </c>
      <c r="M465">
        <v>786</v>
      </c>
      <c r="N465">
        <v>786</v>
      </c>
    </row>
    <row r="466" spans="1:14" x14ac:dyDescent="0.2">
      <c r="A466" s="958" t="s">
        <v>6475</v>
      </c>
      <c r="B466" s="959">
        <v>45684</v>
      </c>
      <c r="C466" t="s">
        <v>6119</v>
      </c>
      <c r="D466">
        <v>1092</v>
      </c>
      <c r="E466">
        <v>1092</v>
      </c>
      <c r="F466">
        <v>1092</v>
      </c>
      <c r="G466">
        <v>1092</v>
      </c>
      <c r="H466">
        <v>1092</v>
      </c>
      <c r="I466" t="s">
        <v>6120</v>
      </c>
      <c r="J466">
        <v>1092</v>
      </c>
      <c r="K466">
        <v>51.48</v>
      </c>
      <c r="L466">
        <v>56216.160000000003</v>
      </c>
      <c r="M466">
        <v>1092</v>
      </c>
      <c r="N466">
        <v>1092</v>
      </c>
    </row>
    <row r="467" spans="1:14" x14ac:dyDescent="0.2">
      <c r="A467" s="958" t="s">
        <v>6475</v>
      </c>
      <c r="B467" s="959">
        <v>45684</v>
      </c>
      <c r="C467" t="s">
        <v>5373</v>
      </c>
      <c r="D467">
        <v>1440</v>
      </c>
      <c r="E467">
        <v>1440</v>
      </c>
      <c r="F467">
        <v>1440</v>
      </c>
      <c r="G467">
        <v>1440</v>
      </c>
      <c r="H467">
        <v>1440</v>
      </c>
      <c r="I467" t="s">
        <v>5374</v>
      </c>
      <c r="J467">
        <v>1440</v>
      </c>
      <c r="K467">
        <v>47.59</v>
      </c>
      <c r="L467">
        <v>68523.839999999997</v>
      </c>
      <c r="M467">
        <v>1440</v>
      </c>
      <c r="N467">
        <v>1440</v>
      </c>
    </row>
    <row r="468" spans="1:14" x14ac:dyDescent="0.2">
      <c r="A468" s="958" t="s">
        <v>6457</v>
      </c>
      <c r="B468" s="959">
        <v>45685</v>
      </c>
      <c r="C468" t="s">
        <v>2561</v>
      </c>
      <c r="D468">
        <v>120</v>
      </c>
      <c r="E468">
        <v>120</v>
      </c>
      <c r="F468">
        <v>120</v>
      </c>
      <c r="G468">
        <v>120</v>
      </c>
      <c r="H468">
        <v>120</v>
      </c>
      <c r="I468" t="s">
        <v>5408</v>
      </c>
      <c r="J468">
        <v>120</v>
      </c>
      <c r="K468">
        <v>141.55000000000001</v>
      </c>
      <c r="L468">
        <v>16986</v>
      </c>
      <c r="M468">
        <v>120</v>
      </c>
      <c r="N468">
        <v>120</v>
      </c>
    </row>
    <row r="469" spans="1:14" x14ac:dyDescent="0.2">
      <c r="A469" s="958" t="s">
        <v>6456</v>
      </c>
      <c r="B469" s="959">
        <v>45685</v>
      </c>
      <c r="C469" t="s">
        <v>1734</v>
      </c>
      <c r="D469">
        <v>1104</v>
      </c>
      <c r="E469">
        <v>1104</v>
      </c>
      <c r="F469">
        <v>1104</v>
      </c>
      <c r="G469">
        <v>1104</v>
      </c>
      <c r="H469">
        <v>1104</v>
      </c>
      <c r="I469" t="s">
        <v>6480</v>
      </c>
      <c r="J469">
        <v>1104</v>
      </c>
      <c r="K469">
        <v>67.930000000000007</v>
      </c>
      <c r="L469">
        <v>74996.38</v>
      </c>
      <c r="M469">
        <v>1104</v>
      </c>
      <c r="N469">
        <v>1104</v>
      </c>
    </row>
    <row r="470" spans="1:14" x14ac:dyDescent="0.2">
      <c r="A470" s="958" t="s">
        <v>6458</v>
      </c>
      <c r="B470" s="959">
        <v>45685</v>
      </c>
      <c r="C470" t="s">
        <v>6481</v>
      </c>
      <c r="D470">
        <v>372</v>
      </c>
      <c r="E470">
        <v>372</v>
      </c>
      <c r="F470">
        <v>372</v>
      </c>
      <c r="G470">
        <v>372</v>
      </c>
      <c r="H470">
        <v>372</v>
      </c>
      <c r="I470" t="s">
        <v>6482</v>
      </c>
      <c r="J470">
        <v>372</v>
      </c>
      <c r="K470">
        <v>196.67</v>
      </c>
      <c r="L470">
        <v>73160.679999999993</v>
      </c>
      <c r="M470">
        <v>372</v>
      </c>
      <c r="N470">
        <v>372</v>
      </c>
    </row>
    <row r="471" spans="1:14" x14ac:dyDescent="0.2">
      <c r="A471" s="958" t="s">
        <v>6459</v>
      </c>
      <c r="B471" s="959">
        <v>45685</v>
      </c>
      <c r="C471" t="s">
        <v>6483</v>
      </c>
      <c r="D471">
        <v>1131.3499999999999</v>
      </c>
      <c r="E471">
        <v>1131.3499999999999</v>
      </c>
      <c r="F471">
        <v>1131.3499999999999</v>
      </c>
      <c r="G471">
        <v>1131.3499999999999</v>
      </c>
      <c r="H471">
        <v>1131.3499999999999</v>
      </c>
      <c r="I471" t="s">
        <v>6484</v>
      </c>
      <c r="J471">
        <v>1131.3499999999999</v>
      </c>
      <c r="K471">
        <v>80.7</v>
      </c>
      <c r="L471">
        <v>91295.42</v>
      </c>
      <c r="M471">
        <v>1131.3499999999999</v>
      </c>
      <c r="N471">
        <v>1131.3499999999999</v>
      </c>
    </row>
    <row r="472" spans="1:14" x14ac:dyDescent="0.2">
      <c r="A472" s="958" t="s">
        <v>6461</v>
      </c>
      <c r="B472" s="959">
        <v>45685</v>
      </c>
      <c r="C472" t="s">
        <v>149</v>
      </c>
      <c r="D472">
        <v>720</v>
      </c>
      <c r="E472">
        <v>720</v>
      </c>
      <c r="F472">
        <v>720</v>
      </c>
      <c r="G472">
        <v>720</v>
      </c>
      <c r="H472">
        <v>720</v>
      </c>
      <c r="I472" t="s">
        <v>5481</v>
      </c>
      <c r="J472">
        <v>720</v>
      </c>
      <c r="K472">
        <v>83.54</v>
      </c>
      <c r="L472">
        <v>60147.360000000001</v>
      </c>
      <c r="M472">
        <v>720</v>
      </c>
      <c r="N472">
        <v>720</v>
      </c>
    </row>
    <row r="473" spans="1:14" x14ac:dyDescent="0.2">
      <c r="A473" s="958" t="s">
        <v>6490</v>
      </c>
      <c r="B473" s="959">
        <v>45687</v>
      </c>
      <c r="C473" t="s">
        <v>4813</v>
      </c>
      <c r="D473">
        <v>1830</v>
      </c>
      <c r="E473">
        <v>1830</v>
      </c>
      <c r="F473">
        <v>1830</v>
      </c>
      <c r="G473">
        <v>1830</v>
      </c>
      <c r="H473">
        <v>1830</v>
      </c>
      <c r="I473" t="s">
        <v>4148</v>
      </c>
      <c r="J473">
        <v>1830</v>
      </c>
      <c r="K473">
        <v>140.69</v>
      </c>
      <c r="L473">
        <v>257455.38</v>
      </c>
      <c r="M473">
        <v>1830</v>
      </c>
      <c r="N473">
        <v>1470</v>
      </c>
    </row>
    <row r="474" spans="1:14" x14ac:dyDescent="0.2">
      <c r="A474" s="958" t="s">
        <v>6494</v>
      </c>
      <c r="B474" s="959">
        <v>45687</v>
      </c>
      <c r="C474" t="s">
        <v>4461</v>
      </c>
      <c r="D474">
        <v>180</v>
      </c>
      <c r="E474">
        <v>180</v>
      </c>
      <c r="F474">
        <v>180</v>
      </c>
      <c r="G474">
        <v>180</v>
      </c>
      <c r="H474">
        <v>180</v>
      </c>
      <c r="I474" t="s">
        <v>5391</v>
      </c>
      <c r="J474">
        <v>180</v>
      </c>
      <c r="K474">
        <v>141.05000000000001</v>
      </c>
      <c r="L474">
        <v>25389</v>
      </c>
      <c r="M474">
        <v>180</v>
      </c>
      <c r="N474">
        <v>180</v>
      </c>
    </row>
    <row r="475" spans="1:14" x14ac:dyDescent="0.2">
      <c r="A475" s="958" t="s">
        <v>6495</v>
      </c>
      <c r="B475" s="959">
        <v>45688</v>
      </c>
      <c r="C475" t="s">
        <v>6498</v>
      </c>
      <c r="D475">
        <v>78</v>
      </c>
      <c r="E475">
        <v>78</v>
      </c>
      <c r="F475">
        <v>78</v>
      </c>
      <c r="G475">
        <v>78</v>
      </c>
      <c r="H475">
        <v>78</v>
      </c>
      <c r="I475" t="s">
        <v>6499</v>
      </c>
      <c r="J475">
        <v>78</v>
      </c>
      <c r="K475">
        <v>294.87</v>
      </c>
      <c r="L475">
        <v>23000</v>
      </c>
      <c r="M475">
        <v>78</v>
      </c>
      <c r="N475">
        <v>78</v>
      </c>
    </row>
    <row r="476" spans="1:14" x14ac:dyDescent="0.2">
      <c r="A476" s="958" t="s">
        <v>6495</v>
      </c>
      <c r="B476" s="959">
        <v>45688</v>
      </c>
      <c r="C476" t="s">
        <v>6500</v>
      </c>
      <c r="D476">
        <v>48</v>
      </c>
      <c r="E476">
        <v>48</v>
      </c>
      <c r="F476">
        <v>48</v>
      </c>
      <c r="G476">
        <v>48</v>
      </c>
      <c r="H476">
        <v>48</v>
      </c>
      <c r="I476" t="s">
        <v>6501</v>
      </c>
      <c r="J476">
        <v>48</v>
      </c>
      <c r="K476">
        <v>479.17</v>
      </c>
      <c r="L476">
        <v>23000</v>
      </c>
      <c r="M476">
        <v>48</v>
      </c>
      <c r="N476">
        <v>48</v>
      </c>
    </row>
    <row r="477" spans="1:14" x14ac:dyDescent="0.2">
      <c r="A477" s="958" t="s">
        <v>6502</v>
      </c>
      <c r="B477" s="959">
        <v>45688</v>
      </c>
      <c r="C477" t="s">
        <v>5010</v>
      </c>
      <c r="D477">
        <v>168</v>
      </c>
      <c r="E477">
        <v>168</v>
      </c>
      <c r="F477">
        <v>168</v>
      </c>
      <c r="G477">
        <v>168</v>
      </c>
      <c r="H477">
        <v>168</v>
      </c>
      <c r="I477" t="s">
        <v>5413</v>
      </c>
      <c r="J477">
        <v>168</v>
      </c>
      <c r="K477">
        <v>310.17</v>
      </c>
      <c r="L477">
        <v>52108</v>
      </c>
      <c r="M477">
        <v>168</v>
      </c>
      <c r="N477">
        <v>168</v>
      </c>
    </row>
    <row r="478" spans="1:14" x14ac:dyDescent="0.2">
      <c r="A478" s="958" t="s">
        <v>6506</v>
      </c>
      <c r="B478" s="959">
        <v>45691</v>
      </c>
      <c r="C478" t="s">
        <v>5161</v>
      </c>
      <c r="D478">
        <v>645</v>
      </c>
      <c r="E478">
        <v>645</v>
      </c>
      <c r="F478">
        <v>167</v>
      </c>
      <c r="G478">
        <v>645</v>
      </c>
      <c r="H478">
        <v>167</v>
      </c>
      <c r="I478" t="s">
        <v>5463</v>
      </c>
      <c r="J478">
        <v>645</v>
      </c>
      <c r="K478">
        <v>1707.9</v>
      </c>
      <c r="L478">
        <v>1101595.5</v>
      </c>
      <c r="M478">
        <v>645</v>
      </c>
      <c r="N478">
        <v>645</v>
      </c>
    </row>
    <row r="479" spans="1:14" x14ac:dyDescent="0.2">
      <c r="A479" s="958" t="s">
        <v>6510</v>
      </c>
      <c r="B479" s="959">
        <v>45692</v>
      </c>
      <c r="C479" t="s">
        <v>3942</v>
      </c>
      <c r="D479">
        <v>441</v>
      </c>
      <c r="E479">
        <v>441</v>
      </c>
      <c r="F479">
        <v>441</v>
      </c>
      <c r="G479">
        <v>441</v>
      </c>
      <c r="H479">
        <v>441</v>
      </c>
      <c r="I479" t="s">
        <v>6511</v>
      </c>
      <c r="J479">
        <v>441</v>
      </c>
      <c r="K479">
        <v>70.53</v>
      </c>
      <c r="L479">
        <v>31102.67</v>
      </c>
      <c r="M479">
        <v>441</v>
      </c>
      <c r="N479">
        <v>441</v>
      </c>
    </row>
    <row r="480" spans="1:14" x14ac:dyDescent="0.2">
      <c r="A480" s="958" t="s">
        <v>6538</v>
      </c>
      <c r="B480" s="959">
        <v>45693</v>
      </c>
      <c r="C480" t="s">
        <v>38</v>
      </c>
      <c r="D480">
        <v>5082</v>
      </c>
      <c r="E480">
        <v>5082</v>
      </c>
      <c r="F480">
        <v>5082</v>
      </c>
      <c r="G480">
        <v>5082</v>
      </c>
      <c r="H480">
        <v>5082</v>
      </c>
      <c r="I480" t="s">
        <v>6539</v>
      </c>
      <c r="J480">
        <v>5082</v>
      </c>
      <c r="K480">
        <v>32.700000000000003</v>
      </c>
      <c r="L480">
        <v>166181.4</v>
      </c>
      <c r="M480">
        <v>5082</v>
      </c>
      <c r="N480">
        <v>5082</v>
      </c>
    </row>
    <row r="481" spans="1:14" x14ac:dyDescent="0.2">
      <c r="A481" s="958" t="s">
        <v>6571</v>
      </c>
      <c r="B481" s="959">
        <v>45694</v>
      </c>
      <c r="C481" t="s">
        <v>3950</v>
      </c>
      <c r="D481">
        <v>510</v>
      </c>
      <c r="E481">
        <v>510</v>
      </c>
      <c r="F481">
        <v>510</v>
      </c>
      <c r="G481">
        <v>510</v>
      </c>
      <c r="H481">
        <v>510</v>
      </c>
      <c r="I481" t="s">
        <v>6572</v>
      </c>
      <c r="J481">
        <v>510</v>
      </c>
      <c r="K481">
        <v>121.32</v>
      </c>
      <c r="L481">
        <v>61872.44</v>
      </c>
      <c r="M481">
        <v>510</v>
      </c>
      <c r="N481">
        <v>510</v>
      </c>
    </row>
    <row r="482" spans="1:14" x14ac:dyDescent="0.2">
      <c r="A482" s="958" t="s">
        <v>6573</v>
      </c>
      <c r="B482" s="959">
        <v>45694</v>
      </c>
      <c r="C482" t="s">
        <v>5158</v>
      </c>
      <c r="D482">
        <v>1400.4</v>
      </c>
      <c r="E482">
        <v>1400.4</v>
      </c>
      <c r="F482">
        <v>1400.4</v>
      </c>
      <c r="G482">
        <v>1400.4</v>
      </c>
      <c r="H482">
        <v>1400.4</v>
      </c>
      <c r="I482" t="s">
        <v>5460</v>
      </c>
      <c r="J482">
        <v>1400.4</v>
      </c>
      <c r="K482">
        <v>159.21</v>
      </c>
      <c r="L482">
        <v>222962.73</v>
      </c>
      <c r="M482">
        <v>1400.4</v>
      </c>
      <c r="N482">
        <v>1378.8</v>
      </c>
    </row>
    <row r="483" spans="1:14" x14ac:dyDescent="0.2">
      <c r="A483" s="958" t="s">
        <v>6574</v>
      </c>
      <c r="B483" s="959">
        <v>45694</v>
      </c>
      <c r="C483" t="s">
        <v>4673</v>
      </c>
      <c r="D483">
        <v>161.85</v>
      </c>
      <c r="E483">
        <v>161.85</v>
      </c>
      <c r="F483">
        <v>161.85</v>
      </c>
      <c r="G483">
        <v>161.85</v>
      </c>
      <c r="H483">
        <v>161.85</v>
      </c>
      <c r="I483" t="s">
        <v>6435</v>
      </c>
      <c r="J483">
        <v>161.85</v>
      </c>
      <c r="K483">
        <v>97.25</v>
      </c>
      <c r="L483">
        <v>15740.16</v>
      </c>
      <c r="M483">
        <v>161.85</v>
      </c>
      <c r="N483">
        <v>161.85</v>
      </c>
    </row>
    <row r="484" spans="1:14" x14ac:dyDescent="0.2">
      <c r="A484" s="958" t="s">
        <v>6574</v>
      </c>
      <c r="B484" s="959">
        <v>45694</v>
      </c>
      <c r="C484" t="s">
        <v>4276</v>
      </c>
      <c r="D484">
        <v>1228.2</v>
      </c>
      <c r="E484">
        <v>1228.2</v>
      </c>
      <c r="F484">
        <v>1228.2</v>
      </c>
      <c r="G484">
        <v>1228.2</v>
      </c>
      <c r="H484">
        <v>1228.2</v>
      </c>
      <c r="I484" t="s">
        <v>6712</v>
      </c>
      <c r="J484">
        <v>1228.2</v>
      </c>
      <c r="K484">
        <v>146.07</v>
      </c>
      <c r="L484">
        <v>179403.3</v>
      </c>
      <c r="M484">
        <v>1228.2</v>
      </c>
      <c r="N484">
        <v>1228.2</v>
      </c>
    </row>
    <row r="485" spans="1:14" x14ac:dyDescent="0.2">
      <c r="A485" s="958" t="s">
        <v>6575</v>
      </c>
      <c r="B485" s="959">
        <v>45694</v>
      </c>
      <c r="C485" t="s">
        <v>4866</v>
      </c>
      <c r="D485">
        <v>706.16</v>
      </c>
      <c r="E485">
        <v>706.16</v>
      </c>
      <c r="F485">
        <v>706.16</v>
      </c>
      <c r="G485">
        <v>706.16</v>
      </c>
      <c r="H485">
        <v>706.16</v>
      </c>
      <c r="I485" t="s">
        <v>6569</v>
      </c>
      <c r="J485">
        <v>706.16</v>
      </c>
      <c r="K485">
        <v>123.49</v>
      </c>
      <c r="L485">
        <v>87204</v>
      </c>
      <c r="M485">
        <v>706.16</v>
      </c>
      <c r="N485">
        <v>706.16</v>
      </c>
    </row>
    <row r="486" spans="1:14" x14ac:dyDescent="0.2">
      <c r="A486" s="958" t="s">
        <v>6589</v>
      </c>
      <c r="B486" s="959">
        <v>45699</v>
      </c>
      <c r="C486" t="s">
        <v>4276</v>
      </c>
      <c r="D486">
        <v>115.7</v>
      </c>
      <c r="E486">
        <v>115.7</v>
      </c>
      <c r="F486">
        <v>115.7</v>
      </c>
      <c r="G486">
        <v>115.7</v>
      </c>
      <c r="H486">
        <v>115.7</v>
      </c>
      <c r="I486" t="s">
        <v>6712</v>
      </c>
      <c r="J486">
        <v>115.7</v>
      </c>
      <c r="K486">
        <v>146.07</v>
      </c>
      <c r="L486">
        <v>16900.310000000001</v>
      </c>
      <c r="M486">
        <v>115.7</v>
      </c>
      <c r="N486">
        <v>115.7</v>
      </c>
    </row>
    <row r="487" spans="1:14" x14ac:dyDescent="0.2">
      <c r="A487" s="958" t="s">
        <v>6582</v>
      </c>
      <c r="B487" s="959">
        <v>45699</v>
      </c>
      <c r="C487" t="s">
        <v>6594</v>
      </c>
      <c r="D487">
        <v>7</v>
      </c>
      <c r="E487">
        <v>7</v>
      </c>
      <c r="F487">
        <v>7</v>
      </c>
      <c r="G487">
        <v>7</v>
      </c>
      <c r="H487">
        <v>7</v>
      </c>
      <c r="I487" t="s">
        <v>6595</v>
      </c>
      <c r="J487">
        <v>7</v>
      </c>
      <c r="K487">
        <v>548.57000000000005</v>
      </c>
      <c r="L487">
        <v>3840</v>
      </c>
      <c r="M487">
        <v>7</v>
      </c>
      <c r="N487">
        <v>7</v>
      </c>
    </row>
    <row r="488" spans="1:14" x14ac:dyDescent="0.2">
      <c r="A488" s="958" t="s">
        <v>6582</v>
      </c>
      <c r="B488" s="959">
        <v>45699</v>
      </c>
      <c r="C488" t="s">
        <v>6596</v>
      </c>
      <c r="D488">
        <v>5</v>
      </c>
      <c r="E488">
        <v>5</v>
      </c>
      <c r="F488">
        <v>5</v>
      </c>
      <c r="G488">
        <v>5</v>
      </c>
      <c r="H488">
        <v>5</v>
      </c>
      <c r="I488" t="s">
        <v>6597</v>
      </c>
      <c r="J488">
        <v>5</v>
      </c>
      <c r="K488">
        <v>548.6</v>
      </c>
      <c r="L488">
        <v>2743</v>
      </c>
      <c r="M488">
        <v>5</v>
      </c>
      <c r="N488">
        <v>5</v>
      </c>
    </row>
    <row r="489" spans="1:14" x14ac:dyDescent="0.2">
      <c r="A489" s="958" t="s">
        <v>6582</v>
      </c>
      <c r="B489" s="959">
        <v>45699</v>
      </c>
      <c r="C489" t="s">
        <v>6598</v>
      </c>
      <c r="D489">
        <v>7</v>
      </c>
      <c r="E489">
        <v>7</v>
      </c>
      <c r="F489">
        <v>7</v>
      </c>
      <c r="G489">
        <v>7</v>
      </c>
      <c r="H489">
        <v>7</v>
      </c>
      <c r="I489" t="s">
        <v>6599</v>
      </c>
      <c r="J489">
        <v>7</v>
      </c>
      <c r="K489">
        <v>548.57000000000005</v>
      </c>
      <c r="L489">
        <v>3840</v>
      </c>
      <c r="M489">
        <v>7</v>
      </c>
      <c r="N489">
        <v>7</v>
      </c>
    </row>
    <row r="490" spans="1:14" x14ac:dyDescent="0.2">
      <c r="A490" s="958" t="s">
        <v>6582</v>
      </c>
      <c r="B490" s="959">
        <v>45699</v>
      </c>
      <c r="C490" t="s">
        <v>6600</v>
      </c>
      <c r="D490">
        <v>5</v>
      </c>
      <c r="E490">
        <v>5</v>
      </c>
      <c r="F490">
        <v>5</v>
      </c>
      <c r="G490">
        <v>5</v>
      </c>
      <c r="H490">
        <v>5</v>
      </c>
      <c r="I490" t="s">
        <v>6601</v>
      </c>
      <c r="J490">
        <v>5</v>
      </c>
      <c r="K490">
        <v>548.6</v>
      </c>
      <c r="L490">
        <v>2743</v>
      </c>
      <c r="M490">
        <v>5</v>
      </c>
      <c r="N490">
        <v>5</v>
      </c>
    </row>
    <row r="491" spans="1:14" x14ac:dyDescent="0.2">
      <c r="A491" s="958" t="s">
        <v>6582</v>
      </c>
      <c r="B491" s="959">
        <v>45699</v>
      </c>
      <c r="C491" t="s">
        <v>6602</v>
      </c>
      <c r="D491">
        <v>7</v>
      </c>
      <c r="E491">
        <v>7</v>
      </c>
      <c r="F491">
        <v>7</v>
      </c>
      <c r="G491">
        <v>7</v>
      </c>
      <c r="H491">
        <v>7</v>
      </c>
      <c r="I491" t="s">
        <v>6603</v>
      </c>
      <c r="J491">
        <v>7</v>
      </c>
      <c r="K491">
        <v>548.57000000000005</v>
      </c>
      <c r="L491">
        <v>3840</v>
      </c>
      <c r="M491">
        <v>7</v>
      </c>
      <c r="N491">
        <v>7</v>
      </c>
    </row>
    <row r="492" spans="1:14" x14ac:dyDescent="0.2">
      <c r="A492" s="958" t="s">
        <v>6582</v>
      </c>
      <c r="B492" s="959">
        <v>45699</v>
      </c>
      <c r="C492" t="s">
        <v>6604</v>
      </c>
      <c r="D492">
        <v>5</v>
      </c>
      <c r="E492">
        <v>5</v>
      </c>
      <c r="F492">
        <v>5</v>
      </c>
      <c r="G492">
        <v>5</v>
      </c>
      <c r="H492">
        <v>5</v>
      </c>
      <c r="I492" t="s">
        <v>6605</v>
      </c>
      <c r="J492">
        <v>5</v>
      </c>
      <c r="K492">
        <v>548.79999999999995</v>
      </c>
      <c r="L492">
        <v>2744</v>
      </c>
      <c r="M492">
        <v>5</v>
      </c>
      <c r="N492">
        <v>5</v>
      </c>
    </row>
    <row r="493" spans="1:14" x14ac:dyDescent="0.2">
      <c r="A493" s="958" t="s">
        <v>6583</v>
      </c>
      <c r="B493" s="959">
        <v>45699</v>
      </c>
      <c r="C493" t="s">
        <v>6117</v>
      </c>
      <c r="D493">
        <v>501</v>
      </c>
      <c r="E493">
        <v>501</v>
      </c>
      <c r="F493">
        <v>501</v>
      </c>
      <c r="G493">
        <v>501</v>
      </c>
      <c r="H493">
        <v>501</v>
      </c>
      <c r="I493" t="s">
        <v>6118</v>
      </c>
      <c r="J493">
        <v>501</v>
      </c>
      <c r="K493">
        <v>82.67</v>
      </c>
      <c r="L493">
        <v>41417.67</v>
      </c>
      <c r="M493">
        <v>501</v>
      </c>
      <c r="N493">
        <v>486</v>
      </c>
    </row>
    <row r="494" spans="1:14" x14ac:dyDescent="0.2">
      <c r="A494" s="958" t="s">
        <v>6606</v>
      </c>
      <c r="B494" s="959">
        <v>45699</v>
      </c>
      <c r="C494" t="s">
        <v>6103</v>
      </c>
      <c r="D494">
        <v>50</v>
      </c>
      <c r="E494">
        <v>50</v>
      </c>
      <c r="F494">
        <v>50</v>
      </c>
      <c r="G494">
        <v>50</v>
      </c>
      <c r="H494">
        <v>50</v>
      </c>
      <c r="I494" t="s">
        <v>6104</v>
      </c>
      <c r="J494">
        <v>50</v>
      </c>
      <c r="K494">
        <v>65.069999999999993</v>
      </c>
      <c r="L494">
        <v>3253.25</v>
      </c>
      <c r="M494">
        <v>50</v>
      </c>
      <c r="N494">
        <v>50</v>
      </c>
    </row>
    <row r="495" spans="1:14" x14ac:dyDescent="0.2">
      <c r="A495" s="958" t="s">
        <v>6620</v>
      </c>
      <c r="B495" s="959">
        <v>45700</v>
      </c>
      <c r="C495" t="s">
        <v>5215</v>
      </c>
      <c r="D495">
        <v>1696.5</v>
      </c>
      <c r="E495">
        <v>1696.5</v>
      </c>
      <c r="F495">
        <v>1696.5</v>
      </c>
      <c r="G495">
        <v>1696.5</v>
      </c>
      <c r="H495">
        <v>1696.5</v>
      </c>
      <c r="I495" t="s">
        <v>5474</v>
      </c>
      <c r="J495">
        <v>1696.5</v>
      </c>
      <c r="K495">
        <v>84.85</v>
      </c>
      <c r="L495">
        <v>143943.20000000001</v>
      </c>
      <c r="M495">
        <v>1696.5</v>
      </c>
      <c r="N495">
        <v>1696.5</v>
      </c>
    </row>
    <row r="496" spans="1:14" x14ac:dyDescent="0.2">
      <c r="A496" s="958" t="s">
        <v>6621</v>
      </c>
      <c r="B496" s="959">
        <v>45700</v>
      </c>
      <c r="C496" t="s">
        <v>6535</v>
      </c>
      <c r="D496">
        <v>44</v>
      </c>
      <c r="E496">
        <v>44</v>
      </c>
      <c r="F496">
        <v>44</v>
      </c>
      <c r="G496">
        <v>44</v>
      </c>
      <c r="H496">
        <v>44</v>
      </c>
      <c r="I496" t="s">
        <v>6799</v>
      </c>
      <c r="J496">
        <v>44</v>
      </c>
      <c r="K496">
        <v>2194.3000000000002</v>
      </c>
      <c r="L496">
        <v>96549.2</v>
      </c>
      <c r="M496">
        <v>44</v>
      </c>
      <c r="N496">
        <v>44</v>
      </c>
    </row>
    <row r="497" spans="1:14" x14ac:dyDescent="0.2">
      <c r="A497" s="958" t="s">
        <v>6621</v>
      </c>
      <c r="B497" s="959">
        <v>45700</v>
      </c>
      <c r="C497" t="s">
        <v>6536</v>
      </c>
      <c r="D497">
        <v>56</v>
      </c>
      <c r="E497">
        <v>56</v>
      </c>
      <c r="F497">
        <v>56</v>
      </c>
      <c r="G497">
        <v>56</v>
      </c>
      <c r="H497">
        <v>56</v>
      </c>
      <c r="I497" t="s">
        <v>6570</v>
      </c>
      <c r="J497">
        <v>56</v>
      </c>
      <c r="K497">
        <v>2637.5</v>
      </c>
      <c r="L497">
        <v>147700</v>
      </c>
      <c r="M497">
        <v>56</v>
      </c>
      <c r="N497">
        <v>56</v>
      </c>
    </row>
    <row r="498" spans="1:14" x14ac:dyDescent="0.2">
      <c r="A498" s="958" t="s">
        <v>6621</v>
      </c>
      <c r="B498" s="959">
        <v>45700</v>
      </c>
      <c r="C498" t="s">
        <v>6622</v>
      </c>
      <c r="D498">
        <v>64</v>
      </c>
      <c r="E498">
        <v>64</v>
      </c>
      <c r="F498">
        <v>64</v>
      </c>
      <c r="G498">
        <v>64</v>
      </c>
      <c r="H498">
        <v>64</v>
      </c>
      <c r="I498" t="s">
        <v>6800</v>
      </c>
      <c r="J498">
        <v>64</v>
      </c>
      <c r="K498">
        <v>961.7</v>
      </c>
      <c r="L498">
        <v>61548.800000000003</v>
      </c>
      <c r="M498">
        <v>64</v>
      </c>
      <c r="N498">
        <v>64</v>
      </c>
    </row>
    <row r="499" spans="1:14" x14ac:dyDescent="0.2">
      <c r="A499" s="958" t="s">
        <v>6621</v>
      </c>
      <c r="B499" s="959">
        <v>45700</v>
      </c>
      <c r="C499" t="s">
        <v>6623</v>
      </c>
      <c r="D499">
        <v>14</v>
      </c>
      <c r="E499">
        <v>14</v>
      </c>
      <c r="F499">
        <v>14</v>
      </c>
      <c r="G499">
        <v>14</v>
      </c>
      <c r="H499">
        <v>14</v>
      </c>
      <c r="I499" t="s">
        <v>6801</v>
      </c>
      <c r="J499">
        <v>14</v>
      </c>
      <c r="K499">
        <v>2985.7</v>
      </c>
      <c r="L499">
        <v>41799.800000000003</v>
      </c>
      <c r="M499">
        <v>14</v>
      </c>
      <c r="N499">
        <v>14</v>
      </c>
    </row>
    <row r="500" spans="1:14" x14ac:dyDescent="0.2">
      <c r="A500" s="958" t="s">
        <v>6624</v>
      </c>
      <c r="B500" s="959">
        <v>45700</v>
      </c>
      <c r="C500" t="s">
        <v>5214</v>
      </c>
      <c r="D500">
        <v>212.7</v>
      </c>
      <c r="E500">
        <v>212.7</v>
      </c>
      <c r="F500">
        <v>212.7</v>
      </c>
      <c r="G500">
        <v>212.7</v>
      </c>
      <c r="H500">
        <v>212.7</v>
      </c>
      <c r="I500" t="s">
        <v>5473</v>
      </c>
      <c r="J500">
        <v>212.7</v>
      </c>
      <c r="K500">
        <v>136.76</v>
      </c>
      <c r="L500">
        <v>29088</v>
      </c>
      <c r="M500">
        <v>212.7</v>
      </c>
      <c r="N500">
        <v>212.7</v>
      </c>
    </row>
    <row r="501" spans="1:14" x14ac:dyDescent="0.2">
      <c r="A501" s="958" t="s">
        <v>6607</v>
      </c>
      <c r="B501" s="959">
        <v>45701</v>
      </c>
      <c r="C501" t="s">
        <v>6608</v>
      </c>
      <c r="D501">
        <v>180</v>
      </c>
      <c r="E501">
        <v>180</v>
      </c>
      <c r="F501">
        <v>180</v>
      </c>
      <c r="G501">
        <v>180</v>
      </c>
      <c r="H501">
        <v>180</v>
      </c>
      <c r="I501" t="s">
        <v>6609</v>
      </c>
      <c r="J501">
        <v>180</v>
      </c>
      <c r="K501">
        <v>255.56</v>
      </c>
      <c r="L501">
        <v>46000</v>
      </c>
      <c r="M501">
        <v>180</v>
      </c>
      <c r="N501">
        <v>180</v>
      </c>
    </row>
    <row r="502" spans="1:14" x14ac:dyDescent="0.2">
      <c r="A502" s="958" t="s">
        <v>6633</v>
      </c>
      <c r="B502" s="959">
        <v>45702</v>
      </c>
      <c r="C502" t="s">
        <v>4868</v>
      </c>
      <c r="D502">
        <v>567.20000000000005</v>
      </c>
      <c r="E502">
        <v>567.20000000000005</v>
      </c>
      <c r="F502">
        <v>567.20000000000005</v>
      </c>
      <c r="G502">
        <v>567.20000000000005</v>
      </c>
      <c r="H502">
        <v>567.20000000000005</v>
      </c>
      <c r="I502" t="s">
        <v>6590</v>
      </c>
      <c r="J502">
        <v>567.20000000000005</v>
      </c>
      <c r="K502">
        <v>102.5</v>
      </c>
      <c r="L502">
        <v>58136</v>
      </c>
      <c r="M502">
        <v>567.20000000000005</v>
      </c>
      <c r="N502">
        <v>567.20000000000005</v>
      </c>
    </row>
    <row r="503" spans="1:14" x14ac:dyDescent="0.2">
      <c r="A503" s="958" t="s">
        <v>6584</v>
      </c>
      <c r="B503" s="959">
        <v>45702</v>
      </c>
      <c r="C503" t="s">
        <v>678</v>
      </c>
      <c r="D503">
        <v>335</v>
      </c>
      <c r="E503">
        <v>335</v>
      </c>
      <c r="F503">
        <v>335</v>
      </c>
      <c r="G503">
        <v>335</v>
      </c>
      <c r="H503">
        <v>335</v>
      </c>
      <c r="I503" t="s">
        <v>6634</v>
      </c>
      <c r="J503">
        <v>335</v>
      </c>
      <c r="K503">
        <v>205.66</v>
      </c>
      <c r="L503">
        <v>68896.100000000006</v>
      </c>
      <c r="M503">
        <v>335</v>
      </c>
      <c r="N503">
        <v>335</v>
      </c>
    </row>
    <row r="504" spans="1:14" x14ac:dyDescent="0.2">
      <c r="A504" s="958" t="s">
        <v>6639</v>
      </c>
      <c r="B504" s="959">
        <v>45705</v>
      </c>
      <c r="C504" t="s">
        <v>6591</v>
      </c>
      <c r="D504">
        <v>618</v>
      </c>
      <c r="E504">
        <v>618</v>
      </c>
      <c r="F504">
        <v>618</v>
      </c>
      <c r="G504">
        <v>618</v>
      </c>
      <c r="H504">
        <v>618</v>
      </c>
      <c r="I504" t="s">
        <v>6592</v>
      </c>
      <c r="J504">
        <v>618</v>
      </c>
      <c r="K504">
        <v>106.7</v>
      </c>
      <c r="L504">
        <v>65943.070000000007</v>
      </c>
      <c r="M504">
        <v>618</v>
      </c>
      <c r="N504">
        <v>558</v>
      </c>
    </row>
    <row r="505" spans="1:14" x14ac:dyDescent="0.2">
      <c r="A505" s="958" t="s">
        <v>6641</v>
      </c>
      <c r="B505" s="959">
        <v>45705</v>
      </c>
      <c r="C505" t="s">
        <v>6008</v>
      </c>
      <c r="D505">
        <v>656.5</v>
      </c>
      <c r="E505">
        <v>656.5</v>
      </c>
      <c r="F505">
        <v>656.5</v>
      </c>
      <c r="G505">
        <v>656.5</v>
      </c>
      <c r="H505">
        <v>656.5</v>
      </c>
      <c r="I505" t="s">
        <v>5400</v>
      </c>
      <c r="J505">
        <v>656.5</v>
      </c>
      <c r="K505">
        <v>123.27</v>
      </c>
      <c r="L505">
        <v>80927.740000000005</v>
      </c>
      <c r="M505">
        <v>656.5</v>
      </c>
      <c r="N505">
        <v>656.5</v>
      </c>
    </row>
    <row r="506" spans="1:14" x14ac:dyDescent="0.2">
      <c r="A506" s="958" t="s">
        <v>6585</v>
      </c>
      <c r="B506" s="959">
        <v>45705</v>
      </c>
      <c r="C506" t="s">
        <v>6643</v>
      </c>
      <c r="D506">
        <v>12</v>
      </c>
      <c r="E506">
        <v>12</v>
      </c>
      <c r="F506">
        <v>12</v>
      </c>
      <c r="G506">
        <v>12</v>
      </c>
      <c r="H506">
        <v>12</v>
      </c>
      <c r="I506" t="s">
        <v>6644</v>
      </c>
      <c r="J506">
        <v>12</v>
      </c>
      <c r="K506">
        <v>26.52</v>
      </c>
      <c r="L506">
        <v>318.26</v>
      </c>
      <c r="M506">
        <v>12</v>
      </c>
      <c r="N506">
        <v>12</v>
      </c>
    </row>
    <row r="507" spans="1:14" x14ac:dyDescent="0.2">
      <c r="A507" s="958" t="s">
        <v>6586</v>
      </c>
      <c r="B507" s="959">
        <v>45705</v>
      </c>
      <c r="C507" t="s">
        <v>4813</v>
      </c>
      <c r="D507">
        <v>240</v>
      </c>
      <c r="E507">
        <v>360</v>
      </c>
      <c r="F507">
        <v>360</v>
      </c>
      <c r="G507">
        <v>360</v>
      </c>
      <c r="H507">
        <v>360</v>
      </c>
      <c r="I507" t="s">
        <v>4148</v>
      </c>
      <c r="J507">
        <v>240</v>
      </c>
      <c r="K507">
        <v>149.96</v>
      </c>
      <c r="L507">
        <v>35990.879999999997</v>
      </c>
      <c r="M507">
        <v>360</v>
      </c>
      <c r="N507">
        <v>360</v>
      </c>
    </row>
    <row r="508" spans="1:14" x14ac:dyDescent="0.2">
      <c r="A508" s="958" t="s">
        <v>6586</v>
      </c>
      <c r="B508" s="959">
        <v>45705</v>
      </c>
      <c r="C508" t="s">
        <v>4813</v>
      </c>
      <c r="D508">
        <v>120</v>
      </c>
      <c r="E508">
        <v>360</v>
      </c>
      <c r="F508">
        <v>360</v>
      </c>
      <c r="G508">
        <v>360</v>
      </c>
      <c r="H508">
        <v>360</v>
      </c>
      <c r="I508" t="s">
        <v>4148</v>
      </c>
      <c r="J508">
        <v>120</v>
      </c>
      <c r="K508">
        <v>196.34</v>
      </c>
      <c r="L508">
        <v>23561.040000000001</v>
      </c>
      <c r="M508">
        <v>360</v>
      </c>
      <c r="N508">
        <v>360</v>
      </c>
    </row>
    <row r="509" spans="1:14" x14ac:dyDescent="0.2">
      <c r="A509" s="958" t="s">
        <v>6648</v>
      </c>
      <c r="B509" s="959">
        <v>45706</v>
      </c>
      <c r="C509" t="s">
        <v>4276</v>
      </c>
      <c r="D509">
        <v>2291.75</v>
      </c>
      <c r="E509">
        <v>2291.75</v>
      </c>
      <c r="F509">
        <v>2291.75</v>
      </c>
      <c r="G509">
        <v>2291.75</v>
      </c>
      <c r="H509">
        <v>2291.75</v>
      </c>
      <c r="I509" t="s">
        <v>6712</v>
      </c>
      <c r="J509">
        <v>2291.75</v>
      </c>
      <c r="K509">
        <v>146.07</v>
      </c>
      <c r="L509">
        <v>334756.15000000002</v>
      </c>
      <c r="M509">
        <v>2291.75</v>
      </c>
      <c r="N509">
        <v>2273.9499999999998</v>
      </c>
    </row>
    <row r="510" spans="1:14" x14ac:dyDescent="0.2">
      <c r="A510" s="958" t="s">
        <v>6587</v>
      </c>
      <c r="B510" s="959">
        <v>45706</v>
      </c>
      <c r="C510" t="s">
        <v>6649</v>
      </c>
      <c r="D510">
        <v>30.25</v>
      </c>
      <c r="E510">
        <v>30.25</v>
      </c>
      <c r="F510">
        <v>30.25</v>
      </c>
      <c r="G510">
        <v>30.25</v>
      </c>
      <c r="H510">
        <v>30.25</v>
      </c>
      <c r="I510" t="s">
        <v>6650</v>
      </c>
      <c r="J510">
        <v>30.25</v>
      </c>
      <c r="K510">
        <v>83.81</v>
      </c>
      <c r="L510">
        <v>2535.31</v>
      </c>
      <c r="M510">
        <v>30.25</v>
      </c>
      <c r="N510">
        <v>30.25</v>
      </c>
    </row>
    <row r="511" spans="1:14" x14ac:dyDescent="0.2">
      <c r="A511" s="958" t="s">
        <v>6588</v>
      </c>
      <c r="B511" s="959">
        <v>45706</v>
      </c>
      <c r="C511" t="s">
        <v>628</v>
      </c>
      <c r="D511">
        <v>889.35</v>
      </c>
      <c r="E511">
        <v>889.35</v>
      </c>
      <c r="F511">
        <v>889.35</v>
      </c>
      <c r="G511">
        <v>889.35</v>
      </c>
      <c r="H511">
        <v>889.35</v>
      </c>
      <c r="I511" t="s">
        <v>5967</v>
      </c>
      <c r="J511">
        <v>889.35</v>
      </c>
      <c r="K511">
        <v>92.41</v>
      </c>
      <c r="L511">
        <v>82188.39</v>
      </c>
      <c r="M511">
        <v>889.35</v>
      </c>
      <c r="N511">
        <v>889.35</v>
      </c>
    </row>
    <row r="512" spans="1:14" x14ac:dyDescent="0.2">
      <c r="A512" s="958" t="s">
        <v>6651</v>
      </c>
      <c r="B512" s="959">
        <v>45706</v>
      </c>
      <c r="C512" t="s">
        <v>4461</v>
      </c>
      <c r="D512">
        <v>180</v>
      </c>
      <c r="E512">
        <v>180</v>
      </c>
      <c r="F512">
        <v>180</v>
      </c>
      <c r="G512">
        <v>180</v>
      </c>
      <c r="H512">
        <v>180</v>
      </c>
      <c r="I512" t="s">
        <v>5391</v>
      </c>
      <c r="J512">
        <v>180</v>
      </c>
      <c r="K512">
        <v>141.05000000000001</v>
      </c>
      <c r="L512">
        <v>25389</v>
      </c>
      <c r="M512">
        <v>180</v>
      </c>
      <c r="N512">
        <v>180</v>
      </c>
    </row>
    <row r="513" spans="1:14" x14ac:dyDescent="0.2">
      <c r="A513" s="958" t="s">
        <v>6661</v>
      </c>
      <c r="B513" s="959">
        <v>45712</v>
      </c>
      <c r="C513" t="s">
        <v>5252</v>
      </c>
      <c r="D513">
        <v>1536</v>
      </c>
      <c r="E513">
        <v>1536</v>
      </c>
      <c r="F513">
        <v>1536</v>
      </c>
      <c r="G513">
        <v>1536</v>
      </c>
      <c r="H513">
        <v>1536</v>
      </c>
      <c r="I513" t="s">
        <v>6660</v>
      </c>
      <c r="J513">
        <v>1536</v>
      </c>
      <c r="K513">
        <v>81.040000000000006</v>
      </c>
      <c r="L513">
        <v>124480</v>
      </c>
      <c r="M513">
        <v>1536</v>
      </c>
      <c r="N513">
        <v>1536</v>
      </c>
    </row>
    <row r="514" spans="1:14" x14ac:dyDescent="0.2">
      <c r="A514" s="958" t="s">
        <v>6662</v>
      </c>
      <c r="B514" s="959">
        <v>45712</v>
      </c>
      <c r="C514" t="s">
        <v>5862</v>
      </c>
      <c r="D514">
        <v>372</v>
      </c>
      <c r="E514">
        <v>372</v>
      </c>
      <c r="F514">
        <v>372</v>
      </c>
      <c r="G514">
        <v>372</v>
      </c>
      <c r="H514">
        <v>372</v>
      </c>
      <c r="I514" t="s">
        <v>5831</v>
      </c>
      <c r="J514">
        <v>372</v>
      </c>
      <c r="K514">
        <v>156.52000000000001</v>
      </c>
      <c r="L514">
        <v>58225.07</v>
      </c>
      <c r="M514">
        <v>372</v>
      </c>
      <c r="N514">
        <v>372</v>
      </c>
    </row>
    <row r="515" spans="1:14" x14ac:dyDescent="0.2">
      <c r="A515" s="958" t="s">
        <v>6663</v>
      </c>
      <c r="B515" s="959">
        <v>45712</v>
      </c>
      <c r="C515" t="s">
        <v>6664</v>
      </c>
      <c r="D515">
        <v>663.4</v>
      </c>
      <c r="E515">
        <v>663.4</v>
      </c>
      <c r="F515">
        <v>663.4</v>
      </c>
      <c r="G515">
        <v>663.4</v>
      </c>
      <c r="H515">
        <v>663.4</v>
      </c>
      <c r="I515" t="s">
        <v>6665</v>
      </c>
      <c r="J515">
        <v>663.4</v>
      </c>
      <c r="K515">
        <v>293.89999999999998</v>
      </c>
      <c r="L515">
        <v>194973.25</v>
      </c>
      <c r="M515">
        <v>663.4</v>
      </c>
      <c r="N515">
        <v>663.4</v>
      </c>
    </row>
    <row r="516" spans="1:14" x14ac:dyDescent="0.2">
      <c r="A516" s="958" t="s">
        <v>6666</v>
      </c>
      <c r="B516" s="959">
        <v>45712</v>
      </c>
      <c r="C516" t="s">
        <v>6667</v>
      </c>
      <c r="D516">
        <v>4</v>
      </c>
      <c r="E516">
        <v>4</v>
      </c>
      <c r="F516">
        <v>4</v>
      </c>
      <c r="G516">
        <v>4</v>
      </c>
      <c r="H516">
        <v>4</v>
      </c>
      <c r="I516" t="s">
        <v>6668</v>
      </c>
      <c r="J516">
        <v>4</v>
      </c>
      <c r="K516">
        <v>5675</v>
      </c>
      <c r="L516">
        <v>22700</v>
      </c>
      <c r="M516">
        <v>4</v>
      </c>
      <c r="N516">
        <v>4</v>
      </c>
    </row>
    <row r="517" spans="1:14" x14ac:dyDescent="0.2">
      <c r="A517" s="958" t="s">
        <v>6673</v>
      </c>
      <c r="B517" s="959">
        <v>45713</v>
      </c>
      <c r="C517" t="s">
        <v>5381</v>
      </c>
      <c r="D517">
        <v>1440</v>
      </c>
      <c r="E517">
        <v>1440</v>
      </c>
      <c r="F517">
        <v>1440</v>
      </c>
      <c r="G517">
        <v>1440</v>
      </c>
      <c r="H517">
        <v>1440</v>
      </c>
      <c r="I517" t="s">
        <v>6005</v>
      </c>
      <c r="J517">
        <v>1440</v>
      </c>
      <c r="K517">
        <v>64.62</v>
      </c>
      <c r="L517">
        <v>93052.800000000003</v>
      </c>
      <c r="M517">
        <v>1440</v>
      </c>
      <c r="N517">
        <v>1440</v>
      </c>
    </row>
    <row r="518" spans="1:14" x14ac:dyDescent="0.2">
      <c r="A518" s="958" t="s">
        <v>6673</v>
      </c>
      <c r="B518" s="959">
        <v>45713</v>
      </c>
      <c r="C518" t="s">
        <v>5382</v>
      </c>
      <c r="D518">
        <v>1302</v>
      </c>
      <c r="E518">
        <v>1302</v>
      </c>
      <c r="F518">
        <v>1302</v>
      </c>
      <c r="G518">
        <v>1302</v>
      </c>
      <c r="H518">
        <v>1302</v>
      </c>
      <c r="I518" t="s">
        <v>6006</v>
      </c>
      <c r="J518">
        <v>1302</v>
      </c>
      <c r="K518">
        <v>57.02</v>
      </c>
      <c r="L518">
        <v>74245.25</v>
      </c>
      <c r="M518">
        <v>1302</v>
      </c>
      <c r="N518">
        <v>1302</v>
      </c>
    </row>
    <row r="519" spans="1:14" x14ac:dyDescent="0.2">
      <c r="A519" s="958" t="s">
        <v>6673</v>
      </c>
      <c r="B519" s="959">
        <v>45713</v>
      </c>
      <c r="C519" t="s">
        <v>5409</v>
      </c>
      <c r="D519">
        <v>1110</v>
      </c>
      <c r="E519">
        <v>1110</v>
      </c>
      <c r="F519">
        <v>1110</v>
      </c>
      <c r="G519">
        <v>1110</v>
      </c>
      <c r="H519">
        <v>1110</v>
      </c>
      <c r="I519" t="s">
        <v>5410</v>
      </c>
      <c r="J519">
        <v>1110</v>
      </c>
      <c r="K519">
        <v>73.87</v>
      </c>
      <c r="L519">
        <v>81997.919999999998</v>
      </c>
      <c r="M519">
        <v>1110</v>
      </c>
      <c r="N519">
        <v>1110</v>
      </c>
    </row>
    <row r="520" spans="1:14" x14ac:dyDescent="0.2">
      <c r="A520" s="958" t="s">
        <v>6673</v>
      </c>
      <c r="B520" s="959">
        <v>45713</v>
      </c>
      <c r="C520" t="s">
        <v>5367</v>
      </c>
      <c r="D520">
        <v>2028</v>
      </c>
      <c r="E520">
        <v>2028</v>
      </c>
      <c r="F520">
        <v>2028</v>
      </c>
      <c r="G520">
        <v>2028</v>
      </c>
      <c r="H520">
        <v>2028</v>
      </c>
      <c r="I520" t="s">
        <v>5368</v>
      </c>
      <c r="J520">
        <v>2028</v>
      </c>
      <c r="K520">
        <v>36.18</v>
      </c>
      <c r="L520">
        <v>73373.039999999994</v>
      </c>
      <c r="M520">
        <v>2028</v>
      </c>
      <c r="N520">
        <v>2028</v>
      </c>
    </row>
    <row r="521" spans="1:14" x14ac:dyDescent="0.2">
      <c r="A521" s="958" t="s">
        <v>6673</v>
      </c>
      <c r="B521" s="959">
        <v>45713</v>
      </c>
      <c r="C521" t="s">
        <v>5397</v>
      </c>
      <c r="D521">
        <v>1866</v>
      </c>
      <c r="E521">
        <v>1866</v>
      </c>
      <c r="F521">
        <v>1866</v>
      </c>
      <c r="G521">
        <v>1866</v>
      </c>
      <c r="H521">
        <v>1866</v>
      </c>
      <c r="I521" t="s">
        <v>5398</v>
      </c>
      <c r="J521">
        <v>1866</v>
      </c>
      <c r="K521">
        <v>39.6</v>
      </c>
      <c r="L521">
        <v>73893.600000000006</v>
      </c>
      <c r="M521">
        <v>1866</v>
      </c>
      <c r="N521">
        <v>1866</v>
      </c>
    </row>
    <row r="522" spans="1:14" x14ac:dyDescent="0.2">
      <c r="A522" s="958" t="s">
        <v>6679</v>
      </c>
      <c r="B522" s="959">
        <v>45713</v>
      </c>
      <c r="C522" t="s">
        <v>119</v>
      </c>
      <c r="D522">
        <v>150</v>
      </c>
      <c r="E522">
        <v>150</v>
      </c>
      <c r="F522">
        <v>150</v>
      </c>
      <c r="G522">
        <v>150</v>
      </c>
      <c r="H522">
        <v>150</v>
      </c>
      <c r="I522" t="s">
        <v>6680</v>
      </c>
      <c r="J522">
        <v>150</v>
      </c>
      <c r="K522">
        <v>88.61</v>
      </c>
      <c r="L522">
        <v>13291.43</v>
      </c>
      <c r="M522">
        <v>150</v>
      </c>
    </row>
    <row r="523" spans="1:14" x14ac:dyDescent="0.2">
      <c r="A523" s="958" t="s">
        <v>6679</v>
      </c>
      <c r="B523" s="959">
        <v>45713</v>
      </c>
      <c r="C523" t="s">
        <v>6167</v>
      </c>
      <c r="D523">
        <v>140</v>
      </c>
      <c r="E523">
        <v>140</v>
      </c>
      <c r="F523">
        <v>140</v>
      </c>
      <c r="G523">
        <v>140</v>
      </c>
      <c r="H523">
        <v>140</v>
      </c>
      <c r="I523" t="s">
        <v>6168</v>
      </c>
      <c r="J523">
        <v>140</v>
      </c>
      <c r="K523">
        <v>94.19</v>
      </c>
      <c r="L523">
        <v>13186.18</v>
      </c>
      <c r="M523">
        <v>140</v>
      </c>
    </row>
    <row r="524" spans="1:14" x14ac:dyDescent="0.2">
      <c r="A524" s="958" t="s">
        <v>6683</v>
      </c>
      <c r="B524" s="959">
        <v>45714</v>
      </c>
      <c r="C524" t="s">
        <v>5490</v>
      </c>
      <c r="D524">
        <v>543</v>
      </c>
      <c r="E524">
        <v>543</v>
      </c>
      <c r="F524">
        <v>543</v>
      </c>
      <c r="G524">
        <v>543</v>
      </c>
      <c r="H524">
        <v>543</v>
      </c>
      <c r="I524" t="s">
        <v>5491</v>
      </c>
      <c r="J524">
        <v>543</v>
      </c>
      <c r="K524">
        <v>107.43</v>
      </c>
      <c r="L524">
        <v>58336</v>
      </c>
      <c r="M524">
        <v>543</v>
      </c>
      <c r="N524">
        <v>543</v>
      </c>
    </row>
    <row r="525" spans="1:14" x14ac:dyDescent="0.2">
      <c r="A525" s="958" t="s">
        <v>6687</v>
      </c>
      <c r="B525" s="959">
        <v>45720</v>
      </c>
      <c r="C525" t="s">
        <v>78</v>
      </c>
      <c r="D525">
        <v>2250</v>
      </c>
      <c r="E525">
        <v>4500</v>
      </c>
      <c r="F525">
        <v>2250</v>
      </c>
      <c r="G525">
        <v>4500</v>
      </c>
      <c r="H525">
        <v>2250</v>
      </c>
      <c r="I525" t="s">
        <v>5385</v>
      </c>
      <c r="J525">
        <v>2250</v>
      </c>
      <c r="K525">
        <v>85.98</v>
      </c>
      <c r="L525">
        <v>193449.38</v>
      </c>
      <c r="M525">
        <v>2250</v>
      </c>
      <c r="N525">
        <v>2220</v>
      </c>
    </row>
    <row r="526" spans="1:14" x14ac:dyDescent="0.2">
      <c r="A526" s="958" t="s">
        <v>6689</v>
      </c>
      <c r="B526" s="959">
        <v>45721</v>
      </c>
      <c r="C526" t="s">
        <v>119</v>
      </c>
      <c r="D526">
        <v>150</v>
      </c>
      <c r="E526">
        <v>150</v>
      </c>
      <c r="F526">
        <v>150</v>
      </c>
      <c r="G526">
        <v>150</v>
      </c>
      <c r="H526">
        <v>150</v>
      </c>
      <c r="I526" t="s">
        <v>6680</v>
      </c>
      <c r="J526">
        <v>150</v>
      </c>
      <c r="K526">
        <v>116.01</v>
      </c>
      <c r="L526">
        <v>17402.18</v>
      </c>
      <c r="M526">
        <v>150</v>
      </c>
      <c r="N526">
        <v>150</v>
      </c>
    </row>
    <row r="527" spans="1:14" x14ac:dyDescent="0.2">
      <c r="A527" s="958" t="s">
        <v>6689</v>
      </c>
      <c r="B527" s="959">
        <v>45721</v>
      </c>
      <c r="C527" t="s">
        <v>6167</v>
      </c>
      <c r="D527">
        <v>140</v>
      </c>
      <c r="E527">
        <v>140</v>
      </c>
      <c r="F527">
        <v>140</v>
      </c>
      <c r="G527">
        <v>140</v>
      </c>
      <c r="H527">
        <v>140</v>
      </c>
      <c r="I527" t="s">
        <v>6168</v>
      </c>
      <c r="J527">
        <v>140</v>
      </c>
      <c r="K527">
        <v>94.19</v>
      </c>
      <c r="L527">
        <v>13186.18</v>
      </c>
      <c r="M527">
        <v>140</v>
      </c>
      <c r="N527">
        <v>140</v>
      </c>
    </row>
    <row r="528" spans="1:14" x14ac:dyDescent="0.2">
      <c r="A528" s="958" t="s">
        <v>6690</v>
      </c>
      <c r="B528" s="959">
        <v>45721</v>
      </c>
      <c r="C528" t="s">
        <v>5406</v>
      </c>
      <c r="D528">
        <v>2028</v>
      </c>
      <c r="E528">
        <v>2028</v>
      </c>
      <c r="F528">
        <v>2028</v>
      </c>
      <c r="G528">
        <v>2028</v>
      </c>
      <c r="H528">
        <v>2028</v>
      </c>
      <c r="I528" t="s">
        <v>5407</v>
      </c>
      <c r="J528">
        <v>2028</v>
      </c>
      <c r="K528">
        <v>29.81</v>
      </c>
      <c r="L528">
        <v>60450.62</v>
      </c>
      <c r="M528">
        <v>2028</v>
      </c>
      <c r="N528">
        <v>2028</v>
      </c>
    </row>
    <row r="529" spans="1:14" x14ac:dyDescent="0.2">
      <c r="A529" s="958" t="s">
        <v>6691</v>
      </c>
      <c r="B529" s="959">
        <v>45721</v>
      </c>
      <c r="C529" t="s">
        <v>3145</v>
      </c>
      <c r="D529">
        <v>878.4</v>
      </c>
      <c r="E529">
        <v>878.4</v>
      </c>
      <c r="F529">
        <v>878.4</v>
      </c>
      <c r="G529">
        <v>878.4</v>
      </c>
      <c r="H529">
        <v>878.4</v>
      </c>
      <c r="I529" t="s">
        <v>6692</v>
      </c>
      <c r="J529">
        <v>878.4</v>
      </c>
      <c r="K529">
        <v>138.94</v>
      </c>
      <c r="L529">
        <v>122046.65</v>
      </c>
      <c r="M529">
        <v>878.4</v>
      </c>
      <c r="N529">
        <v>878.4</v>
      </c>
    </row>
    <row r="530" spans="1:14" x14ac:dyDescent="0.2">
      <c r="A530" s="958" t="s">
        <v>6693</v>
      </c>
      <c r="B530" s="959">
        <v>45721</v>
      </c>
      <c r="C530" t="s">
        <v>2963</v>
      </c>
      <c r="D530">
        <v>2534.6</v>
      </c>
      <c r="E530">
        <v>2534.6</v>
      </c>
      <c r="F530">
        <v>2534.6</v>
      </c>
      <c r="G530">
        <v>2534.6</v>
      </c>
      <c r="H530">
        <v>2534.6</v>
      </c>
      <c r="I530" t="s">
        <v>5363</v>
      </c>
      <c r="J530">
        <v>2534.6</v>
      </c>
      <c r="K530">
        <v>83.61</v>
      </c>
      <c r="L530">
        <v>211928.04</v>
      </c>
      <c r="M530">
        <v>2534.6</v>
      </c>
      <c r="N530">
        <v>2523</v>
      </c>
    </row>
    <row r="531" spans="1:14" x14ac:dyDescent="0.2">
      <c r="A531" s="958" t="s">
        <v>6700</v>
      </c>
      <c r="B531" s="959">
        <v>45722</v>
      </c>
      <c r="C531" t="s">
        <v>3724</v>
      </c>
      <c r="D531">
        <v>2643</v>
      </c>
      <c r="E531">
        <v>2643</v>
      </c>
      <c r="F531">
        <v>2643</v>
      </c>
      <c r="G531">
        <v>2643</v>
      </c>
      <c r="H531">
        <v>2643</v>
      </c>
      <c r="I531" t="s">
        <v>6701</v>
      </c>
      <c r="J531">
        <v>2643</v>
      </c>
      <c r="K531">
        <v>22.76</v>
      </c>
      <c r="L531">
        <v>60141.47</v>
      </c>
      <c r="M531">
        <v>2643</v>
      </c>
      <c r="N531">
        <v>2643</v>
      </c>
    </row>
    <row r="532" spans="1:14" x14ac:dyDescent="0.2">
      <c r="A532" s="958" t="s">
        <v>6702</v>
      </c>
      <c r="B532" s="959">
        <v>45723</v>
      </c>
      <c r="C532" t="s">
        <v>3825</v>
      </c>
      <c r="D532">
        <v>387.2</v>
      </c>
      <c r="E532">
        <v>387.2</v>
      </c>
      <c r="F532">
        <v>387.2</v>
      </c>
      <c r="G532">
        <v>387.2</v>
      </c>
      <c r="H532">
        <v>387.2</v>
      </c>
      <c r="I532" t="s">
        <v>6703</v>
      </c>
      <c r="J532">
        <v>387.2</v>
      </c>
      <c r="K532">
        <v>388.78</v>
      </c>
      <c r="L532">
        <v>150535.62</v>
      </c>
      <c r="M532">
        <v>387.2</v>
      </c>
      <c r="N532">
        <v>387.2</v>
      </c>
    </row>
    <row r="533" spans="1:14" x14ac:dyDescent="0.2">
      <c r="A533" s="958" t="s">
        <v>6704</v>
      </c>
      <c r="B533" s="959">
        <v>45726</v>
      </c>
      <c r="C533" t="s">
        <v>6705</v>
      </c>
      <c r="D533">
        <v>78</v>
      </c>
      <c r="E533">
        <v>78</v>
      </c>
      <c r="F533">
        <v>78</v>
      </c>
      <c r="G533">
        <v>78</v>
      </c>
      <c r="H533">
        <v>78</v>
      </c>
      <c r="I533" t="s">
        <v>6706</v>
      </c>
      <c r="J533">
        <v>78</v>
      </c>
      <c r="K533">
        <v>294.87</v>
      </c>
      <c r="L533">
        <v>23000</v>
      </c>
      <c r="M533">
        <v>78</v>
      </c>
      <c r="N533">
        <v>78</v>
      </c>
    </row>
    <row r="534" spans="1:14" x14ac:dyDescent="0.2">
      <c r="A534" s="958" t="s">
        <v>6707</v>
      </c>
      <c r="B534" s="959">
        <v>45726</v>
      </c>
      <c r="C534" t="s">
        <v>5083</v>
      </c>
      <c r="D534">
        <v>152</v>
      </c>
      <c r="E534">
        <v>152</v>
      </c>
      <c r="F534">
        <v>152</v>
      </c>
      <c r="G534">
        <v>152</v>
      </c>
      <c r="H534">
        <v>152</v>
      </c>
      <c r="I534" t="s">
        <v>5446</v>
      </c>
      <c r="J534">
        <v>152</v>
      </c>
      <c r="K534">
        <v>693.55</v>
      </c>
      <c r="L534">
        <v>105420</v>
      </c>
      <c r="M534">
        <v>152</v>
      </c>
      <c r="N534">
        <v>152</v>
      </c>
    </row>
    <row r="535" spans="1:14" x14ac:dyDescent="0.2">
      <c r="A535" s="958" t="s">
        <v>6713</v>
      </c>
      <c r="B535" s="959">
        <v>45727</v>
      </c>
      <c r="C535" t="s">
        <v>4867</v>
      </c>
      <c r="D535">
        <v>851.5</v>
      </c>
      <c r="E535">
        <v>851.5</v>
      </c>
      <c r="F535">
        <v>851.5</v>
      </c>
      <c r="G535">
        <v>851.5</v>
      </c>
      <c r="H535">
        <v>851.5</v>
      </c>
      <c r="I535" t="s">
        <v>6462</v>
      </c>
      <c r="J535">
        <v>851.5</v>
      </c>
      <c r="K535">
        <v>103.48</v>
      </c>
      <c r="L535">
        <v>88109</v>
      </c>
      <c r="M535">
        <v>851.5</v>
      </c>
      <c r="N535">
        <v>851.5</v>
      </c>
    </row>
    <row r="536" spans="1:14" x14ac:dyDescent="0.2">
      <c r="A536" s="958" t="s">
        <v>6714</v>
      </c>
      <c r="B536" s="959">
        <v>45727</v>
      </c>
      <c r="C536" t="s">
        <v>6715</v>
      </c>
      <c r="D536">
        <v>159</v>
      </c>
      <c r="E536">
        <v>159</v>
      </c>
      <c r="F536">
        <v>159</v>
      </c>
      <c r="G536">
        <v>159</v>
      </c>
      <c r="H536">
        <v>159</v>
      </c>
      <c r="I536" t="s">
        <v>6716</v>
      </c>
      <c r="J536">
        <v>159</v>
      </c>
      <c r="K536">
        <v>56.35</v>
      </c>
      <c r="L536">
        <v>8959.65</v>
      </c>
      <c r="M536">
        <v>159</v>
      </c>
      <c r="N536">
        <v>159</v>
      </c>
    </row>
    <row r="537" spans="1:14" x14ac:dyDescent="0.2">
      <c r="A537" s="958" t="s">
        <v>6717</v>
      </c>
      <c r="B537" s="959">
        <v>45727</v>
      </c>
      <c r="C537" t="s">
        <v>6718</v>
      </c>
      <c r="D537">
        <v>712</v>
      </c>
      <c r="E537">
        <v>712</v>
      </c>
      <c r="F537">
        <v>712</v>
      </c>
      <c r="G537">
        <v>712</v>
      </c>
      <c r="H537">
        <v>712</v>
      </c>
      <c r="I537" t="s">
        <v>6719</v>
      </c>
      <c r="J537">
        <v>712</v>
      </c>
      <c r="K537">
        <v>69.56</v>
      </c>
      <c r="L537">
        <v>49529.57</v>
      </c>
      <c r="M537">
        <v>712</v>
      </c>
      <c r="N537">
        <v>712</v>
      </c>
    </row>
    <row r="538" spans="1:14" x14ac:dyDescent="0.2">
      <c r="A538" s="958" t="s">
        <v>6720</v>
      </c>
      <c r="B538" s="959">
        <v>45727</v>
      </c>
      <c r="C538" t="s">
        <v>4276</v>
      </c>
      <c r="D538">
        <v>1139.2</v>
      </c>
      <c r="E538">
        <v>1139.2</v>
      </c>
      <c r="F538">
        <v>1139.2</v>
      </c>
      <c r="G538">
        <v>1139.2</v>
      </c>
      <c r="H538">
        <v>1139.2</v>
      </c>
      <c r="I538" t="s">
        <v>6712</v>
      </c>
      <c r="J538">
        <v>1139.2</v>
      </c>
      <c r="K538">
        <v>146.07</v>
      </c>
      <c r="L538">
        <v>166403.06</v>
      </c>
      <c r="M538">
        <v>1139.2</v>
      </c>
      <c r="N538">
        <v>1139.2</v>
      </c>
    </row>
    <row r="539" spans="1:14" x14ac:dyDescent="0.2">
      <c r="A539" s="958" t="s">
        <v>6721</v>
      </c>
      <c r="B539" s="959">
        <v>45728</v>
      </c>
      <c r="C539" t="s">
        <v>6722</v>
      </c>
      <c r="D539">
        <v>12</v>
      </c>
      <c r="E539">
        <v>12</v>
      </c>
      <c r="F539">
        <v>12</v>
      </c>
      <c r="G539">
        <v>12</v>
      </c>
      <c r="H539">
        <v>12</v>
      </c>
      <c r="I539" t="s">
        <v>6723</v>
      </c>
      <c r="J539">
        <v>12</v>
      </c>
      <c r="K539">
        <v>1558.33</v>
      </c>
      <c r="L539">
        <v>18700</v>
      </c>
      <c r="M539">
        <v>12</v>
      </c>
      <c r="N539">
        <v>12</v>
      </c>
    </row>
    <row r="540" spans="1:14" x14ac:dyDescent="0.2">
      <c r="A540" s="958" t="s">
        <v>6724</v>
      </c>
      <c r="B540" s="959">
        <v>45728</v>
      </c>
      <c r="C540" t="s">
        <v>4567</v>
      </c>
      <c r="D540">
        <v>180</v>
      </c>
      <c r="E540">
        <v>180</v>
      </c>
      <c r="F540">
        <v>180</v>
      </c>
      <c r="G540">
        <v>180</v>
      </c>
      <c r="H540">
        <v>180</v>
      </c>
      <c r="I540" t="s">
        <v>5394</v>
      </c>
      <c r="J540">
        <v>180</v>
      </c>
      <c r="K540">
        <v>135.41</v>
      </c>
      <c r="L540">
        <v>24373.439999999999</v>
      </c>
      <c r="M540">
        <v>180</v>
      </c>
      <c r="N540">
        <v>180</v>
      </c>
    </row>
    <row r="541" spans="1:14" x14ac:dyDescent="0.2">
      <c r="A541" s="958" t="s">
        <v>6725</v>
      </c>
      <c r="B541" s="959">
        <v>45729</v>
      </c>
      <c r="C541" t="s">
        <v>5158</v>
      </c>
      <c r="D541">
        <v>482.4</v>
      </c>
      <c r="E541">
        <v>482.4</v>
      </c>
      <c r="F541">
        <v>482.4</v>
      </c>
      <c r="G541">
        <v>482.4</v>
      </c>
      <c r="H541">
        <v>482.4</v>
      </c>
      <c r="I541" t="s">
        <v>5460</v>
      </c>
      <c r="J541">
        <v>482.4</v>
      </c>
      <c r="K541">
        <v>159.21</v>
      </c>
      <c r="L541">
        <v>76804.639999999999</v>
      </c>
      <c r="M541">
        <v>482.4</v>
      </c>
      <c r="N541">
        <v>482.4</v>
      </c>
    </row>
    <row r="542" spans="1:14" x14ac:dyDescent="0.2">
      <c r="A542" s="958" t="s">
        <v>6725</v>
      </c>
      <c r="B542" s="959">
        <v>45729</v>
      </c>
      <c r="C542" t="s">
        <v>6726</v>
      </c>
      <c r="D542">
        <v>1836</v>
      </c>
      <c r="E542">
        <v>1836</v>
      </c>
      <c r="F542">
        <v>1836</v>
      </c>
      <c r="G542">
        <v>1836</v>
      </c>
      <c r="H542">
        <v>1836</v>
      </c>
      <c r="I542" t="s">
        <v>6727</v>
      </c>
      <c r="J542">
        <v>1836</v>
      </c>
      <c r="K542">
        <v>54.29</v>
      </c>
      <c r="L542">
        <v>99672.77</v>
      </c>
      <c r="M542">
        <v>1836</v>
      </c>
      <c r="N542">
        <v>1836</v>
      </c>
    </row>
    <row r="543" spans="1:14" x14ac:dyDescent="0.2">
      <c r="A543" s="958" t="s">
        <v>6758</v>
      </c>
      <c r="B543" s="959">
        <v>45730</v>
      </c>
      <c r="C543" t="s">
        <v>2608</v>
      </c>
      <c r="D543">
        <v>2562</v>
      </c>
      <c r="E543">
        <v>2562</v>
      </c>
      <c r="F543">
        <v>2562</v>
      </c>
      <c r="G543">
        <v>2562</v>
      </c>
      <c r="H543">
        <v>2562</v>
      </c>
      <c r="I543" t="s">
        <v>5465</v>
      </c>
      <c r="J543">
        <v>2562</v>
      </c>
      <c r="K543">
        <v>150.35</v>
      </c>
      <c r="L543">
        <v>385196.7</v>
      </c>
      <c r="M543">
        <v>2562</v>
      </c>
      <c r="N543">
        <v>2544</v>
      </c>
    </row>
    <row r="544" spans="1:14" x14ac:dyDescent="0.2">
      <c r="A544" s="958" t="s">
        <v>6759</v>
      </c>
      <c r="B544" s="959">
        <v>45730</v>
      </c>
      <c r="C544" t="s">
        <v>4276</v>
      </c>
      <c r="D544">
        <v>1050.2</v>
      </c>
      <c r="E544">
        <v>1050.2</v>
      </c>
      <c r="F544">
        <v>1050.2</v>
      </c>
      <c r="G544">
        <v>1050.2</v>
      </c>
      <c r="H544">
        <v>1050.2</v>
      </c>
      <c r="I544" t="s">
        <v>6712</v>
      </c>
      <c r="J544">
        <v>1050.2</v>
      </c>
      <c r="K544">
        <v>146.07</v>
      </c>
      <c r="L544">
        <v>153402.71</v>
      </c>
      <c r="M544">
        <v>1050.2</v>
      </c>
      <c r="N544">
        <v>1045.75</v>
      </c>
    </row>
    <row r="545" spans="1:14" x14ac:dyDescent="0.2">
      <c r="A545" s="958" t="s">
        <v>6760</v>
      </c>
      <c r="B545" s="959">
        <v>45733</v>
      </c>
      <c r="C545" t="s">
        <v>4903</v>
      </c>
      <c r="D545">
        <v>25</v>
      </c>
      <c r="E545">
        <v>25</v>
      </c>
      <c r="F545">
        <v>25</v>
      </c>
      <c r="G545">
        <v>25</v>
      </c>
      <c r="H545">
        <v>25</v>
      </c>
      <c r="I545" t="s">
        <v>5395</v>
      </c>
      <c r="J545">
        <v>25</v>
      </c>
      <c r="K545">
        <v>2890.4</v>
      </c>
      <c r="L545">
        <v>72260</v>
      </c>
      <c r="M545">
        <v>25</v>
      </c>
      <c r="N545">
        <v>25</v>
      </c>
    </row>
    <row r="546" spans="1:14" x14ac:dyDescent="0.2">
      <c r="A546" s="958" t="s">
        <v>6760</v>
      </c>
      <c r="B546" s="959">
        <v>45733</v>
      </c>
      <c r="C546" t="s">
        <v>4904</v>
      </c>
      <c r="D546">
        <v>5</v>
      </c>
      <c r="E546">
        <v>5</v>
      </c>
      <c r="F546">
        <v>5</v>
      </c>
      <c r="G546">
        <v>5</v>
      </c>
      <c r="H546">
        <v>5</v>
      </c>
      <c r="I546" t="s">
        <v>5396</v>
      </c>
      <c r="J546">
        <v>5</v>
      </c>
      <c r="K546">
        <v>1168</v>
      </c>
      <c r="L546">
        <v>5840</v>
      </c>
      <c r="M546">
        <v>5</v>
      </c>
      <c r="N546">
        <v>4</v>
      </c>
    </row>
    <row r="547" spans="1:14" x14ac:dyDescent="0.2">
      <c r="A547" s="958" t="s">
        <v>6761</v>
      </c>
      <c r="B547" s="959">
        <v>45733</v>
      </c>
      <c r="C547" t="s">
        <v>4955</v>
      </c>
      <c r="D547">
        <v>840</v>
      </c>
      <c r="E547">
        <v>840</v>
      </c>
      <c r="F547">
        <v>840</v>
      </c>
      <c r="G547">
        <v>840</v>
      </c>
      <c r="H547">
        <v>840</v>
      </c>
      <c r="I547" t="s">
        <v>6749</v>
      </c>
      <c r="J547">
        <v>840</v>
      </c>
      <c r="K547">
        <v>35.96</v>
      </c>
      <c r="L547">
        <v>30210</v>
      </c>
      <c r="M547">
        <v>840</v>
      </c>
      <c r="N547">
        <v>840</v>
      </c>
    </row>
    <row r="548" spans="1:14" x14ac:dyDescent="0.2">
      <c r="A548" s="958" t="s">
        <v>6762</v>
      </c>
      <c r="B548" s="959">
        <v>45733</v>
      </c>
      <c r="C548" t="s">
        <v>2561</v>
      </c>
      <c r="D548">
        <v>564</v>
      </c>
      <c r="E548">
        <v>564</v>
      </c>
      <c r="F548">
        <v>564</v>
      </c>
      <c r="G548">
        <v>564</v>
      </c>
      <c r="H548">
        <v>564</v>
      </c>
      <c r="I548" t="s">
        <v>5408</v>
      </c>
      <c r="J548">
        <v>564</v>
      </c>
      <c r="K548">
        <v>150.88</v>
      </c>
      <c r="L548">
        <v>85096.320000000007</v>
      </c>
      <c r="M548">
        <v>564</v>
      </c>
      <c r="N548">
        <v>564</v>
      </c>
    </row>
    <row r="549" spans="1:14" x14ac:dyDescent="0.2">
      <c r="A549" s="958" t="s">
        <v>6763</v>
      </c>
      <c r="B549" s="959">
        <v>45733</v>
      </c>
      <c r="C549" t="s">
        <v>6649</v>
      </c>
      <c r="D549">
        <v>1064.8</v>
      </c>
      <c r="E549">
        <v>1064.8</v>
      </c>
      <c r="F549">
        <v>1064.8</v>
      </c>
      <c r="G549">
        <v>1064.8</v>
      </c>
      <c r="H549">
        <v>1064.8</v>
      </c>
      <c r="I549" t="s">
        <v>6650</v>
      </c>
      <c r="J549">
        <v>1064.8</v>
      </c>
      <c r="K549">
        <v>83.81</v>
      </c>
      <c r="L549">
        <v>89240.89</v>
      </c>
      <c r="M549">
        <v>1064.8</v>
      </c>
      <c r="N549">
        <v>1064.8</v>
      </c>
    </row>
    <row r="550" spans="1:14" x14ac:dyDescent="0.2">
      <c r="A550" s="958" t="s">
        <v>6764</v>
      </c>
      <c r="B550" s="959">
        <v>45733</v>
      </c>
      <c r="C550" t="s">
        <v>4393</v>
      </c>
      <c r="D550">
        <v>720</v>
      </c>
      <c r="E550">
        <v>720</v>
      </c>
      <c r="F550">
        <v>720</v>
      </c>
      <c r="G550">
        <v>720</v>
      </c>
      <c r="H550">
        <v>720</v>
      </c>
      <c r="I550" t="s">
        <v>5472</v>
      </c>
      <c r="J550">
        <v>720</v>
      </c>
      <c r="K550">
        <v>210.89</v>
      </c>
      <c r="L550">
        <v>151840.79999999999</v>
      </c>
      <c r="M550">
        <v>720</v>
      </c>
      <c r="N550">
        <v>720</v>
      </c>
    </row>
    <row r="551" spans="1:14" x14ac:dyDescent="0.2">
      <c r="A551" s="958" t="s">
        <v>6765</v>
      </c>
      <c r="B551" s="959">
        <v>45733</v>
      </c>
      <c r="C551" t="s">
        <v>4582</v>
      </c>
      <c r="D551">
        <v>1884</v>
      </c>
      <c r="E551">
        <v>1884</v>
      </c>
      <c r="F551">
        <v>1884</v>
      </c>
      <c r="G551">
        <v>1884</v>
      </c>
      <c r="H551">
        <v>1884</v>
      </c>
      <c r="I551" t="s">
        <v>5393</v>
      </c>
      <c r="J551">
        <v>1884</v>
      </c>
      <c r="K551">
        <v>42.93</v>
      </c>
      <c r="L551">
        <v>80870.7</v>
      </c>
      <c r="M551">
        <v>1884</v>
      </c>
      <c r="N551">
        <v>1884</v>
      </c>
    </row>
    <row r="552" spans="1:14" x14ac:dyDescent="0.2">
      <c r="A552" s="958" t="s">
        <v>6766</v>
      </c>
      <c r="B552" s="959">
        <v>45733</v>
      </c>
      <c r="C552" t="s">
        <v>6531</v>
      </c>
      <c r="D552">
        <v>750</v>
      </c>
      <c r="E552">
        <v>750</v>
      </c>
      <c r="F552">
        <v>750</v>
      </c>
      <c r="G552">
        <v>750</v>
      </c>
      <c r="H552">
        <v>750</v>
      </c>
      <c r="I552" t="s">
        <v>6509</v>
      </c>
      <c r="J552">
        <v>750</v>
      </c>
      <c r="K552">
        <v>112.14</v>
      </c>
      <c r="L552">
        <v>84105</v>
      </c>
      <c r="M552">
        <v>750</v>
      </c>
      <c r="N552">
        <v>750</v>
      </c>
    </row>
    <row r="553" spans="1:14" x14ac:dyDescent="0.2">
      <c r="A553" s="958" t="s">
        <v>6767</v>
      </c>
      <c r="B553" s="959">
        <v>45733</v>
      </c>
      <c r="C553" t="s">
        <v>5390</v>
      </c>
      <c r="D553">
        <v>1950</v>
      </c>
      <c r="E553">
        <v>1950</v>
      </c>
      <c r="F553">
        <v>1950</v>
      </c>
      <c r="G553">
        <v>1950</v>
      </c>
      <c r="H553">
        <v>1950</v>
      </c>
      <c r="I553" t="s">
        <v>6007</v>
      </c>
      <c r="J553">
        <v>1950</v>
      </c>
      <c r="K553">
        <v>44.17</v>
      </c>
      <c r="L553">
        <v>86135.4</v>
      </c>
      <c r="M553">
        <v>1950</v>
      </c>
      <c r="N553">
        <v>1950</v>
      </c>
    </row>
    <row r="554" spans="1:14" x14ac:dyDescent="0.2">
      <c r="A554" s="958" t="s">
        <v>6767</v>
      </c>
      <c r="B554" s="959">
        <v>45733</v>
      </c>
      <c r="C554" t="s">
        <v>5405</v>
      </c>
      <c r="D554">
        <v>1974</v>
      </c>
      <c r="E554">
        <v>1974</v>
      </c>
      <c r="F554">
        <v>1974</v>
      </c>
      <c r="G554">
        <v>1974</v>
      </c>
      <c r="H554">
        <v>1326</v>
      </c>
      <c r="I554" t="s">
        <v>6018</v>
      </c>
      <c r="J554">
        <v>1974</v>
      </c>
      <c r="K554">
        <v>48.64</v>
      </c>
      <c r="L554">
        <v>96007.46</v>
      </c>
      <c r="M554">
        <v>1326</v>
      </c>
      <c r="N554">
        <v>1326</v>
      </c>
    </row>
    <row r="555" spans="1:14" x14ac:dyDescent="0.2">
      <c r="A555" s="958" t="s">
        <v>6767</v>
      </c>
      <c r="B555" s="959">
        <v>45733</v>
      </c>
      <c r="C555" t="s">
        <v>5373</v>
      </c>
      <c r="D555">
        <v>588</v>
      </c>
      <c r="E555">
        <v>588</v>
      </c>
      <c r="F555">
        <v>588</v>
      </c>
      <c r="G555">
        <v>588</v>
      </c>
      <c r="H555">
        <v>588</v>
      </c>
      <c r="I555" t="s">
        <v>5374</v>
      </c>
      <c r="J555">
        <v>588</v>
      </c>
      <c r="K555">
        <v>51.91</v>
      </c>
      <c r="L555">
        <v>30524.26</v>
      </c>
      <c r="M555">
        <v>588</v>
      </c>
      <c r="N555">
        <v>588</v>
      </c>
    </row>
    <row r="556" spans="1:14" x14ac:dyDescent="0.2">
      <c r="A556" s="958" t="s">
        <v>6767</v>
      </c>
      <c r="B556" s="959">
        <v>45733</v>
      </c>
      <c r="C556" t="s">
        <v>5367</v>
      </c>
      <c r="D556">
        <v>1854</v>
      </c>
      <c r="E556">
        <v>1854</v>
      </c>
      <c r="F556">
        <v>1854</v>
      </c>
      <c r="G556">
        <v>1854</v>
      </c>
      <c r="H556">
        <v>1854</v>
      </c>
      <c r="I556" t="s">
        <v>5368</v>
      </c>
      <c r="J556">
        <v>1854</v>
      </c>
      <c r="K556">
        <v>36.18</v>
      </c>
      <c r="L556">
        <v>67077.72</v>
      </c>
      <c r="M556">
        <v>1854</v>
      </c>
      <c r="N556">
        <v>1854</v>
      </c>
    </row>
    <row r="557" spans="1:14" x14ac:dyDescent="0.2">
      <c r="A557" s="958" t="s">
        <v>6768</v>
      </c>
      <c r="B557" s="959">
        <v>45734</v>
      </c>
      <c r="C557" t="s">
        <v>5712</v>
      </c>
      <c r="D557">
        <v>608.85</v>
      </c>
      <c r="E557">
        <v>608.85</v>
      </c>
      <c r="F557">
        <v>608.85</v>
      </c>
      <c r="G557">
        <v>608.85</v>
      </c>
      <c r="H557">
        <v>608.85</v>
      </c>
      <c r="I557" t="s">
        <v>5716</v>
      </c>
      <c r="J557">
        <v>608.85</v>
      </c>
      <c r="K557">
        <v>487.31</v>
      </c>
      <c r="L557">
        <v>296700</v>
      </c>
      <c r="M557">
        <v>608.85</v>
      </c>
      <c r="N557">
        <v>594.5</v>
      </c>
    </row>
    <row r="558" spans="1:14" x14ac:dyDescent="0.2">
      <c r="A558" s="958" t="s">
        <v>6802</v>
      </c>
      <c r="B558" s="959">
        <v>45736</v>
      </c>
      <c r="C558" t="s">
        <v>6756</v>
      </c>
      <c r="D558">
        <v>4</v>
      </c>
      <c r="E558">
        <v>4</v>
      </c>
      <c r="F558">
        <v>4</v>
      </c>
      <c r="G558">
        <v>4</v>
      </c>
      <c r="H558">
        <v>4</v>
      </c>
      <c r="I558" t="s">
        <v>6789</v>
      </c>
      <c r="J558">
        <v>4</v>
      </c>
      <c r="K558">
        <v>2220.25</v>
      </c>
      <c r="L558">
        <v>8881</v>
      </c>
      <c r="M558">
        <v>4</v>
      </c>
      <c r="N558">
        <v>4</v>
      </c>
    </row>
    <row r="559" spans="1:14" x14ac:dyDescent="0.2">
      <c r="A559" s="958" t="s">
        <v>6802</v>
      </c>
      <c r="B559" s="959">
        <v>45736</v>
      </c>
      <c r="C559" t="s">
        <v>6755</v>
      </c>
      <c r="D559">
        <v>4</v>
      </c>
      <c r="E559">
        <v>4</v>
      </c>
      <c r="F559">
        <v>4</v>
      </c>
      <c r="G559">
        <v>4</v>
      </c>
      <c r="H559">
        <v>4</v>
      </c>
      <c r="I559" t="s">
        <v>6788</v>
      </c>
      <c r="J559">
        <v>4</v>
      </c>
      <c r="K559">
        <v>3623.75</v>
      </c>
      <c r="L559">
        <v>14495</v>
      </c>
      <c r="M559">
        <v>4</v>
      </c>
      <c r="N559">
        <v>4</v>
      </c>
    </row>
    <row r="560" spans="1:14" x14ac:dyDescent="0.2">
      <c r="A560" s="958" t="s">
        <v>6802</v>
      </c>
      <c r="B560" s="959">
        <v>45736</v>
      </c>
      <c r="C560" t="s">
        <v>6754</v>
      </c>
      <c r="D560">
        <v>4</v>
      </c>
      <c r="E560">
        <v>4</v>
      </c>
      <c r="F560">
        <v>4</v>
      </c>
      <c r="G560">
        <v>4</v>
      </c>
      <c r="H560">
        <v>4</v>
      </c>
      <c r="I560" t="s">
        <v>6787</v>
      </c>
      <c r="J560">
        <v>4</v>
      </c>
      <c r="K560">
        <v>5027.25</v>
      </c>
      <c r="L560">
        <v>20109</v>
      </c>
      <c r="M560">
        <v>4</v>
      </c>
      <c r="N560">
        <v>4</v>
      </c>
    </row>
    <row r="561" spans="1:14" x14ac:dyDescent="0.2">
      <c r="A561" s="958" t="s">
        <v>6802</v>
      </c>
      <c r="B561" s="959">
        <v>45736</v>
      </c>
      <c r="C561" t="s">
        <v>6753</v>
      </c>
      <c r="D561">
        <v>4</v>
      </c>
      <c r="E561">
        <v>4</v>
      </c>
      <c r="F561">
        <v>4</v>
      </c>
      <c r="G561">
        <v>4</v>
      </c>
      <c r="H561">
        <v>4</v>
      </c>
      <c r="I561" t="s">
        <v>6786</v>
      </c>
      <c r="J561">
        <v>4</v>
      </c>
      <c r="K561">
        <v>7132.5</v>
      </c>
      <c r="L561">
        <v>28530</v>
      </c>
      <c r="M561">
        <v>4</v>
      </c>
      <c r="N561">
        <v>4</v>
      </c>
    </row>
    <row r="562" spans="1:14" x14ac:dyDescent="0.2">
      <c r="A562" s="958" t="s">
        <v>6802</v>
      </c>
      <c r="B562" s="959">
        <v>45736</v>
      </c>
      <c r="C562" t="s">
        <v>6752</v>
      </c>
      <c r="D562">
        <v>4</v>
      </c>
      <c r="E562">
        <v>4</v>
      </c>
      <c r="F562">
        <v>4</v>
      </c>
      <c r="G562">
        <v>4</v>
      </c>
      <c r="H562">
        <v>4</v>
      </c>
      <c r="I562" t="s">
        <v>6785</v>
      </c>
      <c r="J562">
        <v>4</v>
      </c>
      <c r="K562">
        <v>6430.75</v>
      </c>
      <c r="L562">
        <v>25723</v>
      </c>
      <c r="M562">
        <v>4</v>
      </c>
      <c r="N562">
        <v>4</v>
      </c>
    </row>
    <row r="563" spans="1:14" x14ac:dyDescent="0.2">
      <c r="A563" s="958" t="s">
        <v>6802</v>
      </c>
      <c r="B563" s="959">
        <v>45736</v>
      </c>
      <c r="C563" t="s">
        <v>6532</v>
      </c>
      <c r="D563">
        <v>16</v>
      </c>
      <c r="E563">
        <v>16</v>
      </c>
      <c r="F563">
        <v>16</v>
      </c>
      <c r="G563">
        <v>16</v>
      </c>
      <c r="H563">
        <v>16</v>
      </c>
      <c r="I563" t="s">
        <v>6796</v>
      </c>
      <c r="J563">
        <v>16</v>
      </c>
      <c r="K563">
        <v>1081.3800000000001</v>
      </c>
      <c r="L563">
        <v>17302</v>
      </c>
      <c r="M563">
        <v>16</v>
      </c>
      <c r="N563">
        <v>16</v>
      </c>
    </row>
    <row r="564" spans="1:14" x14ac:dyDescent="0.2">
      <c r="A564" s="958" t="s">
        <v>6802</v>
      </c>
      <c r="B564" s="959">
        <v>45736</v>
      </c>
      <c r="C564" t="s">
        <v>6534</v>
      </c>
      <c r="D564">
        <v>16</v>
      </c>
      <c r="E564">
        <v>16</v>
      </c>
      <c r="F564">
        <v>16</v>
      </c>
      <c r="G564">
        <v>16</v>
      </c>
      <c r="H564">
        <v>16</v>
      </c>
      <c r="I564" t="s">
        <v>6798</v>
      </c>
      <c r="J564">
        <v>16</v>
      </c>
      <c r="K564">
        <v>379.63</v>
      </c>
      <c r="L564">
        <v>6074</v>
      </c>
      <c r="M564">
        <v>16</v>
      </c>
      <c r="N564">
        <v>16</v>
      </c>
    </row>
    <row r="565" spans="1:14" x14ac:dyDescent="0.2">
      <c r="A565" s="958" t="s">
        <v>6802</v>
      </c>
      <c r="B565" s="959">
        <v>45736</v>
      </c>
      <c r="C565" t="s">
        <v>6533</v>
      </c>
      <c r="D565">
        <v>16</v>
      </c>
      <c r="E565">
        <v>16</v>
      </c>
      <c r="F565">
        <v>16</v>
      </c>
      <c r="G565">
        <v>16</v>
      </c>
      <c r="H565">
        <v>16</v>
      </c>
      <c r="I565" t="s">
        <v>6797</v>
      </c>
      <c r="J565">
        <v>16</v>
      </c>
      <c r="K565">
        <v>1432.25</v>
      </c>
      <c r="L565">
        <v>22916</v>
      </c>
      <c r="M565">
        <v>16</v>
      </c>
      <c r="N565">
        <v>16</v>
      </c>
    </row>
    <row r="566" spans="1:14" x14ac:dyDescent="0.2">
      <c r="A566" s="958" t="s">
        <v>6803</v>
      </c>
      <c r="B566" s="959">
        <v>45736</v>
      </c>
      <c r="C566" t="s">
        <v>4866</v>
      </c>
      <c r="D566">
        <v>543.20000000000005</v>
      </c>
      <c r="E566">
        <v>543.20000000000005</v>
      </c>
      <c r="F566">
        <v>543.20000000000005</v>
      </c>
      <c r="G566">
        <v>543.20000000000005</v>
      </c>
      <c r="H566">
        <v>543.20000000000005</v>
      </c>
      <c r="I566" t="s">
        <v>6569</v>
      </c>
      <c r="J566">
        <v>543.20000000000005</v>
      </c>
      <c r="K566">
        <v>108</v>
      </c>
      <c r="L566">
        <v>58665.599999999999</v>
      </c>
      <c r="M566">
        <v>543.20000000000005</v>
      </c>
      <c r="N566">
        <v>543.20000000000005</v>
      </c>
    </row>
    <row r="567" spans="1:14" x14ac:dyDescent="0.2">
      <c r="A567" s="958" t="s">
        <v>6804</v>
      </c>
      <c r="B567" s="959">
        <v>45737</v>
      </c>
      <c r="C567" t="s">
        <v>1472</v>
      </c>
      <c r="D567">
        <v>780</v>
      </c>
      <c r="E567">
        <v>780</v>
      </c>
      <c r="F567">
        <v>780</v>
      </c>
      <c r="G567">
        <v>780</v>
      </c>
      <c r="H567">
        <v>780</v>
      </c>
      <c r="I567" t="s">
        <v>5448</v>
      </c>
      <c r="J567">
        <v>780</v>
      </c>
      <c r="K567">
        <v>200.01</v>
      </c>
      <c r="L567">
        <v>156010.92000000001</v>
      </c>
      <c r="M567">
        <v>780</v>
      </c>
      <c r="N567">
        <v>780</v>
      </c>
    </row>
    <row r="568" spans="1:14" x14ac:dyDescent="0.2">
      <c r="A568" s="958" t="s">
        <v>6805</v>
      </c>
      <c r="B568" s="959">
        <v>45737</v>
      </c>
      <c r="C568" t="s">
        <v>4276</v>
      </c>
      <c r="D568">
        <v>409.4</v>
      </c>
      <c r="E568">
        <v>409.4</v>
      </c>
      <c r="F568">
        <v>409.4</v>
      </c>
      <c r="G568">
        <v>409.4</v>
      </c>
      <c r="H568">
        <v>409.4</v>
      </c>
      <c r="I568" t="s">
        <v>6712</v>
      </c>
      <c r="J568">
        <v>409.4</v>
      </c>
      <c r="K568">
        <v>146.07</v>
      </c>
      <c r="L568">
        <v>59801.1</v>
      </c>
      <c r="M568">
        <v>409.4</v>
      </c>
      <c r="N568">
        <v>400.5</v>
      </c>
    </row>
    <row r="569" spans="1:14" x14ac:dyDescent="0.2">
      <c r="A569" s="958" t="s">
        <v>6806</v>
      </c>
      <c r="B569" s="959">
        <v>45737</v>
      </c>
      <c r="C569" t="s">
        <v>6608</v>
      </c>
      <c r="D569">
        <v>180</v>
      </c>
      <c r="I569" t="s">
        <v>6609</v>
      </c>
      <c r="J569">
        <v>180</v>
      </c>
      <c r="K569">
        <v>255.56</v>
      </c>
      <c r="L569">
        <v>46000</v>
      </c>
    </row>
    <row r="570" spans="1:14" x14ac:dyDescent="0.2">
      <c r="A570" s="958" t="s">
        <v>6739</v>
      </c>
      <c r="B570" s="959">
        <v>45737</v>
      </c>
      <c r="C570" t="s">
        <v>5010</v>
      </c>
      <c r="D570">
        <v>96</v>
      </c>
      <c r="E570">
        <v>96</v>
      </c>
      <c r="F570">
        <v>96</v>
      </c>
      <c r="G570">
        <v>96</v>
      </c>
      <c r="H570">
        <v>96</v>
      </c>
      <c r="I570" t="s">
        <v>5413</v>
      </c>
      <c r="J570">
        <v>96</v>
      </c>
      <c r="K570">
        <v>309</v>
      </c>
      <c r="L570">
        <v>29664</v>
      </c>
      <c r="M570">
        <v>96</v>
      </c>
      <c r="N570">
        <v>96</v>
      </c>
    </row>
    <row r="571" spans="1:14" x14ac:dyDescent="0.2">
      <c r="A571" s="958" t="s">
        <v>6739</v>
      </c>
      <c r="B571" s="959">
        <v>45737</v>
      </c>
      <c r="C571" t="s">
        <v>5009</v>
      </c>
      <c r="D571">
        <v>156</v>
      </c>
      <c r="E571">
        <v>156</v>
      </c>
      <c r="F571">
        <v>156</v>
      </c>
      <c r="G571">
        <v>156</v>
      </c>
      <c r="H571">
        <v>156</v>
      </c>
      <c r="I571" t="s">
        <v>5412</v>
      </c>
      <c r="J571">
        <v>156</v>
      </c>
      <c r="K571">
        <v>319</v>
      </c>
      <c r="L571">
        <v>49764</v>
      </c>
      <c r="M571">
        <v>156</v>
      </c>
      <c r="N571">
        <v>156</v>
      </c>
    </row>
    <row r="572" spans="1:14" x14ac:dyDescent="0.2">
      <c r="A572" s="958" t="s">
        <v>6807</v>
      </c>
      <c r="B572" s="959">
        <v>45737</v>
      </c>
      <c r="C572" t="s">
        <v>6808</v>
      </c>
      <c r="D572">
        <v>24</v>
      </c>
      <c r="E572">
        <v>24</v>
      </c>
      <c r="F572">
        <v>24</v>
      </c>
      <c r="G572">
        <v>24</v>
      </c>
      <c r="H572">
        <v>24</v>
      </c>
      <c r="I572" t="s">
        <v>6809</v>
      </c>
      <c r="J572">
        <v>24</v>
      </c>
      <c r="K572">
        <v>154.1</v>
      </c>
      <c r="L572">
        <v>3698.35</v>
      </c>
      <c r="M572">
        <v>24</v>
      </c>
    </row>
    <row r="573" spans="1:14" x14ac:dyDescent="0.2">
      <c r="A573" s="958" t="s">
        <v>6810</v>
      </c>
      <c r="B573" s="959">
        <v>45737</v>
      </c>
      <c r="C573" t="s">
        <v>2963</v>
      </c>
      <c r="D573">
        <v>1339.8</v>
      </c>
      <c r="E573">
        <v>1339.8</v>
      </c>
      <c r="F573">
        <v>1339.8</v>
      </c>
      <c r="G573">
        <v>1339.8</v>
      </c>
      <c r="H573">
        <v>1339.8</v>
      </c>
      <c r="I573" t="s">
        <v>5363</v>
      </c>
      <c r="J573">
        <v>1339.8</v>
      </c>
      <c r="K573">
        <v>83.61</v>
      </c>
      <c r="L573">
        <v>112020.68</v>
      </c>
      <c r="M573">
        <v>1339.8</v>
      </c>
      <c r="N573">
        <v>1339.8</v>
      </c>
    </row>
    <row r="574" spans="1:14" x14ac:dyDescent="0.2">
      <c r="A574" s="958" t="s">
        <v>6740</v>
      </c>
      <c r="B574" s="959">
        <v>45737</v>
      </c>
      <c r="C574" t="s">
        <v>6008</v>
      </c>
      <c r="D574">
        <v>292.89999999999998</v>
      </c>
      <c r="E574">
        <v>292.89999999999998</v>
      </c>
      <c r="F574">
        <v>292.89999999999998</v>
      </c>
      <c r="G574">
        <v>292.89999999999998</v>
      </c>
      <c r="H574">
        <v>292.89999999999998</v>
      </c>
      <c r="I574" t="s">
        <v>5400</v>
      </c>
      <c r="J574">
        <v>292.89999999999998</v>
      </c>
      <c r="K574">
        <v>123.27</v>
      </c>
      <c r="L574">
        <v>36106.22</v>
      </c>
      <c r="M574">
        <v>292.89999999999998</v>
      </c>
      <c r="N574">
        <v>292.89999999999998</v>
      </c>
    </row>
    <row r="575" spans="1:14" x14ac:dyDescent="0.2">
      <c r="A575" s="958" t="s">
        <v>6741</v>
      </c>
      <c r="B575" s="959">
        <v>45740</v>
      </c>
      <c r="C575" t="s">
        <v>5253</v>
      </c>
      <c r="D575">
        <v>895.4</v>
      </c>
      <c r="E575">
        <v>1621.4</v>
      </c>
      <c r="F575">
        <v>1621.4</v>
      </c>
      <c r="G575">
        <v>1621.4</v>
      </c>
      <c r="H575">
        <v>1621.4</v>
      </c>
      <c r="I575" t="s">
        <v>6795</v>
      </c>
      <c r="J575">
        <v>895.4</v>
      </c>
      <c r="K575">
        <v>102.58</v>
      </c>
      <c r="L575">
        <v>91850.13</v>
      </c>
      <c r="M575">
        <v>1621.4</v>
      </c>
      <c r="N575">
        <v>895.4</v>
      </c>
    </row>
    <row r="576" spans="1:14" x14ac:dyDescent="0.2">
      <c r="A576" s="958" t="s">
        <v>6811</v>
      </c>
      <c r="B576" s="959">
        <v>45740</v>
      </c>
      <c r="C576" t="s">
        <v>2561</v>
      </c>
      <c r="D576">
        <v>210</v>
      </c>
      <c r="E576">
        <v>210</v>
      </c>
      <c r="F576">
        <v>210</v>
      </c>
      <c r="G576">
        <v>210</v>
      </c>
      <c r="H576">
        <v>210</v>
      </c>
      <c r="I576" t="s">
        <v>5408</v>
      </c>
      <c r="J576">
        <v>210</v>
      </c>
      <c r="K576">
        <v>150.88</v>
      </c>
      <c r="L576">
        <v>31685.54</v>
      </c>
      <c r="M576">
        <v>210</v>
      </c>
      <c r="N576">
        <v>210</v>
      </c>
    </row>
    <row r="577" spans="1:14" x14ac:dyDescent="0.2">
      <c r="A577" s="958" t="s">
        <v>6812</v>
      </c>
      <c r="B577" s="959">
        <v>45740</v>
      </c>
      <c r="C577" t="s">
        <v>4393</v>
      </c>
      <c r="D577">
        <v>378</v>
      </c>
      <c r="E577">
        <v>378</v>
      </c>
      <c r="F577">
        <v>378</v>
      </c>
      <c r="G577">
        <v>378</v>
      </c>
      <c r="H577">
        <v>378</v>
      </c>
      <c r="I577" t="s">
        <v>5472</v>
      </c>
      <c r="J577">
        <v>378</v>
      </c>
      <c r="K577">
        <v>210.89</v>
      </c>
      <c r="L577">
        <v>79714.720000000001</v>
      </c>
      <c r="M577">
        <v>378</v>
      </c>
      <c r="N577">
        <v>378</v>
      </c>
    </row>
    <row r="578" spans="1:14" x14ac:dyDescent="0.2">
      <c r="A578" s="958" t="s">
        <v>6813</v>
      </c>
      <c r="B578" s="959">
        <v>45740</v>
      </c>
      <c r="C578" t="s">
        <v>5289</v>
      </c>
      <c r="D578">
        <v>2698</v>
      </c>
      <c r="E578">
        <v>2698</v>
      </c>
      <c r="F578">
        <v>2698</v>
      </c>
      <c r="G578">
        <v>2698</v>
      </c>
      <c r="H578">
        <v>2698</v>
      </c>
      <c r="I578" t="s">
        <v>5489</v>
      </c>
      <c r="J578">
        <v>2698</v>
      </c>
      <c r="K578">
        <v>127.11</v>
      </c>
      <c r="L578">
        <v>342939.54</v>
      </c>
      <c r="M578">
        <v>2698</v>
      </c>
      <c r="N578">
        <v>2690.9</v>
      </c>
    </row>
    <row r="579" spans="1:14" x14ac:dyDescent="0.2">
      <c r="A579" s="958" t="s">
        <v>6814</v>
      </c>
      <c r="B579" s="959">
        <v>45740</v>
      </c>
      <c r="C579" t="s">
        <v>4582</v>
      </c>
      <c r="D579">
        <v>3762</v>
      </c>
      <c r="E579">
        <v>3762</v>
      </c>
      <c r="F579">
        <v>3762</v>
      </c>
      <c r="G579">
        <v>3762</v>
      </c>
      <c r="H579">
        <v>3762</v>
      </c>
      <c r="I579" t="s">
        <v>5393</v>
      </c>
      <c r="J579">
        <v>3762</v>
      </c>
      <c r="K579">
        <v>42.93</v>
      </c>
      <c r="L579">
        <v>161483.85</v>
      </c>
      <c r="M579">
        <v>3762</v>
      </c>
      <c r="N579">
        <v>3762</v>
      </c>
    </row>
    <row r="580" spans="1:14" x14ac:dyDescent="0.2">
      <c r="A580" s="958" t="s">
        <v>6742</v>
      </c>
      <c r="B580" s="959">
        <v>45740</v>
      </c>
      <c r="C580" t="s">
        <v>6029</v>
      </c>
      <c r="D580">
        <v>653.4</v>
      </c>
      <c r="E580">
        <v>653.4</v>
      </c>
      <c r="F580">
        <v>653.4</v>
      </c>
      <c r="G580">
        <v>653.4</v>
      </c>
      <c r="H580">
        <v>653.4</v>
      </c>
      <c r="I580" t="s">
        <v>6036</v>
      </c>
      <c r="J580">
        <v>653.4</v>
      </c>
      <c r="K580">
        <v>99.18</v>
      </c>
      <c r="L580">
        <v>64801.599999999999</v>
      </c>
      <c r="M580">
        <v>653.4</v>
      </c>
      <c r="N580">
        <v>653.4</v>
      </c>
    </row>
    <row r="581" spans="1:14" x14ac:dyDescent="0.2">
      <c r="A581" s="958" t="s">
        <v>6815</v>
      </c>
      <c r="B581" s="959">
        <v>45740</v>
      </c>
      <c r="C581" t="s">
        <v>6816</v>
      </c>
      <c r="D581">
        <v>555.1</v>
      </c>
      <c r="E581">
        <v>555.1</v>
      </c>
      <c r="F581">
        <v>555.1</v>
      </c>
      <c r="G581">
        <v>555.1</v>
      </c>
      <c r="H581">
        <v>555.1</v>
      </c>
      <c r="I581" t="s">
        <v>6817</v>
      </c>
      <c r="J581">
        <v>555.1</v>
      </c>
      <c r="K581">
        <v>120.37</v>
      </c>
      <c r="L581">
        <v>66818.77</v>
      </c>
      <c r="M581">
        <v>555.1</v>
      </c>
      <c r="N581">
        <v>555.1</v>
      </c>
    </row>
    <row r="582" spans="1:14" x14ac:dyDescent="0.2">
      <c r="A582" s="958" t="s">
        <v>6743</v>
      </c>
      <c r="B582" s="959">
        <v>45740</v>
      </c>
      <c r="C582" t="s">
        <v>6103</v>
      </c>
      <c r="D582">
        <v>1930</v>
      </c>
      <c r="E582">
        <v>1930</v>
      </c>
      <c r="F582">
        <v>1930</v>
      </c>
      <c r="G582">
        <v>1930</v>
      </c>
      <c r="H582">
        <v>1930</v>
      </c>
      <c r="I582" t="s">
        <v>6104</v>
      </c>
      <c r="J582">
        <v>1930</v>
      </c>
      <c r="K582">
        <v>65.069999999999993</v>
      </c>
      <c r="L582">
        <v>125585.1</v>
      </c>
      <c r="M582">
        <v>1930</v>
      </c>
      <c r="N582">
        <v>1920</v>
      </c>
    </row>
    <row r="583" spans="1:14" x14ac:dyDescent="0.2">
      <c r="A583" s="958" t="s">
        <v>6744</v>
      </c>
      <c r="B583" s="959">
        <v>45740</v>
      </c>
      <c r="C583" t="s">
        <v>6818</v>
      </c>
      <c r="D583">
        <v>34.450000000000003</v>
      </c>
      <c r="E583">
        <v>34.450000000000003</v>
      </c>
      <c r="F583">
        <v>34.450000000000003</v>
      </c>
      <c r="G583">
        <v>34.450000000000003</v>
      </c>
      <c r="H583">
        <v>34.450000000000003</v>
      </c>
      <c r="I583" t="s">
        <v>6819</v>
      </c>
      <c r="J583">
        <v>34.450000000000003</v>
      </c>
      <c r="K583">
        <v>130.62</v>
      </c>
      <c r="L583">
        <v>4499.7</v>
      </c>
      <c r="M583">
        <v>34.450000000000003</v>
      </c>
      <c r="N583">
        <v>34.450000000000003</v>
      </c>
    </row>
    <row r="584" spans="1:14" x14ac:dyDescent="0.2">
      <c r="A584" s="958" t="s">
        <v>6745</v>
      </c>
      <c r="B584" s="959">
        <v>45740</v>
      </c>
      <c r="C584" t="s">
        <v>117</v>
      </c>
      <c r="D584">
        <v>330</v>
      </c>
      <c r="E584">
        <v>330</v>
      </c>
      <c r="F584">
        <v>330</v>
      </c>
      <c r="G584">
        <v>330</v>
      </c>
      <c r="H584">
        <v>330</v>
      </c>
      <c r="I584" t="s">
        <v>5424</v>
      </c>
      <c r="J584">
        <v>330</v>
      </c>
      <c r="K584">
        <v>84.1</v>
      </c>
      <c r="L584">
        <v>27752.67</v>
      </c>
      <c r="M584">
        <v>330</v>
      </c>
      <c r="N584">
        <v>330</v>
      </c>
    </row>
    <row r="585" spans="1:14" x14ac:dyDescent="0.2">
      <c r="A585" s="958" t="s">
        <v>6820</v>
      </c>
      <c r="B585" s="959">
        <v>45741</v>
      </c>
      <c r="C585" t="s">
        <v>5047</v>
      </c>
      <c r="D585">
        <v>1</v>
      </c>
      <c r="E585">
        <v>1</v>
      </c>
      <c r="F585">
        <v>1</v>
      </c>
      <c r="G585">
        <v>1</v>
      </c>
      <c r="H585">
        <v>1</v>
      </c>
      <c r="I585" t="s">
        <v>5434</v>
      </c>
      <c r="J585">
        <v>1</v>
      </c>
      <c r="K585">
        <v>1770</v>
      </c>
      <c r="L585">
        <v>1770</v>
      </c>
      <c r="M585">
        <v>1</v>
      </c>
      <c r="N585">
        <v>1</v>
      </c>
    </row>
    <row r="586" spans="1:14" x14ac:dyDescent="0.2">
      <c r="A586" s="958" t="s">
        <v>6820</v>
      </c>
      <c r="B586" s="959">
        <v>45741</v>
      </c>
      <c r="C586" t="s">
        <v>5048</v>
      </c>
      <c r="D586">
        <v>1</v>
      </c>
      <c r="E586">
        <v>1</v>
      </c>
      <c r="F586">
        <v>1</v>
      </c>
      <c r="G586">
        <v>1</v>
      </c>
      <c r="H586">
        <v>1</v>
      </c>
      <c r="I586" t="s">
        <v>5435</v>
      </c>
      <c r="J586">
        <v>1</v>
      </c>
      <c r="K586">
        <v>1860</v>
      </c>
      <c r="L586">
        <v>1860</v>
      </c>
      <c r="M586">
        <v>1</v>
      </c>
      <c r="N586">
        <v>1</v>
      </c>
    </row>
    <row r="587" spans="1:14" x14ac:dyDescent="0.2">
      <c r="A587" s="958" t="s">
        <v>6820</v>
      </c>
      <c r="B587" s="959">
        <v>45741</v>
      </c>
      <c r="C587" t="s">
        <v>5052</v>
      </c>
      <c r="D587">
        <v>1</v>
      </c>
      <c r="E587">
        <v>1</v>
      </c>
      <c r="F587">
        <v>1</v>
      </c>
      <c r="G587">
        <v>1</v>
      </c>
      <c r="H587">
        <v>1</v>
      </c>
      <c r="I587" t="s">
        <v>5438</v>
      </c>
      <c r="J587">
        <v>1</v>
      </c>
      <c r="K587">
        <v>4910</v>
      </c>
      <c r="L587">
        <v>4910</v>
      </c>
      <c r="M587">
        <v>1</v>
      </c>
      <c r="N587">
        <v>1</v>
      </c>
    </row>
    <row r="588" spans="1:14" x14ac:dyDescent="0.2">
      <c r="A588" s="958" t="s">
        <v>6820</v>
      </c>
      <c r="B588" s="959">
        <v>45741</v>
      </c>
      <c r="C588" t="s">
        <v>5053</v>
      </c>
      <c r="D588">
        <v>1</v>
      </c>
      <c r="E588">
        <v>1</v>
      </c>
      <c r="F588">
        <v>1</v>
      </c>
      <c r="G588">
        <v>1</v>
      </c>
      <c r="H588">
        <v>1</v>
      </c>
      <c r="I588" t="s">
        <v>5439</v>
      </c>
      <c r="J588">
        <v>1</v>
      </c>
      <c r="K588">
        <v>5200</v>
      </c>
      <c r="L588">
        <v>5200</v>
      </c>
      <c r="M588">
        <v>1</v>
      </c>
      <c r="N588">
        <v>1</v>
      </c>
    </row>
    <row r="589" spans="1:14" x14ac:dyDescent="0.2">
      <c r="A589" s="958" t="s">
        <v>6820</v>
      </c>
      <c r="B589" s="959">
        <v>45741</v>
      </c>
      <c r="C589" t="s">
        <v>5054</v>
      </c>
      <c r="D589">
        <v>1</v>
      </c>
      <c r="E589">
        <v>1</v>
      </c>
      <c r="F589">
        <v>1</v>
      </c>
      <c r="G589">
        <v>1</v>
      </c>
      <c r="H589">
        <v>1</v>
      </c>
      <c r="I589" t="s">
        <v>5440</v>
      </c>
      <c r="J589">
        <v>1</v>
      </c>
      <c r="K589">
        <v>5900</v>
      </c>
      <c r="L589">
        <v>5900</v>
      </c>
      <c r="M589">
        <v>1</v>
      </c>
      <c r="N589">
        <v>1</v>
      </c>
    </row>
    <row r="590" spans="1:14" x14ac:dyDescent="0.2">
      <c r="A590" s="958" t="s">
        <v>6820</v>
      </c>
      <c r="B590" s="959">
        <v>45741</v>
      </c>
      <c r="C590" t="s">
        <v>6821</v>
      </c>
      <c r="D590">
        <v>6</v>
      </c>
      <c r="E590">
        <v>6</v>
      </c>
      <c r="F590">
        <v>6</v>
      </c>
      <c r="G590">
        <v>6</v>
      </c>
      <c r="H590">
        <v>6</v>
      </c>
      <c r="I590" t="s">
        <v>6822</v>
      </c>
      <c r="J590">
        <v>6</v>
      </c>
      <c r="K590">
        <v>560</v>
      </c>
      <c r="L590">
        <v>3360</v>
      </c>
      <c r="M590">
        <v>6</v>
      </c>
    </row>
    <row r="591" spans="1:14" x14ac:dyDescent="0.2">
      <c r="A591" s="958" t="s">
        <v>6746</v>
      </c>
      <c r="B591" s="959">
        <v>45744</v>
      </c>
      <c r="C591" t="s">
        <v>4727</v>
      </c>
      <c r="D591">
        <v>198</v>
      </c>
      <c r="E591">
        <v>198</v>
      </c>
      <c r="F591">
        <v>198</v>
      </c>
      <c r="G591">
        <v>198</v>
      </c>
      <c r="H591">
        <v>198</v>
      </c>
      <c r="I591" t="s">
        <v>5366</v>
      </c>
      <c r="J591">
        <v>198</v>
      </c>
      <c r="K591">
        <v>88.18</v>
      </c>
      <c r="L591">
        <v>17459.439999999999</v>
      </c>
      <c r="M591">
        <v>198</v>
      </c>
      <c r="N591">
        <v>198</v>
      </c>
    </row>
    <row r="592" spans="1:14" x14ac:dyDescent="0.2">
      <c r="A592" s="958" t="s">
        <v>6747</v>
      </c>
      <c r="B592" s="959">
        <v>45747</v>
      </c>
      <c r="C592" t="s">
        <v>3942</v>
      </c>
      <c r="D592">
        <v>1029</v>
      </c>
      <c r="E592">
        <v>1029</v>
      </c>
      <c r="F592">
        <v>1029</v>
      </c>
      <c r="G592">
        <v>1029</v>
      </c>
      <c r="H592">
        <v>1029</v>
      </c>
      <c r="I592" t="s">
        <v>6511</v>
      </c>
      <c r="J592">
        <v>1029</v>
      </c>
      <c r="K592">
        <v>58.77</v>
      </c>
      <c r="L592">
        <v>60477.42</v>
      </c>
      <c r="M592">
        <v>1029</v>
      </c>
      <c r="N592">
        <v>1021.65</v>
      </c>
    </row>
    <row r="593" spans="1:14" x14ac:dyDescent="0.2">
      <c r="A593" s="958" t="s">
        <v>6823</v>
      </c>
      <c r="B593" s="959">
        <v>45747</v>
      </c>
      <c r="C593" t="s">
        <v>1472</v>
      </c>
      <c r="D593">
        <v>114</v>
      </c>
      <c r="E593">
        <v>114</v>
      </c>
      <c r="F593">
        <v>114</v>
      </c>
      <c r="G593">
        <v>114</v>
      </c>
      <c r="H593">
        <v>114</v>
      </c>
      <c r="I593" t="s">
        <v>5448</v>
      </c>
      <c r="J593">
        <v>114</v>
      </c>
      <c r="K593">
        <v>200.01</v>
      </c>
      <c r="L593">
        <v>22801.599999999999</v>
      </c>
      <c r="M593">
        <v>114</v>
      </c>
    </row>
    <row r="594" spans="1:14" x14ac:dyDescent="0.2">
      <c r="A594" s="958" t="s">
        <v>6748</v>
      </c>
      <c r="B594" s="959">
        <v>45747</v>
      </c>
      <c r="C594" t="s">
        <v>6824</v>
      </c>
      <c r="D594">
        <v>336</v>
      </c>
      <c r="E594">
        <v>336</v>
      </c>
      <c r="F594">
        <v>336</v>
      </c>
      <c r="G594">
        <v>336</v>
      </c>
      <c r="H594">
        <v>336</v>
      </c>
      <c r="I594" t="s">
        <v>6825</v>
      </c>
      <c r="J594">
        <v>336</v>
      </c>
      <c r="K594">
        <v>205.66</v>
      </c>
      <c r="L594">
        <v>69101.759999999995</v>
      </c>
      <c r="M594">
        <v>336</v>
      </c>
      <c r="N594">
        <v>336</v>
      </c>
    </row>
    <row r="595" spans="1:14" x14ac:dyDescent="0.2">
      <c r="A595" s="958" t="s">
        <v>6751</v>
      </c>
      <c r="B595" s="959">
        <v>45747</v>
      </c>
      <c r="C595" t="s">
        <v>6030</v>
      </c>
      <c r="D595">
        <v>1095.05</v>
      </c>
      <c r="E595">
        <v>1095.05</v>
      </c>
      <c r="F595">
        <v>1095.05</v>
      </c>
      <c r="G595">
        <v>1095.05</v>
      </c>
      <c r="H595">
        <v>1095.05</v>
      </c>
      <c r="I595" t="s">
        <v>6037</v>
      </c>
      <c r="J595">
        <v>1095.05</v>
      </c>
      <c r="K595">
        <v>85.42</v>
      </c>
      <c r="L595">
        <v>93541.36</v>
      </c>
      <c r="M595">
        <v>1095.05</v>
      </c>
      <c r="N595">
        <v>1095.05</v>
      </c>
    </row>
    <row r="596" spans="1:14" x14ac:dyDescent="0.2">
      <c r="A596" s="958" t="s">
        <v>6826</v>
      </c>
      <c r="B596" s="959">
        <v>45747</v>
      </c>
      <c r="C596" t="s">
        <v>5158</v>
      </c>
      <c r="D596">
        <v>172.8</v>
      </c>
      <c r="E596">
        <v>172.8</v>
      </c>
      <c r="F596">
        <v>172.8</v>
      </c>
      <c r="G596">
        <v>172.8</v>
      </c>
      <c r="H596">
        <v>172.8</v>
      </c>
      <c r="I596" t="s">
        <v>5460</v>
      </c>
      <c r="J596">
        <v>172.8</v>
      </c>
      <c r="K596">
        <v>159.21</v>
      </c>
      <c r="L596">
        <v>27512.11</v>
      </c>
      <c r="M596">
        <v>172.8</v>
      </c>
      <c r="N596">
        <v>172.8</v>
      </c>
    </row>
    <row r="597" spans="1:14" x14ac:dyDescent="0.2">
      <c r="A597" s="958" t="s">
        <v>6750</v>
      </c>
      <c r="B597" s="959">
        <v>45747</v>
      </c>
      <c r="C597" t="s">
        <v>4582</v>
      </c>
      <c r="D597">
        <v>552</v>
      </c>
      <c r="E597">
        <v>552</v>
      </c>
      <c r="F597">
        <v>552</v>
      </c>
      <c r="G597">
        <v>552</v>
      </c>
      <c r="H597">
        <v>552</v>
      </c>
      <c r="I597" t="s">
        <v>5393</v>
      </c>
      <c r="J597">
        <v>552</v>
      </c>
      <c r="K597">
        <v>42.93</v>
      </c>
      <c r="L597">
        <v>23694.6</v>
      </c>
      <c r="M597">
        <v>552</v>
      </c>
      <c r="N597">
        <v>552</v>
      </c>
    </row>
    <row r="598" spans="1:14" x14ac:dyDescent="0.2">
      <c r="A598" s="958" t="s">
        <v>6827</v>
      </c>
      <c r="B598" s="959">
        <v>45747</v>
      </c>
      <c r="C598" t="s">
        <v>4590</v>
      </c>
      <c r="D598">
        <v>288</v>
      </c>
      <c r="E598">
        <v>288</v>
      </c>
      <c r="F598">
        <v>288</v>
      </c>
      <c r="G598">
        <v>288</v>
      </c>
      <c r="H598">
        <v>288</v>
      </c>
      <c r="I598" t="s">
        <v>5383</v>
      </c>
      <c r="J598">
        <v>288</v>
      </c>
      <c r="K598">
        <v>193.59</v>
      </c>
      <c r="L598">
        <v>55753.919999999998</v>
      </c>
      <c r="M598">
        <v>288</v>
      </c>
      <c r="N598">
        <v>288</v>
      </c>
    </row>
    <row r="599" spans="1:14" x14ac:dyDescent="0.2">
      <c r="A599" s="958" t="s">
        <v>6828</v>
      </c>
      <c r="B599" s="959">
        <v>45748</v>
      </c>
      <c r="C599" t="s">
        <v>5403</v>
      </c>
      <c r="D599">
        <v>2580</v>
      </c>
      <c r="E599">
        <v>2580</v>
      </c>
      <c r="F599">
        <v>2580</v>
      </c>
      <c r="G599">
        <v>2580</v>
      </c>
      <c r="H599">
        <v>1554</v>
      </c>
      <c r="I599" t="s">
        <v>5404</v>
      </c>
      <c r="J599">
        <v>2580</v>
      </c>
      <c r="K599">
        <v>39.06</v>
      </c>
      <c r="L599">
        <v>100774.8</v>
      </c>
      <c r="M599">
        <v>1554</v>
      </c>
      <c r="N599">
        <v>1440</v>
      </c>
    </row>
    <row r="600" spans="1:14" x14ac:dyDescent="0.2">
      <c r="A600" s="958" t="s">
        <v>6828</v>
      </c>
      <c r="B600" s="959">
        <v>45748</v>
      </c>
      <c r="C600" t="s">
        <v>5401</v>
      </c>
      <c r="D600">
        <v>1008</v>
      </c>
      <c r="E600">
        <v>1008</v>
      </c>
      <c r="F600">
        <v>1008</v>
      </c>
      <c r="G600">
        <v>1008</v>
      </c>
      <c r="H600">
        <v>336</v>
      </c>
      <c r="I600" t="s">
        <v>5402</v>
      </c>
      <c r="J600">
        <v>1008</v>
      </c>
      <c r="K600">
        <v>61.31</v>
      </c>
      <c r="L600">
        <v>61798.46</v>
      </c>
      <c r="M600">
        <v>336</v>
      </c>
      <c r="N600">
        <v>336</v>
      </c>
    </row>
    <row r="601" spans="1:14" x14ac:dyDescent="0.2">
      <c r="A601" s="958" t="s">
        <v>6828</v>
      </c>
      <c r="B601" s="959">
        <v>45748</v>
      </c>
      <c r="C601" t="s">
        <v>5367</v>
      </c>
      <c r="D601">
        <v>4374</v>
      </c>
      <c r="E601">
        <v>4374</v>
      </c>
      <c r="F601">
        <v>4374</v>
      </c>
      <c r="G601">
        <v>4374</v>
      </c>
      <c r="H601">
        <v>4374</v>
      </c>
      <c r="I601" t="s">
        <v>5368</v>
      </c>
      <c r="J601">
        <v>4374</v>
      </c>
      <c r="K601">
        <v>36.18</v>
      </c>
      <c r="L601">
        <v>158251.32</v>
      </c>
      <c r="M601">
        <v>4374</v>
      </c>
      <c r="N601">
        <v>2496</v>
      </c>
    </row>
    <row r="602" spans="1:14" x14ac:dyDescent="0.2">
      <c r="A602" s="958" t="s">
        <v>6829</v>
      </c>
      <c r="B602" s="959">
        <v>45749</v>
      </c>
      <c r="C602" t="s">
        <v>4727</v>
      </c>
      <c r="D602">
        <v>330</v>
      </c>
      <c r="E602">
        <v>330</v>
      </c>
      <c r="F602">
        <v>330</v>
      </c>
      <c r="G602">
        <v>330</v>
      </c>
      <c r="H602">
        <v>330</v>
      </c>
      <c r="I602" t="s">
        <v>5366</v>
      </c>
      <c r="J602">
        <v>330</v>
      </c>
      <c r="K602">
        <v>88.18</v>
      </c>
      <c r="L602">
        <v>29099.07</v>
      </c>
      <c r="M602">
        <v>330</v>
      </c>
      <c r="N602">
        <v>330</v>
      </c>
    </row>
    <row r="603" spans="1:14" x14ac:dyDescent="0.2">
      <c r="A603" s="958" t="s">
        <v>6830</v>
      </c>
      <c r="B603" s="959">
        <v>45749</v>
      </c>
      <c r="C603" t="s">
        <v>4973</v>
      </c>
      <c r="D603">
        <v>5000</v>
      </c>
      <c r="E603">
        <v>5000</v>
      </c>
      <c r="F603">
        <v>5000</v>
      </c>
      <c r="G603">
        <v>5000</v>
      </c>
      <c r="H603">
        <v>5000</v>
      </c>
      <c r="I603" t="s">
        <v>6831</v>
      </c>
      <c r="J603">
        <v>5000</v>
      </c>
      <c r="K603">
        <v>51.61</v>
      </c>
      <c r="L603">
        <v>258050</v>
      </c>
      <c r="M603">
        <v>5000</v>
      </c>
      <c r="N603">
        <v>5000</v>
      </c>
    </row>
    <row r="604" spans="1:14" x14ac:dyDescent="0.2">
      <c r="A604" s="958" t="s">
        <v>6832</v>
      </c>
      <c r="B604" s="959">
        <v>45749</v>
      </c>
      <c r="C604" t="s">
        <v>6833</v>
      </c>
      <c r="D604">
        <v>636</v>
      </c>
      <c r="I604" t="s">
        <v>6834</v>
      </c>
      <c r="J604">
        <v>636</v>
      </c>
      <c r="K604">
        <v>109.62</v>
      </c>
      <c r="L604">
        <v>69715.78</v>
      </c>
    </row>
    <row r="605" spans="1:14" x14ac:dyDescent="0.2">
      <c r="A605" s="958" t="s">
        <v>6835</v>
      </c>
      <c r="B605" s="959">
        <v>45749</v>
      </c>
      <c r="C605" t="s">
        <v>6836</v>
      </c>
      <c r="D605">
        <v>60</v>
      </c>
      <c r="E605">
        <v>60</v>
      </c>
      <c r="F605">
        <v>60</v>
      </c>
      <c r="G605">
        <v>60</v>
      </c>
      <c r="H605">
        <v>60</v>
      </c>
      <c r="I605" t="s">
        <v>6837</v>
      </c>
      <c r="J605">
        <v>60</v>
      </c>
      <c r="K605">
        <v>394.17</v>
      </c>
      <c r="L605">
        <v>23650</v>
      </c>
      <c r="M605">
        <v>60</v>
      </c>
      <c r="N605">
        <v>60</v>
      </c>
    </row>
    <row r="606" spans="1:14" x14ac:dyDescent="0.2">
      <c r="A606" s="958" t="s">
        <v>6757</v>
      </c>
      <c r="B606" s="959">
        <v>45750</v>
      </c>
      <c r="C606" t="s">
        <v>5490</v>
      </c>
      <c r="D606">
        <v>905</v>
      </c>
      <c r="I606" t="s">
        <v>5491</v>
      </c>
      <c r="J606">
        <v>905</v>
      </c>
      <c r="K606">
        <v>98</v>
      </c>
      <c r="L606">
        <v>88690</v>
      </c>
    </row>
    <row r="607" spans="1:14" x14ac:dyDescent="0.2">
      <c r="A607" s="958" t="s">
        <v>6890</v>
      </c>
      <c r="B607" s="959">
        <v>45750</v>
      </c>
      <c r="C607" t="s">
        <v>4867</v>
      </c>
      <c r="D607">
        <v>596.04999999999995</v>
      </c>
      <c r="I607" t="s">
        <v>6462</v>
      </c>
      <c r="J607">
        <v>596.04999999999995</v>
      </c>
      <c r="K607">
        <v>99</v>
      </c>
      <c r="L607">
        <v>59008.95</v>
      </c>
    </row>
    <row r="608" spans="1:14" x14ac:dyDescent="0.2">
      <c r="A608" s="958" t="s">
        <v>6891</v>
      </c>
      <c r="B608" s="959">
        <v>45750</v>
      </c>
      <c r="C608" t="s">
        <v>3678</v>
      </c>
      <c r="D608">
        <v>573</v>
      </c>
      <c r="I608" t="s">
        <v>5461</v>
      </c>
      <c r="J608">
        <v>573</v>
      </c>
      <c r="K608">
        <v>395.76</v>
      </c>
      <c r="L608">
        <v>226770.48</v>
      </c>
    </row>
    <row r="609" spans="1:12" x14ac:dyDescent="0.2">
      <c r="A609" s="958" t="s">
        <v>6892</v>
      </c>
      <c r="B609" s="959">
        <v>45750</v>
      </c>
      <c r="C609" t="s">
        <v>6008</v>
      </c>
      <c r="D609">
        <v>828.2</v>
      </c>
      <c r="I609" t="s">
        <v>5400</v>
      </c>
      <c r="J609">
        <v>828.2</v>
      </c>
      <c r="K609">
        <v>123.27</v>
      </c>
      <c r="L609">
        <v>102093.46</v>
      </c>
    </row>
    <row r="610" spans="1:12" x14ac:dyDescent="0.2">
      <c r="A610" s="958" t="s">
        <v>6893</v>
      </c>
      <c r="B610" s="959">
        <v>45750</v>
      </c>
      <c r="C610" t="s">
        <v>5862</v>
      </c>
      <c r="D610">
        <v>354</v>
      </c>
      <c r="I610" t="s">
        <v>5831</v>
      </c>
      <c r="J610">
        <v>354</v>
      </c>
      <c r="K610">
        <v>153.15</v>
      </c>
      <c r="L610">
        <v>54216.160000000003</v>
      </c>
    </row>
    <row r="611" spans="1:12" x14ac:dyDescent="0.2">
      <c r="A611" s="958" t="s">
        <v>6894</v>
      </c>
      <c r="B611" s="959">
        <v>45751</v>
      </c>
      <c r="C611" t="s">
        <v>6895</v>
      </c>
      <c r="D611">
        <v>9.9600000000000009</v>
      </c>
      <c r="I611" t="s">
        <v>6896</v>
      </c>
      <c r="J611">
        <v>9.9600000000000009</v>
      </c>
      <c r="K611">
        <v>397</v>
      </c>
      <c r="L611">
        <v>3954.12</v>
      </c>
    </row>
    <row r="612" spans="1:12" x14ac:dyDescent="0.2">
      <c r="A612" s="958" t="s">
        <v>6894</v>
      </c>
      <c r="B612" s="959">
        <v>45751</v>
      </c>
      <c r="C612" t="s">
        <v>6897</v>
      </c>
      <c r="D612">
        <v>32.76</v>
      </c>
      <c r="I612" t="s">
        <v>6898</v>
      </c>
      <c r="J612">
        <v>32.76</v>
      </c>
      <c r="K612">
        <v>397</v>
      </c>
      <c r="L612">
        <v>13005.72</v>
      </c>
    </row>
    <row r="613" spans="1:12" x14ac:dyDescent="0.2">
      <c r="A613" s="958" t="s">
        <v>6894</v>
      </c>
      <c r="B613" s="959">
        <v>45751</v>
      </c>
      <c r="C613" t="s">
        <v>6899</v>
      </c>
      <c r="D613">
        <v>20.04</v>
      </c>
      <c r="I613" t="s">
        <v>6900</v>
      </c>
      <c r="J613">
        <v>20.04</v>
      </c>
      <c r="K613">
        <v>397</v>
      </c>
      <c r="L613">
        <v>7955.88</v>
      </c>
    </row>
    <row r="614" spans="1:12" x14ac:dyDescent="0.2">
      <c r="A614" s="958" t="s">
        <v>6894</v>
      </c>
      <c r="B614" s="959">
        <v>45751</v>
      </c>
      <c r="C614" t="s">
        <v>6901</v>
      </c>
      <c r="D614">
        <v>11.82</v>
      </c>
      <c r="I614" t="s">
        <v>6902</v>
      </c>
      <c r="J614">
        <v>11.82</v>
      </c>
      <c r="K614">
        <v>397</v>
      </c>
      <c r="L614">
        <v>4692.54</v>
      </c>
    </row>
    <row r="615" spans="1:12" x14ac:dyDescent="0.2">
      <c r="A615" s="958" t="s">
        <v>6894</v>
      </c>
      <c r="B615" s="959">
        <v>45751</v>
      </c>
      <c r="C615" t="s">
        <v>6903</v>
      </c>
      <c r="D615">
        <v>4.68</v>
      </c>
      <c r="I615" t="s">
        <v>6904</v>
      </c>
      <c r="J615">
        <v>4.68</v>
      </c>
      <c r="K615">
        <v>397</v>
      </c>
      <c r="L615">
        <v>1857.96</v>
      </c>
    </row>
    <row r="616" spans="1:12" x14ac:dyDescent="0.2">
      <c r="A616" s="958" t="s">
        <v>6894</v>
      </c>
      <c r="B616" s="959">
        <v>45751</v>
      </c>
      <c r="C616" t="s">
        <v>6905</v>
      </c>
      <c r="D616">
        <v>5.46</v>
      </c>
      <c r="I616" t="s">
        <v>6906</v>
      </c>
      <c r="J616">
        <v>5.46</v>
      </c>
      <c r="K616">
        <v>397</v>
      </c>
      <c r="L616">
        <v>2167.62</v>
      </c>
    </row>
    <row r="617" spans="1:12" x14ac:dyDescent="0.2">
      <c r="A617" s="958" t="s">
        <v>6894</v>
      </c>
      <c r="B617" s="959">
        <v>45751</v>
      </c>
      <c r="C617" t="s">
        <v>6907</v>
      </c>
      <c r="D617">
        <v>21.84</v>
      </c>
      <c r="I617" t="s">
        <v>6908</v>
      </c>
      <c r="J617">
        <v>21.84</v>
      </c>
      <c r="K617">
        <v>397</v>
      </c>
      <c r="L617">
        <v>8670.48</v>
      </c>
    </row>
    <row r="618" spans="1:12" x14ac:dyDescent="0.2">
      <c r="A618" s="958" t="s">
        <v>6894</v>
      </c>
      <c r="B618" s="959">
        <v>45751</v>
      </c>
      <c r="C618" t="s">
        <v>6909</v>
      </c>
      <c r="D618">
        <v>20.04</v>
      </c>
      <c r="I618" t="s">
        <v>6910</v>
      </c>
      <c r="J618">
        <v>20.04</v>
      </c>
      <c r="K618">
        <v>397</v>
      </c>
      <c r="L618">
        <v>7955.88</v>
      </c>
    </row>
    <row r="619" spans="1:12" x14ac:dyDescent="0.2">
      <c r="A619" s="958" t="s">
        <v>6894</v>
      </c>
      <c r="B619" s="959">
        <v>45751</v>
      </c>
      <c r="C619" t="s">
        <v>6911</v>
      </c>
      <c r="D619">
        <v>14.88</v>
      </c>
      <c r="I619" t="s">
        <v>6912</v>
      </c>
      <c r="J619">
        <v>14.88</v>
      </c>
      <c r="K619">
        <v>397</v>
      </c>
      <c r="L619">
        <v>5907.36</v>
      </c>
    </row>
    <row r="620" spans="1:12" x14ac:dyDescent="0.2">
      <c r="A620" s="958" t="s">
        <v>6894</v>
      </c>
      <c r="B620" s="959">
        <v>45751</v>
      </c>
      <c r="C620" t="s">
        <v>6913</v>
      </c>
      <c r="D620">
        <v>28.2</v>
      </c>
      <c r="I620" t="s">
        <v>6914</v>
      </c>
      <c r="J620">
        <v>28.2</v>
      </c>
      <c r="K620">
        <v>397</v>
      </c>
      <c r="L620">
        <v>11195.4</v>
      </c>
    </row>
    <row r="621" spans="1:12" x14ac:dyDescent="0.2">
      <c r="A621" s="958" t="s">
        <v>6894</v>
      </c>
      <c r="B621" s="959">
        <v>45751</v>
      </c>
      <c r="C621" t="s">
        <v>6915</v>
      </c>
      <c r="D621">
        <v>28.2</v>
      </c>
      <c r="I621" t="s">
        <v>6916</v>
      </c>
      <c r="J621">
        <v>28.2</v>
      </c>
      <c r="K621">
        <v>397</v>
      </c>
      <c r="L621">
        <v>11195.4</v>
      </c>
    </row>
    <row r="622" spans="1:12" x14ac:dyDescent="0.2">
      <c r="A622" s="958" t="s">
        <v>6894</v>
      </c>
      <c r="B622" s="959">
        <v>45751</v>
      </c>
      <c r="C622" t="s">
        <v>6917</v>
      </c>
      <c r="D622">
        <v>90.16</v>
      </c>
      <c r="I622" t="s">
        <v>6918</v>
      </c>
      <c r="J622">
        <v>90.16</v>
      </c>
      <c r="K622">
        <v>397</v>
      </c>
      <c r="L622">
        <v>35793.519999999997</v>
      </c>
    </row>
    <row r="623" spans="1:12" x14ac:dyDescent="0.2">
      <c r="A623" s="958" t="s">
        <v>6894</v>
      </c>
      <c r="B623" s="959">
        <v>45751</v>
      </c>
      <c r="C623" t="s">
        <v>6919</v>
      </c>
      <c r="D623">
        <v>3.56</v>
      </c>
      <c r="I623" t="s">
        <v>6920</v>
      </c>
      <c r="J623">
        <v>3.56</v>
      </c>
      <c r="K623">
        <v>397</v>
      </c>
      <c r="L623">
        <v>1413.32</v>
      </c>
    </row>
    <row r="624" spans="1:12" x14ac:dyDescent="0.2">
      <c r="A624" s="958" t="s">
        <v>6894</v>
      </c>
      <c r="B624" s="959">
        <v>45751</v>
      </c>
      <c r="C624" t="s">
        <v>6921</v>
      </c>
      <c r="D624">
        <v>16.64</v>
      </c>
      <c r="I624" t="s">
        <v>6922</v>
      </c>
      <c r="J624">
        <v>16.64</v>
      </c>
      <c r="K624">
        <v>397</v>
      </c>
      <c r="L624">
        <v>6606.08</v>
      </c>
    </row>
    <row r="625" spans="1:12" x14ac:dyDescent="0.2">
      <c r="A625" s="958" t="s">
        <v>6894</v>
      </c>
      <c r="B625" s="959">
        <v>45751</v>
      </c>
      <c r="C625" t="s">
        <v>6923</v>
      </c>
      <c r="D625">
        <v>2.12</v>
      </c>
      <c r="I625" t="s">
        <v>6924</v>
      </c>
      <c r="J625">
        <v>2.12</v>
      </c>
      <c r="K625">
        <v>397</v>
      </c>
      <c r="L625">
        <v>841.64</v>
      </c>
    </row>
    <row r="626" spans="1:12" x14ac:dyDescent="0.2">
      <c r="A626" s="958" t="s">
        <v>6894</v>
      </c>
      <c r="B626" s="959">
        <v>45751</v>
      </c>
      <c r="C626" t="s">
        <v>6925</v>
      </c>
      <c r="D626">
        <v>15.84</v>
      </c>
      <c r="I626" t="s">
        <v>6926</v>
      </c>
      <c r="J626">
        <v>15.84</v>
      </c>
      <c r="K626">
        <v>397</v>
      </c>
      <c r="L626">
        <v>6288.48</v>
      </c>
    </row>
    <row r="627" spans="1:12" x14ac:dyDescent="0.2">
      <c r="A627" s="958" t="s">
        <v>6894</v>
      </c>
      <c r="B627" s="959">
        <v>45751</v>
      </c>
      <c r="C627" t="s">
        <v>6927</v>
      </c>
      <c r="D627">
        <v>7.44</v>
      </c>
      <c r="I627" t="s">
        <v>6928</v>
      </c>
      <c r="J627">
        <v>7.44</v>
      </c>
      <c r="K627">
        <v>397</v>
      </c>
      <c r="L627">
        <v>2953.68</v>
      </c>
    </row>
    <row r="628" spans="1:12" x14ac:dyDescent="0.2">
      <c r="A628" s="958" t="s">
        <v>6894</v>
      </c>
      <c r="B628" s="959">
        <v>45751</v>
      </c>
      <c r="C628" t="s">
        <v>6929</v>
      </c>
      <c r="D628">
        <v>9.81</v>
      </c>
      <c r="I628" t="s">
        <v>6930</v>
      </c>
      <c r="J628">
        <v>9.81</v>
      </c>
      <c r="K628">
        <v>397</v>
      </c>
      <c r="L628">
        <v>3894.57</v>
      </c>
    </row>
    <row r="629" spans="1:12" x14ac:dyDescent="0.2">
      <c r="A629" s="958" t="s">
        <v>6894</v>
      </c>
      <c r="B629" s="959">
        <v>45751</v>
      </c>
      <c r="C629" t="s">
        <v>6931</v>
      </c>
      <c r="D629">
        <v>53.85</v>
      </c>
      <c r="I629" t="s">
        <v>6932</v>
      </c>
      <c r="J629">
        <v>53.85</v>
      </c>
      <c r="K629">
        <v>397</v>
      </c>
      <c r="L629">
        <v>21378.45</v>
      </c>
    </row>
    <row r="630" spans="1:12" x14ac:dyDescent="0.2">
      <c r="A630" s="958" t="s">
        <v>6894</v>
      </c>
      <c r="B630" s="959">
        <v>45751</v>
      </c>
      <c r="C630" t="s">
        <v>6933</v>
      </c>
      <c r="D630">
        <v>39.479999999999997</v>
      </c>
      <c r="I630" t="s">
        <v>6934</v>
      </c>
      <c r="J630">
        <v>39.479999999999997</v>
      </c>
      <c r="K630">
        <v>397</v>
      </c>
      <c r="L630">
        <v>15673.56</v>
      </c>
    </row>
    <row r="631" spans="1:12" x14ac:dyDescent="0.2">
      <c r="A631" s="958" t="s">
        <v>6894</v>
      </c>
      <c r="B631" s="959">
        <v>45751</v>
      </c>
      <c r="C631" t="s">
        <v>6935</v>
      </c>
      <c r="D631">
        <v>11.67</v>
      </c>
      <c r="I631" t="s">
        <v>6936</v>
      </c>
      <c r="J631">
        <v>11.67</v>
      </c>
      <c r="K631">
        <v>397</v>
      </c>
      <c r="L631">
        <v>4632.99</v>
      </c>
    </row>
    <row r="632" spans="1:12" x14ac:dyDescent="0.2">
      <c r="A632" s="958" t="s">
        <v>6894</v>
      </c>
      <c r="B632" s="959">
        <v>45751</v>
      </c>
      <c r="C632" t="s">
        <v>6937</v>
      </c>
      <c r="D632">
        <v>4.53</v>
      </c>
      <c r="I632" t="s">
        <v>6938</v>
      </c>
      <c r="J632">
        <v>4.53</v>
      </c>
      <c r="K632">
        <v>397</v>
      </c>
      <c r="L632">
        <v>1798.41</v>
      </c>
    </row>
    <row r="633" spans="1:12" x14ac:dyDescent="0.2">
      <c r="A633" s="958" t="s">
        <v>6894</v>
      </c>
      <c r="B633" s="959">
        <v>45751</v>
      </c>
      <c r="C633" t="s">
        <v>6939</v>
      </c>
      <c r="D633">
        <v>5.31</v>
      </c>
      <c r="I633" t="s">
        <v>6940</v>
      </c>
      <c r="J633">
        <v>5.31</v>
      </c>
      <c r="K633">
        <v>397</v>
      </c>
      <c r="L633">
        <v>2108.0700000000002</v>
      </c>
    </row>
    <row r="634" spans="1:12" x14ac:dyDescent="0.2">
      <c r="A634" s="958" t="s">
        <v>6894</v>
      </c>
      <c r="B634" s="959">
        <v>45751</v>
      </c>
      <c r="C634" t="s">
        <v>6941</v>
      </c>
      <c r="D634">
        <v>14.73</v>
      </c>
      <c r="I634" t="s">
        <v>6942</v>
      </c>
      <c r="J634">
        <v>14.73</v>
      </c>
      <c r="K634">
        <v>397</v>
      </c>
      <c r="L634">
        <v>5847.81</v>
      </c>
    </row>
    <row r="635" spans="1:12" x14ac:dyDescent="0.2">
      <c r="A635" s="958" t="s">
        <v>6894</v>
      </c>
      <c r="B635" s="959">
        <v>45751</v>
      </c>
      <c r="C635" t="s">
        <v>6943</v>
      </c>
      <c r="D635">
        <v>55.12</v>
      </c>
      <c r="I635" t="s">
        <v>6944</v>
      </c>
      <c r="J635">
        <v>55.12</v>
      </c>
      <c r="K635">
        <v>397</v>
      </c>
      <c r="L635">
        <v>21882.639999999999</v>
      </c>
    </row>
    <row r="636" spans="1:12" x14ac:dyDescent="0.2">
      <c r="A636" s="958" t="s">
        <v>6894</v>
      </c>
      <c r="B636" s="959">
        <v>45751</v>
      </c>
      <c r="C636" t="s">
        <v>6945</v>
      </c>
      <c r="D636">
        <v>86.24</v>
      </c>
      <c r="I636" t="s">
        <v>6946</v>
      </c>
      <c r="J636">
        <v>86.24</v>
      </c>
      <c r="K636">
        <v>397</v>
      </c>
      <c r="L636">
        <v>34237.279999999999</v>
      </c>
    </row>
    <row r="637" spans="1:12" x14ac:dyDescent="0.2">
      <c r="A637" s="958" t="s">
        <v>6894</v>
      </c>
      <c r="B637" s="959">
        <v>45751</v>
      </c>
      <c r="C637" t="s">
        <v>6947</v>
      </c>
      <c r="D637">
        <v>3.42</v>
      </c>
      <c r="I637" t="s">
        <v>6948</v>
      </c>
      <c r="J637">
        <v>3.42</v>
      </c>
      <c r="K637">
        <v>397</v>
      </c>
      <c r="L637">
        <v>1357.74</v>
      </c>
    </row>
    <row r="638" spans="1:12" x14ac:dyDescent="0.2">
      <c r="A638" s="958" t="s">
        <v>6894</v>
      </c>
      <c r="B638" s="959">
        <v>45751</v>
      </c>
      <c r="C638" t="s">
        <v>6949</v>
      </c>
      <c r="D638">
        <v>16.079999999999998</v>
      </c>
      <c r="I638" t="s">
        <v>6950</v>
      </c>
      <c r="J638">
        <v>16.079999999999998</v>
      </c>
      <c r="K638">
        <v>397</v>
      </c>
      <c r="L638">
        <v>6383.76</v>
      </c>
    </row>
    <row r="639" spans="1:12" x14ac:dyDescent="0.2">
      <c r="A639" s="958" t="s">
        <v>6894</v>
      </c>
      <c r="B639" s="959">
        <v>45751</v>
      </c>
      <c r="C639" t="s">
        <v>6951</v>
      </c>
      <c r="D639">
        <v>1.98</v>
      </c>
      <c r="I639" t="s">
        <v>6952</v>
      </c>
      <c r="J639">
        <v>1.98</v>
      </c>
      <c r="K639">
        <v>397</v>
      </c>
      <c r="L639">
        <v>786.06</v>
      </c>
    </row>
    <row r="640" spans="1:12" x14ac:dyDescent="0.2">
      <c r="A640" s="958" t="s">
        <v>6894</v>
      </c>
      <c r="B640" s="959">
        <v>45751</v>
      </c>
      <c r="C640" t="s">
        <v>6953</v>
      </c>
      <c r="D640">
        <v>15.56</v>
      </c>
      <c r="I640" t="s">
        <v>6954</v>
      </c>
      <c r="J640">
        <v>15.56</v>
      </c>
      <c r="K640">
        <v>397</v>
      </c>
      <c r="L640">
        <v>6177.32</v>
      </c>
    </row>
    <row r="641" spans="1:12" x14ac:dyDescent="0.2">
      <c r="A641" s="958" t="s">
        <v>6894</v>
      </c>
      <c r="B641" s="959">
        <v>45751</v>
      </c>
      <c r="C641" t="s">
        <v>6955</v>
      </c>
      <c r="D641">
        <v>7.16</v>
      </c>
      <c r="I641" t="s">
        <v>6956</v>
      </c>
      <c r="J641">
        <v>7.16</v>
      </c>
      <c r="K641">
        <v>397</v>
      </c>
      <c r="L641">
        <v>2842.52</v>
      </c>
    </row>
    <row r="642" spans="1:12" x14ac:dyDescent="0.2">
      <c r="A642" s="958" t="s">
        <v>6894</v>
      </c>
      <c r="B642" s="959">
        <v>45751</v>
      </c>
      <c r="C642" t="s">
        <v>6957</v>
      </c>
      <c r="D642">
        <v>9.81</v>
      </c>
      <c r="I642" t="s">
        <v>6958</v>
      </c>
      <c r="J642">
        <v>9.81</v>
      </c>
      <c r="K642">
        <v>397</v>
      </c>
      <c r="L642">
        <v>3894.57</v>
      </c>
    </row>
    <row r="643" spans="1:12" x14ac:dyDescent="0.2">
      <c r="A643" s="958" t="s">
        <v>6894</v>
      </c>
      <c r="B643" s="959">
        <v>45751</v>
      </c>
      <c r="C643" t="s">
        <v>6959</v>
      </c>
      <c r="D643">
        <v>53.85</v>
      </c>
      <c r="I643" t="s">
        <v>6960</v>
      </c>
      <c r="J643">
        <v>53.85</v>
      </c>
      <c r="K643">
        <v>397</v>
      </c>
      <c r="L643">
        <v>21378.45</v>
      </c>
    </row>
    <row r="644" spans="1:12" x14ac:dyDescent="0.2">
      <c r="A644" s="958" t="s">
        <v>6894</v>
      </c>
      <c r="B644" s="959">
        <v>45751</v>
      </c>
      <c r="C644" t="s">
        <v>6961</v>
      </c>
      <c r="D644">
        <v>39.479999999999997</v>
      </c>
      <c r="I644" t="s">
        <v>6962</v>
      </c>
      <c r="J644">
        <v>39.479999999999997</v>
      </c>
      <c r="K644">
        <v>397</v>
      </c>
      <c r="L644">
        <v>15673.56</v>
      </c>
    </row>
    <row r="645" spans="1:12" x14ac:dyDescent="0.2">
      <c r="A645" s="958" t="s">
        <v>6894</v>
      </c>
      <c r="B645" s="959">
        <v>45751</v>
      </c>
      <c r="C645" t="s">
        <v>6963</v>
      </c>
      <c r="D645">
        <v>11.67</v>
      </c>
      <c r="I645" t="s">
        <v>6964</v>
      </c>
      <c r="J645">
        <v>11.67</v>
      </c>
      <c r="K645">
        <v>397</v>
      </c>
      <c r="L645">
        <v>4632.99</v>
      </c>
    </row>
    <row r="646" spans="1:12" x14ac:dyDescent="0.2">
      <c r="A646" s="958" t="s">
        <v>6894</v>
      </c>
      <c r="B646" s="959">
        <v>45751</v>
      </c>
      <c r="C646" t="s">
        <v>6965</v>
      </c>
      <c r="D646">
        <v>4.53</v>
      </c>
      <c r="I646" t="s">
        <v>6966</v>
      </c>
      <c r="J646">
        <v>4.53</v>
      </c>
      <c r="K646">
        <v>397</v>
      </c>
      <c r="L646">
        <v>1798.41</v>
      </c>
    </row>
    <row r="647" spans="1:12" x14ac:dyDescent="0.2">
      <c r="A647" s="958" t="s">
        <v>6894</v>
      </c>
      <c r="B647" s="959">
        <v>45751</v>
      </c>
      <c r="C647" t="s">
        <v>6967</v>
      </c>
      <c r="D647">
        <v>5.31</v>
      </c>
      <c r="I647" t="s">
        <v>6968</v>
      </c>
      <c r="J647">
        <v>5.31</v>
      </c>
      <c r="K647">
        <v>397</v>
      </c>
      <c r="L647">
        <v>2108.0700000000002</v>
      </c>
    </row>
    <row r="648" spans="1:12" x14ac:dyDescent="0.2">
      <c r="A648" s="958" t="s">
        <v>6894</v>
      </c>
      <c r="B648" s="959">
        <v>45751</v>
      </c>
      <c r="C648" t="s">
        <v>6969</v>
      </c>
      <c r="D648">
        <v>14.73</v>
      </c>
      <c r="I648" t="s">
        <v>6970</v>
      </c>
      <c r="J648">
        <v>14.73</v>
      </c>
      <c r="K648">
        <v>397</v>
      </c>
      <c r="L648">
        <v>5847.81</v>
      </c>
    </row>
    <row r="649" spans="1:12" x14ac:dyDescent="0.2">
      <c r="A649" s="958" t="s">
        <v>6894</v>
      </c>
      <c r="B649" s="959">
        <v>45751</v>
      </c>
      <c r="C649" t="s">
        <v>6971</v>
      </c>
      <c r="D649">
        <v>55.12</v>
      </c>
      <c r="I649" t="s">
        <v>6972</v>
      </c>
      <c r="J649">
        <v>55.12</v>
      </c>
      <c r="K649">
        <v>397</v>
      </c>
      <c r="L649">
        <v>21882.639999999999</v>
      </c>
    </row>
    <row r="650" spans="1:12" x14ac:dyDescent="0.2">
      <c r="A650" s="958" t="s">
        <v>6894</v>
      </c>
      <c r="B650" s="959">
        <v>45751</v>
      </c>
      <c r="C650" t="s">
        <v>6973</v>
      </c>
      <c r="D650">
        <v>86.58</v>
      </c>
      <c r="I650" t="s">
        <v>6974</v>
      </c>
      <c r="J650">
        <v>86.58</v>
      </c>
      <c r="K650">
        <v>397</v>
      </c>
      <c r="L650">
        <v>34370.67</v>
      </c>
    </row>
    <row r="651" spans="1:12" x14ac:dyDescent="0.2">
      <c r="A651" s="958" t="s">
        <v>6894</v>
      </c>
      <c r="B651" s="959">
        <v>45751</v>
      </c>
      <c r="C651" t="s">
        <v>6975</v>
      </c>
      <c r="D651">
        <v>3.43</v>
      </c>
      <c r="I651" t="s">
        <v>6976</v>
      </c>
      <c r="J651">
        <v>3.43</v>
      </c>
      <c r="K651">
        <v>397</v>
      </c>
      <c r="L651">
        <v>1362.5</v>
      </c>
    </row>
    <row r="652" spans="1:12" x14ac:dyDescent="0.2">
      <c r="A652" s="958" t="s">
        <v>6894</v>
      </c>
      <c r="B652" s="959">
        <v>45751</v>
      </c>
      <c r="C652" t="s">
        <v>6977</v>
      </c>
      <c r="D652">
        <v>16.13</v>
      </c>
      <c r="I652" t="s">
        <v>6978</v>
      </c>
      <c r="J652">
        <v>16.13</v>
      </c>
      <c r="K652">
        <v>397</v>
      </c>
      <c r="L652">
        <v>6402.82</v>
      </c>
    </row>
    <row r="653" spans="1:12" x14ac:dyDescent="0.2">
      <c r="A653" s="958" t="s">
        <v>6894</v>
      </c>
      <c r="B653" s="959">
        <v>45751</v>
      </c>
      <c r="C653" t="s">
        <v>6979</v>
      </c>
      <c r="D653">
        <v>1.99</v>
      </c>
      <c r="I653" t="s">
        <v>6980</v>
      </c>
      <c r="J653">
        <v>1.99</v>
      </c>
      <c r="K653">
        <v>397</v>
      </c>
      <c r="L653">
        <v>790.82</v>
      </c>
    </row>
    <row r="654" spans="1:12" x14ac:dyDescent="0.2">
      <c r="A654" s="958" t="s">
        <v>6894</v>
      </c>
      <c r="B654" s="959">
        <v>45751</v>
      </c>
      <c r="C654" t="s">
        <v>6981</v>
      </c>
      <c r="D654">
        <v>15.58</v>
      </c>
      <c r="I654" t="s">
        <v>6982</v>
      </c>
      <c r="J654">
        <v>15.58</v>
      </c>
      <c r="K654">
        <v>397</v>
      </c>
      <c r="L654">
        <v>6186.85</v>
      </c>
    </row>
    <row r="655" spans="1:12" x14ac:dyDescent="0.2">
      <c r="A655" s="958" t="s">
        <v>6894</v>
      </c>
      <c r="B655" s="959">
        <v>45751</v>
      </c>
      <c r="C655" t="s">
        <v>6983</v>
      </c>
      <c r="D655">
        <v>7.18</v>
      </c>
      <c r="I655" t="s">
        <v>6984</v>
      </c>
      <c r="J655">
        <v>7.18</v>
      </c>
      <c r="K655">
        <v>397</v>
      </c>
      <c r="L655">
        <v>2852.05</v>
      </c>
    </row>
    <row r="656" spans="1:12" x14ac:dyDescent="0.2">
      <c r="A656" s="958" t="s">
        <v>6985</v>
      </c>
      <c r="B656" s="959">
        <v>45754</v>
      </c>
      <c r="C656" t="s">
        <v>5405</v>
      </c>
      <c r="D656">
        <v>1794</v>
      </c>
      <c r="E656">
        <v>1794</v>
      </c>
      <c r="F656">
        <v>1794</v>
      </c>
      <c r="G656">
        <v>1794</v>
      </c>
      <c r="I656" t="s">
        <v>6018</v>
      </c>
      <c r="J656">
        <v>1794</v>
      </c>
      <c r="K656">
        <v>48.64</v>
      </c>
      <c r="L656">
        <v>87252.98</v>
      </c>
    </row>
    <row r="657" spans="1:12" x14ac:dyDescent="0.2">
      <c r="A657" s="958" t="s">
        <v>6985</v>
      </c>
      <c r="B657" s="959">
        <v>45754</v>
      </c>
      <c r="C657" t="s">
        <v>5390</v>
      </c>
      <c r="D657">
        <v>2256</v>
      </c>
      <c r="E657">
        <v>2256</v>
      </c>
      <c r="F657">
        <v>2256</v>
      </c>
      <c r="G657">
        <v>2256</v>
      </c>
      <c r="I657" t="s">
        <v>6007</v>
      </c>
      <c r="J657">
        <v>2256</v>
      </c>
      <c r="K657">
        <v>44.17</v>
      </c>
      <c r="L657">
        <v>99652.03</v>
      </c>
    </row>
    <row r="658" spans="1:12" x14ac:dyDescent="0.2">
      <c r="A658" s="958" t="s">
        <v>6985</v>
      </c>
      <c r="B658" s="959">
        <v>45754</v>
      </c>
      <c r="C658" t="s">
        <v>5373</v>
      </c>
      <c r="D658">
        <v>2850</v>
      </c>
      <c r="E658">
        <v>2850</v>
      </c>
      <c r="F658">
        <v>2850</v>
      </c>
      <c r="G658">
        <v>2850</v>
      </c>
      <c r="I658" t="s">
        <v>5374</v>
      </c>
      <c r="J658">
        <v>2850</v>
      </c>
      <c r="K658">
        <v>51.91</v>
      </c>
      <c r="L658">
        <v>147949.20000000001</v>
      </c>
    </row>
    <row r="659" spans="1:12" x14ac:dyDescent="0.2">
      <c r="A659" s="958" t="s">
        <v>6985</v>
      </c>
      <c r="B659" s="959">
        <v>45754</v>
      </c>
      <c r="C659" t="s">
        <v>5367</v>
      </c>
      <c r="D659">
        <v>3162</v>
      </c>
      <c r="E659">
        <v>3162</v>
      </c>
      <c r="F659">
        <v>3162</v>
      </c>
      <c r="G659">
        <v>3162</v>
      </c>
      <c r="I659" t="s">
        <v>5368</v>
      </c>
      <c r="J659">
        <v>3162</v>
      </c>
      <c r="K659">
        <v>36.18</v>
      </c>
      <c r="L659">
        <v>114401.16</v>
      </c>
    </row>
    <row r="660" spans="1:12" x14ac:dyDescent="0.2">
      <c r="A660" s="958" t="s">
        <v>6986</v>
      </c>
      <c r="B660" s="959">
        <v>45754</v>
      </c>
      <c r="C660" t="s">
        <v>2561</v>
      </c>
      <c r="D660">
        <v>660</v>
      </c>
      <c r="I660" t="s">
        <v>5408</v>
      </c>
      <c r="J660">
        <v>660</v>
      </c>
      <c r="K660">
        <v>150.88</v>
      </c>
      <c r="L660">
        <v>99583.11</v>
      </c>
    </row>
    <row r="661" spans="1:12" x14ac:dyDescent="0.2">
      <c r="A661" s="958" t="s">
        <v>6987</v>
      </c>
      <c r="B661" s="959">
        <v>45754</v>
      </c>
      <c r="C661" t="s">
        <v>4813</v>
      </c>
      <c r="D661">
        <v>1860</v>
      </c>
      <c r="I661" t="s">
        <v>4148</v>
      </c>
      <c r="J661">
        <v>1860</v>
      </c>
      <c r="K661">
        <v>149.96</v>
      </c>
      <c r="L661">
        <v>278929.32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C1039"/>
  <sheetViews>
    <sheetView tabSelected="1" zoomScale="87" zoomScaleNormal="87" workbookViewId="0">
      <pane ySplit="1" topLeftCell="A2" activePane="bottomLeft" state="frozen"/>
      <selection pane="bottomLeft" sqref="A1:XFD1"/>
    </sheetView>
  </sheetViews>
  <sheetFormatPr defaultColWidth="8.85546875" defaultRowHeight="15" x14ac:dyDescent="0.25"/>
  <cols>
    <col min="1" max="1" width="4.7109375" style="1140" customWidth="1"/>
    <col min="2" max="2" width="8.28515625" style="342" customWidth="1"/>
    <col min="3" max="3" width="5.7109375" style="342" customWidth="1"/>
    <col min="4" max="4" width="14.28515625" style="342" customWidth="1"/>
    <col min="5" max="5" width="24.7109375" style="342" customWidth="1"/>
    <col min="6" max="6" width="8.7109375" style="342" customWidth="1"/>
    <col min="7" max="7" width="11.5703125" style="342" customWidth="1"/>
    <col min="8" max="8" width="20" style="342" customWidth="1"/>
    <col min="9" max="9" width="7.85546875" style="389" hidden="1" customWidth="1"/>
    <col min="10" max="10" width="10.42578125" style="389" customWidth="1"/>
    <col min="11" max="11" width="11.5703125" style="389" customWidth="1"/>
    <col min="12" max="12" width="11.140625" style="389" customWidth="1"/>
    <col min="13" max="13" width="8.140625" style="389" customWidth="1"/>
    <col min="14" max="14" width="12.7109375" style="1141" customWidth="1"/>
    <col min="15" max="15" width="12.28515625" style="1142" customWidth="1"/>
    <col min="16" max="16" width="8.85546875" style="1141" customWidth="1"/>
    <col min="17" max="17" width="17.28515625" style="342" customWidth="1"/>
    <col min="18" max="18" width="5.7109375" style="1143" customWidth="1"/>
    <col min="19" max="19" width="68.5703125" style="1143" customWidth="1"/>
    <col min="20" max="20" width="11.28515625" style="1143" customWidth="1"/>
    <col min="21" max="21" width="11.140625" style="1144" bestFit="1" customWidth="1"/>
    <col min="22" max="24" width="11.140625" style="1143" bestFit="1" customWidth="1"/>
    <col min="25" max="25" width="11.5703125" style="1143" bestFit="1" customWidth="1"/>
    <col min="26" max="27" width="11.140625" style="1143" bestFit="1" customWidth="1"/>
    <col min="28" max="28" width="12.28515625" style="1143" bestFit="1" customWidth="1"/>
    <col min="29" max="29" width="16.42578125" style="1145" customWidth="1"/>
    <col min="30" max="16384" width="8.85546875" style="1012"/>
  </cols>
  <sheetData>
    <row r="1" spans="1:29" ht="69.599999999999994" customHeight="1" x14ac:dyDescent="0.2">
      <c r="A1" s="735" t="s">
        <v>5018</v>
      </c>
      <c r="B1" s="435" t="s">
        <v>0</v>
      </c>
      <c r="C1" s="402" t="s">
        <v>4754</v>
      </c>
      <c r="D1" s="403" t="s">
        <v>1</v>
      </c>
      <c r="E1" s="404" t="s">
        <v>5033</v>
      </c>
      <c r="F1" s="404" t="s">
        <v>3</v>
      </c>
      <c r="G1" s="404" t="s">
        <v>4832</v>
      </c>
      <c r="H1" s="404" t="s">
        <v>3809</v>
      </c>
      <c r="I1" s="404" t="s">
        <v>5574</v>
      </c>
      <c r="J1" s="404" t="s">
        <v>5678</v>
      </c>
      <c r="K1" s="404" t="s">
        <v>5677</v>
      </c>
      <c r="L1" s="404" t="s">
        <v>5676</v>
      </c>
      <c r="M1" s="404" t="s">
        <v>5648</v>
      </c>
      <c r="N1" s="404" t="s">
        <v>4896</v>
      </c>
      <c r="O1" s="409" t="s">
        <v>4815</v>
      </c>
      <c r="P1" s="405" t="s">
        <v>4752</v>
      </c>
      <c r="Q1" s="406" t="s">
        <v>5</v>
      </c>
      <c r="R1" s="411" t="s">
        <v>4820</v>
      </c>
      <c r="S1" s="407" t="s">
        <v>2460</v>
      </c>
      <c r="T1" s="408" t="s">
        <v>1397</v>
      </c>
      <c r="U1" s="409" t="s">
        <v>1398</v>
      </c>
      <c r="V1" s="408" t="s">
        <v>6</v>
      </c>
      <c r="W1" s="408" t="s">
        <v>7</v>
      </c>
      <c r="X1" s="408" t="s">
        <v>8</v>
      </c>
      <c r="Y1" s="408" t="s">
        <v>9</v>
      </c>
      <c r="Z1" s="408" t="s">
        <v>10</v>
      </c>
      <c r="AA1" s="408" t="s">
        <v>1399</v>
      </c>
      <c r="AB1" s="408" t="s">
        <v>11</v>
      </c>
      <c r="AC1" s="410" t="s">
        <v>12</v>
      </c>
    </row>
    <row r="2" spans="1:29" ht="15.75" customHeight="1" x14ac:dyDescent="0.25">
      <c r="A2" s="1011" t="s">
        <v>4678</v>
      </c>
      <c r="B2" s="438">
        <v>296</v>
      </c>
      <c r="C2" s="438"/>
      <c r="D2" s="439" t="s">
        <v>13</v>
      </c>
      <c r="E2" s="439" t="s">
        <v>3764</v>
      </c>
      <c r="F2" s="440"/>
      <c r="G2" s="440"/>
      <c r="H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" s="449" t="str">
        <f>CONCATENATE(Таблица47[[#This Row],[№ заявки в 1С]],Таблица47[[#This Row],[Наименование            ]])</f>
        <v>296[85515] 2606-14, 5,05 м,  6063 Т1 БА</v>
      </c>
      <c r="J2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" s="461"/>
      <c r="N2" s="462">
        <v>6</v>
      </c>
      <c r="O2" s="1013" t="str">
        <f>IFERROR(Таблица47[[#This Row],[Количество хлыстов]]-Таблица47[[#This Row],[Обработано в 1С]]-Таблица47[[#This Row],[Корректировка]],"")</f>
        <v/>
      </c>
      <c r="P2" s="673" t="str">
        <f>IFERROR((((Таблица47[[#This Row],[Осталось сделать, хлыст]]*Таблица47[[#This Row],[длина]])*Таблица47[[#This Row],[Периметр]])/28),"")</f>
        <v/>
      </c>
      <c r="Q2" s="495" t="s">
        <v>680</v>
      </c>
      <c r="R2" s="495">
        <f>IFERROR(Таблица47[[#This Row],[Коли-
чество м.п.]]/Таблица47[[#This Row],[Количество хлыстов]],"")</f>
        <v>5.05</v>
      </c>
      <c r="S2" s="439" t="s">
        <v>4278</v>
      </c>
      <c r="T2" s="458">
        <v>30.3</v>
      </c>
      <c r="U2" s="459">
        <v>6</v>
      </c>
      <c r="V2" s="458">
        <v>0.1469</v>
      </c>
      <c r="W2" s="458">
        <v>1.3859999999999999</v>
      </c>
      <c r="X2" s="458">
        <v>4.4511000000000003</v>
      </c>
      <c r="Y2" s="458">
        <v>41.995800000000003</v>
      </c>
      <c r="Z2" s="458">
        <v>0.57999999999999996</v>
      </c>
      <c r="AA2" s="458">
        <v>45.39</v>
      </c>
      <c r="AB2" s="458">
        <v>309</v>
      </c>
      <c r="AC2" s="1014">
        <v>1375.38</v>
      </c>
    </row>
    <row r="3" spans="1:29" customFormat="1" ht="15.75" customHeight="1" x14ac:dyDescent="0.25">
      <c r="A3" s="437" t="s">
        <v>4678</v>
      </c>
      <c r="B3" s="438"/>
      <c r="C3" s="438"/>
      <c r="D3" s="439" t="s">
        <v>13</v>
      </c>
      <c r="E3" s="439" t="s">
        <v>1596</v>
      </c>
      <c r="F3" s="440"/>
      <c r="G3" s="440"/>
      <c r="H3" s="464" t="s">
        <v>677</v>
      </c>
      <c r="I3" s="449" t="str">
        <f>CONCATENATE(Таблица47[[#This Row],[№ заявки в 1С]],Таблица47[[#This Row],[Наименование            ]])</f>
        <v/>
      </c>
      <c r="J3" s="449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" s="449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" s="449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" s="449"/>
      <c r="N3" s="450"/>
      <c r="O3" s="1001" t="str">
        <f>IFERROR(Таблица47[[#This Row],[Количество хлыстов]]-Таблица47[[#This Row],[Обработано в 1С]]-Таблица47[[#This Row],[Корректировка]],"")</f>
        <v/>
      </c>
      <c r="P3" s="673" t="str">
        <f>IFERROR((((Таблица47[[#This Row],[Осталось сделать, хлыст]]*Таблица47[[#This Row],[длина]])*Таблица47[[#This Row],[Периметр]])/28),"")</f>
        <v/>
      </c>
      <c r="Q3" s="463"/>
      <c r="R3" s="463" t="str">
        <f>IFERROR(Таблица47[[#This Row],[Коли-
чество м.п.]]/Таблица47[[#This Row],[Количество хлыстов]],"")</f>
        <v/>
      </c>
      <c r="S3" s="445"/>
      <c r="T3" s="447"/>
      <c r="U3" s="451"/>
      <c r="V3" s="447"/>
      <c r="W3" s="447"/>
      <c r="X3" s="447"/>
      <c r="Y3" s="447"/>
      <c r="Z3" s="447"/>
      <c r="AA3" s="447"/>
      <c r="AB3" s="447"/>
      <c r="AC3" s="448"/>
    </row>
    <row r="4" spans="1:29" ht="15.75" customHeight="1" x14ac:dyDescent="0.25">
      <c r="A4" s="1011" t="s">
        <v>4678</v>
      </c>
      <c r="B4" s="438">
        <v>548</v>
      </c>
      <c r="C4" s="438"/>
      <c r="D4" s="439" t="s">
        <v>13</v>
      </c>
      <c r="E4" s="439" t="s">
        <v>3863</v>
      </c>
      <c r="F4" s="440">
        <v>45232</v>
      </c>
      <c r="G4" s="528"/>
      <c r="H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" s="441" t="str">
        <f>CONCATENATE(Таблица47[[#This Row],[№ заявки в 1С]],Таблица47[[#This Row],[Наименование            ]])</f>
        <v>548[41590] А 18 (0073-18) Стойка Т-образная, 5,0м, 6063 КР</v>
      </c>
      <c r="J4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" s="456">
        <v>4</v>
      </c>
      <c r="N4" s="457">
        <f>40+60+56</f>
        <v>156</v>
      </c>
      <c r="O4" s="1001" t="str">
        <f>IFERROR(Таблица47[[#This Row],[Количество хлыстов]]-Таблица47[[#This Row],[Обработано в 1С]]-Таблица47[[#This Row],[Корректировка]],"")</f>
        <v/>
      </c>
      <c r="P4" s="638" t="str">
        <f>IFERROR((((Таблица47[[#This Row],[Осталось сделать, хлыст]]*Таблица47[[#This Row],[длина]])*Таблица47[[#This Row],[Периметр]])/28),"")</f>
        <v/>
      </c>
      <c r="Q4" s="488" t="s">
        <v>5086</v>
      </c>
      <c r="R4" s="458">
        <f>IFERROR(Таблица47[[#This Row],[Коли-
чество м.п.]]/Таблица47[[#This Row],[Количество хлыстов]],"")</f>
        <v>5</v>
      </c>
      <c r="S4" s="439" t="s">
        <v>151</v>
      </c>
      <c r="T4" s="458">
        <v>800</v>
      </c>
      <c r="U4" s="459">
        <v>160</v>
      </c>
      <c r="V4" s="458">
        <v>0.27189999999999998</v>
      </c>
      <c r="W4" s="458">
        <v>0.50600000000000001</v>
      </c>
      <c r="X4" s="458">
        <v>217.52</v>
      </c>
      <c r="Y4" s="458">
        <v>404.8</v>
      </c>
      <c r="Z4" s="458">
        <v>28.28</v>
      </c>
      <c r="AA4" s="458">
        <v>63.29</v>
      </c>
      <c r="AB4" s="458">
        <v>365</v>
      </c>
      <c r="AC4" s="460">
        <v>50632</v>
      </c>
    </row>
    <row r="5" spans="1:29" ht="15.75" customHeight="1" x14ac:dyDescent="0.25">
      <c r="A5" s="1011" t="s">
        <v>4678</v>
      </c>
      <c r="B5" s="467">
        <v>575</v>
      </c>
      <c r="C5" s="467"/>
      <c r="D5" s="468" t="s">
        <v>13</v>
      </c>
      <c r="E5" s="468" t="s">
        <v>28</v>
      </c>
      <c r="F5" s="469">
        <v>45250</v>
      </c>
      <c r="G5" s="469"/>
      <c r="H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" s="449" t="str">
        <f>CONCATENATE(Таблица47[[#This Row],[№ заявки в 1С]],Таблица47[[#This Row],[Наименование            ]])</f>
        <v>575[75458] 0706-95, 3,0м, сплав 6063КР, сост Т6, упаковка Т5</v>
      </c>
      <c r="J5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" s="461"/>
      <c r="N5" s="462">
        <v>819</v>
      </c>
      <c r="O5" s="1013" t="str">
        <f>IFERROR(Таблица47[[#This Row],[Количество хлыстов]]-Таблица47[[#This Row],[Обработано в 1С]]-Таблица47[[#This Row],[Корректировка]],"")</f>
        <v/>
      </c>
      <c r="P5" s="638" t="str">
        <f>IFERROR((((Таблица47[[#This Row],[Осталось сделать, хлыст]]*Таблица47[[#This Row],[длина]])*Таблица47[[#This Row],[Периметр]])/28),"")</f>
        <v/>
      </c>
      <c r="Q5" s="439" t="s">
        <v>5190</v>
      </c>
      <c r="R5" s="458">
        <f>IFERROR(Таблица47[[#This Row],[Коли-
чество м.п.]]/Таблица47[[#This Row],[Количество хлыстов]],"")</f>
        <v>3</v>
      </c>
      <c r="S5" s="439" t="s">
        <v>1734</v>
      </c>
      <c r="T5" s="458">
        <v>2457</v>
      </c>
      <c r="U5" s="459">
        <v>819</v>
      </c>
      <c r="V5" s="458">
        <v>0.14929999999999999</v>
      </c>
      <c r="W5" s="458">
        <v>0.56599999999999995</v>
      </c>
      <c r="X5" s="458">
        <v>366.83010000000002</v>
      </c>
      <c r="Y5" s="458">
        <v>1390.662</v>
      </c>
      <c r="Z5" s="458">
        <v>47.69</v>
      </c>
      <c r="AA5" s="458">
        <v>54.49</v>
      </c>
      <c r="AB5" s="458">
        <v>365</v>
      </c>
      <c r="AC5" s="460">
        <v>133892.99</v>
      </c>
    </row>
    <row r="6" spans="1:29" ht="15.75" customHeight="1" x14ac:dyDescent="0.25">
      <c r="A6" s="1015" t="s">
        <v>4678</v>
      </c>
      <c r="B6" s="306">
        <v>592</v>
      </c>
      <c r="C6" s="306" t="s">
        <v>4753</v>
      </c>
      <c r="D6" s="468" t="s">
        <v>13</v>
      </c>
      <c r="E6" s="303" t="s">
        <v>43</v>
      </c>
      <c r="F6" s="528">
        <v>45268</v>
      </c>
      <c r="G6" s="528"/>
      <c r="H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" s="384" t="str">
        <f>CONCATENATE(Таблица47[[#This Row],[№ заявки в 1С]],Таблица47[[#This Row],[Наименование            ]])</f>
        <v>592Т-145, 6,0м, Анодировка с дробью</v>
      </c>
      <c r="J6" s="49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" s="49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" s="49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" s="497"/>
      <c r="N6" s="1017">
        <v>240</v>
      </c>
      <c r="O6" s="1013" t="str">
        <f>IFERROR(Таблица47[[#This Row],[Количество хлыстов]]-Таблица47[[#This Row],[Обработано в 1С]]-Таблица47[[#This Row],[Корректировка]],"")</f>
        <v/>
      </c>
      <c r="P6" s="638" t="str">
        <f>IFERROR((((Таблица47[[#This Row],[Осталось сделать, хлыст]]*Таблица47[[#This Row],[длина]])*Таблица47[[#This Row],[Периметр]])/28),"")</f>
        <v/>
      </c>
      <c r="Q6" s="303" t="s">
        <v>4787</v>
      </c>
      <c r="R6" s="639">
        <f>IFERROR(Таблица47[[#This Row],[Коли-
чество м.п.]]/Таблица47[[#This Row],[Количество хлыстов]],"")</f>
        <v>6</v>
      </c>
      <c r="S6" s="303" t="s">
        <v>347</v>
      </c>
      <c r="T6" s="303">
        <v>1440</v>
      </c>
      <c r="U6" s="640">
        <v>240</v>
      </c>
      <c r="V6" s="303"/>
      <c r="W6" s="303"/>
      <c r="X6" s="303"/>
      <c r="Y6" s="303"/>
      <c r="Z6" s="303"/>
      <c r="AA6" s="303"/>
      <c r="AB6" s="303"/>
      <c r="AC6" s="641"/>
    </row>
    <row r="7" spans="1:29" ht="15.75" customHeight="1" x14ac:dyDescent="0.25">
      <c r="A7" s="1010" t="s">
        <v>4678</v>
      </c>
      <c r="B7" s="309">
        <v>593</v>
      </c>
      <c r="C7" s="309" t="s">
        <v>4753</v>
      </c>
      <c r="D7" s="468" t="s">
        <v>13</v>
      </c>
      <c r="E7" s="304" t="s">
        <v>43</v>
      </c>
      <c r="F7" s="310">
        <v>45268</v>
      </c>
      <c r="G7" s="310"/>
      <c r="H7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" s="384" t="str">
        <f>CONCATENATE(Таблица47[[#This Row],[№ заявки в 1С]],Таблица47[[#This Row],[Наименование            ]])</f>
        <v>593труба 25*2, длина 6,0м, анодировка, с дробью</v>
      </c>
      <c r="J7" s="49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" s="49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" s="49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" s="497"/>
      <c r="N7" s="498">
        <v>128</v>
      </c>
      <c r="O7" s="1013" t="str">
        <f>IFERROR(Таблица47[[#This Row],[Количество хлыстов]]-Таблица47[[#This Row],[Обработано в 1С]]-Таблица47[[#This Row],[Корректировка]],"")</f>
        <v/>
      </c>
      <c r="P7" s="638" t="str">
        <f>IFERROR((((Таблица47[[#This Row],[Осталось сделать, хлыст]]*Таблица47[[#This Row],[длина]])*Таблица47[[#This Row],[Периметр]])/28),"")</f>
        <v/>
      </c>
      <c r="Q7" s="304"/>
      <c r="R7" s="991">
        <f>IFERROR(Таблица47[[#This Row],[Коли-
чество м.п.]]/Таблица47[[#This Row],[Количество хлыстов]],"")</f>
        <v>6</v>
      </c>
      <c r="S7" s="304" t="s">
        <v>1514</v>
      </c>
      <c r="T7" s="304">
        <v>768</v>
      </c>
      <c r="U7" s="1018">
        <v>128</v>
      </c>
      <c r="V7" s="304"/>
      <c r="W7" s="304"/>
      <c r="X7" s="304"/>
      <c r="Y7" s="304"/>
      <c r="Z7" s="304"/>
      <c r="AA7" s="304"/>
      <c r="AB7" s="304"/>
      <c r="AC7" s="1019"/>
    </row>
    <row r="8" spans="1:29" ht="15.75" x14ac:dyDescent="0.25">
      <c r="A8" s="1011" t="s">
        <v>4678</v>
      </c>
      <c r="B8" s="467">
        <v>616</v>
      </c>
      <c r="C8" s="467"/>
      <c r="D8" s="468" t="s">
        <v>13</v>
      </c>
      <c r="E8" s="468" t="s">
        <v>3863</v>
      </c>
      <c r="F8" s="469">
        <v>45273</v>
      </c>
      <c r="G8" s="528"/>
      <c r="H8" s="303" t="s">
        <v>677</v>
      </c>
      <c r="I8" s="443" t="str">
        <f>CONCATENATE(Таблица47[[#This Row],[№ заявки в 1С]],Таблица47[[#This Row],[Наименование            ]])</f>
        <v>616[65831] А 21 (0272-61), Направляющая для раздвижных стекол, 5,0м,  6063 КР</v>
      </c>
      <c r="J8" s="63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" s="63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" s="63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" s="637">
        <v>260</v>
      </c>
      <c r="N8" s="637"/>
      <c r="O8" s="1001" t="str">
        <f>IFERROR(Таблица47[[#This Row],[Количество хлыстов]]-Таблица47[[#This Row],[Обработано в 1С]]-Таблица47[[#This Row],[Корректировка]],"")</f>
        <v/>
      </c>
      <c r="P8" s="638" t="str">
        <f>IFERROR((((Таблица47[[#This Row],[Осталось сделать, хлыст]]*Таблица47[[#This Row],[длина]])*Таблица47[[#This Row],[Периметр]])/28),"")</f>
        <v/>
      </c>
      <c r="Q8" s="439" t="s">
        <v>5312</v>
      </c>
      <c r="R8" s="458">
        <f>IFERROR(Таблица47[[#This Row],[Коли-
чество м.п.]]/Таблица47[[#This Row],[Количество хлыстов]],"")</f>
        <v>6.2692307692307692</v>
      </c>
      <c r="S8" s="439" t="s">
        <v>4404</v>
      </c>
      <c r="T8" s="458">
        <v>1630</v>
      </c>
      <c r="U8" s="459">
        <v>260</v>
      </c>
      <c r="V8" s="458">
        <v>0.122</v>
      </c>
      <c r="W8" s="458">
        <v>0.17899999999999999</v>
      </c>
      <c r="X8" s="458">
        <v>198.86</v>
      </c>
      <c r="Y8" s="458">
        <v>291.77</v>
      </c>
      <c r="Z8" s="458">
        <v>25.85</v>
      </c>
      <c r="AA8" s="458">
        <v>44.53</v>
      </c>
      <c r="AB8" s="458">
        <v>365</v>
      </c>
      <c r="AC8" s="460">
        <v>72583.899999999994</v>
      </c>
    </row>
    <row r="9" spans="1:29" ht="15.75" x14ac:dyDescent="0.25">
      <c r="A9" s="1011" t="s">
        <v>4678</v>
      </c>
      <c r="B9" s="467">
        <v>616</v>
      </c>
      <c r="C9" s="467"/>
      <c r="D9" s="468" t="s">
        <v>13</v>
      </c>
      <c r="E9" s="468" t="s">
        <v>3863</v>
      </c>
      <c r="F9" s="469">
        <v>45273</v>
      </c>
      <c r="G9" s="528"/>
      <c r="H9" s="303" t="s">
        <v>677</v>
      </c>
      <c r="I9" s="443" t="str">
        <f>CONCATENATE(Таблица47[[#This Row],[№ заявки в 1С]],Таблица47[[#This Row],[Наименование            ]])</f>
        <v>616[42543] А 31 (0072-06) Прогон бесполочный однопазовый, 5,0м, 6063 КР</v>
      </c>
      <c r="J9" s="63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" s="63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" s="63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" s="637"/>
      <c r="N9" s="637"/>
      <c r="O9" s="1001" t="str">
        <f>IFERROR(Таблица47[[#This Row],[Количество хлыстов]]-Таблица47[[#This Row],[Обработано в 1С]]-Таблица47[[#This Row],[Корректировка]],"")</f>
        <v/>
      </c>
      <c r="P9" s="638" t="str">
        <f>IFERROR((((Таблица47[[#This Row],[Осталось сделать, хлыст]]*Таблица47[[#This Row],[длина]])*Таблица47[[#This Row],[Периметр]])/28),"")</f>
        <v/>
      </c>
      <c r="Q9" s="439"/>
      <c r="R9" s="458">
        <f>IFERROR(Таблица47[[#This Row],[Коли-
чество м.п.]]/Таблица47[[#This Row],[Количество хлыстов]],"")</f>
        <v>5</v>
      </c>
      <c r="S9" s="439" t="s">
        <v>299</v>
      </c>
      <c r="T9" s="458">
        <v>1040</v>
      </c>
      <c r="U9" s="459">
        <v>208</v>
      </c>
      <c r="V9" s="458">
        <v>0.1381</v>
      </c>
      <c r="W9" s="458">
        <v>0.35199999999999998</v>
      </c>
      <c r="X9" s="458">
        <v>143.624</v>
      </c>
      <c r="Y9" s="458">
        <v>366.08</v>
      </c>
      <c r="Z9" s="458">
        <v>18.670000000000002</v>
      </c>
      <c r="AA9" s="458">
        <v>50.41</v>
      </c>
      <c r="AB9" s="458">
        <v>365</v>
      </c>
      <c r="AC9" s="460">
        <v>52426.400000000001</v>
      </c>
    </row>
    <row r="10" spans="1:29" s="1021" customFormat="1" ht="19.899999999999999" customHeight="1" x14ac:dyDescent="0.25">
      <c r="A10" s="979" t="s">
        <v>4978</v>
      </c>
      <c r="B10" s="980">
        <v>3</v>
      </c>
      <c r="C10" s="980"/>
      <c r="D10" s="509" t="s">
        <v>13</v>
      </c>
      <c r="E10" s="509" t="s">
        <v>557</v>
      </c>
      <c r="F10" s="510">
        <v>45301</v>
      </c>
      <c r="G10" s="510"/>
      <c r="H10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" s="551" t="str">
        <f>CONCATENATE(Таблица47[[#This Row],[№ заявки в 1С]],Таблица47[[#This Row],[Наименование            ]])</f>
        <v>3[86512] 1606-17 (Коробка 40; АВА-3458) 5,1 м, сплав 6063 Кр Т6, ПОД ПОКРАСКУ</v>
      </c>
      <c r="J10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" s="981"/>
      <c r="N10" s="982">
        <v>69</v>
      </c>
      <c r="O10" s="1020" t="str">
        <f>IFERROR(Таблица47[[#This Row],[Количество хлыстов]]-Таблица47[[#This Row],[Обработано в 1С]]-Таблица47[[#This Row],[Корректировка]],"")</f>
        <v/>
      </c>
      <c r="P10" s="638" t="str">
        <f>IFERROR((((Таблица47[[#This Row],[Осталось сделать, хлыст]]*Таблица47[[#This Row],[длина]])*Таблица47[[#This Row],[Периметр]])/28),"")</f>
        <v/>
      </c>
      <c r="Q10" s="983" t="s">
        <v>5683</v>
      </c>
      <c r="R10" s="993">
        <f>IFERROR(Таблица47[[#This Row],[Коли-
чество м.п.]]/Таблица47[[#This Row],[Количество хлыстов]],"")</f>
        <v>5.0999999999999996</v>
      </c>
      <c r="S10" s="509" t="s">
        <v>4783</v>
      </c>
      <c r="T10" s="984">
        <v>351.9</v>
      </c>
      <c r="U10" s="985">
        <v>69</v>
      </c>
      <c r="V10" s="984">
        <v>0.34789999999999999</v>
      </c>
      <c r="W10" s="984">
        <v>1.643</v>
      </c>
      <c r="X10" s="984">
        <v>122.426</v>
      </c>
      <c r="Y10" s="984">
        <v>578.17169999999999</v>
      </c>
      <c r="Z10" s="984">
        <v>15.92</v>
      </c>
      <c r="AA10" s="984">
        <v>109.59</v>
      </c>
      <c r="AB10" s="984">
        <v>315</v>
      </c>
      <c r="AC10" s="986">
        <v>38564.720000000001</v>
      </c>
    </row>
    <row r="11" spans="1:29" s="1021" customFormat="1" ht="15.75" customHeight="1" x14ac:dyDescent="0.25">
      <c r="A11" s="979" t="s">
        <v>4978</v>
      </c>
      <c r="B11" s="980">
        <v>4</v>
      </c>
      <c r="C11" s="980"/>
      <c r="D11" s="509" t="s">
        <v>34</v>
      </c>
      <c r="E11" s="509" t="s">
        <v>4680</v>
      </c>
      <c r="F11" s="510">
        <v>45301</v>
      </c>
      <c r="G11" s="510"/>
      <c r="H11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" s="511" t="str">
        <f>CONCATENATE(Таблица47[[#This Row],[№ заявки в 1С]],Таблица47[[#This Row],[Наименование            ]])</f>
        <v>4[13148] D22/24 (0106-104), 6,0м, с перфорацией, БА</v>
      </c>
      <c r="J11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" s="981"/>
      <c r="N11" s="982">
        <v>7</v>
      </c>
      <c r="O11" s="1020" t="str">
        <f>IFERROR(Таблица47[[#This Row],[Количество хлыстов]]-Таблица47[[#This Row],[Обработано в 1С]]-Таблица47[[#This Row],[Корректировка]],"")</f>
        <v/>
      </c>
      <c r="P11" s="638" t="str">
        <f>IFERROR((((Таблица47[[#This Row],[Осталось сделать, хлыст]]*Таблица47[[#This Row],[длина]])*Таблица47[[#This Row],[Периметр]])/28),"")</f>
        <v/>
      </c>
      <c r="Q11" s="983" t="s">
        <v>4681</v>
      </c>
      <c r="R11" s="993">
        <f>IFERROR(Таблица47[[#This Row],[Коли-
чество м.п.]]/Таблица47[[#This Row],[Количество хлыстов]],"")</f>
        <v>6</v>
      </c>
      <c r="S11" s="509" t="s">
        <v>4679</v>
      </c>
      <c r="T11" s="984">
        <v>42</v>
      </c>
      <c r="U11" s="985">
        <v>7</v>
      </c>
      <c r="V11" s="984">
        <v>0.26390000000000002</v>
      </c>
      <c r="W11" s="984">
        <v>0.48099999999999998</v>
      </c>
      <c r="X11" s="984">
        <v>11.0838</v>
      </c>
      <c r="Y11" s="984">
        <v>20.202000000000002</v>
      </c>
      <c r="Z11" s="984">
        <v>1.44</v>
      </c>
      <c r="AA11" s="984">
        <v>64.66</v>
      </c>
      <c r="AB11" s="984">
        <v>245</v>
      </c>
      <c r="AC11" s="986">
        <v>2715.72</v>
      </c>
    </row>
    <row r="12" spans="1:29" ht="15.75" customHeight="1" x14ac:dyDescent="0.25">
      <c r="A12" s="1011" t="s">
        <v>4678</v>
      </c>
      <c r="B12" s="438">
        <v>5</v>
      </c>
      <c r="C12" s="438"/>
      <c r="D12" s="468" t="s">
        <v>34</v>
      </c>
      <c r="E12" s="438" t="s">
        <v>893</v>
      </c>
      <c r="F12" s="440">
        <v>45301</v>
      </c>
      <c r="G12" s="440"/>
      <c r="H1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" s="441" t="str">
        <f>CONCATENATE(Таблица47[[#This Row],[№ заявки в 1С]],Таблица47[[#This Row],[Наименование            ]])</f>
        <v>5[57128] 0306-74, 6,0м, 6063 Т6, упаковка Т-5, БА</v>
      </c>
      <c r="J12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" s="456"/>
      <c r="N12" s="457">
        <v>55</v>
      </c>
      <c r="O12" s="1013" t="str">
        <f>IFERROR(Таблица47[[#This Row],[Количество хлыстов]]-Таблица47[[#This Row],[Обработано в 1С]]-Таблица47[[#This Row],[Корректировка]],"")</f>
        <v/>
      </c>
      <c r="P12" s="638" t="str">
        <f>IFERROR((((Таблица47[[#This Row],[Осталось сделать, хлыст]]*Таблица47[[#This Row],[длина]])*Таблица47[[#This Row],[Периметр]])/28),"")</f>
        <v/>
      </c>
      <c r="Q12" s="439"/>
      <c r="R12" s="458">
        <f>IFERROR(Таблица47[[#This Row],[Коли-
чество м.п.]]/Таблица47[[#This Row],[Количество хлыстов]],"")</f>
        <v>6</v>
      </c>
      <c r="S12" s="439" t="s">
        <v>4682</v>
      </c>
      <c r="T12" s="458">
        <v>330</v>
      </c>
      <c r="U12" s="459">
        <v>55</v>
      </c>
      <c r="V12" s="458">
        <v>0.35859999999999997</v>
      </c>
      <c r="W12" s="458">
        <v>1.518</v>
      </c>
      <c r="X12" s="458">
        <v>118.33799999999999</v>
      </c>
      <c r="Y12" s="458">
        <v>500.94</v>
      </c>
      <c r="Z12" s="458">
        <v>15.38</v>
      </c>
      <c r="AA12" s="458">
        <v>178.32</v>
      </c>
      <c r="AB12" s="458">
        <v>335</v>
      </c>
      <c r="AC12" s="460">
        <v>58845.599999999999</v>
      </c>
    </row>
    <row r="13" spans="1:29" ht="15.75" customHeight="1" x14ac:dyDescent="0.25">
      <c r="A13" s="1016" t="s">
        <v>4678</v>
      </c>
      <c r="B13" s="353">
        <v>1</v>
      </c>
      <c r="C13" s="353" t="s">
        <v>4753</v>
      </c>
      <c r="D13" s="468" t="s">
        <v>13</v>
      </c>
      <c r="E13" s="353" t="s">
        <v>30</v>
      </c>
      <c r="F13" s="320">
        <v>45292</v>
      </c>
      <c r="G13" s="320">
        <v>45343</v>
      </c>
      <c r="H13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" s="900" t="str">
        <f>CONCATENATE(Таблица47[[#This Row],[№ заявки в 1С]],Таблица47[[#This Row],[Наименование            ]])</f>
        <v>1балка АД-35 L=1070 мм , анод с дробью  9-12мкм (260р)</v>
      </c>
      <c r="J13" s="10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" s="10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" s="10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" s="1022"/>
      <c r="N13" s="1023">
        <v>16</v>
      </c>
      <c r="O13" s="1013" t="str">
        <f>IFERROR(Таблица47[[#This Row],[Количество хлыстов]]-Таблица47[[#This Row],[Обработано в 1С]]-Таблица47[[#This Row],[Корректировка]],"")</f>
        <v/>
      </c>
      <c r="P13" s="638" t="str">
        <f>IFERROR((((Таблица47[[#This Row],[Осталось сделать, хлыст]]*Таблица47[[#This Row],[длина]])*Таблица47[[#This Row],[Периметр]])/28),"")</f>
        <v/>
      </c>
      <c r="Q13" s="1024"/>
      <c r="R13" s="1025">
        <f>IFERROR(Таблица47[[#This Row],[Коли-
чество м.п.]]/Таблица47[[#This Row],[Количество хлыстов]],"")</f>
        <v>0</v>
      </c>
      <c r="S13" s="1024" t="s">
        <v>742</v>
      </c>
      <c r="T13" s="1024"/>
      <c r="U13" s="1023">
        <v>16</v>
      </c>
      <c r="V13" s="1024"/>
      <c r="W13" s="1024"/>
      <c r="X13" s="1024"/>
      <c r="Y13" s="1024"/>
      <c r="Z13" s="1024"/>
      <c r="AA13" s="1024"/>
      <c r="AB13" s="1024"/>
      <c r="AC13" s="1026"/>
    </row>
    <row r="14" spans="1:29" ht="15.75" customHeight="1" x14ac:dyDescent="0.25">
      <c r="A14" s="1015" t="s">
        <v>4678</v>
      </c>
      <c r="B14" s="318">
        <v>1</v>
      </c>
      <c r="C14" s="318" t="s">
        <v>4753</v>
      </c>
      <c r="D14" s="468" t="s">
        <v>13</v>
      </c>
      <c r="E14" s="318" t="s">
        <v>30</v>
      </c>
      <c r="F14" s="528">
        <v>45292</v>
      </c>
      <c r="G14" s="320">
        <v>45343</v>
      </c>
      <c r="H14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" s="800" t="str">
        <f>CONCATENATE(Таблица47[[#This Row],[№ заявки в 1С]],Таблица47[[#This Row],[Наименование            ]])</f>
        <v>1балка АД-35 L=1361 мм, анод с дробью  9-12мкм (330р)</v>
      </c>
      <c r="J14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" s="1027"/>
      <c r="N14" s="640">
        <v>4</v>
      </c>
      <c r="O14" s="1013" t="str">
        <f>IFERROR(Таблица47[[#This Row],[Количество хлыстов]]-Таблица47[[#This Row],[Обработано в 1С]]-Таблица47[[#This Row],[Корректировка]],"")</f>
        <v/>
      </c>
      <c r="P14" s="638" t="str">
        <f>IFERROR((((Таблица47[[#This Row],[Осталось сделать, хлыст]]*Таблица47[[#This Row],[длина]])*Таблица47[[#This Row],[Периметр]])/28),"")</f>
        <v/>
      </c>
      <c r="Q14" s="303"/>
      <c r="R14" s="639">
        <f>IFERROR(Таблица47[[#This Row],[Коли-
чество м.п.]]/Таблица47[[#This Row],[Количество хлыстов]],"")</f>
        <v>0</v>
      </c>
      <c r="S14" s="303" t="s">
        <v>730</v>
      </c>
      <c r="T14" s="303"/>
      <c r="U14" s="640">
        <v>4</v>
      </c>
      <c r="V14" s="303"/>
      <c r="W14" s="303"/>
      <c r="X14" s="303"/>
      <c r="Y14" s="303"/>
      <c r="Z14" s="303"/>
      <c r="AA14" s="303"/>
      <c r="AB14" s="303"/>
      <c r="AC14" s="641"/>
    </row>
    <row r="15" spans="1:29" ht="15.75" customHeight="1" x14ac:dyDescent="0.25">
      <c r="A15" s="1015" t="s">
        <v>4678</v>
      </c>
      <c r="B15" s="318">
        <v>1</v>
      </c>
      <c r="C15" s="318" t="s">
        <v>4753</v>
      </c>
      <c r="D15" s="468" t="s">
        <v>13</v>
      </c>
      <c r="E15" s="318" t="s">
        <v>30</v>
      </c>
      <c r="F15" s="528">
        <v>45292</v>
      </c>
      <c r="G15" s="320">
        <v>45343</v>
      </c>
      <c r="H15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" s="800" t="str">
        <f>CONCATENATE(Таблица47[[#This Row],[№ заявки в 1С]],Таблица47[[#This Row],[Наименование            ]])</f>
        <v>1балка АД-35 L=1370 мм, анод с дробью 9-12мкм (335р)</v>
      </c>
      <c r="J15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" s="1027"/>
      <c r="N15" s="640">
        <v>32</v>
      </c>
      <c r="O15" s="1013" t="str">
        <f>IFERROR(Таблица47[[#This Row],[Количество хлыстов]]-Таблица47[[#This Row],[Обработано в 1С]]-Таблица47[[#This Row],[Корректировка]],"")</f>
        <v/>
      </c>
      <c r="P15" s="638" t="str">
        <f>IFERROR((((Таблица47[[#This Row],[Осталось сделать, хлыст]]*Таблица47[[#This Row],[длина]])*Таблица47[[#This Row],[Периметр]])/28),"")</f>
        <v/>
      </c>
      <c r="Q15" s="303"/>
      <c r="R15" s="639">
        <f>IFERROR(Таблица47[[#This Row],[Коли-
чество м.п.]]/Таблица47[[#This Row],[Количество хлыстов]],"")</f>
        <v>0</v>
      </c>
      <c r="S15" s="303" t="s">
        <v>731</v>
      </c>
      <c r="T15" s="303"/>
      <c r="U15" s="640">
        <v>32</v>
      </c>
      <c r="V15" s="303"/>
      <c r="W15" s="303"/>
      <c r="X15" s="303"/>
      <c r="Y15" s="303"/>
      <c r="Z15" s="303"/>
      <c r="AA15" s="303"/>
      <c r="AB15" s="303"/>
      <c r="AC15" s="641"/>
    </row>
    <row r="16" spans="1:29" ht="15.75" customHeight="1" x14ac:dyDescent="0.25">
      <c r="A16" s="1015" t="s">
        <v>4678</v>
      </c>
      <c r="B16" s="318">
        <v>1</v>
      </c>
      <c r="C16" s="318" t="s">
        <v>4753</v>
      </c>
      <c r="D16" s="468" t="s">
        <v>13</v>
      </c>
      <c r="E16" s="318" t="s">
        <v>30</v>
      </c>
      <c r="F16" s="528">
        <v>45292</v>
      </c>
      <c r="G16" s="320">
        <v>45343</v>
      </c>
      <c r="H16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" s="800" t="str">
        <f>CONCATENATE(Таблица47[[#This Row],[№ заявки в 1С]],Таблица47[[#This Row],[Наименование            ]])</f>
        <v>1балка АД-35 L=300 мм, анод с дробью  9-12мкм (75р)</v>
      </c>
      <c r="J16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" s="1027"/>
      <c r="N16" s="640">
        <v>140</v>
      </c>
      <c r="O16" s="1013" t="str">
        <f>IFERROR(Таблица47[[#This Row],[Количество хлыстов]]-Таблица47[[#This Row],[Обработано в 1С]]-Таблица47[[#This Row],[Корректировка]],"")</f>
        <v/>
      </c>
      <c r="P16" s="638" t="str">
        <f>IFERROR((((Таблица47[[#This Row],[Осталось сделать, хлыст]]*Таблица47[[#This Row],[длина]])*Таблица47[[#This Row],[Периметр]])/28),"")</f>
        <v/>
      </c>
      <c r="Q16" s="303"/>
      <c r="R16" s="639">
        <f>IFERROR(Таблица47[[#This Row],[Коли-
чество м.п.]]/Таблица47[[#This Row],[Количество хлыстов]],"")</f>
        <v>0</v>
      </c>
      <c r="S16" s="303" t="s">
        <v>744</v>
      </c>
      <c r="T16" s="303"/>
      <c r="U16" s="640">
        <v>140</v>
      </c>
      <c r="V16" s="303"/>
      <c r="W16" s="303"/>
      <c r="X16" s="303"/>
      <c r="Y16" s="303"/>
      <c r="Z16" s="303"/>
      <c r="AA16" s="303"/>
      <c r="AB16" s="303"/>
      <c r="AC16" s="641"/>
    </row>
    <row r="17" spans="1:29" ht="15.75" customHeight="1" x14ac:dyDescent="0.25">
      <c r="A17" s="1015" t="s">
        <v>4678</v>
      </c>
      <c r="B17" s="318">
        <v>1</v>
      </c>
      <c r="C17" s="318" t="s">
        <v>4753</v>
      </c>
      <c r="D17" s="468" t="s">
        <v>13</v>
      </c>
      <c r="E17" s="318" t="s">
        <v>30</v>
      </c>
      <c r="F17" s="528">
        <v>45292</v>
      </c>
      <c r="G17" s="320">
        <v>45343</v>
      </c>
      <c r="H17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" s="800" t="str">
        <f>CONCATENATE(Таблица47[[#This Row],[№ заявки в 1С]],Таблица47[[#This Row],[Наименование            ]])</f>
        <v>1балка АД-35 L=3085мм, анод с дробью  9-12мкм (740р)</v>
      </c>
      <c r="J17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" s="1027"/>
      <c r="N17" s="640">
        <v>20</v>
      </c>
      <c r="O17" s="1013" t="str">
        <f>IFERROR(Таблица47[[#This Row],[Количество хлыстов]]-Таблица47[[#This Row],[Обработано в 1С]]-Таблица47[[#This Row],[Корректировка]],"")</f>
        <v/>
      </c>
      <c r="P17" s="638" t="str">
        <f>IFERROR((((Таблица47[[#This Row],[Осталось сделать, хлыст]]*Таблица47[[#This Row],[длина]])*Таблица47[[#This Row],[Периметр]])/28),"")</f>
        <v/>
      </c>
      <c r="Q17" s="303"/>
      <c r="R17" s="639">
        <f>IFERROR(Таблица47[[#This Row],[Коли-
чество м.п.]]/Таблица47[[#This Row],[Количество хлыстов]],"")</f>
        <v>0</v>
      </c>
      <c r="S17" s="303" t="s">
        <v>733</v>
      </c>
      <c r="T17" s="303"/>
      <c r="U17" s="640">
        <v>20</v>
      </c>
      <c r="V17" s="303"/>
      <c r="W17" s="303"/>
      <c r="X17" s="303"/>
      <c r="Y17" s="303"/>
      <c r="Z17" s="303"/>
      <c r="AA17" s="303"/>
      <c r="AB17" s="303"/>
      <c r="AC17" s="641"/>
    </row>
    <row r="18" spans="1:29" ht="15.75" customHeight="1" x14ac:dyDescent="0.25">
      <c r="A18" s="1015" t="s">
        <v>4678</v>
      </c>
      <c r="B18" s="318">
        <v>1</v>
      </c>
      <c r="C18" s="318" t="s">
        <v>4753</v>
      </c>
      <c r="D18" s="468" t="s">
        <v>13</v>
      </c>
      <c r="E18" s="318" t="s">
        <v>30</v>
      </c>
      <c r="F18" s="528">
        <v>45292</v>
      </c>
      <c r="G18" s="320">
        <v>45343</v>
      </c>
      <c r="H18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" s="800" t="str">
        <f>CONCATENATE(Таблица47[[#This Row],[№ заявки в 1С]],Таблица47[[#This Row],[Наименование            ]])</f>
        <v>1балка АД-35 L=4570мм, анод с дробью  9-12мкм (1020р)</v>
      </c>
      <c r="J18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" s="1027"/>
      <c r="N18" s="640">
        <v>4</v>
      </c>
      <c r="O18" s="1013" t="str">
        <f>IFERROR(Таблица47[[#This Row],[Количество хлыстов]]-Таблица47[[#This Row],[Обработано в 1С]]-Таблица47[[#This Row],[Корректировка]],"")</f>
        <v/>
      </c>
      <c r="P18" s="638" t="str">
        <f>IFERROR((((Таблица47[[#This Row],[Осталось сделать, хлыст]]*Таблица47[[#This Row],[длина]])*Таблица47[[#This Row],[Периметр]])/28),"")</f>
        <v/>
      </c>
      <c r="Q18" s="303"/>
      <c r="R18" s="639">
        <f>IFERROR(Таблица47[[#This Row],[Коли-
чество м.п.]]/Таблица47[[#This Row],[Количество хлыстов]],"")</f>
        <v>0</v>
      </c>
      <c r="S18" s="303" t="s">
        <v>1255</v>
      </c>
      <c r="T18" s="303"/>
      <c r="U18" s="640">
        <v>4</v>
      </c>
      <c r="V18" s="303"/>
      <c r="W18" s="303"/>
      <c r="X18" s="303"/>
      <c r="Y18" s="303"/>
      <c r="Z18" s="303"/>
      <c r="AA18" s="303"/>
      <c r="AB18" s="303"/>
      <c r="AC18" s="641"/>
    </row>
    <row r="19" spans="1:29" ht="15.75" customHeight="1" x14ac:dyDescent="0.25">
      <c r="A19" s="1015" t="s">
        <v>4678</v>
      </c>
      <c r="B19" s="318">
        <v>1</v>
      </c>
      <c r="C19" s="318" t="s">
        <v>4753</v>
      </c>
      <c r="D19" s="468" t="s">
        <v>13</v>
      </c>
      <c r="E19" s="318" t="s">
        <v>30</v>
      </c>
      <c r="F19" s="528">
        <v>45292</v>
      </c>
      <c r="G19" s="320">
        <v>45343</v>
      </c>
      <c r="H19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" s="800" t="str">
        <f>CONCATENATE(Таблица47[[#This Row],[№ заявки в 1С]],Таблица47[[#This Row],[Наименование            ]])</f>
        <v>1балка АД-35 L=4940мм, анод с дробью  9-12мкм (1185р)</v>
      </c>
      <c r="J19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" s="1027"/>
      <c r="N19" s="640">
        <v>4</v>
      </c>
      <c r="O19" s="1013" t="str">
        <f>IFERROR(Таблица47[[#This Row],[Количество хлыстов]]-Таблица47[[#This Row],[Обработано в 1С]]-Таблица47[[#This Row],[Корректировка]],"")</f>
        <v/>
      </c>
      <c r="P19" s="638" t="str">
        <f>IFERROR((((Таблица47[[#This Row],[Осталось сделать, хлыст]]*Таблица47[[#This Row],[длина]])*Таблица47[[#This Row],[Периметр]])/28),"")</f>
        <v/>
      </c>
      <c r="Q19" s="303"/>
      <c r="R19" s="639">
        <f>IFERROR(Таблица47[[#This Row],[Коли-
чество м.п.]]/Таблица47[[#This Row],[Количество хлыстов]],"")</f>
        <v>0</v>
      </c>
      <c r="S19" s="303" t="s">
        <v>739</v>
      </c>
      <c r="T19" s="303"/>
      <c r="U19" s="640">
        <v>4</v>
      </c>
      <c r="V19" s="303"/>
      <c r="W19" s="303"/>
      <c r="X19" s="303"/>
      <c r="Y19" s="303"/>
      <c r="Z19" s="303"/>
      <c r="AA19" s="303"/>
      <c r="AB19" s="303"/>
      <c r="AC19" s="641"/>
    </row>
    <row r="20" spans="1:29" ht="15.75" customHeight="1" x14ac:dyDescent="0.25">
      <c r="A20" s="1015" t="s">
        <v>4678</v>
      </c>
      <c r="B20" s="318">
        <v>1</v>
      </c>
      <c r="C20" s="318" t="s">
        <v>4753</v>
      </c>
      <c r="D20" s="468" t="s">
        <v>13</v>
      </c>
      <c r="E20" s="318" t="s">
        <v>30</v>
      </c>
      <c r="F20" s="528">
        <v>45292</v>
      </c>
      <c r="G20" s="320">
        <v>45343</v>
      </c>
      <c r="H20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" s="800" t="str">
        <f>CONCATENATE(Таблица47[[#This Row],[№ заявки в 1С]],Таблица47[[#This Row],[Наименование            ]])</f>
        <v>1балка АД-35 L=5005 мм, анод с дробью  9-12мкм (1200р)</v>
      </c>
      <c r="J20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" s="1027"/>
      <c r="N20" s="640">
        <v>8</v>
      </c>
      <c r="O20" s="1013" t="str">
        <f>IFERROR(Таблица47[[#This Row],[Количество хлыстов]]-Таблица47[[#This Row],[Обработано в 1С]]-Таблица47[[#This Row],[Корректировка]],"")</f>
        <v/>
      </c>
      <c r="P20" s="638" t="str">
        <f>IFERROR((((Таблица47[[#This Row],[Осталось сделать, хлыст]]*Таблица47[[#This Row],[длина]])*Таблица47[[#This Row],[Периметр]])/28),"")</f>
        <v/>
      </c>
      <c r="Q20" s="303"/>
      <c r="R20" s="639">
        <f>IFERROR(Таблица47[[#This Row],[Коли-
чество м.п.]]/Таблица47[[#This Row],[Количество хлыстов]],"")</f>
        <v>0</v>
      </c>
      <c r="S20" s="303" t="s">
        <v>740</v>
      </c>
      <c r="T20" s="303"/>
      <c r="U20" s="640">
        <v>8</v>
      </c>
      <c r="V20" s="303"/>
      <c r="W20" s="303"/>
      <c r="X20" s="303"/>
      <c r="Y20" s="303"/>
      <c r="Z20" s="303"/>
      <c r="AA20" s="303"/>
      <c r="AB20" s="303"/>
      <c r="AC20" s="641"/>
    </row>
    <row r="21" spans="1:29" ht="15.75" customHeight="1" x14ac:dyDescent="0.25">
      <c r="A21" s="1015" t="s">
        <v>4678</v>
      </c>
      <c r="B21" s="318">
        <v>1</v>
      </c>
      <c r="C21" s="318" t="s">
        <v>4753</v>
      </c>
      <c r="D21" s="468" t="s">
        <v>13</v>
      </c>
      <c r="E21" s="318" t="s">
        <v>30</v>
      </c>
      <c r="F21" s="528">
        <v>45292</v>
      </c>
      <c r="G21" s="320">
        <v>45343</v>
      </c>
      <c r="H21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" s="800" t="str">
        <f>CONCATENATE(Таблица47[[#This Row],[№ заявки в 1С]],Таблица47[[#This Row],[Наименование            ]])</f>
        <v>1балка АД-35 L=5090 мм, анод с дробью  9-12мкм (1222р)</v>
      </c>
      <c r="J21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" s="1027"/>
      <c r="N21" s="640">
        <v>4</v>
      </c>
      <c r="O21" s="1013" t="str">
        <f>IFERROR(Таблица47[[#This Row],[Количество хлыстов]]-Таблица47[[#This Row],[Обработано в 1С]]-Таблица47[[#This Row],[Корректировка]],"")</f>
        <v/>
      </c>
      <c r="P21" s="638" t="str">
        <f>IFERROR((((Таблица47[[#This Row],[Осталось сделать, хлыст]]*Таблица47[[#This Row],[длина]])*Таблица47[[#This Row],[Периметр]])/28),"")</f>
        <v/>
      </c>
      <c r="Q21" s="303"/>
      <c r="R21" s="639">
        <f>IFERROR(Таблица47[[#This Row],[Коли-
чество м.п.]]/Таблица47[[#This Row],[Количество хлыстов]],"")</f>
        <v>0</v>
      </c>
      <c r="S21" s="303" t="s">
        <v>1243</v>
      </c>
      <c r="T21" s="303"/>
      <c r="U21" s="640">
        <v>4</v>
      </c>
      <c r="V21" s="303"/>
      <c r="W21" s="303"/>
      <c r="X21" s="303"/>
      <c r="Y21" s="303"/>
      <c r="Z21" s="303"/>
      <c r="AA21" s="303"/>
      <c r="AB21" s="303"/>
      <c r="AC21" s="641"/>
    </row>
    <row r="22" spans="1:29" ht="15.75" customHeight="1" x14ac:dyDescent="0.25">
      <c r="A22" s="1015" t="s">
        <v>4678</v>
      </c>
      <c r="B22" s="318">
        <v>1</v>
      </c>
      <c r="C22" s="318" t="s">
        <v>4753</v>
      </c>
      <c r="D22" s="468" t="s">
        <v>13</v>
      </c>
      <c r="E22" s="318" t="s">
        <v>30</v>
      </c>
      <c r="F22" s="528">
        <v>45292</v>
      </c>
      <c r="G22" s="320">
        <v>45343</v>
      </c>
      <c r="H22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" s="800" t="str">
        <f>CONCATENATE(Таблица47[[#This Row],[№ заявки в 1С]],Таблица47[[#This Row],[Наименование            ]])</f>
        <v>1балка АД-35 L=5135мм, анод с дробью  9-12мкм (1232р)</v>
      </c>
      <c r="J22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" s="1027"/>
      <c r="N22" s="640">
        <v>44</v>
      </c>
      <c r="O22" s="1013" t="str">
        <f>IFERROR(Таблица47[[#This Row],[Количество хлыстов]]-Таблица47[[#This Row],[Обработано в 1С]]-Таблица47[[#This Row],[Корректировка]],"")</f>
        <v/>
      </c>
      <c r="P22" s="638" t="str">
        <f>IFERROR((((Таблица47[[#This Row],[Осталось сделать, хлыст]]*Таблица47[[#This Row],[длина]])*Таблица47[[#This Row],[Периметр]])/28),"")</f>
        <v/>
      </c>
      <c r="Q22" s="303"/>
      <c r="R22" s="639">
        <f>IFERROR(Таблица47[[#This Row],[Коли-
чество м.п.]]/Таблица47[[#This Row],[Количество хлыстов]],"")</f>
        <v>0</v>
      </c>
      <c r="S22" s="303" t="s">
        <v>741</v>
      </c>
      <c r="T22" s="303"/>
      <c r="U22" s="640">
        <v>44</v>
      </c>
      <c r="V22" s="303"/>
      <c r="W22" s="303"/>
      <c r="X22" s="303"/>
      <c r="Y22" s="303"/>
      <c r="Z22" s="303"/>
      <c r="AA22" s="303"/>
      <c r="AB22" s="303"/>
      <c r="AC22" s="641"/>
    </row>
    <row r="23" spans="1:29" ht="15.75" customHeight="1" x14ac:dyDescent="0.25">
      <c r="A23" s="1015" t="s">
        <v>4678</v>
      </c>
      <c r="B23" s="318">
        <v>1</v>
      </c>
      <c r="C23" s="318" t="s">
        <v>4753</v>
      </c>
      <c r="D23" s="468" t="s">
        <v>13</v>
      </c>
      <c r="E23" s="318" t="s">
        <v>30</v>
      </c>
      <c r="F23" s="528">
        <v>45292</v>
      </c>
      <c r="G23" s="320">
        <v>45343</v>
      </c>
      <c r="H23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" s="800" t="str">
        <f>CONCATENATE(Таблица47[[#This Row],[№ заявки в 1С]],Таблица47[[#This Row],[Наименование            ]])</f>
        <v>1балка АД-35 L=700 мм, анод с дробью  9-12мкм (170р)</v>
      </c>
      <c r="J23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" s="1027"/>
      <c r="N23" s="640">
        <v>4</v>
      </c>
      <c r="O23" s="1013" t="str">
        <f>IFERROR(Таблица47[[#This Row],[Количество хлыстов]]-Таблица47[[#This Row],[Обработано в 1С]]-Таблица47[[#This Row],[Корректировка]],"")</f>
        <v/>
      </c>
      <c r="P23" s="638" t="str">
        <f>IFERROR((((Таблица47[[#This Row],[Осталось сделать, хлыст]]*Таблица47[[#This Row],[длина]])*Таблица47[[#This Row],[Периметр]])/28),"")</f>
        <v/>
      </c>
      <c r="Q23" s="303"/>
      <c r="R23" s="639">
        <f>IFERROR(Таблица47[[#This Row],[Коли-
чество м.п.]]/Таблица47[[#This Row],[Количество хлыстов]],"")</f>
        <v>0</v>
      </c>
      <c r="S23" s="303" t="s">
        <v>745</v>
      </c>
      <c r="T23" s="303"/>
      <c r="U23" s="640">
        <v>4</v>
      </c>
      <c r="V23" s="303"/>
      <c r="W23" s="303"/>
      <c r="X23" s="303"/>
      <c r="Y23" s="303"/>
      <c r="Z23" s="303"/>
      <c r="AA23" s="303"/>
      <c r="AB23" s="303"/>
      <c r="AC23" s="641"/>
    </row>
    <row r="24" spans="1:29" ht="15.75" customHeight="1" x14ac:dyDescent="0.25">
      <c r="A24" s="1015" t="s">
        <v>4678</v>
      </c>
      <c r="B24" s="318">
        <v>1</v>
      </c>
      <c r="C24" s="318" t="s">
        <v>4753</v>
      </c>
      <c r="D24" s="468" t="s">
        <v>13</v>
      </c>
      <c r="E24" s="318" t="s">
        <v>30</v>
      </c>
      <c r="F24" s="528">
        <v>45292</v>
      </c>
      <c r="G24" s="320">
        <v>45343</v>
      </c>
      <c r="H24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" s="800" t="str">
        <f>CONCATENATE(Таблица47[[#This Row],[№ заявки в 1С]],Таблица47[[#This Row],[Наименование            ]])</f>
        <v>1балка АД-35 L=3950мм, анод с дробью  9-12мкм</v>
      </c>
      <c r="J24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" s="1027"/>
      <c r="N24" s="640">
        <v>32</v>
      </c>
      <c r="O24" s="1013" t="str">
        <f>IFERROR(Таблица47[[#This Row],[Количество хлыстов]]-Таблица47[[#This Row],[Обработано в 1С]]-Таблица47[[#This Row],[Корректировка]],"")</f>
        <v/>
      </c>
      <c r="P24" s="638" t="str">
        <f>IFERROR((((Таблица47[[#This Row],[Осталось сделать, хлыст]]*Таблица47[[#This Row],[длина]])*Таблица47[[#This Row],[Периметр]])/28),"")</f>
        <v/>
      </c>
      <c r="Q24" s="303"/>
      <c r="R24" s="639">
        <f>IFERROR(Таблица47[[#This Row],[Коли-
чество м.п.]]/Таблица47[[#This Row],[Количество хлыстов]],"")</f>
        <v>0</v>
      </c>
      <c r="S24" s="303" t="s">
        <v>3727</v>
      </c>
      <c r="T24" s="303"/>
      <c r="U24" s="640">
        <v>32</v>
      </c>
      <c r="V24" s="303"/>
      <c r="W24" s="303"/>
      <c r="X24" s="303"/>
      <c r="Y24" s="303"/>
      <c r="Z24" s="303"/>
      <c r="AA24" s="303"/>
      <c r="AB24" s="303"/>
      <c r="AC24" s="641"/>
    </row>
    <row r="25" spans="1:29" ht="15.75" customHeight="1" x14ac:dyDescent="0.25">
      <c r="A25" s="1015" t="s">
        <v>4678</v>
      </c>
      <c r="B25" s="318">
        <v>1</v>
      </c>
      <c r="C25" s="318" t="s">
        <v>4753</v>
      </c>
      <c r="D25" s="468" t="s">
        <v>13</v>
      </c>
      <c r="E25" s="318" t="s">
        <v>30</v>
      </c>
      <c r="F25" s="528">
        <v>45292</v>
      </c>
      <c r="G25" s="320">
        <v>45343</v>
      </c>
      <c r="H25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" s="800" t="str">
        <f>CONCATENATE(Таблица47[[#This Row],[№ заявки в 1С]],Таблица47[[#This Row],[Наименование            ]])</f>
        <v>1балка АД-35 L=4200мм,  анод с дробью   9-12мкм (1010р)</v>
      </c>
      <c r="J25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" s="1027"/>
      <c r="N25" s="640">
        <v>16</v>
      </c>
      <c r="O25" s="1013" t="str">
        <f>IFERROR(Таблица47[[#This Row],[Количество хлыстов]]-Таблица47[[#This Row],[Обработано в 1С]]-Таблица47[[#This Row],[Корректировка]],"")</f>
        <v/>
      </c>
      <c r="P25" s="638" t="str">
        <f>IFERROR((((Таблица47[[#This Row],[Осталось сделать, хлыст]]*Таблица47[[#This Row],[длина]])*Таблица47[[#This Row],[Периметр]])/28),"")</f>
        <v/>
      </c>
      <c r="Q25" s="303"/>
      <c r="R25" s="639">
        <f>IFERROR(Таблица47[[#This Row],[Коли-
чество м.п.]]/Таблица47[[#This Row],[Количество хлыстов]],"")</f>
        <v>0</v>
      </c>
      <c r="S25" s="303" t="s">
        <v>737</v>
      </c>
      <c r="T25" s="303"/>
      <c r="U25" s="640">
        <v>16</v>
      </c>
      <c r="V25" s="303"/>
      <c r="W25" s="303"/>
      <c r="X25" s="303"/>
      <c r="Y25" s="303"/>
      <c r="Z25" s="303"/>
      <c r="AA25" s="303"/>
      <c r="AB25" s="303"/>
      <c r="AC25" s="641"/>
    </row>
    <row r="26" spans="1:29" ht="15.75" customHeight="1" x14ac:dyDescent="0.25">
      <c r="A26" s="427" t="s">
        <v>4678</v>
      </c>
      <c r="B26" s="309">
        <v>1</v>
      </c>
      <c r="C26" s="309"/>
      <c r="D26" s="468" t="s">
        <v>34</v>
      </c>
      <c r="E26" s="318" t="s">
        <v>2205</v>
      </c>
      <c r="F26" s="528">
        <v>45301</v>
      </c>
      <c r="G26" s="528"/>
      <c r="H2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" s="562" t="str">
        <f>CONCATENATE(Таблица47[[#This Row],[№ заявки в 1С]],Таблица47[[#This Row],[Наименование            ]])</f>
        <v>1[76744] V017-8156, 3,05м, БА</v>
      </c>
      <c r="J26" s="102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" s="102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" s="102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" s="1028"/>
      <c r="N26" s="1029">
        <v>26</v>
      </c>
      <c r="O26" s="1013" t="str">
        <f>IFERROR(Таблица47[[#This Row],[Количество хлыстов]]-Таблица47[[#This Row],[Обработано в 1С]]-Таблица47[[#This Row],[Корректировка]],"")</f>
        <v/>
      </c>
      <c r="P26" s="638" t="str">
        <f>IFERROR((((Таблица47[[#This Row],[Осталось сделать, хлыст]]*Таблица47[[#This Row],[длина]])*Таблица47[[#This Row],[Периметр]])/28),"")</f>
        <v/>
      </c>
      <c r="Q26" s="303"/>
      <c r="R26" s="991">
        <f>IFERROR(Таблица47[[#This Row],[Коли-
чество м.п.]]/Таблица47[[#This Row],[Количество хлыстов]],"")</f>
        <v>3.05</v>
      </c>
      <c r="S26" s="303" t="s">
        <v>1362</v>
      </c>
      <c r="T26" s="303">
        <v>79.3</v>
      </c>
      <c r="U26" s="640">
        <v>26</v>
      </c>
      <c r="V26" s="303">
        <v>0.91269999999999996</v>
      </c>
      <c r="W26" s="303">
        <v>4.5439999999999996</v>
      </c>
      <c r="X26" s="303">
        <v>72.377099999999999</v>
      </c>
      <c r="Y26" s="303">
        <v>360.33920000000001</v>
      </c>
      <c r="Z26" s="303">
        <v>9.41</v>
      </c>
      <c r="AA26" s="303">
        <v>384.44</v>
      </c>
      <c r="AB26" s="303">
        <v>421.22</v>
      </c>
      <c r="AC26" s="641">
        <v>30486.09</v>
      </c>
    </row>
    <row r="27" spans="1:29" customFormat="1" ht="15.75" customHeight="1" x14ac:dyDescent="0.25">
      <c r="A27" s="344" t="s">
        <v>4678</v>
      </c>
      <c r="B27" s="321">
        <v>12</v>
      </c>
      <c r="C27" s="321" t="s">
        <v>4753</v>
      </c>
      <c r="D27" s="468" t="s">
        <v>13</v>
      </c>
      <c r="E27" s="321" t="s">
        <v>4616</v>
      </c>
      <c r="F27" s="310">
        <v>45302</v>
      </c>
      <c r="G27" s="310"/>
      <c r="H27" s="565" t="s">
        <v>677</v>
      </c>
      <c r="I27" s="384" t="str">
        <f>CONCATENATE(Таблица47[[#This Row],[№ заявки в 1С]],Таблица47[[#This Row],[Наименование            ]])</f>
        <v>12детали по 1 шт. = 5 шт. L = 1,0 м. каждого профиля.</v>
      </c>
      <c r="J27" s="38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" s="38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" s="38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" s="384"/>
      <c r="N27" s="385"/>
      <c r="O27" s="1001" t="str">
        <f>IFERROR(Таблица47[[#This Row],[Количество хлыстов]]-Таблица47[[#This Row],[Обработано в 1С]]-Таблица47[[#This Row],[Корректировка]],"")</f>
        <v/>
      </c>
      <c r="P27" s="638" t="str">
        <f>IFERROR((((Таблица47[[#This Row],[Осталось сделать, хлыст]]*Таблица47[[#This Row],[длина]])*Таблица47[[#This Row],[Периметр]])/28),"")</f>
        <v/>
      </c>
      <c r="Q27" s="145"/>
      <c r="R27" s="280" t="str">
        <f>IFERROR(Таблица47[[#This Row],[Коли-
чество м.п.]]/Таблица47[[#This Row],[Количество хлыстов]],"")</f>
        <v/>
      </c>
      <c r="S27" s="145" t="s">
        <v>4758</v>
      </c>
      <c r="T27" s="145"/>
      <c r="U27" s="322"/>
      <c r="V27" s="145"/>
      <c r="W27" s="145"/>
      <c r="X27" s="145"/>
      <c r="Y27" s="145"/>
      <c r="Z27" s="145"/>
      <c r="AA27" s="145"/>
      <c r="AB27" s="145"/>
      <c r="AC27" s="397" t="s">
        <v>797</v>
      </c>
    </row>
    <row r="28" spans="1:29" ht="15.75" customHeight="1" x14ac:dyDescent="0.25">
      <c r="A28" s="1011" t="s">
        <v>4678</v>
      </c>
      <c r="B28" s="438">
        <v>6</v>
      </c>
      <c r="C28" s="438"/>
      <c r="D28" s="468" t="s">
        <v>13</v>
      </c>
      <c r="E28" s="438" t="s">
        <v>657</v>
      </c>
      <c r="F28" s="440">
        <v>45302</v>
      </c>
      <c r="G28" s="440"/>
      <c r="H28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" s="449" t="str">
        <f>CONCATENATE(Таблица47[[#This Row],[№ заявки в 1С]],Таблица47[[#This Row],[Наименование            ]])</f>
        <v>6[68773] 0906-71, 5,8 м, сплав 6063 КР Т1</v>
      </c>
      <c r="J28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" s="461"/>
      <c r="N28" s="462">
        <v>102</v>
      </c>
      <c r="O28" s="1013" t="str">
        <f>IFERROR(Таблица47[[#This Row],[Количество хлыстов]]-Таблица47[[#This Row],[Обработано в 1С]]-Таблица47[[#This Row],[Корректировка]],"")</f>
        <v/>
      </c>
      <c r="P28" s="638" t="str">
        <f>IFERROR((((Таблица47[[#This Row],[Осталось сделать, хлыст]]*Таблица47[[#This Row],[длина]])*Таблица47[[#This Row],[Периметр]])/28),"")</f>
        <v/>
      </c>
      <c r="Q28" s="439" t="s">
        <v>4721</v>
      </c>
      <c r="R28" s="458">
        <f>IFERROR(Таблица47[[#This Row],[Коли-
чество м.п.]]/Таблица47[[#This Row],[Количество хлыстов]],"")</f>
        <v>5.8</v>
      </c>
      <c r="S28" s="439" t="s">
        <v>2963</v>
      </c>
      <c r="T28" s="458">
        <v>591.6</v>
      </c>
      <c r="U28" s="459">
        <v>102</v>
      </c>
      <c r="V28" s="458">
        <v>0.1724</v>
      </c>
      <c r="W28" s="458">
        <v>0.41499999999999998</v>
      </c>
      <c r="X28" s="458">
        <v>101.9918</v>
      </c>
      <c r="Y28" s="458">
        <v>245.51400000000001</v>
      </c>
      <c r="Z28" s="458">
        <v>13.26</v>
      </c>
      <c r="AA28" s="458">
        <v>62.93</v>
      </c>
      <c r="AB28" s="458">
        <v>365</v>
      </c>
      <c r="AC28" s="460">
        <v>37227.019999999997</v>
      </c>
    </row>
    <row r="29" spans="1:29" ht="15.75" customHeight="1" x14ac:dyDescent="0.25">
      <c r="A29" s="1011" t="s">
        <v>4678</v>
      </c>
      <c r="B29" s="452">
        <v>7</v>
      </c>
      <c r="C29" s="452"/>
      <c r="D29" s="468" t="s">
        <v>13</v>
      </c>
      <c r="E29" s="439" t="s">
        <v>489</v>
      </c>
      <c r="F29" s="440">
        <v>45303</v>
      </c>
      <c r="G29" s="440"/>
      <c r="H29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" s="441" t="str">
        <f>CONCATENATE(Таблица47[[#This Row],[№ заявки в 1С]],Таблица47[[#This Row],[Наименование            ]])</f>
        <v>7[75791] 0506-93 (АТ-6458), 3,0м, БА сплав 6063 Т1</v>
      </c>
      <c r="J29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" s="456"/>
      <c r="N29" s="457">
        <v>156</v>
      </c>
      <c r="O29" s="1013" t="str">
        <f>IFERROR(Таблица47[[#This Row],[Количество хлыстов]]-Таблица47[[#This Row],[Обработано в 1С]]-Таблица47[[#This Row],[Корректировка]],"")</f>
        <v/>
      </c>
      <c r="P29" s="638" t="str">
        <f>IFERROR((((Таблица47[[#This Row],[Осталось сделать, хлыст]]*Таблица47[[#This Row],[длина]])*Таблица47[[#This Row],[Периметр]])/28),"")</f>
        <v/>
      </c>
      <c r="Q29" s="439" t="s">
        <v>4721</v>
      </c>
      <c r="R29" s="458">
        <f>IFERROR(Таблица47[[#This Row],[Коли-
чество м.п.]]/Таблица47[[#This Row],[Количество хлыстов]],"")</f>
        <v>3</v>
      </c>
      <c r="S29" s="439" t="s">
        <v>783</v>
      </c>
      <c r="T29" s="458">
        <v>468</v>
      </c>
      <c r="U29" s="459">
        <v>156</v>
      </c>
      <c r="V29" s="458">
        <v>0.15310000000000001</v>
      </c>
      <c r="W29" s="458">
        <v>1.1000000000000001</v>
      </c>
      <c r="X29" s="458">
        <v>71.650800000000004</v>
      </c>
      <c r="Y29" s="458">
        <v>514.79999999999995</v>
      </c>
      <c r="Z29" s="458">
        <v>9.31</v>
      </c>
      <c r="AA29" s="458">
        <v>51.29</v>
      </c>
      <c r="AB29" s="458">
        <v>335</v>
      </c>
      <c r="AC29" s="460">
        <v>24003.02</v>
      </c>
    </row>
    <row r="30" spans="1:29" ht="15.75" customHeight="1" x14ac:dyDescent="0.25">
      <c r="A30" s="1011" t="s">
        <v>4678</v>
      </c>
      <c r="B30" s="452" t="s">
        <v>4683</v>
      </c>
      <c r="C30" s="452"/>
      <c r="D30" s="468" t="s">
        <v>34</v>
      </c>
      <c r="E30" s="439" t="s">
        <v>16</v>
      </c>
      <c r="F30" s="440">
        <v>45301</v>
      </c>
      <c r="G30" s="440"/>
      <c r="H30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" s="449" t="str">
        <f>CONCATENATE(Таблица47[[#This Row],[№ заявки в 1С]],Таблица47[[#This Row],[Наименование            ]])</f>
        <v>OPT000004[13620] 0106-290, 6,0м, 6063 Т1, тип 1, упаковка Т-5, БА</v>
      </c>
      <c r="J30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" s="461">
        <v>4</v>
      </c>
      <c r="N30" s="462">
        <f>136+4+4</f>
        <v>144</v>
      </c>
      <c r="O30" s="1013" t="str">
        <f>IFERROR(Таблица47[[#This Row],[Количество хлыстов]]-Таблица47[[#This Row],[Обработано в 1С]]-Таблица47[[#This Row],[Корректировка]],"")</f>
        <v/>
      </c>
      <c r="P30" s="638" t="str">
        <f>IFERROR((((Таблица47[[#This Row],[Осталось сделать, хлыст]]*Таблица47[[#This Row],[длина]])*Таблица47[[#This Row],[Периметр]])/28),"")</f>
        <v/>
      </c>
      <c r="Q30" s="439" t="s">
        <v>4983</v>
      </c>
      <c r="R30" s="458">
        <f>IFERROR(Таблица47[[#This Row],[Коли-
чество м.п.]]/Таблица47[[#This Row],[Количество хлыстов]],"")</f>
        <v>6</v>
      </c>
      <c r="S30" s="439" t="s">
        <v>2423</v>
      </c>
      <c r="T30" s="458">
        <v>888</v>
      </c>
      <c r="U30" s="459">
        <v>148</v>
      </c>
      <c r="V30" s="458">
        <v>0.29970000000000002</v>
      </c>
      <c r="W30" s="458">
        <v>1.6739999999999999</v>
      </c>
      <c r="X30" s="458">
        <v>266.1336</v>
      </c>
      <c r="Y30" s="458">
        <v>1486.5119999999999</v>
      </c>
      <c r="Z30" s="458">
        <v>34.6</v>
      </c>
      <c r="AA30" s="458">
        <v>109.39</v>
      </c>
      <c r="AB30" s="458">
        <v>365</v>
      </c>
      <c r="AC30" s="460">
        <v>97138.76</v>
      </c>
    </row>
    <row r="31" spans="1:29" ht="15.75" customHeight="1" x14ac:dyDescent="0.25">
      <c r="A31" s="1030" t="s">
        <v>4678</v>
      </c>
      <c r="B31" s="438">
        <v>8</v>
      </c>
      <c r="C31" s="438"/>
      <c r="D31" s="468" t="s">
        <v>13</v>
      </c>
      <c r="E31" s="439" t="s">
        <v>2217</v>
      </c>
      <c r="F31" s="440">
        <v>45303</v>
      </c>
      <c r="G31" s="469">
        <v>45378</v>
      </c>
      <c r="H31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" s="441" t="str">
        <f>CONCATENATE(Таблица47[[#This Row],[№ заявки в 1С]],Таблица47[[#This Row],[Наименование            ]])</f>
        <v>8[83226] 1606-91, 6,05 м,  6063 под гибку Т64 205-210 Мпа</v>
      </c>
      <c r="J31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" s="456">
        <v>1</v>
      </c>
      <c r="N31" s="457">
        <v>68</v>
      </c>
      <c r="O31" s="1013" t="str">
        <f>IFERROR(Таблица47[[#This Row],[Количество хлыстов]]-Таблица47[[#This Row],[Обработано в 1С]]-Таблица47[[#This Row],[Корректировка]],"")</f>
        <v/>
      </c>
      <c r="P31" s="638" t="str">
        <f>IFERROR((((Таблица47[[#This Row],[Осталось сделать, хлыст]]*Таблица47[[#This Row],[длина]])*Таблица47[[#This Row],[Периметр]])/28),"")</f>
        <v/>
      </c>
      <c r="Q31" s="439" t="s">
        <v>1707</v>
      </c>
      <c r="R31" s="458">
        <f>IFERROR(Таблица47[[#This Row],[Коли-
чество м.п.]]/Таблица47[[#This Row],[Количество хлыстов]],"")</f>
        <v>6.05</v>
      </c>
      <c r="S31" s="439" t="s">
        <v>3825</v>
      </c>
      <c r="T31" s="458">
        <v>417.45</v>
      </c>
      <c r="U31" s="459">
        <v>69</v>
      </c>
      <c r="V31" s="458">
        <v>0.68810000000000004</v>
      </c>
      <c r="W31" s="458">
        <v>2.7810000000000001</v>
      </c>
      <c r="X31" s="458">
        <v>287.2473</v>
      </c>
      <c r="Y31" s="458">
        <v>1160.9285</v>
      </c>
      <c r="Z31" s="458">
        <v>37.340000000000003</v>
      </c>
      <c r="AA31" s="458">
        <v>325.47000000000003</v>
      </c>
      <c r="AB31" s="458">
        <v>473</v>
      </c>
      <c r="AC31" s="460">
        <v>135867.99</v>
      </c>
    </row>
    <row r="32" spans="1:29" s="1021" customFormat="1" ht="16.149999999999999" customHeight="1" x14ac:dyDescent="0.25">
      <c r="A32" s="979" t="s">
        <v>4978</v>
      </c>
      <c r="B32" s="980">
        <v>9</v>
      </c>
      <c r="C32" s="980"/>
      <c r="D32" s="509" t="s">
        <v>13</v>
      </c>
      <c r="E32" s="509" t="s">
        <v>4722</v>
      </c>
      <c r="F32" s="510">
        <v>45303</v>
      </c>
      <c r="G32" s="510"/>
      <c r="H32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" s="511" t="str">
        <f>CONCATENATE(Таблица47[[#This Row],[№ заявки в 1С]],Таблица47[[#This Row],[Наименование            ]])</f>
        <v>9[88698] 1806-86, 6,05м, Ад31 Т1</v>
      </c>
      <c r="J32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" s="981"/>
      <c r="N32" s="982">
        <v>248</v>
      </c>
      <c r="O32" s="1020" t="str">
        <f>IFERROR(Таблица47[[#This Row],[Количество хлыстов]]-Таблица47[[#This Row],[Обработано в 1С]]-Таблица47[[#This Row],[Корректировка]],"")</f>
        <v/>
      </c>
      <c r="P32" s="638" t="str">
        <f>IFERROR((((Таблица47[[#This Row],[Осталось сделать, хлыст]]*Таблица47[[#This Row],[длина]])*Таблица47[[#This Row],[Периметр]])/28),"")</f>
        <v/>
      </c>
      <c r="Q32" s="983" t="s">
        <v>4723</v>
      </c>
      <c r="R32" s="993">
        <f>IFERROR(Таблица47[[#This Row],[Коли-
чество м.п.]]/Таблица47[[#This Row],[Количество хлыстов]],"")</f>
        <v>6.0500000000000007</v>
      </c>
      <c r="S32" s="509" t="s">
        <v>4724</v>
      </c>
      <c r="T32" s="984">
        <v>1500.4</v>
      </c>
      <c r="U32" s="985">
        <v>248</v>
      </c>
      <c r="V32" s="984">
        <v>0.33300000000000002</v>
      </c>
      <c r="W32" s="984">
        <v>0.86599999999999999</v>
      </c>
      <c r="X32" s="984">
        <v>499.63319999999999</v>
      </c>
      <c r="Y32" s="984">
        <v>1299.3463999999999</v>
      </c>
      <c r="Z32" s="984">
        <v>64.95</v>
      </c>
      <c r="AA32" s="984">
        <v>103.23</v>
      </c>
      <c r="AB32" s="984">
        <v>310</v>
      </c>
      <c r="AC32" s="986">
        <v>154886.29</v>
      </c>
    </row>
    <row r="33" spans="1:29" ht="15.75" customHeight="1" x14ac:dyDescent="0.25">
      <c r="A33" s="1016" t="s">
        <v>4678</v>
      </c>
      <c r="B33" s="424">
        <v>8</v>
      </c>
      <c r="C33" s="424" t="s">
        <v>4753</v>
      </c>
      <c r="D33" s="468" t="s">
        <v>13</v>
      </c>
      <c r="E33" s="496" t="s">
        <v>799</v>
      </c>
      <c r="F33" s="566">
        <v>45301</v>
      </c>
      <c r="G33" s="567">
        <v>45356</v>
      </c>
      <c r="H33" s="56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" s="900" t="str">
        <f>CONCATENATE(Таблица47[[#This Row],[№ заявки в 1С]],Таблица47[[#This Row],[Наименование            ]])</f>
        <v>8Y.3005(8) 4,1 м, Р-0,300 анод 10+/-2 мкм без дроби</v>
      </c>
      <c r="J33" s="10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" s="10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" s="10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" s="1022"/>
      <c r="N33" s="1031">
        <v>113</v>
      </c>
      <c r="O33" s="1013" t="str">
        <f>IFERROR(Таблица47[[#This Row],[Количество хлыстов]]-Таблица47[[#This Row],[Обработано в 1С]]-Таблица47[[#This Row],[Корректировка]],"")</f>
        <v/>
      </c>
      <c r="P33" s="638" t="str">
        <f>IFERROR((((Таблица47[[#This Row],[Осталось сделать, хлыст]]*Таблица47[[#This Row],[длина]])*Таблица47[[#This Row],[Периметр]])/28),"")</f>
        <v/>
      </c>
      <c r="Q33" s="1024"/>
      <c r="R33" s="1025" t="str">
        <f>IFERROR(Таблица47[[#This Row],[Коли-
чество м.п.]]/Таблица47[[#This Row],[Количество хлыстов]],"")</f>
        <v/>
      </c>
      <c r="S33" s="1024" t="s">
        <v>4743</v>
      </c>
      <c r="T33" s="1024" t="s">
        <v>4750</v>
      </c>
      <c r="U33" s="1023">
        <v>113</v>
      </c>
      <c r="V33" s="1024"/>
      <c r="W33" s="1024"/>
      <c r="X33" s="1024"/>
      <c r="Y33" s="1024"/>
      <c r="Z33" s="1024"/>
      <c r="AA33" s="1024"/>
      <c r="AB33" s="1024"/>
      <c r="AC33" s="1026"/>
    </row>
    <row r="34" spans="1:29" customFormat="1" ht="15.75" customHeight="1" x14ac:dyDescent="0.25">
      <c r="A34" s="140" t="s">
        <v>4678</v>
      </c>
      <c r="B34" s="308">
        <v>9</v>
      </c>
      <c r="C34" s="308" t="s">
        <v>4753</v>
      </c>
      <c r="D34" s="468" t="s">
        <v>34</v>
      </c>
      <c r="E34" s="217" t="s">
        <v>4697</v>
      </c>
      <c r="F34" s="319">
        <v>45301</v>
      </c>
      <c r="G34" s="319"/>
      <c r="H34" s="390" t="s">
        <v>677</v>
      </c>
      <c r="I34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ТПСК-6040 (крышка), 6,0м</v>
      </c>
      <c r="J34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" s="800"/>
      <c r="N34" s="808"/>
      <c r="O34" s="1001" t="str">
        <f>IFERROR(Таблица47[[#This Row],[Количество хлыстов]]-Таблица47[[#This Row],[Обработано в 1С]]-Таблица47[[#This Row],[Корректировка]],"")</f>
        <v/>
      </c>
      <c r="P34" s="638" t="str">
        <f>IFERROR((((Таблица47[[#This Row],[Осталось сделать, хлыст]]*Таблица47[[#This Row],[длина]])*Таблица47[[#This Row],[Периметр]])/28),"")</f>
        <v/>
      </c>
      <c r="Q34" s="13"/>
      <c r="R34" s="989" t="str">
        <f>IFERROR(Таблица47[[#This Row],[Коли-
чество м.п.]]/Таблица47[[#This Row],[Количество хлыстов]],"")</f>
        <v/>
      </c>
      <c r="S34" s="13" t="s">
        <v>4684</v>
      </c>
      <c r="T34" s="13" t="s">
        <v>70</v>
      </c>
      <c r="U34" s="117">
        <v>12</v>
      </c>
      <c r="V34" s="13"/>
      <c r="W34" s="13"/>
      <c r="X34" s="13"/>
      <c r="Y34" s="13"/>
      <c r="Z34" s="13"/>
      <c r="AA34" s="13"/>
      <c r="AB34" s="13"/>
      <c r="AC34" s="399" t="s">
        <v>4692</v>
      </c>
    </row>
    <row r="35" spans="1:29" customFormat="1" ht="15.75" customHeight="1" x14ac:dyDescent="0.25">
      <c r="A35" s="140" t="s">
        <v>4678</v>
      </c>
      <c r="B35" s="308">
        <v>9</v>
      </c>
      <c r="C35" s="308" t="s">
        <v>4753</v>
      </c>
      <c r="D35" s="468" t="s">
        <v>34</v>
      </c>
      <c r="E35" s="217" t="s">
        <v>4697</v>
      </c>
      <c r="F35" s="319">
        <v>45301</v>
      </c>
      <c r="G35" s="319"/>
      <c r="H35" s="390" t="s">
        <v>677</v>
      </c>
      <c r="I35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ТПСК-6042 (прижим стойки), 6,0м</v>
      </c>
      <c r="J35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" s="800"/>
      <c r="N35" s="808"/>
      <c r="O35" s="1001" t="str">
        <f>IFERROR(Таблица47[[#This Row],[Количество хлыстов]]-Таблица47[[#This Row],[Обработано в 1С]]-Таблица47[[#This Row],[Корректировка]],"")</f>
        <v/>
      </c>
      <c r="P35" s="638" t="str">
        <f>IFERROR((((Таблица47[[#This Row],[Осталось сделать, хлыст]]*Таблица47[[#This Row],[длина]])*Таблица47[[#This Row],[Периметр]])/28),"")</f>
        <v/>
      </c>
      <c r="Q35" s="13"/>
      <c r="R35" s="989" t="str">
        <f>IFERROR(Таблица47[[#This Row],[Коли-
чество м.п.]]/Таблица47[[#This Row],[Количество хлыстов]],"")</f>
        <v/>
      </c>
      <c r="S35" s="13" t="s">
        <v>4685</v>
      </c>
      <c r="T35" s="13" t="s">
        <v>103</v>
      </c>
      <c r="U35" s="117">
        <v>6</v>
      </c>
      <c r="V35" s="13"/>
      <c r="W35" s="13"/>
      <c r="X35" s="13"/>
      <c r="Y35" s="13"/>
      <c r="Z35" s="13"/>
      <c r="AA35" s="13"/>
      <c r="AB35" s="13"/>
      <c r="AC35" s="399" t="s">
        <v>4693</v>
      </c>
    </row>
    <row r="36" spans="1:29" customFormat="1" ht="15.75" customHeight="1" x14ac:dyDescent="0.25">
      <c r="A36" s="140" t="s">
        <v>4678</v>
      </c>
      <c r="B36" s="308">
        <v>9</v>
      </c>
      <c r="C36" s="308" t="s">
        <v>4753</v>
      </c>
      <c r="D36" s="468" t="s">
        <v>34</v>
      </c>
      <c r="E36" s="217" t="s">
        <v>4697</v>
      </c>
      <c r="F36" s="319">
        <v>45301</v>
      </c>
      <c r="G36" s="319"/>
      <c r="H36" s="390" t="s">
        <v>677</v>
      </c>
      <c r="I36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ТПСК-6039 (прижим ригеля), 6,0м</v>
      </c>
      <c r="J36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" s="800"/>
      <c r="N36" s="808"/>
      <c r="O36" s="1001" t="str">
        <f>IFERROR(Таблица47[[#This Row],[Количество хлыстов]]-Таблица47[[#This Row],[Обработано в 1С]]-Таблица47[[#This Row],[Корректировка]],"")</f>
        <v/>
      </c>
      <c r="P36" s="638" t="str">
        <f>IFERROR((((Таблица47[[#This Row],[Осталось сделать, хлыст]]*Таблица47[[#This Row],[длина]])*Таблица47[[#This Row],[Периметр]])/28),"")</f>
        <v/>
      </c>
      <c r="Q36" s="13"/>
      <c r="R36" s="989" t="str">
        <f>IFERROR(Таблица47[[#This Row],[Коли-
чество м.п.]]/Таблица47[[#This Row],[Количество хлыстов]],"")</f>
        <v/>
      </c>
      <c r="S36" s="13" t="s">
        <v>4686</v>
      </c>
      <c r="T36" s="13" t="s">
        <v>103</v>
      </c>
      <c r="U36" s="117">
        <v>6</v>
      </c>
      <c r="V36" s="13"/>
      <c r="W36" s="13"/>
      <c r="X36" s="13"/>
      <c r="Y36" s="13"/>
      <c r="Z36" s="13"/>
      <c r="AA36" s="13"/>
      <c r="AB36" s="13"/>
      <c r="AC36" s="399" t="s">
        <v>4693</v>
      </c>
    </row>
    <row r="37" spans="1:29" customFormat="1" ht="15.75" customHeight="1" x14ac:dyDescent="0.25">
      <c r="A37" s="140" t="s">
        <v>4678</v>
      </c>
      <c r="B37" s="308">
        <v>9</v>
      </c>
      <c r="C37" s="308" t="s">
        <v>4753</v>
      </c>
      <c r="D37" s="468" t="s">
        <v>34</v>
      </c>
      <c r="E37" s="217" t="s">
        <v>4697</v>
      </c>
      <c r="F37" s="319">
        <v>45301</v>
      </c>
      <c r="G37" s="319"/>
      <c r="H37" s="390" t="s">
        <v>677</v>
      </c>
      <c r="I37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МП-65.01.04 (рама в проём), 6,0м</v>
      </c>
      <c r="J37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" s="800"/>
      <c r="N37" s="808"/>
      <c r="O37" s="1001" t="str">
        <f>IFERROR(Таблица47[[#This Row],[Количество хлыстов]]-Таблица47[[#This Row],[Обработано в 1С]]-Таблица47[[#This Row],[Корректировка]],"")</f>
        <v/>
      </c>
      <c r="P37" s="638" t="str">
        <f>IFERROR((((Таблица47[[#This Row],[Осталось сделать, хлыст]]*Таблица47[[#This Row],[длина]])*Таблица47[[#This Row],[Периметр]])/28),"")</f>
        <v/>
      </c>
      <c r="Q37" s="13"/>
      <c r="R37" s="989" t="str">
        <f>IFERROR(Таблица47[[#This Row],[Коли-
чество м.п.]]/Таблица47[[#This Row],[Количество хлыстов]],"")</f>
        <v/>
      </c>
      <c r="S37" s="13" t="s">
        <v>4687</v>
      </c>
      <c r="T37" s="13" t="s">
        <v>96</v>
      </c>
      <c r="U37" s="117">
        <v>2</v>
      </c>
      <c r="V37" s="13"/>
      <c r="W37" s="13"/>
      <c r="X37" s="13"/>
      <c r="Y37" s="13"/>
      <c r="Z37" s="13"/>
      <c r="AA37" s="13"/>
      <c r="AB37" s="13"/>
      <c r="AC37" s="399" t="s">
        <v>4694</v>
      </c>
    </row>
    <row r="38" spans="1:29" customFormat="1" ht="15.75" customHeight="1" x14ac:dyDescent="0.25">
      <c r="A38" s="140" t="s">
        <v>4678</v>
      </c>
      <c r="B38" s="308">
        <v>9</v>
      </c>
      <c r="C38" s="308" t="s">
        <v>4753</v>
      </c>
      <c r="D38" s="468" t="s">
        <v>34</v>
      </c>
      <c r="E38" s="217" t="s">
        <v>4697</v>
      </c>
      <c r="F38" s="319">
        <v>45301</v>
      </c>
      <c r="G38" s="319"/>
      <c r="H38" s="390" t="s">
        <v>677</v>
      </c>
      <c r="I38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МП-64.04.02 (створка), 6,0м</v>
      </c>
      <c r="J38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" s="800"/>
      <c r="N38" s="808"/>
      <c r="O38" s="1001" t="str">
        <f>IFERROR(Таблица47[[#This Row],[Количество хлыстов]]-Таблица47[[#This Row],[Обработано в 1С]]-Таблица47[[#This Row],[Корректировка]],"")</f>
        <v/>
      </c>
      <c r="P38" s="638" t="str">
        <f>IFERROR((((Таблица47[[#This Row],[Осталось сделать, хлыст]]*Таблица47[[#This Row],[длина]])*Таблица47[[#This Row],[Периметр]])/28),"")</f>
        <v/>
      </c>
      <c r="Q38" s="13"/>
      <c r="R38" s="989" t="str">
        <f>IFERROR(Таблица47[[#This Row],[Коли-
чество м.п.]]/Таблица47[[#This Row],[Количество хлыстов]],"")</f>
        <v/>
      </c>
      <c r="S38" s="13" t="s">
        <v>4688</v>
      </c>
      <c r="T38" s="13" t="s">
        <v>54</v>
      </c>
      <c r="U38" s="117">
        <v>1</v>
      </c>
      <c r="V38" s="13"/>
      <c r="W38" s="13"/>
      <c r="X38" s="13"/>
      <c r="Y38" s="13"/>
      <c r="Z38" s="13"/>
      <c r="AA38" s="13"/>
      <c r="AB38" s="13"/>
      <c r="AC38" s="399" t="s">
        <v>4695</v>
      </c>
    </row>
    <row r="39" spans="1:29" customFormat="1" ht="15.75" customHeight="1" x14ac:dyDescent="0.25">
      <c r="A39" s="140" t="s">
        <v>4678</v>
      </c>
      <c r="B39" s="308">
        <v>9</v>
      </c>
      <c r="C39" s="308" t="s">
        <v>4753</v>
      </c>
      <c r="D39" s="468" t="s">
        <v>34</v>
      </c>
      <c r="E39" s="217" t="s">
        <v>4697</v>
      </c>
      <c r="F39" s="319">
        <v>45301</v>
      </c>
      <c r="G39" s="319"/>
      <c r="H39" s="390" t="s">
        <v>677</v>
      </c>
      <c r="I39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МП-65.03.02 (импост), 6,0м</v>
      </c>
      <c r="J39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" s="800"/>
      <c r="N39" s="808"/>
      <c r="O39" s="1001" t="str">
        <f>IFERROR(Таблица47[[#This Row],[Количество хлыстов]]-Таблица47[[#This Row],[Обработано в 1С]]-Таблица47[[#This Row],[Корректировка]],"")</f>
        <v/>
      </c>
      <c r="P39" s="638" t="str">
        <f>IFERROR((((Таблица47[[#This Row],[Осталось сделать, хлыст]]*Таблица47[[#This Row],[длина]])*Таблица47[[#This Row],[Периметр]])/28),"")</f>
        <v/>
      </c>
      <c r="Q39" s="13"/>
      <c r="R39" s="989" t="str">
        <f>IFERROR(Таблица47[[#This Row],[Коли-
чество м.п.]]/Таблица47[[#This Row],[Количество хлыстов]],"")</f>
        <v/>
      </c>
      <c r="S39" s="13" t="s">
        <v>4689</v>
      </c>
      <c r="T39" s="13" t="s">
        <v>54</v>
      </c>
      <c r="U39" s="117">
        <v>1</v>
      </c>
      <c r="V39" s="13"/>
      <c r="W39" s="13"/>
      <c r="X39" s="13"/>
      <c r="Y39" s="13"/>
      <c r="Z39" s="13"/>
      <c r="AA39" s="13"/>
      <c r="AB39" s="13"/>
      <c r="AC39" s="399" t="s">
        <v>4695</v>
      </c>
    </row>
    <row r="40" spans="1:29" customFormat="1" ht="15.75" customHeight="1" x14ac:dyDescent="0.25">
      <c r="A40" s="140" t="s">
        <v>4678</v>
      </c>
      <c r="B40" s="308">
        <v>9</v>
      </c>
      <c r="C40" s="308" t="s">
        <v>4753</v>
      </c>
      <c r="D40" s="468" t="s">
        <v>34</v>
      </c>
      <c r="E40" s="217" t="s">
        <v>4697</v>
      </c>
      <c r="F40" s="319">
        <v>45301</v>
      </c>
      <c r="G40" s="319"/>
      <c r="H40" s="390" t="s">
        <v>677</v>
      </c>
      <c r="I40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МП-45.10.06 (штапик), 6,0м</v>
      </c>
      <c r="J40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" s="800"/>
      <c r="N40" s="808"/>
      <c r="O40" s="1001" t="str">
        <f>IFERROR(Таблица47[[#This Row],[Количество хлыстов]]-Таблица47[[#This Row],[Обработано в 1С]]-Таблица47[[#This Row],[Корректировка]],"")</f>
        <v/>
      </c>
      <c r="P40" s="638" t="str">
        <f>IFERROR((((Таблица47[[#This Row],[Осталось сделать, хлыст]]*Таблица47[[#This Row],[длина]])*Таблица47[[#This Row],[Периметр]])/28),"")</f>
        <v/>
      </c>
      <c r="Q40" s="13"/>
      <c r="R40" s="989" t="str">
        <f>IFERROR(Таблица47[[#This Row],[Коли-
чество м.п.]]/Таблица47[[#This Row],[Количество хлыстов]],"")</f>
        <v/>
      </c>
      <c r="S40" s="13" t="s">
        <v>4690</v>
      </c>
      <c r="T40" s="13" t="s">
        <v>248</v>
      </c>
      <c r="U40" s="117">
        <v>3</v>
      </c>
      <c r="V40" s="13"/>
      <c r="W40" s="13"/>
      <c r="X40" s="13"/>
      <c r="Y40" s="13"/>
      <c r="Z40" s="13"/>
      <c r="AA40" s="13"/>
      <c r="AB40" s="13"/>
      <c r="AC40" s="399" t="s">
        <v>4696</v>
      </c>
    </row>
    <row r="41" spans="1:29" customFormat="1" ht="15.75" customHeight="1" x14ac:dyDescent="0.25">
      <c r="A41" s="140" t="s">
        <v>4678</v>
      </c>
      <c r="B41" s="308">
        <v>9</v>
      </c>
      <c r="C41" s="308" t="s">
        <v>4753</v>
      </c>
      <c r="D41" s="468" t="s">
        <v>34</v>
      </c>
      <c r="E41" s="217" t="s">
        <v>4697</v>
      </c>
      <c r="F41" s="319">
        <v>45301</v>
      </c>
      <c r="G41" s="319"/>
      <c r="H41" s="390" t="s">
        <v>677</v>
      </c>
      <c r="I41" s="800" t="str">
        <f>CONCATENATE(Таблица47[[#This Row],[№ заявки в 1С]],Таблица47[[#This Row],[Наименование            ]])</f>
        <v>9Бесцветное анодирование 21±2мкм алюминиевого профиля МП-4080, 6,0м</v>
      </c>
      <c r="J41" s="80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" s="80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" s="80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" s="800"/>
      <c r="N41" s="808"/>
      <c r="O41" s="1001" t="str">
        <f>IFERROR(Таблица47[[#This Row],[Количество хлыстов]]-Таблица47[[#This Row],[Обработано в 1С]]-Таблица47[[#This Row],[Корректировка]],"")</f>
        <v/>
      </c>
      <c r="P41" s="638" t="str">
        <f>IFERROR((((Таблица47[[#This Row],[Осталось сделать, хлыст]]*Таблица47[[#This Row],[длина]])*Таблица47[[#This Row],[Периметр]])/28),"")</f>
        <v/>
      </c>
      <c r="Q41" s="13"/>
      <c r="R41" s="989" t="str">
        <f>IFERROR(Таблица47[[#This Row],[Коли-
чество м.п.]]/Таблица47[[#This Row],[Количество хлыстов]],"")</f>
        <v/>
      </c>
      <c r="S41" s="13" t="s">
        <v>4691</v>
      </c>
      <c r="T41" s="13" t="s">
        <v>54</v>
      </c>
      <c r="U41" s="117">
        <v>1</v>
      </c>
      <c r="V41" s="13"/>
      <c r="W41" s="13"/>
      <c r="X41" s="13"/>
      <c r="Y41" s="13"/>
      <c r="Z41" s="13"/>
      <c r="AA41" s="13"/>
      <c r="AB41" s="13"/>
      <c r="AC41" s="399" t="s">
        <v>4695</v>
      </c>
    </row>
    <row r="42" spans="1:29" ht="15.75" customHeight="1" x14ac:dyDescent="0.25">
      <c r="A42" s="1010" t="s">
        <v>4678</v>
      </c>
      <c r="B42" s="425">
        <v>10</v>
      </c>
      <c r="C42" s="425" t="s">
        <v>4753</v>
      </c>
      <c r="D42" s="468" t="s">
        <v>13</v>
      </c>
      <c r="E42" s="204" t="s">
        <v>799</v>
      </c>
      <c r="F42" s="568">
        <v>45301</v>
      </c>
      <c r="G42" s="569">
        <v>45356</v>
      </c>
      <c r="H42" s="56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" s="800" t="str">
        <f>CONCATENATE(Таблица47[[#This Row],[№ заявки в 1С]],Таблица47[[#This Row],[Наименование            ]])</f>
        <v>10Y.3040(8) 5,1 м, Р-,088, анод 10+/-2 мкм с дробью</v>
      </c>
      <c r="J42" s="102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" s="102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" s="102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" s="1027"/>
      <c r="N42" s="1032">
        <v>371</v>
      </c>
      <c r="O42" s="1013" t="str">
        <f>IFERROR(Таблица47[[#This Row],[Количество хлыстов]]-Таблица47[[#This Row],[Обработано в 1С]]-Таблица47[[#This Row],[Корректировка]],"")</f>
        <v/>
      </c>
      <c r="P42" s="638" t="str">
        <f>IFERROR((((Таблица47[[#This Row],[Осталось сделать, хлыст]]*Таблица47[[#This Row],[длина]])*Таблица47[[#This Row],[Периметр]])/28),"")</f>
        <v/>
      </c>
      <c r="Q42" s="304" t="s">
        <v>2776</v>
      </c>
      <c r="R42" s="991" t="str">
        <f>IFERROR(Таблица47[[#This Row],[Коли-
чество м.п.]]/Таблица47[[#This Row],[Количество хлыстов]],"")</f>
        <v/>
      </c>
      <c r="S42" s="304" t="s">
        <v>4744</v>
      </c>
      <c r="T42" s="304" t="s">
        <v>4751</v>
      </c>
      <c r="U42" s="1018">
        <v>371</v>
      </c>
      <c r="V42" s="304"/>
      <c r="W42" s="304"/>
      <c r="X42" s="304"/>
      <c r="Y42" s="304"/>
      <c r="Z42" s="304"/>
      <c r="AA42" s="304"/>
      <c r="AB42" s="304"/>
      <c r="AC42" s="1019"/>
    </row>
    <row r="43" spans="1:29" ht="15.75" customHeight="1" x14ac:dyDescent="0.25">
      <c r="A43" s="1011" t="s">
        <v>4678</v>
      </c>
      <c r="B43" s="438">
        <v>10</v>
      </c>
      <c r="C43" s="438"/>
      <c r="D43" s="468" t="s">
        <v>34</v>
      </c>
      <c r="E43" s="439" t="s">
        <v>328</v>
      </c>
      <c r="F43" s="440">
        <v>45303</v>
      </c>
      <c r="G43" s="440"/>
      <c r="H43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" s="441" t="str">
        <f>CONCATENATE(Таблица47[[#This Row],[№ заявки в 1С]],Таблица47[[#This Row],[Наименование            ]])</f>
        <v>10[70484] 1506-77 (АА-2050-85), 6,0м, 6063 Т6, упаковка Т-5, без покрытия</v>
      </c>
      <c r="J43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" s="456">
        <v>1</v>
      </c>
      <c r="N43" s="457">
        <v>76</v>
      </c>
      <c r="O43" s="1013" t="str">
        <f>IFERROR(Таблица47[[#This Row],[Количество хлыстов]]-Таблица47[[#This Row],[Обработано в 1С]]-Таблица47[[#This Row],[Корректировка]],"")</f>
        <v/>
      </c>
      <c r="P43" s="638" t="str">
        <f>IFERROR((((Таблица47[[#This Row],[Осталось сделать, хлыст]]*Таблица47[[#This Row],[длина]])*Таблица47[[#This Row],[Периметр]])/28),"")</f>
        <v/>
      </c>
      <c r="Q43" s="439" t="s">
        <v>559</v>
      </c>
      <c r="R43" s="458">
        <f>IFERROR(Таблица47[[#This Row],[Коли-
чество м.п.]]/Таблица47[[#This Row],[Количество хлыстов]],"")</f>
        <v>6</v>
      </c>
      <c r="S43" s="439" t="s">
        <v>4813</v>
      </c>
      <c r="T43" s="458">
        <v>462</v>
      </c>
      <c r="U43" s="459">
        <v>77</v>
      </c>
      <c r="V43" s="458">
        <v>0.30919999999999997</v>
      </c>
      <c r="W43" s="458">
        <v>1.101</v>
      </c>
      <c r="X43" s="458">
        <v>142.85040000000001</v>
      </c>
      <c r="Y43" s="458">
        <v>508.66199999999998</v>
      </c>
      <c r="Z43" s="458">
        <v>18.57</v>
      </c>
      <c r="AA43" s="458">
        <v>112.86</v>
      </c>
      <c r="AB43" s="458">
        <v>365</v>
      </c>
      <c r="AC43" s="460">
        <v>52140.4</v>
      </c>
    </row>
    <row r="44" spans="1:29" ht="15.75" customHeight="1" x14ac:dyDescent="0.25">
      <c r="A44" s="1011" t="s">
        <v>4678</v>
      </c>
      <c r="B44" s="467">
        <v>11</v>
      </c>
      <c r="C44" s="467"/>
      <c r="D44" s="468" t="s">
        <v>13</v>
      </c>
      <c r="E44" s="468" t="s">
        <v>4725</v>
      </c>
      <c r="F44" s="469">
        <v>45303</v>
      </c>
      <c r="G44" s="469"/>
      <c r="H4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" s="449" t="str">
        <f>CONCATENATE(Таблица47[[#This Row],[№ заявки в 1С]],Таблица47[[#This Row],[Наименование            ]])</f>
        <v>11[69916] автоуголок 50*50 мм (97082) 6,0м,  сплав 6063 Т6 + упаковка А5</v>
      </c>
      <c r="J44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" s="461"/>
      <c r="N44" s="462">
        <v>222</v>
      </c>
      <c r="O44" s="1013" t="str">
        <f>IFERROR(Таблица47[[#This Row],[Количество хлыстов]]-Таблица47[[#This Row],[Обработано в 1С]]-Таблица47[[#This Row],[Корректировка]],"")</f>
        <v/>
      </c>
      <c r="P44" s="638" t="str">
        <f>IFERROR((((Таблица47[[#This Row],[Осталось сделать, хлыст]]*Таблица47[[#This Row],[длина]])*Таблица47[[#This Row],[Периметр]])/28),"")</f>
        <v/>
      </c>
      <c r="Q44" s="439" t="s">
        <v>4726</v>
      </c>
      <c r="R44" s="458">
        <f>IFERROR(Таблица47[[#This Row],[Коли-
чество м.п.]]/Таблица47[[#This Row],[Количество хлыстов]],"")</f>
        <v>6</v>
      </c>
      <c r="S44" s="439" t="s">
        <v>4727</v>
      </c>
      <c r="T44" s="458">
        <v>1332</v>
      </c>
      <c r="U44" s="459">
        <v>222</v>
      </c>
      <c r="V44" s="458">
        <v>0.1938</v>
      </c>
      <c r="W44" s="458">
        <v>0.63600000000000001</v>
      </c>
      <c r="X44" s="458">
        <v>258.14159999999998</v>
      </c>
      <c r="Y44" s="458">
        <v>847.15200000000004</v>
      </c>
      <c r="Z44" s="458">
        <v>33.56</v>
      </c>
      <c r="AA44" s="458">
        <v>70.739999999999995</v>
      </c>
      <c r="AB44" s="458">
        <v>365</v>
      </c>
      <c r="AC44" s="460">
        <v>94221.68</v>
      </c>
    </row>
    <row r="45" spans="1:29" ht="15.75" customHeight="1" x14ac:dyDescent="0.25">
      <c r="A45" s="1011" t="s">
        <v>4678</v>
      </c>
      <c r="B45" s="438">
        <v>12</v>
      </c>
      <c r="C45" s="438"/>
      <c r="D45" s="468" t="s">
        <v>34</v>
      </c>
      <c r="E45" s="439" t="s">
        <v>3404</v>
      </c>
      <c r="F45" s="440">
        <v>45303</v>
      </c>
      <c r="G45" s="440"/>
      <c r="H4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" s="441" t="str">
        <f>CONCATENATE(Таблица47[[#This Row],[№ заявки в 1С]],Таблица47[[#This Row],[Наименование            ]])</f>
        <v>12[81579] 1706-69, 6,0м, 6063 Т6, упаковка Т-5, БА</v>
      </c>
      <c r="J45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" s="456"/>
      <c r="N45" s="457">
        <v>102</v>
      </c>
      <c r="O45" s="1013" t="str">
        <f>IFERROR(Таблица47[[#This Row],[Количество хлыстов]]-Таблица47[[#This Row],[Обработано в 1С]]-Таблица47[[#This Row],[Корректировка]],"")</f>
        <v/>
      </c>
      <c r="P45" s="638" t="str">
        <f>IFERROR((((Таблица47[[#This Row],[Осталось сделать, хлыст]]*Таблица47[[#This Row],[длина]])*Таблица47[[#This Row],[Периметр]])/28),"")</f>
        <v/>
      </c>
      <c r="Q45" s="1033"/>
      <c r="R45" s="1034">
        <f>IFERROR(Таблица47[[#This Row],[Коли-
чество м.п.]]/Таблица47[[#This Row],[Количество хлыстов]],"")</f>
        <v>6</v>
      </c>
      <c r="S45" s="439" t="s">
        <v>4994</v>
      </c>
      <c r="T45" s="458">
        <v>612</v>
      </c>
      <c r="U45" s="459">
        <v>102</v>
      </c>
      <c r="V45" s="458">
        <v>0.21959999999999999</v>
      </c>
      <c r="W45" s="458">
        <v>0.35</v>
      </c>
      <c r="X45" s="458">
        <v>134.39519999999999</v>
      </c>
      <c r="Y45" s="458">
        <v>214.2</v>
      </c>
      <c r="Z45" s="458">
        <v>17.47</v>
      </c>
      <c r="AA45" s="458">
        <v>69.17</v>
      </c>
      <c r="AB45" s="458">
        <v>315</v>
      </c>
      <c r="AC45" s="460">
        <v>42334.49</v>
      </c>
    </row>
    <row r="46" spans="1:29" s="1021" customFormat="1" ht="15.75" customHeight="1" x14ac:dyDescent="0.25">
      <c r="A46" s="979" t="s">
        <v>4978</v>
      </c>
      <c r="B46" s="980">
        <v>13</v>
      </c>
      <c r="C46" s="980"/>
      <c r="D46" s="509" t="s">
        <v>13</v>
      </c>
      <c r="E46" s="509" t="s">
        <v>4725</v>
      </c>
      <c r="F46" s="510">
        <v>45303</v>
      </c>
      <c r="G46" s="510"/>
      <c r="H46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" s="511" t="str">
        <f>CONCATENATE(Таблица47[[#This Row],[№ заявки в 1С]],Таблица47[[#This Row],[Наименование            ]])</f>
        <v>13[69237] 219152, 6,0 м, сплав 6063 под анод уп.А5</v>
      </c>
      <c r="J46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" s="981">
        <v>1</v>
      </c>
      <c r="N46" s="981">
        <v>95</v>
      </c>
      <c r="O46" s="1020" t="str">
        <f>IFERROR(Таблица47[[#This Row],[Количество хлыстов]]-Таблица47[[#This Row],[Обработано в 1С]]-Таблица47[[#This Row],[Корректировка]],"")</f>
        <v/>
      </c>
      <c r="P46" s="638" t="str">
        <f>IFERROR((((Таблица47[[#This Row],[Осталось сделать, хлыст]]*Таблица47[[#This Row],[длина]])*Таблица47[[#This Row],[Периметр]])/28),"")</f>
        <v/>
      </c>
      <c r="Q46" s="983" t="s">
        <v>4728</v>
      </c>
      <c r="R46" s="993">
        <f>IFERROR(Таблица47[[#This Row],[Коли-
чество м.п.]]/Таблица47[[#This Row],[Количество хлыстов]],"")</f>
        <v>6</v>
      </c>
      <c r="S46" s="509" t="s">
        <v>4729</v>
      </c>
      <c r="T46" s="984">
        <v>576</v>
      </c>
      <c r="U46" s="985">
        <v>96</v>
      </c>
      <c r="V46" s="984">
        <v>0.36420000000000002</v>
      </c>
      <c r="W46" s="984">
        <v>1.0720000000000001</v>
      </c>
      <c r="X46" s="984">
        <v>209.7792</v>
      </c>
      <c r="Y46" s="984">
        <v>617.47199999999998</v>
      </c>
      <c r="Z46" s="984">
        <v>27.27</v>
      </c>
      <c r="AA46" s="984">
        <v>80.12</v>
      </c>
      <c r="AB46" s="984">
        <v>220</v>
      </c>
      <c r="AC46" s="986">
        <v>46151.42</v>
      </c>
    </row>
    <row r="47" spans="1:29" ht="15.75" customHeight="1" x14ac:dyDescent="0.25">
      <c r="A47" s="1030" t="s">
        <v>4939</v>
      </c>
      <c r="B47" s="467">
        <v>14</v>
      </c>
      <c r="C47" s="467"/>
      <c r="D47" s="468" t="s">
        <v>13</v>
      </c>
      <c r="E47" s="468" t="s">
        <v>3819</v>
      </c>
      <c r="F47" s="469">
        <v>45303</v>
      </c>
      <c r="G47" s="469"/>
      <c r="H47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" s="519" t="str">
        <f>CONCATENATE(Таблица47[[#This Row],[№ заявки в 1С]],Таблица47[[#This Row],[Наименование            ]])</f>
        <v>14[76223] 220650 (1606-52, АВА-3665) бортовой боковой 6,5м сплав 6063 Т6</v>
      </c>
      <c r="J47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" s="1035">
        <v>4</v>
      </c>
      <c r="N47" s="1036">
        <v>522</v>
      </c>
      <c r="O47" s="1013" t="str">
        <f>IFERROR(Таблица47[[#This Row],[Количество хлыстов]]-Таблица47[[#This Row],[Обработано в 1С]]-Таблица47[[#This Row],[Корректировка]],"")</f>
        <v/>
      </c>
      <c r="P47" s="638" t="str">
        <f>IFERROR((((Таблица47[[#This Row],[Осталось сделать, хлыст]]*Таблица47[[#This Row],[длина]])*Таблица47[[#This Row],[Периметр]])/28),"")</f>
        <v/>
      </c>
      <c r="Q47" s="468" t="s">
        <v>4996</v>
      </c>
      <c r="R47" s="489">
        <f>IFERROR(Таблица47[[#This Row],[Коли-
чество м.п.]]/Таблица47[[#This Row],[Количество хлыстов]],"")</f>
        <v>6.5</v>
      </c>
      <c r="S47" s="468" t="s">
        <v>4730</v>
      </c>
      <c r="T47" s="489">
        <v>3419</v>
      </c>
      <c r="U47" s="490">
        <v>526</v>
      </c>
      <c r="V47" s="489">
        <v>0.31</v>
      </c>
      <c r="W47" s="489">
        <v>1.2010000000000001</v>
      </c>
      <c r="X47" s="489">
        <v>1059.8900000000001</v>
      </c>
      <c r="Y47" s="489">
        <v>4106.2190000000001</v>
      </c>
      <c r="Z47" s="489">
        <v>137.79</v>
      </c>
      <c r="AA47" s="489">
        <v>94.55</v>
      </c>
      <c r="AB47" s="489">
        <v>305</v>
      </c>
      <c r="AC47" s="1037">
        <v>323266.45</v>
      </c>
    </row>
    <row r="48" spans="1:29" s="1021" customFormat="1" ht="16.899999999999999" customHeight="1" x14ac:dyDescent="0.25">
      <c r="A48" s="979" t="s">
        <v>4978</v>
      </c>
      <c r="B48" s="980">
        <v>16</v>
      </c>
      <c r="C48" s="980"/>
      <c r="D48" s="509" t="s">
        <v>13</v>
      </c>
      <c r="E48" s="509" t="s">
        <v>32</v>
      </c>
      <c r="F48" s="510">
        <v>45303</v>
      </c>
      <c r="G48" s="510"/>
      <c r="H48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" s="511" t="str">
        <f>CONCATENATE(Таблица47[[#This Row],[№ заявки в 1С]],Таблица47[[#This Row],[Наименование            ]])</f>
        <v>16[81357] 1606-37 (АВА-7227), 4,45 м, сплав 6063 КР Т6, упаковка Т-5</v>
      </c>
      <c r="J48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" s="981"/>
      <c r="N48" s="982">
        <v>290</v>
      </c>
      <c r="O48" s="1020" t="str">
        <f>IFERROR(Таблица47[[#This Row],[Количество хлыстов]]-Таблица47[[#This Row],[Обработано в 1С]]-Таблица47[[#This Row],[Корректировка]],"")</f>
        <v/>
      </c>
      <c r="P48" s="638" t="str">
        <f>IFERROR((((Таблица47[[#This Row],[Осталось сделать, хлыст]]*Таблица47[[#This Row],[длина]])*Таблица47[[#This Row],[Периметр]])/28),"")</f>
        <v/>
      </c>
      <c r="Q48" s="983" t="s">
        <v>4731</v>
      </c>
      <c r="R48" s="993">
        <f>IFERROR(Таблица47[[#This Row],[Коли-
чество м.п.]]/Таблица47[[#This Row],[Количество хлыстов]],"")</f>
        <v>4.45</v>
      </c>
      <c r="S48" s="509" t="s">
        <v>4276</v>
      </c>
      <c r="T48" s="984">
        <v>1290.5</v>
      </c>
      <c r="U48" s="985">
        <v>290</v>
      </c>
      <c r="V48" s="984">
        <v>0.2651</v>
      </c>
      <c r="W48" s="984">
        <v>0.82099999999999995</v>
      </c>
      <c r="X48" s="984">
        <v>342.11160000000001</v>
      </c>
      <c r="Y48" s="984">
        <v>1059.5005000000001</v>
      </c>
      <c r="Z48" s="984">
        <v>44.47</v>
      </c>
      <c r="AA48" s="984">
        <v>83.51</v>
      </c>
      <c r="AB48" s="984">
        <v>315</v>
      </c>
      <c r="AC48" s="986">
        <v>107769.66</v>
      </c>
    </row>
    <row r="49" spans="1:29" s="1021" customFormat="1" ht="18" customHeight="1" x14ac:dyDescent="0.25">
      <c r="A49" s="979" t="s">
        <v>4978</v>
      </c>
      <c r="B49" s="980">
        <v>16</v>
      </c>
      <c r="C49" s="980"/>
      <c r="D49" s="509" t="s">
        <v>13</v>
      </c>
      <c r="E49" s="509" t="s">
        <v>32</v>
      </c>
      <c r="F49" s="510">
        <v>45303</v>
      </c>
      <c r="G49" s="510"/>
      <c r="H49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" s="511" t="str">
        <f>CONCATENATE(Таблица47[[#This Row],[№ заявки в 1С]],Таблица47[[#This Row],[Наименование            ]])</f>
        <v>16[81356] 1606-37 (АВА-7227), 5,05 м, сплав 6063 КР Т6, упаковка Т-5</v>
      </c>
      <c r="J49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" s="981"/>
      <c r="N49" s="982">
        <v>312</v>
      </c>
      <c r="O49" s="1020" t="str">
        <f>IFERROR(Таблица47[[#This Row],[Количество хлыстов]]-Таблица47[[#This Row],[Обработано в 1С]]-Таблица47[[#This Row],[Корректировка]],"")</f>
        <v/>
      </c>
      <c r="P49" s="638" t="str">
        <f>IFERROR((((Таблица47[[#This Row],[Осталось сделать, хлыст]]*Таблица47[[#This Row],[длина]])*Таблица47[[#This Row],[Периметр]])/28),"")</f>
        <v/>
      </c>
      <c r="Q49" s="983" t="s">
        <v>4731</v>
      </c>
      <c r="R49" s="993">
        <f>IFERROR(Таблица47[[#This Row],[Коли-
чество м.п.]]/Таблица47[[#This Row],[Количество хлыстов]],"")</f>
        <v>5.05</v>
      </c>
      <c r="S49" s="509" t="s">
        <v>4275</v>
      </c>
      <c r="T49" s="984">
        <v>1575.6</v>
      </c>
      <c r="U49" s="985">
        <v>312</v>
      </c>
      <c r="V49" s="984">
        <v>0.2651</v>
      </c>
      <c r="W49" s="984">
        <v>0.82099999999999995</v>
      </c>
      <c r="X49" s="984">
        <v>417.69159999999999</v>
      </c>
      <c r="Y49" s="984">
        <v>1293.5676000000001</v>
      </c>
      <c r="Z49" s="984">
        <v>54.3</v>
      </c>
      <c r="AA49" s="984">
        <v>83.51</v>
      </c>
      <c r="AB49" s="984">
        <v>315</v>
      </c>
      <c r="AC49" s="986">
        <v>131578.35999999999</v>
      </c>
    </row>
    <row r="50" spans="1:29" s="1021" customFormat="1" ht="15.75" customHeight="1" x14ac:dyDescent="0.25">
      <c r="A50" s="979" t="s">
        <v>4978</v>
      </c>
      <c r="B50" s="980">
        <v>18</v>
      </c>
      <c r="C50" s="980"/>
      <c r="D50" s="509" t="s">
        <v>34</v>
      </c>
      <c r="E50" s="509" t="s">
        <v>4718</v>
      </c>
      <c r="F50" s="510">
        <v>45306</v>
      </c>
      <c r="G50" s="510"/>
      <c r="H50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" s="511" t="str">
        <f>CONCATENATE(Таблица47[[#This Row],[№ заявки в 1С]],Таблица47[[#This Row],[Наименование            ]])</f>
        <v>18[75893] 220450, 2,0м, АД31 Т1, БА, уп в мини-пачки</v>
      </c>
      <c r="J50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" s="981"/>
      <c r="N50" s="982">
        <v>348</v>
      </c>
      <c r="O50" s="1020" t="str">
        <f>IFERROR(Таблица47[[#This Row],[Количество хлыстов]]-Таблица47[[#This Row],[Обработано в 1С]]-Таблица47[[#This Row],[Корректировка]],"")</f>
        <v/>
      </c>
      <c r="P50" s="638" t="str">
        <f>IFERROR((((Таблица47[[#This Row],[Осталось сделать, хлыст]]*Таблица47[[#This Row],[длина]])*Таблица47[[#This Row],[Периметр]])/28),"")</f>
        <v/>
      </c>
      <c r="Q50" s="983"/>
      <c r="R50" s="993">
        <f>IFERROR(Таблица47[[#This Row],[Коли-
чество м.п.]]/Таблица47[[#This Row],[Количество хлыстов]],"")</f>
        <v>2</v>
      </c>
      <c r="S50" s="509" t="s">
        <v>4717</v>
      </c>
      <c r="T50" s="984">
        <v>696</v>
      </c>
      <c r="U50" s="985">
        <v>348</v>
      </c>
      <c r="V50" s="984">
        <v>0.13039999999999999</v>
      </c>
      <c r="W50" s="984">
        <v>0.19400000000000001</v>
      </c>
      <c r="X50" s="984">
        <v>90.758399999999995</v>
      </c>
      <c r="Y50" s="984">
        <v>135.024</v>
      </c>
      <c r="Z50" s="984">
        <v>11.8</v>
      </c>
      <c r="AA50" s="984">
        <v>39.119999999999997</v>
      </c>
      <c r="AB50" s="984">
        <v>300</v>
      </c>
      <c r="AC50" s="986">
        <v>27227.52</v>
      </c>
    </row>
    <row r="51" spans="1:29" ht="15.75" customHeight="1" x14ac:dyDescent="0.25">
      <c r="A51" s="1011" t="s">
        <v>4678</v>
      </c>
      <c r="B51" s="438">
        <v>19</v>
      </c>
      <c r="C51" s="438"/>
      <c r="D51" s="468" t="s">
        <v>13</v>
      </c>
      <c r="E51" s="438" t="s">
        <v>3819</v>
      </c>
      <c r="F51" s="440">
        <v>45306</v>
      </c>
      <c r="G51" s="440"/>
      <c r="H51" s="439" t="s">
        <v>23</v>
      </c>
      <c r="I51" s="441" t="str">
        <f>CONCATENATE(Таблица47[[#This Row],[№ заявки в 1С]],Таблица47[[#This Row],[Наименование            ]])</f>
        <v>19[85300] ручка боковой защиты (221148) 6,0м сплав 6063 Т6</v>
      </c>
      <c r="J51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" s="456"/>
      <c r="N51" s="457">
        <v>26</v>
      </c>
      <c r="O51" s="1013" t="str">
        <f>IFERROR(Таблица47[[#This Row],[Количество хлыстов]]-Таблица47[[#This Row],[Обработано в 1С]]-Таблица47[[#This Row],[Корректировка]],"")</f>
        <v/>
      </c>
      <c r="P51" s="638" t="str">
        <f>IFERROR((((Таблица47[[#This Row],[Осталось сделать, хлыст]]*Таблица47[[#This Row],[длина]])*Таблица47[[#This Row],[Периметр]])/28),"")</f>
        <v/>
      </c>
      <c r="Q51" s="439" t="s">
        <v>4745</v>
      </c>
      <c r="R51" s="458">
        <f>IFERROR(Таблица47[[#This Row],[Коли-
чество м.п.]]/Таблица47[[#This Row],[Количество хлыстов]],"")</f>
        <v>6</v>
      </c>
      <c r="S51" s="439" t="s">
        <v>4732</v>
      </c>
      <c r="T51" s="458">
        <v>336</v>
      </c>
      <c r="U51" s="459">
        <v>56</v>
      </c>
      <c r="V51" s="458">
        <v>0.47549999999999998</v>
      </c>
      <c r="W51" s="458">
        <v>1.486</v>
      </c>
      <c r="X51" s="458">
        <v>159.768</v>
      </c>
      <c r="Y51" s="458">
        <v>499.29599999999999</v>
      </c>
      <c r="Z51" s="458">
        <v>20.77</v>
      </c>
      <c r="AA51" s="458">
        <v>156.91999999999999</v>
      </c>
      <c r="AB51" s="458">
        <v>330</v>
      </c>
      <c r="AC51" s="460">
        <v>52723.44</v>
      </c>
    </row>
    <row r="52" spans="1:29" ht="15.75" customHeight="1" x14ac:dyDescent="0.25">
      <c r="A52" s="1011" t="s">
        <v>4678</v>
      </c>
      <c r="B52" s="467">
        <v>21</v>
      </c>
      <c r="C52" s="467"/>
      <c r="D52" s="468" t="s">
        <v>4858</v>
      </c>
      <c r="E52" s="467" t="s">
        <v>4734</v>
      </c>
      <c r="F52" s="469">
        <v>45306</v>
      </c>
      <c r="G52" s="440"/>
      <c r="H5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" s="449" t="str">
        <f>CONCATENATE(Таблица47[[#This Row],[№ заявки в 1С]],Таблица47[[#This Row],[Наименование            ]])</f>
        <v>21[36868] 8507025-2 (МАК 0680-02) 6,50м, 6063КР Т6</v>
      </c>
      <c r="J52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" s="461"/>
      <c r="N52" s="462">
        <f>21+21+56</f>
        <v>98</v>
      </c>
      <c r="O52" s="1013" t="str">
        <f>IFERROR(Таблица47[[#This Row],[Количество хлыстов]]-Таблица47[[#This Row],[Обработано в 1С]]-Таблица47[[#This Row],[Корректировка]],"")</f>
        <v/>
      </c>
      <c r="P52" s="638" t="str">
        <f>IFERROR((((Таблица47[[#This Row],[Осталось сделать, хлыст]]*Таблица47[[#This Row],[длина]])*Таблица47[[#This Row],[Периметр]])/28),"")</f>
        <v/>
      </c>
      <c r="Q52" s="439"/>
      <c r="R52" s="458">
        <f>IFERROR(Таблица47[[#This Row],[Коли-
чество м.п.]]/Таблица47[[#This Row],[Количество хлыстов]],"")</f>
        <v>6.5</v>
      </c>
      <c r="S52" s="439" t="s">
        <v>4402</v>
      </c>
      <c r="T52" s="458">
        <v>637</v>
      </c>
      <c r="U52" s="459">
        <v>98</v>
      </c>
      <c r="V52" s="458">
        <v>0.6179</v>
      </c>
      <c r="W52" s="458">
        <v>2.117</v>
      </c>
      <c r="X52" s="458">
        <v>393.60230000000001</v>
      </c>
      <c r="Y52" s="458">
        <v>1348.529</v>
      </c>
      <c r="Z52" s="458">
        <v>51.17</v>
      </c>
      <c r="AA52" s="458">
        <v>203.91</v>
      </c>
      <c r="AB52" s="458">
        <v>330</v>
      </c>
      <c r="AC52" s="460">
        <v>129888.76</v>
      </c>
    </row>
    <row r="53" spans="1:29" ht="15.75" customHeight="1" x14ac:dyDescent="0.25">
      <c r="A53" s="1011" t="s">
        <v>4678</v>
      </c>
      <c r="B53" s="438">
        <v>24</v>
      </c>
      <c r="C53" s="438"/>
      <c r="D53" s="468" t="s">
        <v>13</v>
      </c>
      <c r="E53" s="438" t="s">
        <v>657</v>
      </c>
      <c r="F53" s="440">
        <v>45308</v>
      </c>
      <c r="G53" s="440"/>
      <c r="H53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" s="441" t="str">
        <f>CONCATENATE(Таблица47[[#This Row],[№ заявки в 1С]],Таблица47[[#This Row],[Наименование            ]])</f>
        <v>24[68773] 0906-71, 5,8 м, сплав 6063 КР Т1</v>
      </c>
      <c r="J53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" s="456"/>
      <c r="N53" s="457">
        <v>99</v>
      </c>
      <c r="O53" s="1013" t="str">
        <f>IFERROR(Таблица47[[#This Row],[Количество хлыстов]]-Таблица47[[#This Row],[Обработано в 1С]]-Таблица47[[#This Row],[Корректировка]],"")</f>
        <v/>
      </c>
      <c r="P53" s="638" t="str">
        <f>IFERROR((((Таблица47[[#This Row],[Осталось сделать, хлыст]]*Таблица47[[#This Row],[длина]])*Таблица47[[#This Row],[Периметр]])/28),"")</f>
        <v/>
      </c>
      <c r="Q53" s="439" t="s">
        <v>4736</v>
      </c>
      <c r="R53" s="458">
        <f>IFERROR(Таблица47[[#This Row],[Коли-
чество м.п.]]/Таблица47[[#This Row],[Количество хлыстов]],"")</f>
        <v>5.8000000000000007</v>
      </c>
      <c r="S53" s="439" t="s">
        <v>2963</v>
      </c>
      <c r="T53" s="458">
        <v>574.20000000000005</v>
      </c>
      <c r="U53" s="459">
        <v>99</v>
      </c>
      <c r="V53" s="458">
        <v>0.1724</v>
      </c>
      <c r="W53" s="458">
        <v>0.41499999999999998</v>
      </c>
      <c r="X53" s="458">
        <v>98.992099999999994</v>
      </c>
      <c r="Y53" s="458">
        <v>238.29300000000001</v>
      </c>
      <c r="Z53" s="458">
        <v>12.87</v>
      </c>
      <c r="AA53" s="458">
        <v>62.93</v>
      </c>
      <c r="AB53" s="458">
        <v>365</v>
      </c>
      <c r="AC53" s="460">
        <v>36132.11</v>
      </c>
    </row>
    <row r="54" spans="1:29" ht="15.75" customHeight="1" x14ac:dyDescent="0.25">
      <c r="A54" s="1011" t="s">
        <v>4678</v>
      </c>
      <c r="B54" s="438">
        <v>25</v>
      </c>
      <c r="C54" s="438"/>
      <c r="D54" s="468" t="s">
        <v>34</v>
      </c>
      <c r="E54" s="438" t="s">
        <v>45</v>
      </c>
      <c r="F54" s="440">
        <v>45308</v>
      </c>
      <c r="G54" s="440"/>
      <c r="H5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" s="449" t="str">
        <f>CONCATENATE(Таблица47[[#This Row],[№ заявки в 1С]],Таблица47[[#This Row],[Наименование            ]])</f>
        <v>25[22872] 0506-06, 3,1м, 6063 Т1, упаковка Т-5, без покрытия</v>
      </c>
      <c r="J54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" s="461"/>
      <c r="N54" s="462">
        <f>24+22</f>
        <v>46</v>
      </c>
      <c r="O54" s="1013" t="str">
        <f>IFERROR(Таблица47[[#This Row],[Количество хлыстов]]-Таблица47[[#This Row],[Обработано в 1С]]-Таблица47[[#This Row],[Корректировка]],"")</f>
        <v/>
      </c>
      <c r="P54" s="638" t="str">
        <f>IFERROR((((Таблица47[[#This Row],[Осталось сделать, хлыст]]*Таблица47[[#This Row],[длина]])*Таблица47[[#This Row],[Периметр]])/28),"")</f>
        <v/>
      </c>
      <c r="Q54" s="439" t="s">
        <v>4736</v>
      </c>
      <c r="R54" s="458">
        <f>IFERROR(Таблица47[[#This Row],[Коли-
чество м.п.]]/Таблица47[[#This Row],[Количество хлыстов]],"")</f>
        <v>3.1</v>
      </c>
      <c r="S54" s="439" t="s">
        <v>5179</v>
      </c>
      <c r="T54" s="458">
        <v>142.6</v>
      </c>
      <c r="U54" s="459">
        <v>46</v>
      </c>
      <c r="V54" s="458">
        <v>0.9929</v>
      </c>
      <c r="W54" s="458">
        <v>4.5880000000000001</v>
      </c>
      <c r="X54" s="458">
        <v>141.58750000000001</v>
      </c>
      <c r="Y54" s="458">
        <v>654.24879999999996</v>
      </c>
      <c r="Z54" s="458">
        <v>18.41</v>
      </c>
      <c r="AA54" s="458">
        <v>332.62</v>
      </c>
      <c r="AB54" s="458">
        <v>335</v>
      </c>
      <c r="AC54" s="460">
        <v>47431.61</v>
      </c>
    </row>
    <row r="55" spans="1:29" ht="15.75" customHeight="1" x14ac:dyDescent="0.25">
      <c r="A55" s="1011" t="s">
        <v>4678</v>
      </c>
      <c r="B55" s="438">
        <v>26</v>
      </c>
      <c r="C55" s="438"/>
      <c r="D55" s="468" t="s">
        <v>13</v>
      </c>
      <c r="E55" s="439" t="s">
        <v>80</v>
      </c>
      <c r="F55" s="440">
        <v>45308</v>
      </c>
      <c r="G55" s="440"/>
      <c r="H5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" s="441" t="str">
        <f>CONCATENATE(Таблица47[[#This Row],[№ заявки в 1С]],Таблица47[[#This Row],[Наименование            ]])</f>
        <v>26[69346] 0906-20, 3,65 м, 6063 КР уп Т-5</v>
      </c>
      <c r="J55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5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5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5" s="456">
        <v>50</v>
      </c>
      <c r="N55" s="457">
        <v>429</v>
      </c>
      <c r="O55" s="1013" t="str">
        <f>IFERROR(Таблица47[[#This Row],[Количество хлыстов]]-Таблица47[[#This Row],[Обработано в 1С]]-Таблица47[[#This Row],[Корректировка]],"")</f>
        <v/>
      </c>
      <c r="P55" s="638" t="str">
        <f>IFERROR((((Таблица47[[#This Row],[Осталось сделать, хлыст]]*Таблица47[[#This Row],[длина]])*Таблица47[[#This Row],[Периметр]])/28),"")</f>
        <v/>
      </c>
      <c r="Q55" s="439"/>
      <c r="R55" s="458">
        <f>IFERROR(Таблица47[[#This Row],[Коли-
чество м.п.]]/Таблица47[[#This Row],[Количество хлыстов]],"")</f>
        <v>3.65</v>
      </c>
      <c r="S55" s="439" t="s">
        <v>5099</v>
      </c>
      <c r="T55" s="458">
        <v>1748.35</v>
      </c>
      <c r="U55" s="459">
        <v>479</v>
      </c>
      <c r="V55" s="458">
        <v>0.51529999999999998</v>
      </c>
      <c r="W55" s="458">
        <v>1.3759999999999999</v>
      </c>
      <c r="X55" s="458">
        <v>900.9248</v>
      </c>
      <c r="Y55" s="458">
        <v>2405.7296000000001</v>
      </c>
      <c r="Z55" s="458">
        <v>117.12</v>
      </c>
      <c r="AA55" s="458">
        <v>172.63</v>
      </c>
      <c r="AB55" s="458">
        <v>335</v>
      </c>
      <c r="AC55" s="460">
        <v>301809.78999999998</v>
      </c>
    </row>
    <row r="56" spans="1:29" ht="15.75" customHeight="1" x14ac:dyDescent="0.25">
      <c r="A56" s="1011" t="s">
        <v>4678</v>
      </c>
      <c r="B56" s="438">
        <v>26</v>
      </c>
      <c r="C56" s="438"/>
      <c r="D56" s="468" t="s">
        <v>13</v>
      </c>
      <c r="E56" s="438" t="s">
        <v>80</v>
      </c>
      <c r="F56" s="440">
        <v>45308</v>
      </c>
      <c r="G56" s="440"/>
      <c r="H56" s="50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" s="449" t="str">
        <f>CONCATENATE(Таблица47[[#This Row],[№ заявки в 1С]],Таблица47[[#This Row],[Наименование            ]])</f>
        <v>26[35674] 0906-20, 3,2 м, сплав 6063 КР уп Т-5</v>
      </c>
      <c r="J56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6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6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6" s="461"/>
      <c r="N56" s="462">
        <v>131</v>
      </c>
      <c r="O56" s="1013" t="str">
        <f>IFERROR(Таблица47[[#This Row],[Количество хлыстов]]-Таблица47[[#This Row],[Обработано в 1С]]-Таблица47[[#This Row],[Корректировка]],"")</f>
        <v/>
      </c>
      <c r="P56" s="638" t="str">
        <f>IFERROR((((Таблица47[[#This Row],[Осталось сделать, хлыст]]*Таблица47[[#This Row],[длина]])*Таблица47[[#This Row],[Периметр]])/28),"")</f>
        <v/>
      </c>
      <c r="Q56" s="439"/>
      <c r="R56" s="458">
        <f>IFERROR(Таблица47[[#This Row],[Коли-
чество м.п.]]/Таблица47[[#This Row],[Количество хлыстов]],"")</f>
        <v>3.1999999999999997</v>
      </c>
      <c r="S56" s="439" t="s">
        <v>5100</v>
      </c>
      <c r="T56" s="458">
        <v>419.2</v>
      </c>
      <c r="U56" s="459">
        <v>131</v>
      </c>
      <c r="V56" s="458">
        <v>0.51529999999999998</v>
      </c>
      <c r="W56" s="458">
        <v>1.3759999999999999</v>
      </c>
      <c r="X56" s="458">
        <v>216.0138</v>
      </c>
      <c r="Y56" s="458">
        <v>576.81920000000002</v>
      </c>
      <c r="Z56" s="458">
        <v>28.08</v>
      </c>
      <c r="AA56" s="458">
        <v>172.63</v>
      </c>
      <c r="AB56" s="458">
        <v>335</v>
      </c>
      <c r="AC56" s="460">
        <v>72364.61</v>
      </c>
    </row>
    <row r="57" spans="1:29" ht="15.75" customHeight="1" x14ac:dyDescent="0.25">
      <c r="A57" s="1030" t="s">
        <v>4678</v>
      </c>
      <c r="B57" s="467">
        <v>27</v>
      </c>
      <c r="C57" s="467"/>
      <c r="D57" s="468" t="s">
        <v>13</v>
      </c>
      <c r="E57" s="474" t="s">
        <v>3765</v>
      </c>
      <c r="F57" s="469">
        <v>45308</v>
      </c>
      <c r="G57" s="469"/>
      <c r="H57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" s="519" t="str">
        <f>CONCATENATE(Таблица47[[#This Row],[№ заявки в 1С]],Таблица47[[#This Row],[Наименование            ]])</f>
        <v>27[81438] 1206-76, 3,0м, сплав 6063 Т1</v>
      </c>
      <c r="J57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" s="1035"/>
      <c r="N57" s="1036">
        <v>330</v>
      </c>
      <c r="O57" s="1013" t="str">
        <f>IFERROR(Таблица47[[#This Row],[Количество хлыстов]]-Таблица47[[#This Row],[Обработано в 1С]]-Таблица47[[#This Row],[Корректировка]],"")</f>
        <v/>
      </c>
      <c r="P57" s="638" t="str">
        <f>IFERROR((((Таблица47[[#This Row],[Осталось сделать, хлыст]]*Таблица47[[#This Row],[длина]])*Таблица47[[#This Row],[Периметр]])/28),"")</f>
        <v/>
      </c>
      <c r="Q57" s="468" t="s">
        <v>4736</v>
      </c>
      <c r="R57" s="489">
        <f>IFERROR(Таблица47[[#This Row],[Коли-
чество м.п.]]/Таблица47[[#This Row],[Количество хлыстов]],"")</f>
        <v>3</v>
      </c>
      <c r="S57" s="468" t="s">
        <v>3300</v>
      </c>
      <c r="T57" s="489">
        <v>990</v>
      </c>
      <c r="U57" s="490">
        <v>330</v>
      </c>
      <c r="V57" s="489">
        <v>0.21340000000000001</v>
      </c>
      <c r="W57" s="489">
        <v>0.86599999999999999</v>
      </c>
      <c r="X57" s="489">
        <v>211.26599999999999</v>
      </c>
      <c r="Y57" s="489">
        <v>857.34</v>
      </c>
      <c r="Z57" s="489">
        <v>27.46</v>
      </c>
      <c r="AA57" s="489">
        <v>81.73</v>
      </c>
      <c r="AB57" s="489">
        <v>383</v>
      </c>
      <c r="AC57" s="1037">
        <v>80914.880000000005</v>
      </c>
    </row>
    <row r="58" spans="1:29" ht="15.75" customHeight="1" x14ac:dyDescent="0.25">
      <c r="A58" s="1030" t="s">
        <v>4678</v>
      </c>
      <c r="B58" s="467">
        <v>27</v>
      </c>
      <c r="C58" s="467"/>
      <c r="D58" s="468" t="s">
        <v>13</v>
      </c>
      <c r="E58" s="474" t="s">
        <v>3765</v>
      </c>
      <c r="F58" s="469">
        <v>45308</v>
      </c>
      <c r="G58" s="469"/>
      <c r="H58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" s="476" t="str">
        <f>CONCATENATE(Таблица47[[#This Row],[№ заявки в 1С]],Таблица47[[#This Row],[Наименование            ]])</f>
        <v>27[82183] 1706-84, 3,0 м,  6063 Т6 упаковка Т5</v>
      </c>
      <c r="J58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8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8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8" s="1038"/>
      <c r="N58" s="1039">
        <v>269</v>
      </c>
      <c r="O58" s="1013" t="str">
        <f>IFERROR(Таблица47[[#This Row],[Количество хлыстов]]-Таблица47[[#This Row],[Обработано в 1С]]-Таблица47[[#This Row],[Корректировка]],"")</f>
        <v/>
      </c>
      <c r="P58" s="638" t="str">
        <f>IFERROR((((Таблица47[[#This Row],[Осталось сделать, хлыст]]*Таблица47[[#This Row],[длина]])*Таблица47[[#This Row],[Периметр]])/28),"")</f>
        <v/>
      </c>
      <c r="Q58" s="468"/>
      <c r="R58" s="489">
        <f>IFERROR(Таблица47[[#This Row],[Коли-
чество м.п.]]/Таблица47[[#This Row],[Количество хлыстов]],"")</f>
        <v>3</v>
      </c>
      <c r="S58" s="468" t="s">
        <v>3646</v>
      </c>
      <c r="T58" s="489">
        <v>807</v>
      </c>
      <c r="U58" s="490">
        <v>269</v>
      </c>
      <c r="V58" s="489">
        <v>0.1988</v>
      </c>
      <c r="W58" s="489">
        <v>0.63300000000000001</v>
      </c>
      <c r="X58" s="489">
        <v>160.4316</v>
      </c>
      <c r="Y58" s="489">
        <v>510.83100000000002</v>
      </c>
      <c r="Z58" s="489">
        <v>20.86</v>
      </c>
      <c r="AA58" s="489">
        <v>12.92</v>
      </c>
      <c r="AB58" s="489">
        <v>65</v>
      </c>
      <c r="AC58" s="1037">
        <v>10428.049999999999</v>
      </c>
    </row>
    <row r="59" spans="1:29" ht="15.75" customHeight="1" x14ac:dyDescent="0.25">
      <c r="A59" s="1011" t="s">
        <v>4678</v>
      </c>
      <c r="B59" s="531">
        <v>28</v>
      </c>
      <c r="C59" s="531"/>
      <c r="D59" s="468" t="s">
        <v>13</v>
      </c>
      <c r="E59" s="532" t="s">
        <v>4734</v>
      </c>
      <c r="F59" s="543">
        <v>45308</v>
      </c>
      <c r="G59" s="528"/>
      <c r="H59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" s="441" t="str">
        <f>CONCATENATE(Таблица47[[#This Row],[№ заявки в 1С]],Таблица47[[#This Row],[Наименование            ]])</f>
        <v>28[85402] тентовый профиль 27мм (АТ-6945,1706-85) 3,0м, Ад31 Т1</v>
      </c>
      <c r="J59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9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9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9" s="456"/>
      <c r="N59" s="457">
        <v>260</v>
      </c>
      <c r="O59" s="1013" t="str">
        <f>IFERROR(Таблица47[[#This Row],[Количество хлыстов]]-Таблица47[[#This Row],[Обработано в 1С]]-Таблица47[[#This Row],[Корректировка]],"")</f>
        <v/>
      </c>
      <c r="P59" s="638" t="str">
        <f>IFERROR((((Таблица47[[#This Row],[Осталось сделать, хлыст]]*Таблица47[[#This Row],[длина]])*Таблица47[[#This Row],[Периметр]])/28),"")</f>
        <v/>
      </c>
      <c r="Q59" s="439"/>
      <c r="R59" s="458">
        <f>IFERROR(Таблица47[[#This Row],[Коли-
чество м.п.]]/Таблица47[[#This Row],[Количество хлыстов]],"")</f>
        <v>3</v>
      </c>
      <c r="S59" s="439" t="s">
        <v>4737</v>
      </c>
      <c r="T59" s="458">
        <v>780</v>
      </c>
      <c r="U59" s="459">
        <v>260</v>
      </c>
      <c r="V59" s="458">
        <v>0.1168</v>
      </c>
      <c r="W59" s="458">
        <v>0.72</v>
      </c>
      <c r="X59" s="458">
        <v>91.103999999999999</v>
      </c>
      <c r="Y59" s="458">
        <v>561.6</v>
      </c>
      <c r="Z59" s="458">
        <v>11.84</v>
      </c>
      <c r="AA59" s="458">
        <v>35.04</v>
      </c>
      <c r="AB59" s="458">
        <v>300</v>
      </c>
      <c r="AC59" s="460">
        <v>27331.200000000001</v>
      </c>
    </row>
    <row r="60" spans="1:29" s="1021" customFormat="1" ht="15.75" customHeight="1" x14ac:dyDescent="0.25">
      <c r="A60" s="979" t="s">
        <v>4978</v>
      </c>
      <c r="B60" s="980">
        <v>29</v>
      </c>
      <c r="C60" s="980"/>
      <c r="D60" s="509" t="s">
        <v>13</v>
      </c>
      <c r="E60" s="509" t="s">
        <v>4722</v>
      </c>
      <c r="F60" s="510">
        <v>45308</v>
      </c>
      <c r="G60" s="510"/>
      <c r="H60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" s="511" t="str">
        <f>CONCATENATE(Таблица47[[#This Row],[№ заявки в 1С]],Таблица47[[#This Row],[Наименование            ]])</f>
        <v>29[88698] 1806-86, 6,05м, Ад31 Т1</v>
      </c>
      <c r="J60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0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0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0" s="981"/>
      <c r="N60" s="982">
        <v>50</v>
      </c>
      <c r="O60" s="1020" t="str">
        <f>IFERROR(Таблица47[[#This Row],[Количество хлыстов]]-Таблица47[[#This Row],[Обработано в 1С]]-Таблица47[[#This Row],[Корректировка]],"")</f>
        <v/>
      </c>
      <c r="P60" s="638" t="str">
        <f>IFERROR((((Таблица47[[#This Row],[Осталось сделать, хлыст]]*Таблица47[[#This Row],[длина]])*Таблица47[[#This Row],[Периметр]])/28),"")</f>
        <v/>
      </c>
      <c r="Q60" s="983"/>
      <c r="R60" s="993">
        <f>IFERROR(Таблица47[[#This Row],[Коли-
чество м.п.]]/Таблица47[[#This Row],[Количество хлыстов]],"")</f>
        <v>6.05</v>
      </c>
      <c r="S60" s="509" t="s">
        <v>4724</v>
      </c>
      <c r="T60" s="984">
        <v>302.5</v>
      </c>
      <c r="U60" s="985">
        <v>50</v>
      </c>
      <c r="V60" s="984">
        <v>0.33300000000000002</v>
      </c>
      <c r="W60" s="984">
        <v>0.86599999999999999</v>
      </c>
      <c r="X60" s="984">
        <v>100.7325</v>
      </c>
      <c r="Y60" s="984">
        <v>261.96499999999997</v>
      </c>
      <c r="Z60" s="984">
        <v>13.1</v>
      </c>
      <c r="AA60" s="984">
        <v>103.23</v>
      </c>
      <c r="AB60" s="984">
        <v>310</v>
      </c>
      <c r="AC60" s="986">
        <v>31227.08</v>
      </c>
    </row>
    <row r="61" spans="1:29" s="1021" customFormat="1" ht="15.75" customHeight="1" x14ac:dyDescent="0.25">
      <c r="A61" s="979" t="s">
        <v>4978</v>
      </c>
      <c r="B61" s="980">
        <v>30</v>
      </c>
      <c r="C61" s="980"/>
      <c r="D61" s="509" t="s">
        <v>13</v>
      </c>
      <c r="E61" s="509" t="s">
        <v>4722</v>
      </c>
      <c r="F61" s="510">
        <v>45308</v>
      </c>
      <c r="G61" s="510"/>
      <c r="H61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" s="511" t="str">
        <f>CONCATENATE(Таблица47[[#This Row],[№ заявки в 1С]],Таблица47[[#This Row],[Наименование            ]])</f>
        <v>30[88698] 1806-86, 6,05м, Ад31 Т1</v>
      </c>
      <c r="J61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1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1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1" s="981"/>
      <c r="N61" s="982">
        <v>158</v>
      </c>
      <c r="O61" s="1020" t="str">
        <f>IFERROR(Таблица47[[#This Row],[Количество хлыстов]]-Таблица47[[#This Row],[Обработано в 1С]]-Таблица47[[#This Row],[Корректировка]],"")</f>
        <v/>
      </c>
      <c r="P61" s="638" t="str">
        <f>IFERROR((((Таблица47[[#This Row],[Осталось сделать, хлыст]]*Таблица47[[#This Row],[длина]])*Таблица47[[#This Row],[Периметр]])/28),"")</f>
        <v/>
      </c>
      <c r="Q61" s="983"/>
      <c r="R61" s="993">
        <f>IFERROR(Таблица47[[#This Row],[Коли-
чество м.п.]]/Таблица47[[#This Row],[Количество хлыстов]],"")</f>
        <v>6.05</v>
      </c>
      <c r="S61" s="509" t="s">
        <v>4724</v>
      </c>
      <c r="T61" s="984">
        <v>955.9</v>
      </c>
      <c r="U61" s="985">
        <v>158</v>
      </c>
      <c r="V61" s="984">
        <v>0.33300000000000002</v>
      </c>
      <c r="W61" s="984">
        <v>0.86599999999999999</v>
      </c>
      <c r="X61" s="984">
        <v>318.31470000000002</v>
      </c>
      <c r="Y61" s="984">
        <v>827.80939999999998</v>
      </c>
      <c r="Z61" s="984">
        <v>41.38</v>
      </c>
      <c r="AA61" s="984">
        <v>103.23</v>
      </c>
      <c r="AB61" s="984">
        <v>310</v>
      </c>
      <c r="AC61" s="986">
        <v>98677.56</v>
      </c>
    </row>
    <row r="62" spans="1:29" customFormat="1" ht="15.75" customHeight="1" x14ac:dyDescent="0.25">
      <c r="A62" s="953" t="s">
        <v>4678</v>
      </c>
      <c r="B62" s="1008">
        <v>31</v>
      </c>
      <c r="C62" s="1008"/>
      <c r="D62" s="454" t="s">
        <v>13</v>
      </c>
      <c r="E62" s="1008" t="s">
        <v>3863</v>
      </c>
      <c r="F62" s="1009">
        <v>45308</v>
      </c>
      <c r="G62" s="143"/>
      <c r="H62" s="987" t="s">
        <v>677</v>
      </c>
      <c r="I62" s="522" t="str">
        <f>CONCATENATE(Таблица47[[#This Row],[№ заявки в 1С]],Таблица47[[#This Row],[Наименование            ]])</f>
        <v>31[54218] А 23 (0272-62), Направляющая нижняя под ролики, 5,0м, сплав 6063</v>
      </c>
      <c r="J62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" s="522"/>
      <c r="N62" s="523">
        <v>70</v>
      </c>
      <c r="O62" s="1001" t="str">
        <f>IFERROR(Таблица47[[#This Row],[Количество хлыстов]]-Таблица47[[#This Row],[Обработано в 1С]]-Таблица47[[#This Row],[Корректировка]],"")</f>
        <v/>
      </c>
      <c r="P62" s="638" t="str">
        <f>IFERROR((((Таблица47[[#This Row],[Осталось сделать, хлыст]]*Таблица47[[#This Row],[длина]])*Таблица47[[#This Row],[Периметр]])/28),"")</f>
        <v/>
      </c>
      <c r="Q62" s="183"/>
      <c r="R62" s="678">
        <f>IFERROR(Таблица47[[#This Row],[Коли-
чество м.п.]]/Таблица47[[#This Row],[Количество хлыстов]],"")</f>
        <v>5</v>
      </c>
      <c r="S62" s="142" t="s">
        <v>5311</v>
      </c>
      <c r="T62" s="525">
        <v>1480</v>
      </c>
      <c r="U62" s="526">
        <v>296</v>
      </c>
      <c r="V62" s="525">
        <v>7.6700000000000004E-2</v>
      </c>
      <c r="W62" s="525">
        <v>0.17799999999999999</v>
      </c>
      <c r="X62" s="525">
        <v>113.51600000000001</v>
      </c>
      <c r="Y62" s="525">
        <v>263.44</v>
      </c>
      <c r="Z62" s="525">
        <v>14.76</v>
      </c>
      <c r="AA62" s="525">
        <v>28</v>
      </c>
      <c r="AB62" s="525">
        <v>365</v>
      </c>
      <c r="AC62" s="527">
        <v>41433.339999999997</v>
      </c>
    </row>
    <row r="63" spans="1:29" customFormat="1" ht="15.75" customHeight="1" x14ac:dyDescent="0.25">
      <c r="A63" s="953" t="s">
        <v>4678</v>
      </c>
      <c r="B63" s="951">
        <v>31</v>
      </c>
      <c r="C63" s="951"/>
      <c r="D63" s="941" t="s">
        <v>13</v>
      </c>
      <c r="E63" s="951" t="s">
        <v>3863</v>
      </c>
      <c r="F63" s="952">
        <v>45308</v>
      </c>
      <c r="G63" s="143"/>
      <c r="H63" s="142" t="s">
        <v>677</v>
      </c>
      <c r="I63" s="449" t="str">
        <f>CONCATENATE(Таблица47[[#This Row],[№ заявки в 1С]],Таблица47[[#This Row],[Наименование            ]])</f>
        <v>31[62126] А 22 (0073-15), Н-профиль, 5,0м, 6063 Кр</v>
      </c>
      <c r="J63" s="449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3" s="449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3" s="449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3" s="449"/>
      <c r="N63" s="450">
        <v>135</v>
      </c>
      <c r="O63" s="1001" t="str">
        <f>IFERROR(Таблица47[[#This Row],[Количество хлыстов]]-Таблица47[[#This Row],[Обработано в 1С]]-Таблица47[[#This Row],[Корректировка]],"")</f>
        <v/>
      </c>
      <c r="P63" s="638" t="str">
        <f>IFERROR((((Таблица47[[#This Row],[Осталось сделать, хлыст]]*Таблица47[[#This Row],[длина]])*Таблица47[[#This Row],[Периметр]])/28),"")</f>
        <v/>
      </c>
      <c r="Q63" s="445" t="s">
        <v>559</v>
      </c>
      <c r="R63" s="447">
        <f>IFERROR(Таблица47[[#This Row],[Коли-
чество м.п.]]/Таблица47[[#This Row],[Количество хлыстов]],"")</f>
        <v>5</v>
      </c>
      <c r="S63" s="445" t="s">
        <v>3502</v>
      </c>
      <c r="T63" s="447">
        <v>1330</v>
      </c>
      <c r="U63" s="451">
        <v>266</v>
      </c>
      <c r="V63" s="447">
        <v>0.13220000000000001</v>
      </c>
      <c r="W63" s="447">
        <v>0.33</v>
      </c>
      <c r="X63" s="447">
        <v>176.48699999999999</v>
      </c>
      <c r="Y63" s="447">
        <v>440.55</v>
      </c>
      <c r="Z63" s="447">
        <v>22.94</v>
      </c>
      <c r="AA63" s="447">
        <v>48.25</v>
      </c>
      <c r="AB63" s="447">
        <v>365</v>
      </c>
      <c r="AC63" s="448">
        <v>64417.760000000002</v>
      </c>
    </row>
    <row r="64" spans="1:29" ht="15.75" customHeight="1" x14ac:dyDescent="0.25">
      <c r="A64" s="1030" t="s">
        <v>4678</v>
      </c>
      <c r="B64" s="467">
        <v>31</v>
      </c>
      <c r="C64" s="467"/>
      <c r="D64" s="468" t="s">
        <v>13</v>
      </c>
      <c r="E64" s="467" t="s">
        <v>3863</v>
      </c>
      <c r="F64" s="469">
        <v>45308</v>
      </c>
      <c r="G64" s="469"/>
      <c r="H6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" s="441" t="str">
        <f>CONCATENATE(Таблица47[[#This Row],[№ заявки в 1С]],Таблица47[[#This Row],[Наименование            ]])</f>
        <v>31[54218] А 23 (0272-62), Направляющая нижняя под ролики, 5,0м, 6063 Fe</v>
      </c>
      <c r="J64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4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4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4" s="456"/>
      <c r="N64" s="457">
        <v>295</v>
      </c>
      <c r="O64" s="1013" t="str">
        <f>IFERROR(Таблица47[[#This Row],[Количество хлыстов]]-Таблица47[[#This Row],[Обработано в 1С]]-Таблица47[[#This Row],[Корректировка]],"")</f>
        <v/>
      </c>
      <c r="P64" s="638" t="str">
        <f>IFERROR((((Таблица47[[#This Row],[Осталось сделать, хлыст]]*Таблица47[[#This Row],[длина]])*Таблица47[[#This Row],[Периметр]])/28),"")</f>
        <v/>
      </c>
      <c r="Q64" s="439" t="s">
        <v>5150</v>
      </c>
      <c r="R64" s="458">
        <f>IFERROR(Таблица47[[#This Row],[Коли-
чество м.п.]]/Таблица47[[#This Row],[Количество хлыстов]],"")</f>
        <v>5</v>
      </c>
      <c r="S64" s="439" t="s">
        <v>4739</v>
      </c>
      <c r="T64" s="458">
        <v>1475</v>
      </c>
      <c r="U64" s="459">
        <v>295</v>
      </c>
      <c r="V64" s="458">
        <v>7.6700000000000004E-2</v>
      </c>
      <c r="W64" s="458">
        <v>0.17799999999999999</v>
      </c>
      <c r="X64" s="458">
        <v>113.51600000000001</v>
      </c>
      <c r="Y64" s="458">
        <v>263.44</v>
      </c>
      <c r="Z64" s="458">
        <v>14.76</v>
      </c>
      <c r="AA64" s="458">
        <v>28</v>
      </c>
      <c r="AB64" s="458">
        <v>365</v>
      </c>
      <c r="AC64" s="460">
        <v>41433.339999999997</v>
      </c>
    </row>
    <row r="65" spans="1:29" ht="15.75" customHeight="1" x14ac:dyDescent="0.25">
      <c r="A65" s="1040" t="s">
        <v>4678</v>
      </c>
      <c r="B65" s="353">
        <v>19</v>
      </c>
      <c r="C65" s="353" t="s">
        <v>4753</v>
      </c>
      <c r="D65" s="468" t="s">
        <v>34</v>
      </c>
      <c r="E65" s="353" t="s">
        <v>861</v>
      </c>
      <c r="F65" s="320">
        <v>45308</v>
      </c>
      <c r="G65" s="320"/>
      <c r="H6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" s="449" t="str">
        <f>CONCATENATE(Таблица47[[#This Row],[№ заявки в 1С]],Таблица47[[#This Row],[Наименование            ]])</f>
        <v>19Бесцветное анодирование Основания ТИС-Р-3 (профиль 1111-116), 475мм</v>
      </c>
      <c r="J65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5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5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5" s="461"/>
      <c r="N65" s="462">
        <v>110</v>
      </c>
      <c r="O65" s="1013" t="str">
        <f>IFERROR(Таблица47[[#This Row],[Количество хлыстов]]-Таблица47[[#This Row],[Обработано в 1С]]-Таблица47[[#This Row],[Корректировка]],"")</f>
        <v/>
      </c>
      <c r="P65" s="638" t="str">
        <f>IFERROR((((Таблица47[[#This Row],[Осталось сделать, хлыст]]*Таблица47[[#This Row],[длина]])*Таблица47[[#This Row],[Периметр]])/28),"")</f>
        <v/>
      </c>
      <c r="Q65" s="1024"/>
      <c r="R65" s="1025">
        <f>IFERROR(Таблица47[[#This Row],[Коли-
чество м.п.]]/Таблица47[[#This Row],[Количество хлыстов]],"")</f>
        <v>1</v>
      </c>
      <c r="S65" s="1024" t="s">
        <v>3982</v>
      </c>
      <c r="T65" s="1024">
        <v>110</v>
      </c>
      <c r="U65" s="1023">
        <v>110</v>
      </c>
      <c r="V65" s="1024"/>
      <c r="W65" s="1024"/>
      <c r="X65" s="1024"/>
      <c r="Y65" s="1024"/>
      <c r="Z65" s="1024"/>
      <c r="AA65" s="1024"/>
      <c r="AB65" s="1024"/>
      <c r="AC65" s="1026" t="s">
        <v>4740</v>
      </c>
    </row>
    <row r="66" spans="1:29" ht="15.75" customHeight="1" x14ac:dyDescent="0.25">
      <c r="A66" s="427" t="s">
        <v>4678</v>
      </c>
      <c r="B66" s="321">
        <v>19</v>
      </c>
      <c r="C66" s="321" t="s">
        <v>4753</v>
      </c>
      <c r="D66" s="468" t="s">
        <v>34</v>
      </c>
      <c r="E66" s="321" t="s">
        <v>861</v>
      </c>
      <c r="F66" s="310">
        <v>45308</v>
      </c>
      <c r="G66" s="310"/>
      <c r="H66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6" s="441" t="str">
        <f>CONCATENATE(Таблица47[[#This Row],[№ заявки в 1С]],Таблица47[[#This Row],[Наименование            ]])</f>
        <v>19Бесцветное анодирование Основания ТИС-Р-2А (профиль 1111-116), 320мм</v>
      </c>
      <c r="J66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6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6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6" s="456"/>
      <c r="N66" s="457">
        <v>154</v>
      </c>
      <c r="O66" s="1013" t="str">
        <f>IFERROR(Таблица47[[#This Row],[Количество хлыстов]]-Таблица47[[#This Row],[Обработано в 1С]]-Таблица47[[#This Row],[Корректировка]],"")</f>
        <v/>
      </c>
      <c r="P66" s="638" t="str">
        <f>IFERROR((((Таблица47[[#This Row],[Осталось сделать, хлыст]]*Таблица47[[#This Row],[длина]])*Таблица47[[#This Row],[Периметр]])/28),"")</f>
        <v/>
      </c>
      <c r="Q66" s="304"/>
      <c r="R66" s="991">
        <f>IFERROR(Таблица47[[#This Row],[Коли-
чество м.п.]]/Таблица47[[#This Row],[Количество хлыстов]],"")</f>
        <v>1</v>
      </c>
      <c r="S66" s="304" t="s">
        <v>3634</v>
      </c>
      <c r="T66" s="304">
        <v>154</v>
      </c>
      <c r="U66" s="1018">
        <v>154</v>
      </c>
      <c r="V66" s="304"/>
      <c r="W66" s="304"/>
      <c r="X66" s="304"/>
      <c r="Y66" s="304"/>
      <c r="Z66" s="304"/>
      <c r="AA66" s="304"/>
      <c r="AB66" s="304"/>
      <c r="AC66" s="1019" t="s">
        <v>4741</v>
      </c>
    </row>
    <row r="67" spans="1:29" ht="15.75" customHeight="1" x14ac:dyDescent="0.25">
      <c r="A67" s="1011" t="s">
        <v>4678</v>
      </c>
      <c r="B67" s="438" t="s">
        <v>4742</v>
      </c>
      <c r="C67" s="438"/>
      <c r="D67" s="468" t="s">
        <v>34</v>
      </c>
      <c r="E67" s="438" t="s">
        <v>16</v>
      </c>
      <c r="F67" s="440">
        <v>45308</v>
      </c>
      <c r="G67" s="440"/>
      <c r="H67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" s="449" t="str">
        <f>CONCATENATE(Таблица47[[#This Row],[№ заявки в 1С]],Таблица47[[#This Row],[Наименование            ]])</f>
        <v>OPT000028[61440] 0106-289, 6,0м, 6063 Т1, упаковка Т-5, под анод тип 1, БА</v>
      </c>
      <c r="J67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7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7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7" s="461"/>
      <c r="N67" s="462">
        <f>352+9+109</f>
        <v>470</v>
      </c>
      <c r="O67" s="1013" t="str">
        <f>IFERROR(Таблица47[[#This Row],[Количество хлыстов]]-Таблица47[[#This Row],[Обработано в 1С]]-Таблица47[[#This Row],[Корректировка]],"")</f>
        <v/>
      </c>
      <c r="P67" s="638" t="str">
        <f>IFERROR((((Таблица47[[#This Row],[Осталось сделать, хлыст]]*Таблица47[[#This Row],[длина]])*Таблица47[[#This Row],[Периметр]])/28),"")</f>
        <v/>
      </c>
      <c r="Q67" s="439" t="s">
        <v>5042</v>
      </c>
      <c r="R67" s="458">
        <f>IFERROR(Таблица47[[#This Row],[Коли-
чество м.п.]]/Таблица47[[#This Row],[Количество хлыстов]],"")</f>
        <v>6</v>
      </c>
      <c r="S67" s="439" t="s">
        <v>2845</v>
      </c>
      <c r="T67" s="458">
        <v>2820</v>
      </c>
      <c r="U67" s="459">
        <v>470</v>
      </c>
      <c r="V67" s="458">
        <v>0.15909999999999999</v>
      </c>
      <c r="W67" s="458">
        <v>0.26</v>
      </c>
      <c r="X67" s="458">
        <v>448.66199999999998</v>
      </c>
      <c r="Y67" s="458">
        <v>733.2</v>
      </c>
      <c r="Z67" s="458">
        <v>58.33</v>
      </c>
      <c r="AA67" s="458">
        <v>74.78</v>
      </c>
      <c r="AB67" s="458">
        <v>470</v>
      </c>
      <c r="AC67" s="460">
        <v>210871.14</v>
      </c>
    </row>
    <row r="68" spans="1:29" ht="15.75" customHeight="1" x14ac:dyDescent="0.25">
      <c r="A68" s="1011" t="s">
        <v>4678</v>
      </c>
      <c r="B68" s="438" t="s">
        <v>2525</v>
      </c>
      <c r="C68" s="438"/>
      <c r="D68" s="468" t="s">
        <v>34</v>
      </c>
      <c r="E68" s="438" t="s">
        <v>16</v>
      </c>
      <c r="F68" s="440">
        <v>45308</v>
      </c>
      <c r="G68" s="440"/>
      <c r="H68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" s="441" t="str">
        <f>CONCATENATE(Таблица47[[#This Row],[№ заявки в 1С]],Таблица47[[#This Row],[Наименование            ]])</f>
        <v>OPT000029[38435] 0506-20, 6,0м, 6063 Т1, упаковка Т-5, под анод тип 1, БА</v>
      </c>
      <c r="J68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8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8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8" s="456"/>
      <c r="N68" s="457">
        <v>104</v>
      </c>
      <c r="O68" s="1013" t="str">
        <f>IFERROR(Таблица47[[#This Row],[Количество хлыстов]]-Таблица47[[#This Row],[Обработано в 1С]]-Таблица47[[#This Row],[Корректировка]],"")</f>
        <v/>
      </c>
      <c r="P68" s="638" t="str">
        <f>IFERROR((((Таблица47[[#This Row],[Осталось сделать, хлыст]]*Таблица47[[#This Row],[длина]])*Таблица47[[#This Row],[Периметр]])/28),"")</f>
        <v/>
      </c>
      <c r="Q68" s="439"/>
      <c r="R68" s="458">
        <f>IFERROR(Таблица47[[#This Row],[Коли-
чество м.п.]]/Таблица47[[#This Row],[Количество хлыстов]],"")</f>
        <v>6</v>
      </c>
      <c r="S68" s="439" t="s">
        <v>2730</v>
      </c>
      <c r="T68" s="458">
        <v>624</v>
      </c>
      <c r="U68" s="459">
        <v>104</v>
      </c>
      <c r="V68" s="458">
        <v>0.3498</v>
      </c>
      <c r="W68" s="458">
        <v>1.425</v>
      </c>
      <c r="X68" s="458">
        <v>218.27520000000001</v>
      </c>
      <c r="Y68" s="458">
        <v>889.2</v>
      </c>
      <c r="Z68" s="458">
        <v>28.38</v>
      </c>
      <c r="AA68" s="458">
        <v>127.68</v>
      </c>
      <c r="AB68" s="458">
        <v>365</v>
      </c>
      <c r="AC68" s="460">
        <v>79670.45</v>
      </c>
    </row>
    <row r="69" spans="1:29" customFormat="1" ht="15.75" customHeight="1" x14ac:dyDescent="0.25">
      <c r="A69" s="422" t="s">
        <v>4678</v>
      </c>
      <c r="B69" s="571">
        <v>11</v>
      </c>
      <c r="C69" s="353" t="s">
        <v>4753</v>
      </c>
      <c r="D69" s="468" t="s">
        <v>13</v>
      </c>
      <c r="E69" s="307" t="s">
        <v>799</v>
      </c>
      <c r="F69" s="572">
        <v>45308</v>
      </c>
      <c r="G69" s="572"/>
      <c r="H69" s="560" t="s">
        <v>677</v>
      </c>
      <c r="I69" s="449" t="str">
        <f>CONCATENATE(Таблица47[[#This Row],[№ заявки в 1С]],Таблица47[[#This Row],[Наименование            ]])</f>
        <v>11Y.3040(7) 5,1 м, Р-0,118, анод 10+/-2 мкм с дробью</v>
      </c>
      <c r="J69" s="449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9" s="449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9" s="449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9" s="449"/>
      <c r="N69" s="450"/>
      <c r="O69" s="1001" t="str">
        <f>IFERROR(Таблица47[[#This Row],[Количество хлыстов]]-Таблица47[[#This Row],[Обработано в 1С]]-Таблица47[[#This Row],[Корректировка]],"")</f>
        <v/>
      </c>
      <c r="P69" s="638" t="str">
        <f>IFERROR((((Таблица47[[#This Row],[Осталось сделать, хлыст]]*Таблица47[[#This Row],[длина]])*Таблица47[[#This Row],[Периметр]])/28),"")</f>
        <v/>
      </c>
      <c r="Q69" s="14" t="s">
        <v>4945</v>
      </c>
      <c r="R69" s="990" t="str">
        <f>IFERROR(Таблица47[[#This Row],[Коли-
чество м.п.]]/Таблица47[[#This Row],[Количество хлыстов]],"")</f>
        <v/>
      </c>
      <c r="S69" s="14" t="s">
        <v>4746</v>
      </c>
      <c r="T69" s="305" t="s">
        <v>2780</v>
      </c>
      <c r="U69" s="326">
        <v>325</v>
      </c>
      <c r="V69" s="305"/>
      <c r="W69" s="305"/>
      <c r="X69" s="305"/>
      <c r="Y69" s="305"/>
      <c r="Z69" s="305"/>
      <c r="AA69" s="305"/>
      <c r="AB69" s="305"/>
      <c r="AC69" s="396"/>
    </row>
    <row r="70" spans="1:29" ht="15.75" customHeight="1" x14ac:dyDescent="0.25">
      <c r="A70" s="1041" t="s">
        <v>4678</v>
      </c>
      <c r="B70" s="416">
        <v>20</v>
      </c>
      <c r="C70" s="416" t="s">
        <v>4753</v>
      </c>
      <c r="D70" s="468" t="s">
        <v>13</v>
      </c>
      <c r="E70" s="200" t="s">
        <v>30</v>
      </c>
      <c r="F70" s="573">
        <v>45308</v>
      </c>
      <c r="G70" s="572"/>
      <c r="H70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" s="441" t="str">
        <f>CONCATENATE(Таблица47[[#This Row],[№ заявки в 1С]],Таблица47[[#This Row],[Наименование            ]])</f>
        <v>20лист АМГ3, ЦГТВ. 741124.003, 947*790*1,5мм, 9-12мкм, анод</v>
      </c>
      <c r="J70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" s="456"/>
      <c r="N70" s="1042">
        <v>14</v>
      </c>
      <c r="O70" s="1013" t="str">
        <f>IFERROR(Таблица47[[#This Row],[Количество хлыстов]]-Таблица47[[#This Row],[Обработано в 1С]]-Таблица47[[#This Row],[Корректировка]],"")</f>
        <v/>
      </c>
      <c r="P70" s="638" t="str">
        <f>IFERROR((((Таблица47[[#This Row],[Осталось сделать, хлыст]]*Таблица47[[#This Row],[длина]])*Таблица47[[#This Row],[Периметр]])/28),"")</f>
        <v/>
      </c>
      <c r="Q70" s="200"/>
      <c r="R70" s="1043">
        <f>IFERROR(Таблица47[[#This Row],[Коли-
чество м.п.]]/Таблица47[[#This Row],[Количество хлыстов]],"")</f>
        <v>0</v>
      </c>
      <c r="S70" s="200" t="s">
        <v>710</v>
      </c>
      <c r="T70" s="200"/>
      <c r="U70" s="1042">
        <v>14</v>
      </c>
      <c r="V70" s="200"/>
      <c r="W70" s="200"/>
      <c r="X70" s="303"/>
      <c r="Y70" s="303"/>
      <c r="Z70" s="303"/>
      <c r="AA70" s="303"/>
      <c r="AB70" s="303"/>
      <c r="AC70" s="641"/>
    </row>
    <row r="71" spans="1:29" ht="15.75" customHeight="1" x14ac:dyDescent="0.25">
      <c r="A71" s="1041" t="s">
        <v>4678</v>
      </c>
      <c r="B71" s="416">
        <v>20</v>
      </c>
      <c r="C71" s="416" t="s">
        <v>4753</v>
      </c>
      <c r="D71" s="468" t="s">
        <v>13</v>
      </c>
      <c r="E71" s="200" t="s">
        <v>30</v>
      </c>
      <c r="F71" s="573">
        <v>45308</v>
      </c>
      <c r="G71" s="572"/>
      <c r="H71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" s="449" t="str">
        <f>CONCATENATE(Таблица47[[#This Row],[№ заявки в 1С]],Таблица47[[#This Row],[Наименование            ]])</f>
        <v>20лист АМГ3, ЦГТВ. 741124.003-01, 947*790*1,5мм, 9-12мкм, анод</v>
      </c>
      <c r="J71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1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1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1" s="461"/>
      <c r="N71" s="640">
        <v>14</v>
      </c>
      <c r="O71" s="1013" t="str">
        <f>IFERROR(Таблица47[[#This Row],[Количество хлыстов]]-Таблица47[[#This Row],[Обработано в 1С]]-Таблица47[[#This Row],[Корректировка]],"")</f>
        <v/>
      </c>
      <c r="P71" s="638" t="str">
        <f>IFERROR((((Таблица47[[#This Row],[Осталось сделать, хлыст]]*Таблица47[[#This Row],[длина]])*Таблица47[[#This Row],[Периметр]])/28),"")</f>
        <v/>
      </c>
      <c r="Q71" s="303"/>
      <c r="R71" s="639">
        <f>IFERROR(Таблица47[[#This Row],[Коли-
чество м.п.]]/Таблица47[[#This Row],[Количество хлыстов]],"")</f>
        <v>0</v>
      </c>
      <c r="S71" s="303" t="s">
        <v>711</v>
      </c>
      <c r="T71" s="303"/>
      <c r="U71" s="640">
        <v>14</v>
      </c>
      <c r="V71" s="303"/>
      <c r="W71" s="303"/>
      <c r="X71" s="303"/>
      <c r="Y71" s="303"/>
      <c r="Z71" s="303"/>
      <c r="AA71" s="303"/>
      <c r="AB71" s="303"/>
      <c r="AC71" s="641"/>
    </row>
    <row r="72" spans="1:29" ht="15.75" customHeight="1" x14ac:dyDescent="0.25">
      <c r="A72" s="1041" t="s">
        <v>4678</v>
      </c>
      <c r="B72" s="416">
        <v>20</v>
      </c>
      <c r="C72" s="416" t="s">
        <v>4753</v>
      </c>
      <c r="D72" s="468" t="s">
        <v>13</v>
      </c>
      <c r="E72" s="200" t="s">
        <v>30</v>
      </c>
      <c r="F72" s="573">
        <v>45308</v>
      </c>
      <c r="G72" s="572"/>
      <c r="H72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" s="441" t="str">
        <f>CONCATENATE(Таблица47[[#This Row],[№ заявки в 1С]],Таблица47[[#This Row],[Наименование            ]])</f>
        <v>20лист АМГ3, ЦГТВ. 741124.003-02, 1495*790*1,5мм, 9-12мкм, анод</v>
      </c>
      <c r="J72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2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2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2" s="456"/>
      <c r="N72" s="640">
        <v>28</v>
      </c>
      <c r="O72" s="1013" t="str">
        <f>IFERROR(Таблица47[[#This Row],[Количество хлыстов]]-Таблица47[[#This Row],[Обработано в 1С]]-Таблица47[[#This Row],[Корректировка]],"")</f>
        <v/>
      </c>
      <c r="P72" s="638" t="str">
        <f>IFERROR((((Таблица47[[#This Row],[Осталось сделать, хлыст]]*Таблица47[[#This Row],[длина]])*Таблица47[[#This Row],[Периметр]])/28),"")</f>
        <v/>
      </c>
      <c r="Q72" s="303"/>
      <c r="R72" s="639">
        <f>IFERROR(Таблица47[[#This Row],[Коли-
чество м.п.]]/Таблица47[[#This Row],[Количество хлыстов]],"")</f>
        <v>0</v>
      </c>
      <c r="S72" s="303" t="s">
        <v>712</v>
      </c>
      <c r="T72" s="303"/>
      <c r="U72" s="640">
        <v>28</v>
      </c>
      <c r="V72" s="303"/>
      <c r="W72" s="303"/>
      <c r="X72" s="303"/>
      <c r="Y72" s="303"/>
      <c r="Z72" s="303"/>
      <c r="AA72" s="303"/>
      <c r="AB72" s="303"/>
      <c r="AC72" s="641"/>
    </row>
    <row r="73" spans="1:29" ht="15.75" customHeight="1" x14ac:dyDescent="0.25">
      <c r="A73" s="1041" t="s">
        <v>4678</v>
      </c>
      <c r="B73" s="416">
        <v>20</v>
      </c>
      <c r="C73" s="416" t="s">
        <v>4753</v>
      </c>
      <c r="D73" s="468" t="s">
        <v>13</v>
      </c>
      <c r="E73" s="200" t="s">
        <v>30</v>
      </c>
      <c r="F73" s="573">
        <v>45308</v>
      </c>
      <c r="G73" s="572"/>
      <c r="H73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" s="449" t="str">
        <f>CONCATENATE(Таблица47[[#This Row],[№ заявки в 1С]],Таблица47[[#This Row],[Наименование            ]])</f>
        <v>20лист АМГ3, ЦГТВ. 741124.003-04, 777*285*1,5мм, 9-12мкм, анод</v>
      </c>
      <c r="J73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3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3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3" s="461"/>
      <c r="N73" s="640">
        <v>40</v>
      </c>
      <c r="O73" s="1013" t="str">
        <f>IFERROR(Таблица47[[#This Row],[Количество хлыстов]]-Таблица47[[#This Row],[Обработано в 1С]]-Таблица47[[#This Row],[Корректировка]],"")</f>
        <v/>
      </c>
      <c r="P73" s="638" t="str">
        <f>IFERROR((((Таблица47[[#This Row],[Осталось сделать, хлыст]]*Таблица47[[#This Row],[длина]])*Таблица47[[#This Row],[Периметр]])/28),"")</f>
        <v/>
      </c>
      <c r="Q73" s="303"/>
      <c r="R73" s="639">
        <f>IFERROR(Таблица47[[#This Row],[Коли-
чество м.п.]]/Таблица47[[#This Row],[Количество хлыстов]],"")</f>
        <v>0</v>
      </c>
      <c r="S73" s="303" t="s">
        <v>713</v>
      </c>
      <c r="T73" s="303"/>
      <c r="U73" s="640">
        <v>40</v>
      </c>
      <c r="V73" s="303"/>
      <c r="W73" s="303"/>
      <c r="X73" s="303"/>
      <c r="Y73" s="303"/>
      <c r="Z73" s="303"/>
      <c r="AA73" s="303"/>
      <c r="AB73" s="303"/>
      <c r="AC73" s="641"/>
    </row>
    <row r="74" spans="1:29" ht="15.75" customHeight="1" x14ac:dyDescent="0.25">
      <c r="A74" s="1041" t="s">
        <v>4678</v>
      </c>
      <c r="B74" s="416">
        <v>20</v>
      </c>
      <c r="C74" s="416" t="s">
        <v>4753</v>
      </c>
      <c r="D74" s="468" t="s">
        <v>13</v>
      </c>
      <c r="E74" s="200" t="s">
        <v>30</v>
      </c>
      <c r="F74" s="573">
        <v>45308</v>
      </c>
      <c r="G74" s="572"/>
      <c r="H74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" s="441" t="str">
        <f>CONCATENATE(Таблица47[[#This Row],[№ заявки в 1С]],Таблица47[[#This Row],[Наименование            ]])</f>
        <v>20лист АМГ3, ЦГТВ. 741124.003-05, 777*285*1,5мм, 9-12мкм, анод</v>
      </c>
      <c r="J74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4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4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4" s="456"/>
      <c r="N74" s="640">
        <v>20</v>
      </c>
      <c r="O74" s="1013" t="str">
        <f>IFERROR(Таблица47[[#This Row],[Количество хлыстов]]-Таблица47[[#This Row],[Обработано в 1С]]-Таблица47[[#This Row],[Корректировка]],"")</f>
        <v/>
      </c>
      <c r="P74" s="638" t="str">
        <f>IFERROR((((Таблица47[[#This Row],[Осталось сделать, хлыст]]*Таблица47[[#This Row],[длина]])*Таблица47[[#This Row],[Периметр]])/28),"")</f>
        <v/>
      </c>
      <c r="Q74" s="303"/>
      <c r="R74" s="639">
        <f>IFERROR(Таблица47[[#This Row],[Коли-
чество м.п.]]/Таблица47[[#This Row],[Количество хлыстов]],"")</f>
        <v>0</v>
      </c>
      <c r="S74" s="303" t="s">
        <v>714</v>
      </c>
      <c r="T74" s="303"/>
      <c r="U74" s="640">
        <v>20</v>
      </c>
      <c r="V74" s="303"/>
      <c r="W74" s="303"/>
      <c r="X74" s="303"/>
      <c r="Y74" s="303"/>
      <c r="Z74" s="303"/>
      <c r="AA74" s="303"/>
      <c r="AB74" s="303"/>
      <c r="AC74" s="641"/>
    </row>
    <row r="75" spans="1:29" ht="15.75" customHeight="1" x14ac:dyDescent="0.25">
      <c r="A75" s="1041" t="s">
        <v>4678</v>
      </c>
      <c r="B75" s="416">
        <v>20</v>
      </c>
      <c r="C75" s="416" t="s">
        <v>4753</v>
      </c>
      <c r="D75" s="468" t="s">
        <v>13</v>
      </c>
      <c r="E75" s="200" t="s">
        <v>30</v>
      </c>
      <c r="F75" s="573">
        <v>45308</v>
      </c>
      <c r="G75" s="572"/>
      <c r="H75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" s="449" t="str">
        <f>CONCATENATE(Таблица47[[#This Row],[№ заявки в 1С]],Таблица47[[#This Row],[Наименование            ]])</f>
        <v>20лист АМГ3, ЦГТВ. 741124.003-06, 777*285*1,5мм, 9-12мкм, анод</v>
      </c>
      <c r="J75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5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5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5" s="461"/>
      <c r="N75" s="640">
        <v>20</v>
      </c>
      <c r="O75" s="1013" t="str">
        <f>IFERROR(Таблица47[[#This Row],[Количество хлыстов]]-Таблица47[[#This Row],[Обработано в 1С]]-Таблица47[[#This Row],[Корректировка]],"")</f>
        <v/>
      </c>
      <c r="P75" s="638" t="str">
        <f>IFERROR((((Таблица47[[#This Row],[Осталось сделать, хлыст]]*Таблица47[[#This Row],[длина]])*Таблица47[[#This Row],[Периметр]])/28),"")</f>
        <v/>
      </c>
      <c r="Q75" s="303"/>
      <c r="R75" s="639">
        <f>IFERROR(Таблица47[[#This Row],[Коли-
чество м.п.]]/Таблица47[[#This Row],[Количество хлыстов]],"")</f>
        <v>0</v>
      </c>
      <c r="S75" s="303" t="s">
        <v>715</v>
      </c>
      <c r="T75" s="303"/>
      <c r="U75" s="640">
        <v>20</v>
      </c>
      <c r="V75" s="303"/>
      <c r="W75" s="303"/>
      <c r="X75" s="303"/>
      <c r="Y75" s="303"/>
      <c r="Z75" s="303"/>
      <c r="AA75" s="303"/>
      <c r="AB75" s="303"/>
      <c r="AC75" s="641"/>
    </row>
    <row r="76" spans="1:29" ht="15.75" customHeight="1" x14ac:dyDescent="0.25">
      <c r="A76" s="1041" t="s">
        <v>4678</v>
      </c>
      <c r="B76" s="416">
        <v>20</v>
      </c>
      <c r="C76" s="416" t="s">
        <v>4753</v>
      </c>
      <c r="D76" s="468" t="s">
        <v>13</v>
      </c>
      <c r="E76" s="200" t="s">
        <v>30</v>
      </c>
      <c r="F76" s="573">
        <v>45308</v>
      </c>
      <c r="G76" s="572"/>
      <c r="H76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" s="441" t="str">
        <f>CONCATENATE(Таблица47[[#This Row],[№ заявки в 1С]],Таблица47[[#This Row],[Наименование            ]])</f>
        <v>20лист АМГ3, ЦГТВ. 741124.003-07, 925*790*1,5мм, 9-12мкм, анод</v>
      </c>
      <c r="J76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6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6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6" s="456"/>
      <c r="N76" s="640">
        <v>6</v>
      </c>
      <c r="O76" s="1013" t="str">
        <f>IFERROR(Таблица47[[#This Row],[Количество хлыстов]]-Таблица47[[#This Row],[Обработано в 1С]]-Таблица47[[#This Row],[Корректировка]],"")</f>
        <v/>
      </c>
      <c r="P76" s="638" t="str">
        <f>IFERROR((((Таблица47[[#This Row],[Осталось сделать, хлыст]]*Таблица47[[#This Row],[длина]])*Таблица47[[#This Row],[Периметр]])/28),"")</f>
        <v/>
      </c>
      <c r="Q76" s="303"/>
      <c r="R76" s="639">
        <f>IFERROR(Таблица47[[#This Row],[Коли-
чество м.п.]]/Таблица47[[#This Row],[Количество хлыстов]],"")</f>
        <v>0</v>
      </c>
      <c r="S76" s="303" t="s">
        <v>716</v>
      </c>
      <c r="T76" s="303"/>
      <c r="U76" s="640">
        <v>6</v>
      </c>
      <c r="V76" s="303"/>
      <c r="W76" s="303"/>
      <c r="X76" s="303"/>
      <c r="Y76" s="303"/>
      <c r="Z76" s="303"/>
      <c r="AA76" s="303"/>
      <c r="AB76" s="303"/>
      <c r="AC76" s="641"/>
    </row>
    <row r="77" spans="1:29" ht="15.75" customHeight="1" x14ac:dyDescent="0.25">
      <c r="A77" s="1041" t="s">
        <v>4678</v>
      </c>
      <c r="B77" s="416">
        <v>20</v>
      </c>
      <c r="C77" s="416" t="s">
        <v>4753</v>
      </c>
      <c r="D77" s="468" t="s">
        <v>13</v>
      </c>
      <c r="E77" s="200" t="s">
        <v>30</v>
      </c>
      <c r="F77" s="573">
        <v>45308</v>
      </c>
      <c r="G77" s="572"/>
      <c r="H77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" s="449" t="str">
        <f>CONCATENATE(Таблица47[[#This Row],[№ заявки в 1С]],Таблица47[[#This Row],[Наименование            ]])</f>
        <v>20лист АМГ3, ЦГТВ. 741124.003-08, 925*790*1,5мм, 9-12мкм, анод</v>
      </c>
      <c r="J77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7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7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7" s="461"/>
      <c r="N77" s="640">
        <v>6</v>
      </c>
      <c r="O77" s="1013" t="str">
        <f>IFERROR(Таблица47[[#This Row],[Количество хлыстов]]-Таблица47[[#This Row],[Обработано в 1С]]-Таблица47[[#This Row],[Корректировка]],"")</f>
        <v/>
      </c>
      <c r="P77" s="638" t="str">
        <f>IFERROR((((Таблица47[[#This Row],[Осталось сделать, хлыст]]*Таблица47[[#This Row],[длина]])*Таблица47[[#This Row],[Периметр]])/28),"")</f>
        <v/>
      </c>
      <c r="Q77" s="303"/>
      <c r="R77" s="639">
        <f>IFERROR(Таблица47[[#This Row],[Коли-
чество м.п.]]/Таблица47[[#This Row],[Количество хлыстов]],"")</f>
        <v>0</v>
      </c>
      <c r="S77" s="303" t="s">
        <v>717</v>
      </c>
      <c r="T77" s="303"/>
      <c r="U77" s="640">
        <v>6</v>
      </c>
      <c r="V77" s="303"/>
      <c r="W77" s="303"/>
      <c r="X77" s="303"/>
      <c r="Y77" s="303"/>
      <c r="Z77" s="303"/>
      <c r="AA77" s="303"/>
      <c r="AB77" s="303"/>
      <c r="AC77" s="641"/>
    </row>
    <row r="78" spans="1:29" ht="15.75" customHeight="1" x14ac:dyDescent="0.25">
      <c r="A78" s="1041" t="s">
        <v>4678</v>
      </c>
      <c r="B78" s="416">
        <v>20</v>
      </c>
      <c r="C78" s="416" t="s">
        <v>4753</v>
      </c>
      <c r="D78" s="468" t="s">
        <v>13</v>
      </c>
      <c r="E78" s="200" t="s">
        <v>30</v>
      </c>
      <c r="F78" s="573">
        <v>45308</v>
      </c>
      <c r="G78" s="572"/>
      <c r="H78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" s="441" t="str">
        <f>CONCATENATE(Таблица47[[#This Row],[№ заявки в 1С]],Таблица47[[#This Row],[Наименование            ]])</f>
        <v>20лист АМГ3, ЦГТВ. 741124.003-10, 1495*790*1,5мм, 9-12мкм, анод</v>
      </c>
      <c r="J78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8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8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8" s="456"/>
      <c r="N78" s="640">
        <v>14</v>
      </c>
      <c r="O78" s="1013" t="str">
        <f>IFERROR(Таблица47[[#This Row],[Количество хлыстов]]-Таблица47[[#This Row],[Обработано в 1С]]-Таблица47[[#This Row],[Корректировка]],"")</f>
        <v/>
      </c>
      <c r="P78" s="638" t="str">
        <f>IFERROR((((Таблица47[[#This Row],[Осталось сделать, хлыст]]*Таблица47[[#This Row],[длина]])*Таблица47[[#This Row],[Периметр]])/28),"")</f>
        <v/>
      </c>
      <c r="Q78" s="303"/>
      <c r="R78" s="639">
        <f>IFERROR(Таблица47[[#This Row],[Коли-
чество м.п.]]/Таблица47[[#This Row],[Количество хлыстов]],"")</f>
        <v>0</v>
      </c>
      <c r="S78" s="303" t="s">
        <v>718</v>
      </c>
      <c r="T78" s="303"/>
      <c r="U78" s="640">
        <v>14</v>
      </c>
      <c r="V78" s="303"/>
      <c r="W78" s="303"/>
      <c r="X78" s="303"/>
      <c r="Y78" s="303"/>
      <c r="Z78" s="303"/>
      <c r="AA78" s="303"/>
      <c r="AB78" s="303"/>
      <c r="AC78" s="641"/>
    </row>
    <row r="79" spans="1:29" ht="15.75" customHeight="1" x14ac:dyDescent="0.25">
      <c r="A79" s="1041" t="s">
        <v>4678</v>
      </c>
      <c r="B79" s="416">
        <v>20</v>
      </c>
      <c r="C79" s="416" t="s">
        <v>4753</v>
      </c>
      <c r="D79" s="468" t="s">
        <v>13</v>
      </c>
      <c r="E79" s="200" t="s">
        <v>30</v>
      </c>
      <c r="F79" s="573">
        <v>45308</v>
      </c>
      <c r="G79" s="572"/>
      <c r="H79" s="56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" s="449" t="str">
        <f>CONCATENATE(Таблица47[[#This Row],[№ заявки в 1С]],Таблица47[[#This Row],[Наименование            ]])</f>
        <v>20лист АМГ3, ЦГТВ. 741124.003-11, 1495*790*1,5мм, 9-12мкм, анод</v>
      </c>
      <c r="J79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9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9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9" s="461"/>
      <c r="N79" s="640">
        <v>14</v>
      </c>
      <c r="O79" s="1013" t="str">
        <f>IFERROR(Таблица47[[#This Row],[Количество хлыстов]]-Таблица47[[#This Row],[Обработано в 1С]]-Таблица47[[#This Row],[Корректировка]],"")</f>
        <v/>
      </c>
      <c r="P79" s="638" t="str">
        <f>IFERROR((((Таблица47[[#This Row],[Осталось сделать, хлыст]]*Таблица47[[#This Row],[длина]])*Таблица47[[#This Row],[Периметр]])/28),"")</f>
        <v/>
      </c>
      <c r="Q79" s="303"/>
      <c r="R79" s="639">
        <f>IFERROR(Таблица47[[#This Row],[Коли-
чество м.п.]]/Таблица47[[#This Row],[Количество хлыстов]],"")</f>
        <v>0</v>
      </c>
      <c r="S79" s="303" t="s">
        <v>719</v>
      </c>
      <c r="T79" s="303"/>
      <c r="U79" s="640">
        <v>14</v>
      </c>
      <c r="V79" s="303"/>
      <c r="W79" s="303"/>
      <c r="X79" s="303"/>
      <c r="Y79" s="303"/>
      <c r="Z79" s="303"/>
      <c r="AA79" s="303"/>
      <c r="AB79" s="303"/>
      <c r="AC79" s="641"/>
    </row>
    <row r="80" spans="1:29" ht="15.75" customHeight="1" x14ac:dyDescent="0.25">
      <c r="A80" s="199" t="s">
        <v>4939</v>
      </c>
      <c r="B80" s="416">
        <v>23</v>
      </c>
      <c r="C80" s="416" t="s">
        <v>4753</v>
      </c>
      <c r="D80" s="468" t="s">
        <v>13</v>
      </c>
      <c r="E80" s="204" t="s">
        <v>4879</v>
      </c>
      <c r="F80" s="201">
        <v>45308</v>
      </c>
      <c r="G80" s="475">
        <v>45390</v>
      </c>
      <c r="H80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" s="476" t="str">
        <f>CONCATENATE(Таблица47[[#This Row],[№ заявки в 1С]],Таблица47[[#This Row],[Наименование            ]])</f>
        <v>23[89339] 223246 , 6,0м, АД31Т1</v>
      </c>
      <c r="J80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0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0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0" s="1038">
        <v>6</v>
      </c>
      <c r="N80" s="1038">
        <v>355</v>
      </c>
      <c r="O80" s="1013" t="str">
        <f>IFERROR(Таблица47[[#This Row],[Количество хлыстов]]-Таблица47[[#This Row],[Обработано в 1С]]-Таблица47[[#This Row],[Корректировка]],"")</f>
        <v/>
      </c>
      <c r="P80" s="638" t="str">
        <f>IFERROR((((Таблица47[[#This Row],[Осталось сделать, хлыст]]*Таблица47[[#This Row],[длина]])*Таблица47[[#This Row],[Периметр]])/28),"")</f>
        <v/>
      </c>
      <c r="Q80" s="200" t="s">
        <v>4961</v>
      </c>
      <c r="R80" s="1043">
        <f>IFERROR(Таблица47[[#This Row],[Коли-
чество м.п.]]/Таблица47[[#This Row],[Количество хлыстов]],"")</f>
        <v>6</v>
      </c>
      <c r="S80" s="200" t="s">
        <v>5023</v>
      </c>
      <c r="T80" s="1043">
        <v>2166</v>
      </c>
      <c r="U80" s="1042">
        <v>361</v>
      </c>
      <c r="V80" s="1043">
        <v>0.19700000000000001</v>
      </c>
      <c r="W80" s="1043">
        <v>0.58499999999999996</v>
      </c>
      <c r="X80" s="1043" t="e">
        <f>Таблица47[[#This Row],[Осталось сделать, хлыст]]*Таблица47[[#This Row],[длина]]*Таблица47[[#This Row],[Периметр]]</f>
        <v>#VALUE!</v>
      </c>
      <c r="Y80" s="1043" t="e">
        <f>Таблица47[[#This Row],[Осталось сделать, хлыст]]*Таблица47[[#This Row],[длина]]*Таблица47[[#This Row],[Вес п.м., кг]]</f>
        <v>#VALUE!</v>
      </c>
      <c r="Z80" s="1043">
        <v>55.47</v>
      </c>
      <c r="AA80" s="1043">
        <v>63.04</v>
      </c>
      <c r="AB80" s="1043">
        <v>320</v>
      </c>
      <c r="AC80" s="1044">
        <v>136544.64000000001</v>
      </c>
    </row>
    <row r="81" spans="1:29" ht="15.75" customHeight="1" x14ac:dyDescent="0.25">
      <c r="A81" s="199" t="s">
        <v>4939</v>
      </c>
      <c r="B81" s="416">
        <v>23</v>
      </c>
      <c r="C81" s="416" t="s">
        <v>4753</v>
      </c>
      <c r="D81" s="468" t="s">
        <v>13</v>
      </c>
      <c r="E81" s="204" t="s">
        <v>4879</v>
      </c>
      <c r="F81" s="201">
        <v>45308</v>
      </c>
      <c r="G81" s="475">
        <v>45390</v>
      </c>
      <c r="H81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" s="476" t="str">
        <f>CONCATENATE(Таблица47[[#This Row],[№ заявки в 1С]],Таблица47[[#This Row],[Наименование            ]])</f>
        <v>23[89341] 223246 , 6,16м, АД31Т1</v>
      </c>
      <c r="J81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1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1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1" s="1038">
        <v>5</v>
      </c>
      <c r="N81" s="1038">
        <f>482+175</f>
        <v>657</v>
      </c>
      <c r="O81" s="1013" t="str">
        <f>IFERROR(Таблица47[[#This Row],[Количество хлыстов]]-Таблица47[[#This Row],[Обработано в 1С]]-Таблица47[[#This Row],[Корректировка]],"")</f>
        <v/>
      </c>
      <c r="P81" s="638" t="str">
        <f>IFERROR((((Таблица47[[#This Row],[Осталось сделать, хлыст]]*Таблица47[[#This Row],[длина]])*Таблица47[[#This Row],[Периметр]])/28),"")</f>
        <v/>
      </c>
      <c r="Q81" s="1045" t="s">
        <v>4962</v>
      </c>
      <c r="R81" s="1046">
        <f>IFERROR(Таблица47[[#This Row],[Коли-
чество м.п.]]/Таблица47[[#This Row],[Количество хлыстов]],"")</f>
        <v>6.16</v>
      </c>
      <c r="S81" s="200" t="s">
        <v>5024</v>
      </c>
      <c r="T81" s="1043">
        <v>4077.92</v>
      </c>
      <c r="U81" s="1042">
        <v>662</v>
      </c>
      <c r="V81" s="1043">
        <v>0.19700000000000001</v>
      </c>
      <c r="W81" s="1043">
        <v>0.58499999999999996</v>
      </c>
      <c r="X81" s="1043" t="e">
        <f>Таблица47[[#This Row],[Осталось сделать, хлыст]]*Таблица47[[#This Row],[длина]]*Таблица47[[#This Row],[Периметр]]</f>
        <v>#VALUE!</v>
      </c>
      <c r="Y81" s="1043" t="e">
        <f>Таблица47[[#This Row],[Осталось сделать, хлыст]]*Таблица47[[#This Row],[длина]]*Таблица47[[#This Row],[Вес п.м., кг]]</f>
        <v>#VALUE!</v>
      </c>
      <c r="Z81" s="1043">
        <v>104.44</v>
      </c>
      <c r="AA81" s="1043">
        <v>63.04</v>
      </c>
      <c r="AB81" s="1043">
        <v>320</v>
      </c>
      <c r="AC81" s="1044">
        <v>257072.08</v>
      </c>
    </row>
    <row r="82" spans="1:29" ht="15.75" customHeight="1" x14ac:dyDescent="0.25">
      <c r="A82" s="1041" t="s">
        <v>4678</v>
      </c>
      <c r="B82" s="318">
        <v>25</v>
      </c>
      <c r="C82" s="318" t="s">
        <v>4753</v>
      </c>
      <c r="D82" s="468" t="s">
        <v>34</v>
      </c>
      <c r="E82" s="318" t="s">
        <v>3401</v>
      </c>
      <c r="F82" s="528">
        <v>45308</v>
      </c>
      <c r="G82" s="528"/>
      <c r="H8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" s="522" t="str">
        <f>CONCATENATE(Таблица47[[#This Row],[№ заявки в 1С]],Таблица47[[#This Row],[Наименование            ]])</f>
        <v>25[89343] 209246 Д, 3,1м, 6063</v>
      </c>
      <c r="J8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2" s="635"/>
      <c r="N82" s="636">
        <v>568</v>
      </c>
      <c r="O82" s="1013" t="str">
        <f>IFERROR(Таблица47[[#This Row],[Количество хлыстов]]-Таблица47[[#This Row],[Обработано в 1С]]-Таблица47[[#This Row],[Корректировка]],"")</f>
        <v/>
      </c>
      <c r="P82" s="638" t="str">
        <f>IFERROR((((Таблица47[[#This Row],[Осталось сделать, хлыст]]*Таблица47[[#This Row],[длина]])*Таблица47[[#This Row],[Периметр]])/28),"")</f>
        <v/>
      </c>
      <c r="Q82" s="303"/>
      <c r="R82" s="991">
        <f>IFERROR(Таблица47[[#This Row],[Коли-
чество м.п.]]/Таблица47[[#This Row],[Количество хлыстов]],"")</f>
        <v>3.1</v>
      </c>
      <c r="S82" s="1047" t="s">
        <v>4906</v>
      </c>
      <c r="T82" s="1048">
        <v>1760.8</v>
      </c>
      <c r="U82" s="1049">
        <v>568</v>
      </c>
      <c r="V82" s="1048">
        <v>0.14299999999999999</v>
      </c>
      <c r="W82" s="1048">
        <v>0.41499999999999998</v>
      </c>
      <c r="X82" s="1048">
        <v>251.7944</v>
      </c>
      <c r="Y82" s="1048">
        <v>730.73199999999997</v>
      </c>
      <c r="Z82" s="1048">
        <v>32.729999999999997</v>
      </c>
      <c r="AA82" s="1048">
        <v>45.76</v>
      </c>
      <c r="AB82" s="1048">
        <v>320</v>
      </c>
      <c r="AC82" s="1050">
        <v>80574.210000000006</v>
      </c>
    </row>
    <row r="83" spans="1:29" ht="15.75" customHeight="1" x14ac:dyDescent="0.25">
      <c r="A83" s="1041" t="s">
        <v>4678</v>
      </c>
      <c r="B83" s="580">
        <v>27</v>
      </c>
      <c r="C83" s="318" t="s">
        <v>4753</v>
      </c>
      <c r="D83" s="468" t="s">
        <v>13</v>
      </c>
      <c r="E83" s="318" t="s">
        <v>4775</v>
      </c>
      <c r="F83" s="528">
        <v>45308</v>
      </c>
      <c r="G83" s="528"/>
      <c r="H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" s="441" t="str">
        <f>CONCATENATE(Таблица47[[#This Row],[№ заявки в 1С]],Таблица47[[#This Row],[Наименование            ]])</f>
        <v>27Корпус КУДР.676621.015.01_1885 мм_анод 15 мкм</v>
      </c>
      <c r="J83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3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3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3" s="456"/>
      <c r="N83" s="457">
        <v>1140</v>
      </c>
      <c r="O83" s="1013" t="str">
        <f>IFERROR(Таблица47[[#This Row],[Количество хлыстов]]-Таблица47[[#This Row],[Обработано в 1С]]-Таблица47[[#This Row],[Корректировка]],"")</f>
        <v/>
      </c>
      <c r="P83" s="638" t="str">
        <f>IFERROR((((Таблица47[[#This Row],[Осталось сделать, хлыст]]*Таблица47[[#This Row],[длина]])*Таблица47[[#This Row],[Периметр]])/28),"")</f>
        <v/>
      </c>
      <c r="Q83" s="1051"/>
      <c r="R83" s="1052">
        <f>IFERROR(Таблица47[[#This Row],[Коли-
чество м.п.]]/Таблица47[[#This Row],[Количество хлыстов]],"")</f>
        <v>0</v>
      </c>
      <c r="S83" s="303" t="s">
        <v>4108</v>
      </c>
      <c r="T83" s="303"/>
      <c r="U83" s="640">
        <v>1140</v>
      </c>
      <c r="V83" s="303"/>
      <c r="W83" s="303"/>
      <c r="X83" s="303"/>
      <c r="Y83" s="303"/>
      <c r="Z83" s="303"/>
      <c r="AA83" s="303"/>
      <c r="AB83" s="303"/>
      <c r="AC83" s="641"/>
    </row>
    <row r="84" spans="1:29" ht="15.75" customHeight="1" x14ac:dyDescent="0.25">
      <c r="A84" s="1041" t="s">
        <v>4678</v>
      </c>
      <c r="B84" s="582">
        <v>27</v>
      </c>
      <c r="C84" s="416" t="s">
        <v>4753</v>
      </c>
      <c r="D84" s="468" t="s">
        <v>13</v>
      </c>
      <c r="E84" s="416" t="s">
        <v>4775</v>
      </c>
      <c r="F84" s="201">
        <v>45308</v>
      </c>
      <c r="G84" s="528">
        <v>45334</v>
      </c>
      <c r="H8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" s="449" t="str">
        <f>CONCATENATE(Таблица47[[#This Row],[№ заявки в 1С]],Таблица47[[#This Row],[Наименование            ]])</f>
        <v>27Корпус КУДР.676621.015.01-01_1418 мм_анод 15 мкм</v>
      </c>
      <c r="J84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4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4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4" s="461"/>
      <c r="N84" s="462">
        <v>162</v>
      </c>
      <c r="O84" s="1013" t="str">
        <f>IFERROR(Таблица47[[#This Row],[Количество хлыстов]]-Таблица47[[#This Row],[Обработано в 1С]]-Таблица47[[#This Row],[Корректировка]],"")</f>
        <v/>
      </c>
      <c r="P84" s="638" t="str">
        <f>IFERROR((((Таблица47[[#This Row],[Осталось сделать, хлыст]]*Таблица47[[#This Row],[длина]])*Таблица47[[#This Row],[Периметр]])/28),"")</f>
        <v/>
      </c>
      <c r="Q84" s="1051"/>
      <c r="R84" s="1052">
        <f>IFERROR(Таблица47[[#This Row],[Коли-
чество м.п.]]/Таблица47[[#This Row],[Количество хлыстов]],"")</f>
        <v>0</v>
      </c>
      <c r="S84" s="303" t="s">
        <v>4107</v>
      </c>
      <c r="T84" s="303"/>
      <c r="U84" s="640">
        <v>162</v>
      </c>
      <c r="V84" s="303"/>
      <c r="W84" s="303"/>
      <c r="X84" s="303"/>
      <c r="Y84" s="303"/>
      <c r="Z84" s="303"/>
      <c r="AA84" s="303"/>
      <c r="AB84" s="303"/>
      <c r="AC84" s="641"/>
    </row>
    <row r="85" spans="1:29" ht="15.75" customHeight="1" x14ac:dyDescent="0.25">
      <c r="A85" s="427" t="s">
        <v>4678</v>
      </c>
      <c r="B85" s="583">
        <v>27</v>
      </c>
      <c r="C85" s="417" t="s">
        <v>4753</v>
      </c>
      <c r="D85" s="468" t="s">
        <v>13</v>
      </c>
      <c r="E85" s="417" t="s">
        <v>4775</v>
      </c>
      <c r="F85" s="584">
        <v>45308</v>
      </c>
      <c r="G85" s="310">
        <v>45334</v>
      </c>
      <c r="H85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5" s="441" t="str">
        <f>CONCATENATE(Таблица47[[#This Row],[№ заявки в 1С]],Таблица47[[#This Row],[Наименование            ]])</f>
        <v>27Корпус КУДР.676621.018.02(изделие 676621.018.02)_1418 мм_15-20 мкм</v>
      </c>
      <c r="J85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5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5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5" s="456"/>
      <c r="N85" s="457">
        <v>270</v>
      </c>
      <c r="O85" s="1013" t="str">
        <f>IFERROR(Таблица47[[#This Row],[Количество хлыстов]]-Таблица47[[#This Row],[Обработано в 1С]]-Таблица47[[#This Row],[Корректировка]],"")</f>
        <v/>
      </c>
      <c r="P85" s="638" t="str">
        <f>IFERROR((((Таблица47[[#This Row],[Осталось сделать, хлыст]]*Таблица47[[#This Row],[длина]])*Таблица47[[#This Row],[Периметр]])/28),"")</f>
        <v/>
      </c>
      <c r="Q85" s="1053"/>
      <c r="R85" s="1054">
        <f>IFERROR(Таблица47[[#This Row],[Коли-
чество м.п.]]/Таблица47[[#This Row],[Количество хлыстов]],"")</f>
        <v>0</v>
      </c>
      <c r="S85" s="304" t="s">
        <v>3569</v>
      </c>
      <c r="T85" s="304"/>
      <c r="U85" s="1018">
        <v>270</v>
      </c>
      <c r="V85" s="304"/>
      <c r="W85" s="304"/>
      <c r="X85" s="304"/>
      <c r="Y85" s="304"/>
      <c r="Z85" s="304"/>
      <c r="AA85" s="304"/>
      <c r="AB85" s="304"/>
      <c r="AC85" s="1019"/>
    </row>
    <row r="86" spans="1:29" ht="15.75" customHeight="1" x14ac:dyDescent="0.25">
      <c r="A86" s="1030" t="s">
        <v>4678</v>
      </c>
      <c r="B86" s="467">
        <v>33</v>
      </c>
      <c r="C86" s="467"/>
      <c r="D86" s="468" t="s">
        <v>13</v>
      </c>
      <c r="E86" s="200" t="s">
        <v>292</v>
      </c>
      <c r="F86" s="469">
        <v>45308</v>
      </c>
      <c r="G86" s="469">
        <v>45386</v>
      </c>
      <c r="H86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6" s="449" t="str">
        <f>CONCATENATE(Таблица47[[#This Row],[№ заявки в 1С]],Таблица47[[#This Row],[Наименование            ]])</f>
        <v>33[87626] 0106-107, 4,0м, 6063 Т6, уп.Т5</v>
      </c>
      <c r="J86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6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6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6" s="461"/>
      <c r="N86" s="462">
        <v>316</v>
      </c>
      <c r="O86" s="1013" t="str">
        <f>IFERROR(Таблица47[[#This Row],[Количество хлыстов]]-Таблица47[[#This Row],[Обработано в 1С]]-Таблица47[[#This Row],[Корректировка]],"")</f>
        <v/>
      </c>
      <c r="P86" s="638" t="str">
        <f>IFERROR((((Таблица47[[#This Row],[Осталось сделать, хлыст]]*Таблица47[[#This Row],[длина]])*Таблица47[[#This Row],[Периметр]])/28),"")</f>
        <v/>
      </c>
      <c r="Q86" s="439"/>
      <c r="R86" s="458">
        <f>IFERROR(Таблица47[[#This Row],[Коли-
чество м.п.]]/Таблица47[[#This Row],[Количество хлыстов]],"")</f>
        <v>4</v>
      </c>
      <c r="S86" s="439" t="s">
        <v>4544</v>
      </c>
      <c r="T86" s="458">
        <v>1264</v>
      </c>
      <c r="U86" s="459">
        <v>316</v>
      </c>
      <c r="V86" s="458">
        <v>0.3266</v>
      </c>
      <c r="W86" s="458">
        <v>0.84099999999999997</v>
      </c>
      <c r="X86" s="458">
        <v>412.82240000000002</v>
      </c>
      <c r="Y86" s="458">
        <v>1063.0239999999999</v>
      </c>
      <c r="Z86" s="458">
        <v>53.67</v>
      </c>
      <c r="AA86" s="458">
        <v>109.41</v>
      </c>
      <c r="AB86" s="458">
        <v>335</v>
      </c>
      <c r="AC86" s="460">
        <v>138294.24</v>
      </c>
    </row>
    <row r="87" spans="1:29" ht="15.75" customHeight="1" x14ac:dyDescent="0.25">
      <c r="A87" s="1011" t="s">
        <v>4678</v>
      </c>
      <c r="B87" s="438">
        <v>33</v>
      </c>
      <c r="C87" s="438"/>
      <c r="D87" s="468" t="s">
        <v>13</v>
      </c>
      <c r="E87" s="438" t="s">
        <v>4747</v>
      </c>
      <c r="F87" s="440">
        <v>45308</v>
      </c>
      <c r="G87" s="440">
        <v>45369</v>
      </c>
      <c r="H87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" s="441" t="str">
        <f>CONCATENATE(Таблица47[[#This Row],[№ заявки в 1С]],Таблица47[[#This Row],[Наименование            ]])</f>
        <v>33[85155] 0106-107, 4,6м, 6063 Т6, уп.Т5</v>
      </c>
      <c r="J87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7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7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7" s="456"/>
      <c r="N87" s="457">
        <v>72</v>
      </c>
      <c r="O87" s="1013" t="str">
        <f>IFERROR(Таблица47[[#This Row],[Количество хлыстов]]-Таблица47[[#This Row],[Обработано в 1С]]-Таблица47[[#This Row],[Корректировка]],"")</f>
        <v/>
      </c>
      <c r="P87" s="638" t="str">
        <f>IFERROR((((Таблица47[[#This Row],[Осталось сделать, хлыст]]*Таблица47[[#This Row],[длина]])*Таблица47[[#This Row],[Периметр]])/28),"")</f>
        <v/>
      </c>
      <c r="Q87" s="439"/>
      <c r="R87" s="458">
        <f>IFERROR(Таблица47[[#This Row],[Коли-
чество м.п.]]/Таблица47[[#This Row],[Количество хлыстов]],"")</f>
        <v>4.5999999999999996</v>
      </c>
      <c r="S87" s="439" t="s">
        <v>3974</v>
      </c>
      <c r="T87" s="458">
        <v>331.2</v>
      </c>
      <c r="U87" s="459">
        <v>72</v>
      </c>
      <c r="V87" s="458">
        <v>0.3266</v>
      </c>
      <c r="W87" s="458">
        <v>0.84099999999999997</v>
      </c>
      <c r="X87" s="458">
        <v>108.1699</v>
      </c>
      <c r="Y87" s="458">
        <v>278.53919999999999</v>
      </c>
      <c r="Z87" s="458">
        <v>14.06</v>
      </c>
      <c r="AA87" s="458">
        <v>109.41</v>
      </c>
      <c r="AB87" s="458">
        <v>335</v>
      </c>
      <c r="AC87" s="460">
        <v>36236.589999999997</v>
      </c>
    </row>
    <row r="88" spans="1:29" ht="15.75" customHeight="1" x14ac:dyDescent="0.25">
      <c r="A88" s="1011" t="s">
        <v>4678</v>
      </c>
      <c r="B88" s="438">
        <v>34</v>
      </c>
      <c r="C88" s="438"/>
      <c r="D88" s="468" t="s">
        <v>13</v>
      </c>
      <c r="E88" s="438" t="s">
        <v>3819</v>
      </c>
      <c r="F88" s="440">
        <v>45308</v>
      </c>
      <c r="G88" s="440"/>
      <c r="H88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" s="449" t="str">
        <f>CONCATENATE(Таблица47[[#This Row],[№ заявки в 1С]],Таблица47[[#This Row],[Наименование            ]])</f>
        <v>34[865] автополоса 155*4мм (0106-152)  6,0м  60631 Т6  уп Т5</v>
      </c>
      <c r="J88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8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8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8" s="461">
        <v>1</v>
      </c>
      <c r="N88" s="462">
        <v>62</v>
      </c>
      <c r="O88" s="1013" t="str">
        <f>IFERROR(Таблица47[[#This Row],[Количество хлыстов]]-Таблица47[[#This Row],[Обработано в 1С]]-Таблица47[[#This Row],[Корректировка]],"")</f>
        <v/>
      </c>
      <c r="P88" s="638" t="str">
        <f>IFERROR((((Таблица47[[#This Row],[Осталось сделать, хлыст]]*Таблица47[[#This Row],[длина]])*Таблица47[[#This Row],[Периметр]])/28),"")</f>
        <v/>
      </c>
      <c r="Q88" s="439" t="s">
        <v>559</v>
      </c>
      <c r="R88" s="458">
        <f>IFERROR(Таблица47[[#This Row],[Коли-
чество м.п.]]/Таблица47[[#This Row],[Количество хлыстов]],"")</f>
        <v>6</v>
      </c>
      <c r="S88" s="439" t="s">
        <v>4748</v>
      </c>
      <c r="T88" s="458">
        <v>378</v>
      </c>
      <c r="U88" s="459">
        <v>63</v>
      </c>
      <c r="V88" s="458">
        <v>0.33660000000000001</v>
      </c>
      <c r="W88" s="458">
        <v>1.2350000000000001</v>
      </c>
      <c r="X88" s="458">
        <v>127.23480000000001</v>
      </c>
      <c r="Y88" s="458">
        <v>466.83</v>
      </c>
      <c r="Z88" s="458">
        <v>16.54</v>
      </c>
      <c r="AA88" s="458">
        <v>112.76</v>
      </c>
      <c r="AB88" s="458">
        <v>335</v>
      </c>
      <c r="AC88" s="460">
        <v>42623.66</v>
      </c>
    </row>
    <row r="89" spans="1:29" ht="15.75" customHeight="1" x14ac:dyDescent="0.25">
      <c r="A89" s="1011" t="s">
        <v>4678</v>
      </c>
      <c r="B89" s="438">
        <v>36</v>
      </c>
      <c r="C89" s="438"/>
      <c r="D89" s="439" t="s">
        <v>13</v>
      </c>
      <c r="E89" s="439" t="s">
        <v>2217</v>
      </c>
      <c r="F89" s="440">
        <v>45308</v>
      </c>
      <c r="G89" s="503"/>
      <c r="H89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" s="449" t="str">
        <f>CONCATENATE(Таблица47[[#This Row],[№ заявки в 1С]],Таблица47[[#This Row],[Наименование            ]])</f>
        <v>36[83225] 197.10  6,05м, 6063 КР Т5 под гибку 205-210 Мпа</v>
      </c>
      <c r="J89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9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9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9" s="461"/>
      <c r="N89" s="462">
        <v>241</v>
      </c>
      <c r="O89" s="1013" t="str">
        <f>IFERROR(Таблица47[[#This Row],[Количество хлыстов]]-Таблица47[[#This Row],[Обработано в 1С]]-Таблица47[[#This Row],[Корректировка]],"")</f>
        <v/>
      </c>
      <c r="P89" s="638" t="str">
        <f>IFERROR((((Таблица47[[#This Row],[Осталось сделать, хлыст]]*Таблица47[[#This Row],[длина]])*Таблица47[[#This Row],[Периметр]])/28),"")</f>
        <v/>
      </c>
      <c r="Q89" s="439" t="s">
        <v>4767</v>
      </c>
      <c r="R89" s="458">
        <f>IFERROR(Таблица47[[#This Row],[Коли-
чество м.п.]]/Таблица47[[#This Row],[Количество хлыстов]],"")</f>
        <v>6.05</v>
      </c>
      <c r="S89" s="439" t="s">
        <v>3860</v>
      </c>
      <c r="T89" s="458">
        <v>1458.05</v>
      </c>
      <c r="U89" s="459">
        <v>241</v>
      </c>
      <c r="V89" s="458">
        <v>0.185</v>
      </c>
      <c r="W89" s="458">
        <v>0.70899999999999996</v>
      </c>
      <c r="X89" s="458">
        <v>269.73930000000001</v>
      </c>
      <c r="Y89" s="458">
        <v>1033.7574999999999</v>
      </c>
      <c r="Z89" s="458">
        <v>35.07</v>
      </c>
      <c r="AA89" s="458">
        <v>70.849999999999994</v>
      </c>
      <c r="AB89" s="458">
        <v>383</v>
      </c>
      <c r="AC89" s="460">
        <v>103310.13</v>
      </c>
    </row>
    <row r="90" spans="1:29" ht="15.75" customHeight="1" x14ac:dyDescent="0.25">
      <c r="A90" s="1030" t="s">
        <v>4678</v>
      </c>
      <c r="B90" s="467">
        <v>37</v>
      </c>
      <c r="C90" s="467"/>
      <c r="D90" s="468" t="s">
        <v>13</v>
      </c>
      <c r="E90" s="468" t="s">
        <v>2217</v>
      </c>
      <c r="F90" s="469">
        <v>45308</v>
      </c>
      <c r="G90" s="469"/>
      <c r="H90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" s="441" t="str">
        <f>CONCATENATE(Таблица47[[#This Row],[№ заявки в 1С]],Таблица47[[#This Row],[Наименование            ]])</f>
        <v>37[78490] 197.09 , поручень 6,05 м, 6063 КР Т4 под гибку</v>
      </c>
      <c r="J90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0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0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0" s="456">
        <v>2</v>
      </c>
      <c r="N90" s="457">
        <v>89</v>
      </c>
      <c r="O90" s="1013" t="str">
        <f>IFERROR(Таблица47[[#This Row],[Количество хлыстов]]-Таблица47[[#This Row],[Обработано в 1С]]-Таблица47[[#This Row],[Корректировка]],"")</f>
        <v/>
      </c>
      <c r="P90" s="638" t="str">
        <f>IFERROR((((Таблица47[[#This Row],[Осталось сделать, хлыст]]*Таблица47[[#This Row],[длина]])*Таблица47[[#This Row],[Периметр]])/28),"")</f>
        <v/>
      </c>
      <c r="Q90" s="439" t="s">
        <v>4809</v>
      </c>
      <c r="R90" s="458">
        <f>IFERROR(Таблица47[[#This Row],[Коли-
чество м.п.]]/Таблица47[[#This Row],[Количество хлыстов]],"")</f>
        <v>6.05</v>
      </c>
      <c r="S90" s="439" t="s">
        <v>4749</v>
      </c>
      <c r="T90" s="458">
        <v>550.54999999999995</v>
      </c>
      <c r="U90" s="459">
        <v>91</v>
      </c>
      <c r="V90" s="458">
        <v>0.23949999999999999</v>
      </c>
      <c r="W90" s="458">
        <v>0.95599999999999996</v>
      </c>
      <c r="X90" s="458">
        <v>131.85669999999999</v>
      </c>
      <c r="Y90" s="458">
        <v>526.32579999999996</v>
      </c>
      <c r="Z90" s="458">
        <v>17.14</v>
      </c>
      <c r="AA90" s="458">
        <v>91.73</v>
      </c>
      <c r="AB90" s="458">
        <v>383</v>
      </c>
      <c r="AC90" s="460">
        <v>50501.95</v>
      </c>
    </row>
    <row r="91" spans="1:29" customFormat="1" ht="15.75" customHeight="1" x14ac:dyDescent="0.25">
      <c r="A91" s="437" t="s">
        <v>4678</v>
      </c>
      <c r="B91" s="438">
        <v>38</v>
      </c>
      <c r="C91" s="438"/>
      <c r="D91" s="439" t="s">
        <v>13</v>
      </c>
      <c r="E91" s="438" t="s">
        <v>892</v>
      </c>
      <c r="F91" s="440">
        <v>45308</v>
      </c>
      <c r="G91" s="440"/>
      <c r="H91" s="574" t="s">
        <v>677</v>
      </c>
      <c r="I91" s="449" t="str">
        <f>CONCATENATE(Таблица47[[#This Row],[№ заявки в 1С]],Таблица47[[#This Row],[Наименование            ]])</f>
        <v>38[80922] 2606-07, 4,15 м,  6063 Т6</v>
      </c>
      <c r="J91" s="449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1" s="449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1" s="449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1" s="449"/>
      <c r="N91" s="450"/>
      <c r="O91" s="1001" t="str">
        <f>IFERROR(Таблица47[[#This Row],[Количество хлыстов]]-Таблица47[[#This Row],[Обработано в 1С]]-Таблица47[[#This Row],[Корректировка]],"")</f>
        <v/>
      </c>
      <c r="P91" s="638" t="str">
        <f>IFERROR((((Таблица47[[#This Row],[Осталось сделать, хлыст]]*Таблица47[[#This Row],[длина]])*Таблица47[[#This Row],[Периметр]])/28),"")</f>
        <v/>
      </c>
      <c r="Q91" s="445" t="s">
        <v>4905</v>
      </c>
      <c r="R91" s="447">
        <f>IFERROR(Таблица47[[#This Row],[Коли-
чество м.п.]]/Таблица47[[#This Row],[Количество хлыстов]],"")</f>
        <v>4.1499999999999995</v>
      </c>
      <c r="S91" s="445" t="s">
        <v>4673</v>
      </c>
      <c r="T91" s="447">
        <v>182.6</v>
      </c>
      <c r="U91" s="451">
        <v>44</v>
      </c>
      <c r="V91" s="447">
        <v>0.17649999999999999</v>
      </c>
      <c r="W91" s="447">
        <v>1.3280000000000001</v>
      </c>
      <c r="X91" s="447">
        <v>32.228900000000003</v>
      </c>
      <c r="Y91" s="447">
        <v>242.49279999999999</v>
      </c>
      <c r="Z91" s="447">
        <v>4.1900000000000004</v>
      </c>
      <c r="AA91" s="447">
        <v>64.42</v>
      </c>
      <c r="AB91" s="447">
        <v>365</v>
      </c>
      <c r="AC91" s="448">
        <v>11763.55</v>
      </c>
    </row>
    <row r="92" spans="1:29" ht="15.75" customHeight="1" x14ac:dyDescent="0.25">
      <c r="A92" s="1011" t="s">
        <v>4678</v>
      </c>
      <c r="B92" s="438">
        <v>39</v>
      </c>
      <c r="C92" s="438"/>
      <c r="D92" s="439" t="s">
        <v>13</v>
      </c>
      <c r="E92" s="439" t="s">
        <v>32</v>
      </c>
      <c r="F92" s="440">
        <v>45308</v>
      </c>
      <c r="G92" s="440"/>
      <c r="H9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" s="441" t="str">
        <f>CONCATENATE(Таблица47[[#This Row],[№ заявки в 1С]],Таблица47[[#This Row],[Наименование            ]])</f>
        <v>39[81357] 1606-37 (АВА-7227), 4,45 м, сплав 6063 КР Т6, упаковка Т-5</v>
      </c>
      <c r="J92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2" s="456"/>
      <c r="N92" s="456">
        <v>130</v>
      </c>
      <c r="O92" s="1013" t="str">
        <f>IFERROR(Таблица47[[#This Row],[Количество хлыстов]]-Таблица47[[#This Row],[Обработано в 1С]]-Таблица47[[#This Row],[Корректировка]],"")</f>
        <v/>
      </c>
      <c r="P92" s="638" t="str">
        <f>IFERROR((((Таблица47[[#This Row],[Осталось сделать, хлыст]]*Таблица47[[#This Row],[длина]])*Таблица47[[#This Row],[Периметр]])/28),"")</f>
        <v/>
      </c>
      <c r="Q92" s="439" t="s">
        <v>4880</v>
      </c>
      <c r="R92" s="458">
        <f>IFERROR(Таблица47[[#This Row],[Коли-
чество м.п.]]/Таблица47[[#This Row],[Количество хлыстов]],"")</f>
        <v>4.45</v>
      </c>
      <c r="S92" s="439" t="s">
        <v>4276</v>
      </c>
      <c r="T92" s="458">
        <v>578.5</v>
      </c>
      <c r="U92" s="459">
        <v>130</v>
      </c>
      <c r="V92" s="458">
        <v>0.2651</v>
      </c>
      <c r="W92" s="458">
        <v>0.82099999999999995</v>
      </c>
      <c r="X92" s="458">
        <v>153.3604</v>
      </c>
      <c r="Y92" s="458">
        <v>474.94850000000002</v>
      </c>
      <c r="Z92" s="458">
        <v>19.940000000000001</v>
      </c>
      <c r="AA92" s="458">
        <v>124.6</v>
      </c>
      <c r="AB92" s="458">
        <v>470</v>
      </c>
      <c r="AC92" s="460">
        <v>72081.100000000006</v>
      </c>
    </row>
    <row r="93" spans="1:29" ht="15.75" customHeight="1" x14ac:dyDescent="0.25">
      <c r="A93" s="1030" t="s">
        <v>4678</v>
      </c>
      <c r="B93" s="467">
        <v>39</v>
      </c>
      <c r="C93" s="467"/>
      <c r="D93" s="468" t="s">
        <v>13</v>
      </c>
      <c r="E93" s="468" t="s">
        <v>32</v>
      </c>
      <c r="F93" s="469">
        <v>45308</v>
      </c>
      <c r="G93" s="469"/>
      <c r="H93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" s="449" t="str">
        <f>CONCATENATE(Таблица47[[#This Row],[№ заявки в 1С]],Таблица47[[#This Row],[Наименование            ]])</f>
        <v>39[76552] 1606-38 (197.05) 5,15 м, сплав 6063 КР Т6</v>
      </c>
      <c r="J93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3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3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3" s="461">
        <v>9</v>
      </c>
      <c r="N93" s="462">
        <v>336</v>
      </c>
      <c r="O93" s="1013" t="str">
        <f>IFERROR(Таблица47[[#This Row],[Количество хлыстов]]-Таблица47[[#This Row],[Обработано в 1С]]-Таблица47[[#This Row],[Корректировка]],"")</f>
        <v/>
      </c>
      <c r="P93" s="638" t="str">
        <f>IFERROR((((Таблица47[[#This Row],[Осталось сделать, хлыст]]*Таблица47[[#This Row],[длина]])*Таблица47[[#This Row],[Периметр]])/28),"")</f>
        <v/>
      </c>
      <c r="Q93" s="439" t="s">
        <v>5000</v>
      </c>
      <c r="R93" s="458">
        <f>IFERROR(Таблица47[[#This Row],[Коли-
чество м.п.]]/Таблица47[[#This Row],[Количество хлыстов]],"")</f>
        <v>5.15</v>
      </c>
      <c r="S93" s="439" t="s">
        <v>1975</v>
      </c>
      <c r="T93" s="458">
        <v>1776.75</v>
      </c>
      <c r="U93" s="459">
        <v>345</v>
      </c>
      <c r="V93" s="458">
        <v>0.15790000000000001</v>
      </c>
      <c r="W93" s="458">
        <v>0.309</v>
      </c>
      <c r="X93" s="458">
        <v>280.54880000000003</v>
      </c>
      <c r="Y93" s="458">
        <v>549.01580000000001</v>
      </c>
      <c r="Z93" s="458">
        <v>36.47</v>
      </c>
      <c r="AA93" s="458">
        <v>74.209999999999994</v>
      </c>
      <c r="AB93" s="458">
        <v>470</v>
      </c>
      <c r="AC93" s="460">
        <v>131857.95000000001</v>
      </c>
    </row>
    <row r="94" spans="1:29" ht="15.75" customHeight="1" x14ac:dyDescent="0.25">
      <c r="A94" s="1030" t="s">
        <v>4939</v>
      </c>
      <c r="B94" s="467">
        <v>40</v>
      </c>
      <c r="C94" s="467"/>
      <c r="D94" s="468" t="s">
        <v>13</v>
      </c>
      <c r="E94" s="468" t="s">
        <v>4734</v>
      </c>
      <c r="F94" s="469">
        <v>45308</v>
      </c>
      <c r="G94" s="469"/>
      <c r="H94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" s="519" t="str">
        <f>CONCATENATE(Таблица47[[#This Row],[№ заявки в 1С]],Таблица47[[#This Row],[Наименование            ]])</f>
        <v>40[36867] 8507023 (0680-03) 6,50м, БА сплав 6063 Т6</v>
      </c>
      <c r="J94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4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4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4" s="1035"/>
      <c r="N94" s="1036">
        <f>114+22</f>
        <v>136</v>
      </c>
      <c r="O94" s="1013" t="str">
        <f>IFERROR(Таблица47[[#This Row],[Количество хлыстов]]-Таблица47[[#This Row],[Обработано в 1С]]-Таблица47[[#This Row],[Корректировка]],"")</f>
        <v/>
      </c>
      <c r="P94" s="638" t="str">
        <f>IFERROR((((Таблица47[[#This Row],[Осталось сделать, хлыст]]*Таблица47[[#This Row],[длина]])*Таблица47[[#This Row],[Периметр]])/28),"")</f>
        <v/>
      </c>
      <c r="Q94" s="468"/>
      <c r="R94" s="489">
        <f>IFERROR(Таблица47[[#This Row],[Коли-
чество м.п.]]/Таблица47[[#This Row],[Количество хлыстов]],"")</f>
        <v>6.5</v>
      </c>
      <c r="S94" s="468" t="s">
        <v>4491</v>
      </c>
      <c r="T94" s="489">
        <v>884</v>
      </c>
      <c r="U94" s="490">
        <v>136</v>
      </c>
      <c r="V94" s="489">
        <v>0.54049999999999998</v>
      </c>
      <c r="W94" s="489">
        <v>2.0979999999999999</v>
      </c>
      <c r="X94" s="489">
        <v>477.80200000000002</v>
      </c>
      <c r="Y94" s="489">
        <v>1854.6320000000001</v>
      </c>
      <c r="Z94" s="489">
        <v>62.11</v>
      </c>
      <c r="AA94" s="489">
        <f>Таблица47[[#This Row],[Цена м2
руб]]*Таблица47[[#This Row],[Периметр]]</f>
        <v>164.85249999999999</v>
      </c>
      <c r="AB94" s="489">
        <v>305</v>
      </c>
      <c r="AC94" s="1037">
        <f>Таблица47[[#This Row],[Цена м.п. руб]]*Таблица47[[#This Row],[Коли-
чество м.п.]]</f>
        <v>145729.60999999999</v>
      </c>
    </row>
    <row r="95" spans="1:29" ht="15.75" customHeight="1" x14ac:dyDescent="0.25">
      <c r="A95" s="1030" t="s">
        <v>4939</v>
      </c>
      <c r="B95" s="467">
        <v>40</v>
      </c>
      <c r="C95" s="467"/>
      <c r="D95" s="468" t="s">
        <v>13</v>
      </c>
      <c r="E95" s="468" t="s">
        <v>4734</v>
      </c>
      <c r="F95" s="469">
        <v>45308</v>
      </c>
      <c r="G95" s="469"/>
      <c r="H95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" s="476" t="str">
        <f>CONCATENATE(Таблица47[[#This Row],[№ заявки в 1С]],Таблица47[[#This Row],[Наименование            ]])</f>
        <v>40[76124] 8507029-10 (АГС), 6,50м, БА сплав 6063 КР Т1</v>
      </c>
      <c r="J95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5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5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5" s="1038"/>
      <c r="N95" s="1038">
        <v>20</v>
      </c>
      <c r="O95" s="1013" t="str">
        <f>IFERROR(Таблица47[[#This Row],[Количество хлыстов]]-Таблица47[[#This Row],[Обработано в 1С]]-Таблица47[[#This Row],[Корректировка]],"")</f>
        <v/>
      </c>
      <c r="P95" s="638" t="str">
        <f>IFERROR((((Таблица47[[#This Row],[Осталось сделать, хлыст]]*Таблица47[[#This Row],[длина]])*Таблица47[[#This Row],[Периметр]])/28),"")</f>
        <v/>
      </c>
      <c r="Q95" s="468"/>
      <c r="R95" s="489">
        <f>IFERROR(Таблица47[[#This Row],[Коли-
чество м.п.]]/Таблица47[[#This Row],[Количество хлыстов]],"")</f>
        <v>6.5</v>
      </c>
      <c r="S95" s="468" t="s">
        <v>2091</v>
      </c>
      <c r="T95" s="489">
        <v>130</v>
      </c>
      <c r="U95" s="490">
        <v>20</v>
      </c>
      <c r="V95" s="489">
        <v>0.624</v>
      </c>
      <c r="W95" s="489">
        <v>2.6</v>
      </c>
      <c r="X95" s="489">
        <v>81.12</v>
      </c>
      <c r="Y95" s="489">
        <v>338</v>
      </c>
      <c r="Z95" s="489">
        <v>10.55</v>
      </c>
      <c r="AA95" s="489">
        <f>Таблица47[[#This Row],[Цена м2
руб]]*Таблица47[[#This Row],[Периметр]]</f>
        <v>190.32</v>
      </c>
      <c r="AB95" s="489">
        <v>305</v>
      </c>
      <c r="AC95" s="1037">
        <f>Таблица47[[#This Row],[Цена м.п. руб]]*Таблица47[[#This Row],[Коли-
чество м.п.]]</f>
        <v>24741.599999999999</v>
      </c>
    </row>
    <row r="96" spans="1:29" s="1021" customFormat="1" ht="15.75" customHeight="1" x14ac:dyDescent="0.25">
      <c r="A96" s="979" t="s">
        <v>4978</v>
      </c>
      <c r="B96" s="980">
        <v>42</v>
      </c>
      <c r="C96" s="980"/>
      <c r="D96" s="509" t="s">
        <v>13</v>
      </c>
      <c r="E96" s="509" t="s">
        <v>32</v>
      </c>
      <c r="F96" s="510">
        <v>45309</v>
      </c>
      <c r="G96" s="510"/>
      <c r="H96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" s="511" t="str">
        <f>CONCATENATE(Таблица47[[#This Row],[№ заявки в 1С]],Таблица47[[#This Row],[Наименование            ]])</f>
        <v>42[85515] 2606-14 (замена 2606-06), 5,05 м,  6063 Т1, БА</v>
      </c>
      <c r="J96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6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6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6" s="981">
        <v>7</v>
      </c>
      <c r="N96" s="981">
        <v>175</v>
      </c>
      <c r="O96" s="1020" t="str">
        <f>IFERROR(Таблица47[[#This Row],[Количество хлыстов]]-Таблица47[[#This Row],[Обработано в 1С]]-Таблица47[[#This Row],[Корректировка]],"")</f>
        <v/>
      </c>
      <c r="P96" s="638" t="str">
        <f>IFERROR((((Таблица47[[#This Row],[Осталось сделать, хлыст]]*Таблица47[[#This Row],[длина]])*Таблица47[[#This Row],[Периметр]])/28),"")</f>
        <v/>
      </c>
      <c r="Q96" s="983"/>
      <c r="R96" s="993">
        <f>IFERROR(Таблица47[[#This Row],[Коли-
чество м.п.]]/Таблица47[[#This Row],[Количество хлыстов]],"")</f>
        <v>5.05</v>
      </c>
      <c r="S96" s="509" t="s">
        <v>4403</v>
      </c>
      <c r="T96" s="984">
        <v>919.1</v>
      </c>
      <c r="U96" s="985">
        <v>182</v>
      </c>
      <c r="V96" s="984">
        <v>0.1469</v>
      </c>
      <c r="W96" s="984">
        <v>1.3859999999999999</v>
      </c>
      <c r="X96" s="984">
        <v>135.01580000000001</v>
      </c>
      <c r="Y96" s="984">
        <v>1273.8725999999999</v>
      </c>
      <c r="Z96" s="984">
        <v>17.55</v>
      </c>
      <c r="AA96" s="984">
        <v>49.74</v>
      </c>
      <c r="AB96" s="984">
        <v>315</v>
      </c>
      <c r="AC96" s="986">
        <v>45716.03</v>
      </c>
    </row>
    <row r="97" spans="1:29" ht="15.75" customHeight="1" x14ac:dyDescent="0.25">
      <c r="A97" s="1055" t="s">
        <v>4678</v>
      </c>
      <c r="B97" s="424">
        <v>29</v>
      </c>
      <c r="C97" s="424" t="s">
        <v>4753</v>
      </c>
      <c r="D97" s="496" t="s">
        <v>13</v>
      </c>
      <c r="E97" s="474" t="s">
        <v>3765</v>
      </c>
      <c r="F97" s="475">
        <v>45309</v>
      </c>
      <c r="G97" s="475">
        <v>45369</v>
      </c>
      <c r="H97" s="6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" s="476" t="str">
        <f>CONCATENATE(Таблица47[[#This Row],[№ заявки в 1С]],Таблица47[[#This Row],[Наименование            ]])</f>
        <v>29лист 1200х500*2 мм,  двустороннее анодирование 18-21мкм с уплотнением</v>
      </c>
      <c r="J97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7" s="1038"/>
      <c r="N97" s="1039">
        <v>20</v>
      </c>
      <c r="O97" s="1013" t="str">
        <f>IFERROR(Таблица47[[#This Row],[Количество хлыстов]]-Таблица47[[#This Row],[Обработано в 1С]]-Таблица47[[#This Row],[Корректировка]],"")</f>
        <v/>
      </c>
      <c r="P97" s="638" t="str">
        <f>IFERROR((((Таблица47[[#This Row],[Осталось сделать, хлыст]]*Таблица47[[#This Row],[длина]])*Таблица47[[#This Row],[Периметр]])/28),"")</f>
        <v/>
      </c>
      <c r="Q97" s="496" t="s">
        <v>4757</v>
      </c>
      <c r="R97" s="1056">
        <f>IFERROR(Таблица47[[#This Row],[Коли-
чество м.п.]]/Таблица47[[#This Row],[Количество хлыстов]],"")</f>
        <v>0</v>
      </c>
      <c r="S97" s="496" t="s">
        <v>4407</v>
      </c>
      <c r="T97" s="496"/>
      <c r="U97" s="1057">
        <v>20</v>
      </c>
      <c r="V97" s="496"/>
      <c r="W97" s="496"/>
      <c r="X97" s="496"/>
      <c r="Y97" s="496"/>
      <c r="Z97" s="496"/>
      <c r="AA97" s="496"/>
      <c r="AB97" s="496"/>
      <c r="AC97" s="1058"/>
    </row>
    <row r="98" spans="1:29" ht="15.75" customHeight="1" x14ac:dyDescent="0.25">
      <c r="A98" s="238" t="s">
        <v>4678</v>
      </c>
      <c r="B98" s="425">
        <v>30</v>
      </c>
      <c r="C98" s="425" t="s">
        <v>4753</v>
      </c>
      <c r="D98" s="204" t="s">
        <v>13</v>
      </c>
      <c r="E98" s="474" t="s">
        <v>3765</v>
      </c>
      <c r="F98" s="239">
        <v>45309</v>
      </c>
      <c r="G98" s="239">
        <v>45369</v>
      </c>
      <c r="H98" s="7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" s="519" t="str">
        <f>CONCATENATE(Таблица47[[#This Row],[№ заявки в 1С]],Таблица47[[#This Row],[Наименование            ]])</f>
        <v>30лист 1200х500*2 мм,  двустороннее анодирование 18-21мкм с уплотнением</v>
      </c>
      <c r="J98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8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8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8" s="1035"/>
      <c r="N98" s="1036">
        <v>22</v>
      </c>
      <c r="O98" s="1013" t="str">
        <f>IFERROR(Таблица47[[#This Row],[Количество хлыстов]]-Таблица47[[#This Row],[Обработано в 1С]]-Таблица47[[#This Row],[Корректировка]],"")</f>
        <v/>
      </c>
      <c r="P98" s="638" t="str">
        <f>IFERROR((((Таблица47[[#This Row],[Осталось сделать, хлыст]]*Таблица47[[#This Row],[длина]])*Таблица47[[#This Row],[Периметр]])/28),"")</f>
        <v/>
      </c>
      <c r="Q98" s="204" t="s">
        <v>4757</v>
      </c>
      <c r="R98" s="1059">
        <f>IFERROR(Таблица47[[#This Row],[Коли-
чество м.п.]]/Таблица47[[#This Row],[Количество хлыстов]],"")</f>
        <v>0</v>
      </c>
      <c r="S98" s="204" t="s">
        <v>4407</v>
      </c>
      <c r="T98" s="204"/>
      <c r="U98" s="1060">
        <v>22</v>
      </c>
      <c r="V98" s="204"/>
      <c r="W98" s="204"/>
      <c r="X98" s="204"/>
      <c r="Y98" s="204"/>
      <c r="Z98" s="204"/>
      <c r="AA98" s="204"/>
      <c r="AB98" s="204"/>
      <c r="AC98" s="1061"/>
    </row>
    <row r="99" spans="1:29" ht="15.75" customHeight="1" x14ac:dyDescent="0.25">
      <c r="A99" s="238" t="s">
        <v>4678</v>
      </c>
      <c r="B99" s="309">
        <v>24</v>
      </c>
      <c r="C99" s="309" t="s">
        <v>4753</v>
      </c>
      <c r="D99" s="304" t="s">
        <v>13</v>
      </c>
      <c r="E99" s="303" t="s">
        <v>4879</v>
      </c>
      <c r="F99" s="440">
        <v>45310</v>
      </c>
      <c r="G99" s="475">
        <v>45366</v>
      </c>
      <c r="H99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9" s="587" t="str">
        <f>CONCATENATE(Таблица47[[#This Row],[№ заявки в 1С]],Таблица47[[#This Row],[Наименование            ]])</f>
        <v>24209246, 3,1м, БЦ анод 10км с дробью</v>
      </c>
      <c r="J99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9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9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9" s="1062"/>
      <c r="N99" s="1063">
        <v>568</v>
      </c>
      <c r="O99" s="1013" t="str">
        <f>IFERROR(Таблица47[[#This Row],[Количество хлыстов]]-Таблица47[[#This Row],[Обработано в 1С]]-Таблица47[[#This Row],[Корректировка]],"")</f>
        <v/>
      </c>
      <c r="P99" s="638" t="str">
        <f>IFERROR((((Таблица47[[#This Row],[Осталось сделать, хлыст]]*Таблица47[[#This Row],[длина]])*Таблица47[[#This Row],[Периметр]])/28),"")</f>
        <v/>
      </c>
      <c r="Q99" s="200" t="s">
        <v>4886</v>
      </c>
      <c r="R99" s="1059">
        <f>IFERROR(Таблица47[[#This Row],[Коли-
чество м.п.]]/Таблица47[[#This Row],[Количество хлыстов]],"")</f>
        <v>3.1</v>
      </c>
      <c r="S99" s="200" t="s">
        <v>4849</v>
      </c>
      <c r="T99" s="200">
        <v>1760.8</v>
      </c>
      <c r="U99" s="1042">
        <v>568</v>
      </c>
      <c r="V99" s="200"/>
      <c r="W99" s="200">
        <v>0.41499999999999998</v>
      </c>
      <c r="X99" s="200"/>
      <c r="Y99" s="1043" t="e">
        <f>Таблица47[[#This Row],[Осталось сделать, хлыст]]*Таблица47[[#This Row],[длина]]*Таблица47[[#This Row],[Вес п.м., кг]]</f>
        <v>#VALUE!</v>
      </c>
      <c r="Z99" s="200"/>
      <c r="AA99" s="200"/>
      <c r="AB99" s="489">
        <v>305</v>
      </c>
      <c r="AC99" s="1044"/>
    </row>
    <row r="100" spans="1:29" s="966" customFormat="1" ht="15.75" customHeight="1" x14ac:dyDescent="0.25">
      <c r="A100" s="507" t="s">
        <v>4978</v>
      </c>
      <c r="B100" s="79"/>
      <c r="C100" s="604"/>
      <c r="D100" s="515" t="s">
        <v>13</v>
      </c>
      <c r="E100" s="515" t="s">
        <v>32</v>
      </c>
      <c r="F100" s="605">
        <v>45310</v>
      </c>
      <c r="G100" s="605"/>
      <c r="H100" s="574" t="s">
        <v>677</v>
      </c>
      <c r="I100" s="894" t="str">
        <f>CONCATENATE(Таблица47[[#This Row],[№ заявки в 1С]],Таблица47[[#This Row],[Наименование            ]])</f>
        <v>[85553] 1606-37, 5,05 м, RAL9005 матовый (ИНВЕР) +стрейч</v>
      </c>
      <c r="J100" s="51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0" s="51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0" s="51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0" s="511"/>
      <c r="N100" s="512"/>
      <c r="O100" s="1002" t="str">
        <f>IFERROR(Таблица47[[#This Row],[Количество хлыстов]]-Таблица47[[#This Row],[Обработано в 1С]]-Таблица47[[#This Row],[Корректировка]],"")</f>
        <v/>
      </c>
      <c r="P100" s="638" t="str">
        <f>IFERROR((((Таблица47[[#This Row],[Осталось сделать, хлыст]]*Таблица47[[#This Row],[длина]])*Таблица47[[#This Row],[Периметр]])/28),"")</f>
        <v/>
      </c>
      <c r="Q100" s="515" t="s">
        <v>4760</v>
      </c>
      <c r="R100" s="516">
        <f>IFERROR(Таблица47[[#This Row],[Коли-
чество м.п.]]/Таблица47[[#This Row],[Количество хлыстов]],"")</f>
        <v>5.05</v>
      </c>
      <c r="S100" s="515" t="s">
        <v>4759</v>
      </c>
      <c r="T100" s="516">
        <v>595.9</v>
      </c>
      <c r="U100" s="517">
        <v>118</v>
      </c>
      <c r="V100" s="516">
        <v>0.2651</v>
      </c>
      <c r="W100" s="516">
        <v>0.82099999999999995</v>
      </c>
      <c r="X100" s="516">
        <v>157.97309999999999</v>
      </c>
      <c r="Y100" s="516">
        <v>489.23390000000001</v>
      </c>
      <c r="Z100" s="516">
        <v>20.54</v>
      </c>
      <c r="AA100" s="516" t="s">
        <v>17</v>
      </c>
      <c r="AB100" s="516" t="s">
        <v>17</v>
      </c>
      <c r="AC100" s="518" t="s">
        <v>17</v>
      </c>
    </row>
    <row r="101" spans="1:29" s="1021" customFormat="1" ht="15.75" customHeight="1" x14ac:dyDescent="0.25">
      <c r="A101" s="979" t="s">
        <v>4978</v>
      </c>
      <c r="B101" s="1064">
        <v>45</v>
      </c>
      <c r="C101" s="1064"/>
      <c r="D101" s="509" t="s">
        <v>13</v>
      </c>
      <c r="E101" s="509" t="s">
        <v>3764</v>
      </c>
      <c r="F101" s="510">
        <v>45310</v>
      </c>
      <c r="G101" s="510"/>
      <c r="H101" s="50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" s="592" t="str">
        <f>CONCATENATE(Таблица47[[#This Row],[№ заявки в 1С]],Таблица47[[#This Row],[Наименование            ]])</f>
        <v>45[76596] 1606-39 (197.04) 4,85 м, сплав 6063 КР Т6, упковка Т5</v>
      </c>
      <c r="J101" s="1073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1" s="1073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1" s="1073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1" s="1073"/>
      <c r="N101" s="1073">
        <v>390</v>
      </c>
      <c r="O101" s="1020" t="str">
        <f>IFERROR(Таблица47[[#This Row],[Количество хлыстов]]-Таблица47[[#This Row],[Обработано в 1С]]-Таблица47[[#This Row],[Корректировка]],"")</f>
        <v/>
      </c>
      <c r="P101" s="638" t="str">
        <f>IFERROR((((Таблица47[[#This Row],[Осталось сделать, хлыст]]*Таблица47[[#This Row],[длина]])*Таблица47[[#This Row],[Периметр]])/28),"")</f>
        <v/>
      </c>
      <c r="Q101" s="509"/>
      <c r="R101" s="984">
        <f>IFERROR(Таблица47[[#This Row],[Коли-
чество м.п.]]/Таблица47[[#This Row],[Количество хлыстов]],"")</f>
        <v>4.8499999999999996</v>
      </c>
      <c r="S101" s="509" t="s">
        <v>2841</v>
      </c>
      <c r="T101" s="984">
        <v>1891.5</v>
      </c>
      <c r="U101" s="985">
        <v>390</v>
      </c>
      <c r="V101" s="984">
        <v>9.5600000000000004E-2</v>
      </c>
      <c r="W101" s="984">
        <v>0.16</v>
      </c>
      <c r="X101" s="984">
        <v>180.82740000000001</v>
      </c>
      <c r="Y101" s="984">
        <v>302.64</v>
      </c>
      <c r="Z101" s="984">
        <v>23.51</v>
      </c>
      <c r="AA101" s="984"/>
      <c r="AB101" s="984"/>
      <c r="AC101" s="986"/>
    </row>
    <row r="102" spans="1:29" s="1021" customFormat="1" ht="15.75" customHeight="1" x14ac:dyDescent="0.25">
      <c r="A102" s="979" t="s">
        <v>4978</v>
      </c>
      <c r="B102" s="980">
        <v>41</v>
      </c>
      <c r="C102" s="980"/>
      <c r="D102" s="509" t="s">
        <v>34</v>
      </c>
      <c r="E102" s="509" t="s">
        <v>643</v>
      </c>
      <c r="F102" s="510">
        <v>45309</v>
      </c>
      <c r="G102" s="510"/>
      <c r="H102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" s="511" t="str">
        <f>CONCATENATE(Таблица47[[#This Row],[№ заявки в 1С]],Таблица47[[#This Row],[Наименование            ]])</f>
        <v>41[75756] 0106-206, 4,8м, БЦ (5мкм без дроби под покраску)</v>
      </c>
      <c r="J102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2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2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2" s="981"/>
      <c r="N102" s="982">
        <v>60</v>
      </c>
      <c r="O102" s="1020" t="str">
        <f>IFERROR(Таблица47[[#This Row],[Количество хлыстов]]-Таблица47[[#This Row],[Обработано в 1С]]-Таблица47[[#This Row],[Корректировка]],"")</f>
        <v/>
      </c>
      <c r="P102" s="638" t="str">
        <f>IFERROR((((Таблица47[[#This Row],[Осталось сделать, хлыст]]*Таблица47[[#This Row],[длина]])*Таблица47[[#This Row],[Периметр]])/28),"")</f>
        <v/>
      </c>
      <c r="Q102" s="983"/>
      <c r="R102" s="993">
        <f>IFERROR(Таблица47[[#This Row],[Коли-
чество м.п.]]/Таблица47[[#This Row],[Количество хлыстов]],"")</f>
        <v>4.8</v>
      </c>
      <c r="S102" s="509" t="s">
        <v>4763</v>
      </c>
      <c r="T102" s="984">
        <v>288</v>
      </c>
      <c r="U102" s="985">
        <v>60</v>
      </c>
      <c r="V102" s="984">
        <v>0.22650000000000001</v>
      </c>
      <c r="W102" s="984">
        <v>0.52700000000000002</v>
      </c>
      <c r="X102" s="984">
        <v>65.231999999999999</v>
      </c>
      <c r="Y102" s="984">
        <v>151.77600000000001</v>
      </c>
      <c r="Z102" s="984">
        <v>8.48</v>
      </c>
      <c r="AA102" s="984">
        <v>67.95</v>
      </c>
      <c r="AB102" s="984">
        <v>300</v>
      </c>
      <c r="AC102" s="986">
        <v>19569.599999999999</v>
      </c>
    </row>
    <row r="103" spans="1:29" s="1021" customFormat="1" ht="15.75" customHeight="1" x14ac:dyDescent="0.25">
      <c r="A103" s="979" t="s">
        <v>4978</v>
      </c>
      <c r="B103" s="980">
        <v>41</v>
      </c>
      <c r="C103" s="980"/>
      <c r="D103" s="509" t="s">
        <v>34</v>
      </c>
      <c r="E103" s="509" t="s">
        <v>643</v>
      </c>
      <c r="F103" s="510">
        <v>45309</v>
      </c>
      <c r="G103" s="510"/>
      <c r="H103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" s="511" t="str">
        <f>CONCATENATE(Таблица47[[#This Row],[№ заявки в 1С]],Таблица47[[#This Row],[Наименование            ]])</f>
        <v>41[75754] 0106-206, 4,2м, БЦ (5мкм без дроби под покраску)</v>
      </c>
      <c r="J103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3" s="981"/>
      <c r="N103" s="982">
        <v>66</v>
      </c>
      <c r="O103" s="1020" t="str">
        <f>IFERROR(Таблица47[[#This Row],[Количество хлыстов]]-Таблица47[[#This Row],[Обработано в 1С]]-Таблица47[[#This Row],[Корректировка]],"")</f>
        <v/>
      </c>
      <c r="P103" s="638" t="str">
        <f>IFERROR((((Таблица47[[#This Row],[Осталось сделать, хлыст]]*Таблица47[[#This Row],[длина]])*Таблица47[[#This Row],[Периметр]])/28),"")</f>
        <v/>
      </c>
      <c r="Q103" s="983"/>
      <c r="R103" s="993">
        <f>IFERROR(Таблица47[[#This Row],[Коли-
чество м.п.]]/Таблица47[[#This Row],[Количество хлыстов]],"")</f>
        <v>4.2</v>
      </c>
      <c r="S103" s="509" t="s">
        <v>4764</v>
      </c>
      <c r="T103" s="984">
        <v>277.2</v>
      </c>
      <c r="U103" s="985">
        <v>66</v>
      </c>
      <c r="V103" s="984">
        <v>0.22650000000000001</v>
      </c>
      <c r="W103" s="984">
        <v>0.52700000000000002</v>
      </c>
      <c r="X103" s="984">
        <v>62.785800000000002</v>
      </c>
      <c r="Y103" s="984">
        <v>146.08439999999999</v>
      </c>
      <c r="Z103" s="984">
        <v>8.16</v>
      </c>
      <c r="AA103" s="984">
        <v>67.95</v>
      </c>
      <c r="AB103" s="984">
        <v>300</v>
      </c>
      <c r="AC103" s="986">
        <v>18835.740000000002</v>
      </c>
    </row>
    <row r="104" spans="1:29" ht="15.75" customHeight="1" x14ac:dyDescent="0.25">
      <c r="A104" s="1011" t="s">
        <v>4678</v>
      </c>
      <c r="B104" s="438" t="s">
        <v>3797</v>
      </c>
      <c r="C104" s="438"/>
      <c r="D104" s="439" t="s">
        <v>34</v>
      </c>
      <c r="E104" s="439" t="s">
        <v>16</v>
      </c>
      <c r="F104" s="440">
        <v>45316</v>
      </c>
      <c r="G104" s="440"/>
      <c r="H10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4" s="441" t="str">
        <f>CONCATENATE(Таблица47[[#This Row],[№ заявки в 1С]],Таблица47[[#This Row],[Наименование            ]])</f>
        <v>OPT000050[35197] 0106-238, 6,0м, 6063 Т1, упаковка Т-5, под анод тип 1 ,БА</v>
      </c>
      <c r="J104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4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4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4" s="456"/>
      <c r="N104" s="457">
        <v>41</v>
      </c>
      <c r="O104" s="1013" t="str">
        <f>IFERROR(Таблица47[[#This Row],[Количество хлыстов]]-Таблица47[[#This Row],[Обработано в 1С]]-Таблица47[[#This Row],[Корректировка]],"")</f>
        <v/>
      </c>
      <c r="P104" s="638" t="str">
        <f>IFERROR((((Таблица47[[#This Row],[Осталось сделать, хлыст]]*Таблица47[[#This Row],[длина]])*Таблица47[[#This Row],[Периметр]])/28),"")</f>
        <v/>
      </c>
      <c r="Q104" s="439"/>
      <c r="R104" s="458">
        <f>IFERROR(Таблица47[[#This Row],[Коли-
чество м.п.]]/Таблица47[[#This Row],[Количество хлыстов]],"")</f>
        <v>6</v>
      </c>
      <c r="S104" s="439" t="s">
        <v>2859</v>
      </c>
      <c r="T104" s="458">
        <v>246</v>
      </c>
      <c r="U104" s="459">
        <v>41</v>
      </c>
      <c r="V104" s="458">
        <v>0.27260000000000001</v>
      </c>
      <c r="W104" s="458">
        <v>0.72899999999999998</v>
      </c>
      <c r="X104" s="458">
        <v>67.059600000000003</v>
      </c>
      <c r="Y104" s="458">
        <v>179.334</v>
      </c>
      <c r="Z104" s="458">
        <v>8.7200000000000006</v>
      </c>
      <c r="AA104" s="458">
        <v>106.31</v>
      </c>
      <c r="AB104" s="458">
        <v>390</v>
      </c>
      <c r="AC104" s="460">
        <v>26153.24</v>
      </c>
    </row>
    <row r="105" spans="1:29" s="1021" customFormat="1" ht="45.75" customHeight="1" x14ac:dyDescent="0.25">
      <c r="A105" s="979" t="s">
        <v>4978</v>
      </c>
      <c r="B105" s="980">
        <v>51</v>
      </c>
      <c r="C105" s="980"/>
      <c r="D105" s="509" t="s">
        <v>13</v>
      </c>
      <c r="E105" s="509" t="s">
        <v>32</v>
      </c>
      <c r="F105" s="510">
        <v>45317</v>
      </c>
      <c r="G105" s="510"/>
      <c r="H105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5" s="511" t="str">
        <f>CONCATENATE(Таблица47[[#This Row],[№ заявки в 1С]],Таблица47[[#This Row],[Наименование            ]])</f>
        <v>51[88733] 1606-37, 4,45 м,  Ад31 под покраску</v>
      </c>
      <c r="J105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5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5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5" s="981"/>
      <c r="N105" s="982">
        <v>179</v>
      </c>
      <c r="O105" s="1020" t="str">
        <f>IFERROR(Таблица47[[#This Row],[Количество хлыстов]]-Таблица47[[#This Row],[Обработано в 1С]]-Таблица47[[#This Row],[Корректировка]],"")</f>
        <v/>
      </c>
      <c r="P105" s="638" t="str">
        <f>IFERROR((((Таблица47[[#This Row],[Осталось сделать, хлыст]]*Таблица47[[#This Row],[длина]])*Таблица47[[#This Row],[Периметр]])/28),"")</f>
        <v/>
      </c>
      <c r="Q105" s="983" t="s">
        <v>4731</v>
      </c>
      <c r="R105" s="993">
        <f>IFERROR(Таблица47[[#This Row],[Коли-
чество м.п.]]/Таблица47[[#This Row],[Количество хлыстов]],"")</f>
        <v>4.45</v>
      </c>
      <c r="S105" s="509" t="s">
        <v>4772</v>
      </c>
      <c r="T105" s="984">
        <v>796.55</v>
      </c>
      <c r="U105" s="985">
        <v>179</v>
      </c>
      <c r="V105" s="984">
        <v>0.2651</v>
      </c>
      <c r="W105" s="984">
        <v>0.82099999999999995</v>
      </c>
      <c r="X105" s="984">
        <v>211.16540000000001</v>
      </c>
      <c r="Y105" s="984">
        <v>653.96759999999995</v>
      </c>
      <c r="Z105" s="984">
        <v>27.45</v>
      </c>
      <c r="AA105" s="984">
        <v>83.51</v>
      </c>
      <c r="AB105" s="984">
        <v>315</v>
      </c>
      <c r="AC105" s="986">
        <v>66517.100000000006</v>
      </c>
    </row>
    <row r="106" spans="1:29" s="1021" customFormat="1" ht="45.75" customHeight="1" x14ac:dyDescent="0.25">
      <c r="A106" s="979" t="s">
        <v>4978</v>
      </c>
      <c r="B106" s="980">
        <v>51</v>
      </c>
      <c r="C106" s="980"/>
      <c r="D106" s="509" t="s">
        <v>13</v>
      </c>
      <c r="E106" s="509" t="s">
        <v>32</v>
      </c>
      <c r="F106" s="510">
        <v>45317</v>
      </c>
      <c r="G106" s="510"/>
      <c r="H106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6" s="511" t="str">
        <f>CONCATENATE(Таблица47[[#This Row],[№ заявки в 1С]],Таблица47[[#This Row],[Наименование            ]])</f>
        <v>51[88975] 1606-38 (197.05) 5,15 м, сплав Ад31 под покраску</v>
      </c>
      <c r="J106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6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6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6" s="981"/>
      <c r="N106" s="982">
        <v>360</v>
      </c>
      <c r="O106" s="1020" t="str">
        <f>IFERROR(Таблица47[[#This Row],[Количество хлыстов]]-Таблица47[[#This Row],[Обработано в 1С]]-Таблица47[[#This Row],[Корректировка]],"")</f>
        <v/>
      </c>
      <c r="P106" s="638" t="str">
        <f>IFERROR((((Таблица47[[#This Row],[Осталось сделать, хлыст]]*Таблица47[[#This Row],[длина]])*Таблица47[[#This Row],[Периметр]])/28),"")</f>
        <v/>
      </c>
      <c r="Q106" s="983" t="s">
        <v>4731</v>
      </c>
      <c r="R106" s="993">
        <f>IFERROR(Таблица47[[#This Row],[Коли-
чество м.п.]]/Таблица47[[#This Row],[Количество хлыстов]],"")</f>
        <v>5.15</v>
      </c>
      <c r="S106" s="509" t="s">
        <v>4773</v>
      </c>
      <c r="T106" s="984">
        <v>1854</v>
      </c>
      <c r="U106" s="985">
        <v>360</v>
      </c>
      <c r="V106" s="984">
        <v>0.15790000000000001</v>
      </c>
      <c r="W106" s="984">
        <v>0.309</v>
      </c>
      <c r="X106" s="984">
        <v>292.7466</v>
      </c>
      <c r="Y106" s="984">
        <v>572.88599999999997</v>
      </c>
      <c r="Z106" s="984">
        <v>38.06</v>
      </c>
      <c r="AA106" s="984">
        <v>49.74</v>
      </c>
      <c r="AB106" s="984">
        <v>315</v>
      </c>
      <c r="AC106" s="986">
        <v>92215.18</v>
      </c>
    </row>
    <row r="107" spans="1:29" s="1021" customFormat="1" ht="45.75" customHeight="1" x14ac:dyDescent="0.25">
      <c r="A107" s="979" t="s">
        <v>4978</v>
      </c>
      <c r="B107" s="980">
        <v>51</v>
      </c>
      <c r="C107" s="980"/>
      <c r="D107" s="509" t="s">
        <v>13</v>
      </c>
      <c r="E107" s="509" t="s">
        <v>32</v>
      </c>
      <c r="F107" s="510">
        <v>45317</v>
      </c>
      <c r="G107" s="510"/>
      <c r="H107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7" s="511" t="str">
        <f>CONCATENATE(Таблица47[[#This Row],[№ заявки в 1С]],Таблица47[[#This Row],[Наименование            ]])</f>
        <v>51[76552] 1606-38 (197.05) 5,15 м, сплав 6063 КР Т6</v>
      </c>
      <c r="J107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7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7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7" s="981"/>
      <c r="N107" s="982">
        <v>192</v>
      </c>
      <c r="O107" s="1020" t="str">
        <f>IFERROR(Таблица47[[#This Row],[Количество хлыстов]]-Таблица47[[#This Row],[Обработано в 1С]]-Таблица47[[#This Row],[Корректировка]],"")</f>
        <v/>
      </c>
      <c r="P107" s="638" t="str">
        <f>IFERROR((((Таблица47[[#This Row],[Осталось сделать, хлыст]]*Таблица47[[#This Row],[длина]])*Таблица47[[#This Row],[Периметр]])/28),"")</f>
        <v/>
      </c>
      <c r="Q107" s="983" t="s">
        <v>4731</v>
      </c>
      <c r="R107" s="993">
        <f>IFERROR(Таблица47[[#This Row],[Коли-
чество м.п.]]/Таблица47[[#This Row],[Количество хлыстов]],"")</f>
        <v>5.1499999999999995</v>
      </c>
      <c r="S107" s="509" t="s">
        <v>1975</v>
      </c>
      <c r="T107" s="984">
        <v>988.8</v>
      </c>
      <c r="U107" s="985">
        <v>192</v>
      </c>
      <c r="V107" s="984">
        <v>0.15790000000000001</v>
      </c>
      <c r="W107" s="984">
        <v>0.309</v>
      </c>
      <c r="X107" s="984">
        <v>156.13149999999999</v>
      </c>
      <c r="Y107" s="984">
        <v>305.53919999999999</v>
      </c>
      <c r="Z107" s="984">
        <v>20.3</v>
      </c>
      <c r="AA107" s="984">
        <v>49.74</v>
      </c>
      <c r="AB107" s="984">
        <v>315</v>
      </c>
      <c r="AC107" s="986">
        <v>49181.43</v>
      </c>
    </row>
    <row r="108" spans="1:29" s="1021" customFormat="1" ht="45.75" customHeight="1" x14ac:dyDescent="0.25">
      <c r="A108" s="979" t="s">
        <v>4978</v>
      </c>
      <c r="B108" s="980">
        <v>51</v>
      </c>
      <c r="C108" s="980"/>
      <c r="D108" s="509" t="s">
        <v>13</v>
      </c>
      <c r="E108" s="509" t="s">
        <v>32</v>
      </c>
      <c r="F108" s="510">
        <v>45317</v>
      </c>
      <c r="G108" s="510"/>
      <c r="H108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8" s="511" t="str">
        <f>CONCATENATE(Таблица47[[#This Row],[№ заявки в 1С]],Таблица47[[#This Row],[Наименование            ]])</f>
        <v>51[88976] 1606-39 (197.04) 4,85 м, сплав Ад31 под покраску</v>
      </c>
      <c r="J108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8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8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8" s="981">
        <v>3</v>
      </c>
      <c r="N108" s="981">
        <v>365</v>
      </c>
      <c r="O108" s="1020" t="str">
        <f>IFERROR(Таблица47[[#This Row],[Количество хлыстов]]-Таблица47[[#This Row],[Обработано в 1С]]-Таблица47[[#This Row],[Корректировка]],"")</f>
        <v/>
      </c>
      <c r="P108" s="638" t="str">
        <f>IFERROR((((Таблица47[[#This Row],[Осталось сделать, хлыст]]*Таблица47[[#This Row],[длина]])*Таблица47[[#This Row],[Периметр]])/28),"")</f>
        <v/>
      </c>
      <c r="Q108" s="983" t="s">
        <v>4731</v>
      </c>
      <c r="R108" s="993">
        <f>IFERROR(Таблица47[[#This Row],[Коли-
чество м.п.]]/Таблица47[[#This Row],[Количество хлыстов]],"")</f>
        <v>4.8499999999999996</v>
      </c>
      <c r="S108" s="509" t="s">
        <v>4774</v>
      </c>
      <c r="T108" s="984">
        <v>1784.8</v>
      </c>
      <c r="U108" s="985">
        <v>368</v>
      </c>
      <c r="V108" s="984">
        <v>9.5600000000000004E-2</v>
      </c>
      <c r="W108" s="984">
        <v>0.16</v>
      </c>
      <c r="X108" s="984">
        <v>170.62690000000001</v>
      </c>
      <c r="Y108" s="984">
        <v>285.56799999999998</v>
      </c>
      <c r="Z108" s="984">
        <v>22.18</v>
      </c>
      <c r="AA108" s="984">
        <v>30.11</v>
      </c>
      <c r="AB108" s="984">
        <v>315</v>
      </c>
      <c r="AC108" s="986">
        <v>53747.47</v>
      </c>
    </row>
    <row r="109" spans="1:29" ht="15.75" customHeight="1" x14ac:dyDescent="0.25">
      <c r="A109" s="1011" t="s">
        <v>4678</v>
      </c>
      <c r="B109" s="438">
        <v>53</v>
      </c>
      <c r="C109" s="438"/>
      <c r="D109" s="439" t="s">
        <v>34</v>
      </c>
      <c r="E109" s="439" t="s">
        <v>79</v>
      </c>
      <c r="F109" s="440">
        <v>45317</v>
      </c>
      <c r="G109" s="440"/>
      <c r="H109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9" s="449" t="str">
        <f>CONCATENATE(Таблица47[[#This Row],[№ заявки в 1С]],Таблица47[[#This Row],[Наименование            ]])</f>
        <v>53[78712] 1606-73 (п-образный), 6,0м, 6063 Т6, упаковка Т-5, БА</v>
      </c>
      <c r="J109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9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9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9" s="461"/>
      <c r="N109" s="462">
        <v>54</v>
      </c>
      <c r="O109" s="1013" t="str">
        <f>IFERROR(Таблица47[[#This Row],[Количество хлыстов]]-Таблица47[[#This Row],[Обработано в 1С]]-Таблица47[[#This Row],[Корректировка]],"")</f>
        <v/>
      </c>
      <c r="P109" s="638" t="str">
        <f>IFERROR((((Таблица47[[#This Row],[Осталось сделать, хлыст]]*Таблица47[[#This Row],[длина]])*Таблица47[[#This Row],[Периметр]])/28),"")</f>
        <v/>
      </c>
      <c r="Q109" s="439"/>
      <c r="R109" s="458">
        <f>IFERROR(Таблица47[[#This Row],[Коли-
чество м.п.]]/Таблица47[[#This Row],[Количество хлыстов]],"")</f>
        <v>6</v>
      </c>
      <c r="S109" s="439" t="s">
        <v>4590</v>
      </c>
      <c r="T109" s="458">
        <v>324</v>
      </c>
      <c r="U109" s="459">
        <v>54</v>
      </c>
      <c r="V109" s="458">
        <v>0.45550000000000002</v>
      </c>
      <c r="W109" s="458">
        <v>1.6990000000000001</v>
      </c>
      <c r="X109" s="458">
        <v>147.58199999999999</v>
      </c>
      <c r="Y109" s="458">
        <v>550.476</v>
      </c>
      <c r="Z109" s="458">
        <v>19.190000000000001</v>
      </c>
      <c r="AA109" s="458">
        <v>152.59</v>
      </c>
      <c r="AB109" s="458">
        <v>335</v>
      </c>
      <c r="AC109" s="460">
        <v>49439.97</v>
      </c>
    </row>
    <row r="110" spans="1:29" ht="15.75" customHeight="1" x14ac:dyDescent="0.25">
      <c r="A110" s="1011" t="s">
        <v>4678</v>
      </c>
      <c r="B110" s="438">
        <v>54</v>
      </c>
      <c r="C110" s="438"/>
      <c r="D110" s="439" t="s">
        <v>34</v>
      </c>
      <c r="E110" s="439" t="s">
        <v>3404</v>
      </c>
      <c r="F110" s="440">
        <v>45317</v>
      </c>
      <c r="G110" s="440"/>
      <c r="H110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0" s="441" t="str">
        <f>CONCATENATE(Таблица47[[#This Row],[№ заявки в 1С]],Таблица47[[#This Row],[Наименование            ]])</f>
        <v>54[81579] 1706-69, 6,0м, 6063 Т6, упаковка Т-5, БА</v>
      </c>
      <c r="J110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0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0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0" s="456"/>
      <c r="N110" s="457">
        <v>148</v>
      </c>
      <c r="O110" s="1013" t="str">
        <f>IFERROR(Таблица47[[#This Row],[Количество хлыстов]]-Таблица47[[#This Row],[Обработано в 1С]]-Таблица47[[#This Row],[Корректировка]],"")</f>
        <v/>
      </c>
      <c r="P110" s="638" t="str">
        <f>IFERROR((((Таблица47[[#This Row],[Осталось сделать, хлыст]]*Таблица47[[#This Row],[длина]])*Таблица47[[#This Row],[Периметр]])/28),"")</f>
        <v/>
      </c>
      <c r="Q110" s="439"/>
      <c r="R110" s="458">
        <f>IFERROR(Таблица47[[#This Row],[Коли-
чество м.п.]]/Таблица47[[#This Row],[Количество хлыстов]],"")</f>
        <v>6</v>
      </c>
      <c r="S110" s="439" t="s">
        <v>4994</v>
      </c>
      <c r="T110" s="458">
        <v>888</v>
      </c>
      <c r="U110" s="459">
        <v>148</v>
      </c>
      <c r="V110" s="458">
        <v>0.21959999999999999</v>
      </c>
      <c r="W110" s="458">
        <v>0.35</v>
      </c>
      <c r="X110" s="458">
        <v>195.00479999999999</v>
      </c>
      <c r="Y110" s="458">
        <v>310.8</v>
      </c>
      <c r="Z110" s="458">
        <v>25.35</v>
      </c>
      <c r="AA110" s="458">
        <v>69.17</v>
      </c>
      <c r="AB110" s="458">
        <v>315</v>
      </c>
      <c r="AC110" s="460">
        <v>61426.51</v>
      </c>
    </row>
    <row r="111" spans="1:29" ht="15.75" customHeight="1" x14ac:dyDescent="0.25">
      <c r="A111" s="1011" t="s">
        <v>4678</v>
      </c>
      <c r="B111" s="438" t="s">
        <v>4778</v>
      </c>
      <c r="C111" s="438"/>
      <c r="D111" s="439" t="s">
        <v>34</v>
      </c>
      <c r="E111" s="439" t="s">
        <v>16</v>
      </c>
      <c r="F111" s="440">
        <v>45317</v>
      </c>
      <c r="G111" s="440"/>
      <c r="H111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1" s="449" t="str">
        <f>CONCATENATE(Таблица47[[#This Row],[№ заявки в 1С]],Таблица47[[#This Row],[Наименование            ]])</f>
        <v>OPT000055[11564] 0106-235, 6,0м, 6063 Т6, упаковка Т-5, под анод тип 2, БА (прессовать на плюсовом допуске)</v>
      </c>
      <c r="J111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1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1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1" s="461">
        <v>12</v>
      </c>
      <c r="N111" s="462">
        <v>112</v>
      </c>
      <c r="O111" s="1013" t="str">
        <f>IFERROR(Таблица47[[#This Row],[Количество хлыстов]]-Таблица47[[#This Row],[Обработано в 1С]]-Таблица47[[#This Row],[Корректировка]],"")</f>
        <v/>
      </c>
      <c r="P111" s="638" t="str">
        <f>IFERROR((((Таблица47[[#This Row],[Осталось сделать, хлыст]]*Таблица47[[#This Row],[длина]])*Таблица47[[#This Row],[Периметр]])/28),"")</f>
        <v/>
      </c>
      <c r="Q111" s="439" t="s">
        <v>1569</v>
      </c>
      <c r="R111" s="458">
        <f>IFERROR(Таблица47[[#This Row],[Коли-
чество м.п.]]/Таблица47[[#This Row],[Количество хлыстов]],"")</f>
        <v>6</v>
      </c>
      <c r="S111" s="439" t="s">
        <v>2581</v>
      </c>
      <c r="T111" s="458">
        <v>744</v>
      </c>
      <c r="U111" s="459">
        <v>124</v>
      </c>
      <c r="V111" s="458">
        <v>0.56989999999999996</v>
      </c>
      <c r="W111" s="458">
        <v>1.304</v>
      </c>
      <c r="X111" s="458">
        <v>424.00560000000002</v>
      </c>
      <c r="Y111" s="458">
        <v>970.17600000000004</v>
      </c>
      <c r="Z111" s="458">
        <v>55.12</v>
      </c>
      <c r="AA111" s="458">
        <v>290.64999999999998</v>
      </c>
      <c r="AB111" s="458">
        <v>510</v>
      </c>
      <c r="AC111" s="460">
        <v>216242.86</v>
      </c>
    </row>
    <row r="112" spans="1:29" ht="15.75" customHeight="1" x14ac:dyDescent="0.25">
      <c r="A112" s="1011" t="s">
        <v>4678</v>
      </c>
      <c r="B112" s="438" t="s">
        <v>4779</v>
      </c>
      <c r="C112" s="438"/>
      <c r="D112" s="439" t="s">
        <v>34</v>
      </c>
      <c r="E112" s="439" t="s">
        <v>16</v>
      </c>
      <c r="F112" s="440">
        <v>45317</v>
      </c>
      <c r="G112" s="440"/>
      <c r="H11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2" s="449" t="str">
        <f>CONCATENATE(Таблица47[[#This Row],[№ заявки в 1С]],Таблица47[[#This Row],[Наименование            ]])</f>
        <v>OPT000056[61440] 0106-289, 6,0м, 6063 Т1, упаковка Т-5, под анод тип 1, БА</v>
      </c>
      <c r="J112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2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2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2" s="461"/>
      <c r="N112" s="462">
        <v>78</v>
      </c>
      <c r="O112" s="1013" t="str">
        <f>IFERROR(Таблица47[[#This Row],[Количество хлыстов]]-Таблица47[[#This Row],[Обработано в 1С]]-Таблица47[[#This Row],[Корректировка]],"")</f>
        <v/>
      </c>
      <c r="P112" s="638" t="str">
        <f>IFERROR((((Таблица47[[#This Row],[Осталось сделать, хлыст]]*Таблица47[[#This Row],[длина]])*Таблица47[[#This Row],[Периметр]])/28),"")</f>
        <v/>
      </c>
      <c r="Q112" s="439"/>
      <c r="R112" s="458">
        <f>IFERROR(Таблица47[[#This Row],[Коли-
чество м.п.]]/Таблица47[[#This Row],[Количество хлыстов]],"")</f>
        <v>6</v>
      </c>
      <c r="S112" s="439" t="s">
        <v>2845</v>
      </c>
      <c r="T112" s="458">
        <v>468</v>
      </c>
      <c r="U112" s="459">
        <v>78</v>
      </c>
      <c r="V112" s="458">
        <v>0.15909999999999999</v>
      </c>
      <c r="W112" s="458">
        <v>0.26</v>
      </c>
      <c r="X112" s="458">
        <v>74.458799999999997</v>
      </c>
      <c r="Y112" s="458">
        <v>121.68</v>
      </c>
      <c r="Z112" s="458">
        <v>9.68</v>
      </c>
      <c r="AA112" s="458">
        <v>81.14</v>
      </c>
      <c r="AB112" s="458">
        <v>510</v>
      </c>
      <c r="AC112" s="460">
        <v>37973.99</v>
      </c>
    </row>
    <row r="113" spans="1:29" ht="15.75" customHeight="1" x14ac:dyDescent="0.25">
      <c r="A113" s="1011" t="s">
        <v>4678</v>
      </c>
      <c r="B113" s="438" t="s">
        <v>4780</v>
      </c>
      <c r="C113" s="438"/>
      <c r="D113" s="439" t="s">
        <v>34</v>
      </c>
      <c r="E113" s="439" t="s">
        <v>16</v>
      </c>
      <c r="F113" s="440">
        <v>45317</v>
      </c>
      <c r="G113" s="440"/>
      <c r="H113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3" s="449" t="str">
        <f>CONCATENATE(Таблица47[[#This Row],[№ заявки в 1С]],Таблица47[[#This Row],[Наименование            ]])</f>
        <v>OPT000057[13620] 0106-290 (6158), 6,0м, 6063 Т1, тип 1, упаковка Т-5, БА</v>
      </c>
      <c r="J113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3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3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3" s="461"/>
      <c r="N113" s="462">
        <v>200</v>
      </c>
      <c r="O113" s="1013" t="str">
        <f>IFERROR(Таблица47[[#This Row],[Количество хлыстов]]-Таблица47[[#This Row],[Обработано в 1С]]-Таблица47[[#This Row],[Корректировка]],"")</f>
        <v/>
      </c>
      <c r="P113" s="638" t="str">
        <f>IFERROR((((Таблица47[[#This Row],[Осталось сделать, хлыст]]*Таблица47[[#This Row],[длина]])*Таблица47[[#This Row],[Периметр]])/28),"")</f>
        <v/>
      </c>
      <c r="Q113" s="439"/>
      <c r="R113" s="458">
        <f>IFERROR(Таблица47[[#This Row],[Коли-
чество м.п.]]/Таблица47[[#This Row],[Количество хлыстов]],"")</f>
        <v>6</v>
      </c>
      <c r="S113" s="439" t="s">
        <v>5693</v>
      </c>
      <c r="T113" s="458">
        <v>1200</v>
      </c>
      <c r="U113" s="459">
        <v>200</v>
      </c>
      <c r="V113" s="458">
        <v>0.29970000000000002</v>
      </c>
      <c r="W113" s="458">
        <v>1.6739999999999999</v>
      </c>
      <c r="X113" s="458">
        <v>359.64</v>
      </c>
      <c r="Y113" s="458">
        <v>2008.8</v>
      </c>
      <c r="Z113" s="458">
        <v>46.75</v>
      </c>
      <c r="AA113" s="458">
        <v>109.39</v>
      </c>
      <c r="AB113" s="458">
        <v>365</v>
      </c>
      <c r="AC113" s="460">
        <v>131268.6</v>
      </c>
    </row>
    <row r="114" spans="1:29" ht="15.75" customHeight="1" x14ac:dyDescent="0.25">
      <c r="A114" s="1011" t="s">
        <v>4678</v>
      </c>
      <c r="B114" s="438" t="s">
        <v>4781</v>
      </c>
      <c r="C114" s="438"/>
      <c r="D114" s="439" t="s">
        <v>34</v>
      </c>
      <c r="E114" s="439" t="s">
        <v>16</v>
      </c>
      <c r="F114" s="440">
        <v>45317</v>
      </c>
      <c r="G114" s="440"/>
      <c r="H11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4" s="441" t="str">
        <f>CONCATENATE(Таблица47[[#This Row],[№ заявки в 1С]],Таблица47[[#This Row],[Наименование            ]])</f>
        <v>OPT000058[38435] 0506-20, 6,0м, 6063 Т1, упаковка Т-5, под анод тип 1, БА</v>
      </c>
      <c r="J114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4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4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4" s="456">
        <v>2</v>
      </c>
      <c r="N114" s="457">
        <v>49</v>
      </c>
      <c r="O114" s="1013" t="str">
        <f>IFERROR(Таблица47[[#This Row],[Количество хлыстов]]-Таблица47[[#This Row],[Обработано в 1С]]-Таблица47[[#This Row],[Корректировка]],"")</f>
        <v/>
      </c>
      <c r="P114" s="638" t="str">
        <f>IFERROR((((Таблица47[[#This Row],[Осталось сделать, хлыст]]*Таблица47[[#This Row],[длина]])*Таблица47[[#This Row],[Периметр]])/28),"")</f>
        <v/>
      </c>
      <c r="Q114" s="439" t="s">
        <v>721</v>
      </c>
      <c r="R114" s="458">
        <f>IFERROR(Таблица47[[#This Row],[Коли-
чество м.п.]]/Таблица47[[#This Row],[Количество хлыстов]],"")</f>
        <v>6</v>
      </c>
      <c r="S114" s="439" t="s">
        <v>2730</v>
      </c>
      <c r="T114" s="458">
        <v>306</v>
      </c>
      <c r="U114" s="459">
        <v>51</v>
      </c>
      <c r="V114" s="458">
        <v>0.3498</v>
      </c>
      <c r="W114" s="458">
        <v>1.425</v>
      </c>
      <c r="X114" s="458">
        <v>107.03879999999999</v>
      </c>
      <c r="Y114" s="458">
        <v>436.05</v>
      </c>
      <c r="Z114" s="458">
        <v>13.92</v>
      </c>
      <c r="AA114" s="458">
        <v>136.41999999999999</v>
      </c>
      <c r="AB114" s="458">
        <v>390</v>
      </c>
      <c r="AC114" s="460">
        <v>41745.129999999997</v>
      </c>
    </row>
    <row r="115" spans="1:29" ht="15.75" customHeight="1" x14ac:dyDescent="0.25">
      <c r="A115" s="1011" t="s">
        <v>4678</v>
      </c>
      <c r="B115" s="438" t="s">
        <v>4782</v>
      </c>
      <c r="C115" s="438"/>
      <c r="D115" s="439" t="s">
        <v>34</v>
      </c>
      <c r="E115" s="439" t="s">
        <v>16</v>
      </c>
      <c r="F115" s="440">
        <v>45317</v>
      </c>
      <c r="G115" s="440"/>
      <c r="H11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5" s="449" t="str">
        <f>CONCATENATE(Таблица47[[#This Row],[№ заявки в 1С]],Таблица47[[#This Row],[Наименование            ]])</f>
        <v>OPT000059[38436] 0506-21, 6,0м, 6063 Т1, тип 1, упаковка Т-5, БА</v>
      </c>
      <c r="J115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5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5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5" s="461"/>
      <c r="N115" s="462">
        <v>24</v>
      </c>
      <c r="O115" s="1013" t="str">
        <f>IFERROR(Таблица47[[#This Row],[Количество хлыстов]]-Таблица47[[#This Row],[Обработано в 1С]]-Таблица47[[#This Row],[Корректировка]],"")</f>
        <v/>
      </c>
      <c r="P115" s="638" t="str">
        <f>IFERROR((((Таблица47[[#This Row],[Осталось сделать, хлыст]]*Таблица47[[#This Row],[длина]])*Таблица47[[#This Row],[Периметр]])/28),"")</f>
        <v/>
      </c>
      <c r="Q115" s="439"/>
      <c r="R115" s="458">
        <f>IFERROR(Таблица47[[#This Row],[Коли-
чество м.п.]]/Таблица47[[#This Row],[Количество хлыстов]],"")</f>
        <v>6</v>
      </c>
      <c r="S115" s="439" t="s">
        <v>2469</v>
      </c>
      <c r="T115" s="458">
        <v>144</v>
      </c>
      <c r="U115" s="459">
        <v>24</v>
      </c>
      <c r="V115" s="458">
        <v>0.70820000000000005</v>
      </c>
      <c r="W115" s="458">
        <v>3.4609999999999999</v>
      </c>
      <c r="X115" s="458">
        <v>101.9808</v>
      </c>
      <c r="Y115" s="458">
        <v>498.38400000000001</v>
      </c>
      <c r="Z115" s="458">
        <v>13.26</v>
      </c>
      <c r="AA115" s="458">
        <v>276.2</v>
      </c>
      <c r="AB115" s="458">
        <v>390</v>
      </c>
      <c r="AC115" s="460">
        <v>39772.51</v>
      </c>
    </row>
    <row r="116" spans="1:29" ht="15.75" customHeight="1" x14ac:dyDescent="0.25">
      <c r="A116" s="1055" t="s">
        <v>4678</v>
      </c>
      <c r="B116" s="1065">
        <v>41</v>
      </c>
      <c r="C116" s="1065" t="s">
        <v>4753</v>
      </c>
      <c r="D116" s="474" t="s">
        <v>13</v>
      </c>
      <c r="E116" s="474" t="s">
        <v>3791</v>
      </c>
      <c r="F116" s="475">
        <v>45317</v>
      </c>
      <c r="G116" s="351"/>
      <c r="H116" s="59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6" s="441" t="str">
        <f>CONCATENATE(Таблица47[[#This Row],[№ заявки в 1С]],Таблица47[[#This Row],[Наименование            ]])</f>
        <v>41Крышка  ЛК60 24,5*15,5мм длина 5,0м, с дробью</v>
      </c>
      <c r="J116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6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6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6" s="456"/>
      <c r="N116" s="457">
        <v>300</v>
      </c>
      <c r="O116" s="1013" t="str">
        <f>IFERROR(Таблица47[[#This Row],[Количество хлыстов]]-Таблица47[[#This Row],[Обработано в 1С]]-Таблица47[[#This Row],[Корректировка]],"")</f>
        <v/>
      </c>
      <c r="P116" s="638" t="str">
        <f>IFERROR((((Таблица47[[#This Row],[Осталось сделать, хлыст]]*Таблица47[[#This Row],[длина]])*Таблица47[[#This Row],[Периметр]])/28),"")</f>
        <v/>
      </c>
      <c r="Q116" s="349"/>
      <c r="R116" s="1074">
        <f>IFERROR(Таблица47[[#This Row],[Коли-
чество м.п.]]/Таблица47[[#This Row],[Количество хлыстов]],"")</f>
        <v>5</v>
      </c>
      <c r="S116" s="349" t="s">
        <v>4788</v>
      </c>
      <c r="T116" s="349">
        <v>1500</v>
      </c>
      <c r="U116" s="1075">
        <v>300</v>
      </c>
      <c r="V116" s="349"/>
      <c r="W116" s="349"/>
      <c r="X116" s="349"/>
      <c r="Y116" s="349"/>
      <c r="Z116" s="349"/>
      <c r="AA116" s="349"/>
      <c r="AB116" s="349"/>
      <c r="AC116" s="1076"/>
    </row>
    <row r="117" spans="1:29" ht="15.75" customHeight="1" x14ac:dyDescent="0.25">
      <c r="A117" s="1030" t="s">
        <v>4678</v>
      </c>
      <c r="B117" s="438">
        <v>47</v>
      </c>
      <c r="C117" s="438"/>
      <c r="D117" s="439" t="s">
        <v>13</v>
      </c>
      <c r="E117" s="439" t="s">
        <v>28</v>
      </c>
      <c r="F117" s="440"/>
      <c r="G117" s="440"/>
      <c r="H117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7" s="449" t="str">
        <f>CONCATENATE(Таблица47[[#This Row],[№ заявки в 1С]],Таблица47[[#This Row],[Наименование            ]])</f>
        <v>47[87833] 1806-93, 6,0м, сплав 6063 КР, состТ6, упаковка.Т5</v>
      </c>
      <c r="J117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7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7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7" s="461"/>
      <c r="N117" s="462">
        <v>1</v>
      </c>
      <c r="O117" s="1013" t="str">
        <f>IFERROR(Таблица47[[#This Row],[Количество хлыстов]]-Таблица47[[#This Row],[Обработано в 1С]]-Таблица47[[#This Row],[Корректировка]],"")</f>
        <v/>
      </c>
      <c r="P117" s="638" t="str">
        <f>IFERROR((((Таблица47[[#This Row],[Осталось сделать, хлыст]]*Таблица47[[#This Row],[длина]])*Таблица47[[#This Row],[Периметр]])/28),"")</f>
        <v/>
      </c>
      <c r="Q117" s="439" t="s">
        <v>680</v>
      </c>
      <c r="R117" s="458">
        <f>IFERROR(Таблица47[[#This Row],[Коли-
чество м.п.]]/Таблица47[[#This Row],[Количество хлыстов]],"")</f>
        <v>6</v>
      </c>
      <c r="S117" s="439" t="s">
        <v>4785</v>
      </c>
      <c r="T117" s="458">
        <v>6</v>
      </c>
      <c r="U117" s="459">
        <v>1</v>
      </c>
      <c r="V117" s="458">
        <v>0.41899999999999998</v>
      </c>
      <c r="W117" s="458">
        <v>0.75800000000000001</v>
      </c>
      <c r="X117" s="458">
        <v>2.5139999999999998</v>
      </c>
      <c r="Y117" s="458">
        <v>4.548</v>
      </c>
      <c r="Z117" s="458">
        <v>0.33</v>
      </c>
      <c r="AA117" s="458">
        <v>148.75</v>
      </c>
      <c r="AB117" s="458">
        <v>355</v>
      </c>
      <c r="AC117" s="460">
        <v>892.5</v>
      </c>
    </row>
    <row r="118" spans="1:29" ht="15.75" customHeight="1" x14ac:dyDescent="0.25">
      <c r="A118" s="1011" t="s">
        <v>4678</v>
      </c>
      <c r="B118" s="438">
        <v>48</v>
      </c>
      <c r="C118" s="438"/>
      <c r="D118" s="439" t="s">
        <v>13</v>
      </c>
      <c r="E118" s="439" t="s">
        <v>45</v>
      </c>
      <c r="F118" s="440"/>
      <c r="G118" s="440"/>
      <c r="H118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8" s="441" t="str">
        <f>CONCATENATE(Таблица47[[#This Row],[№ заявки в 1С]],Таблица47[[#This Row],[Наименование            ]])</f>
        <v>48[88113] 2606-24, 6,0м, 6063 Т6, уп.Т5</v>
      </c>
      <c r="J118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8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8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8" s="456"/>
      <c r="N118" s="457">
        <v>10</v>
      </c>
      <c r="O118" s="1013" t="str">
        <f>IFERROR(Таблица47[[#This Row],[Количество хлыстов]]-Таблица47[[#This Row],[Обработано в 1С]]-Таблица47[[#This Row],[Корректировка]],"")</f>
        <v/>
      </c>
      <c r="P118" s="638" t="str">
        <f>IFERROR((((Таблица47[[#This Row],[Осталось сделать, хлыст]]*Таблица47[[#This Row],[длина]])*Таблица47[[#This Row],[Периметр]])/28),"")</f>
        <v/>
      </c>
      <c r="Q118" s="439" t="s">
        <v>680</v>
      </c>
      <c r="R118" s="458">
        <f>IFERROR(Таблица47[[#This Row],[Коли-
чество м.п.]]/Таблица47[[#This Row],[Количество хлыстов]],"")</f>
        <v>6</v>
      </c>
      <c r="S118" s="439" t="s">
        <v>4786</v>
      </c>
      <c r="T118" s="458">
        <v>60</v>
      </c>
      <c r="U118" s="459">
        <v>10</v>
      </c>
      <c r="V118" s="458">
        <v>0.2893</v>
      </c>
      <c r="W118" s="458">
        <v>1.48</v>
      </c>
      <c r="X118" s="458">
        <v>17.358000000000001</v>
      </c>
      <c r="Y118" s="458">
        <v>88.8</v>
      </c>
      <c r="Z118" s="458">
        <v>2.2599999999999998</v>
      </c>
      <c r="AA118" s="458">
        <v>88.24</v>
      </c>
      <c r="AB118" s="458">
        <v>305</v>
      </c>
      <c r="AC118" s="460">
        <v>5294.19</v>
      </c>
    </row>
    <row r="119" spans="1:29" ht="15.75" customHeight="1" x14ac:dyDescent="0.25">
      <c r="A119" s="1030" t="s">
        <v>4939</v>
      </c>
      <c r="B119" s="467">
        <v>56</v>
      </c>
      <c r="C119" s="467"/>
      <c r="D119" s="468" t="s">
        <v>13</v>
      </c>
      <c r="E119" s="468" t="s">
        <v>663</v>
      </c>
      <c r="F119" s="469">
        <v>45321</v>
      </c>
      <c r="G119" s="469"/>
      <c r="H119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19" s="476" t="str">
        <f>CONCATENATE(Таблица47[[#This Row],[№ заявки в 1С]],Таблица47[[#This Row],[Наименование            ]])</f>
        <v>56[76221] 220650 (1606-52, АВА-3665) бортовой боковой 3,2м сплав 6063 Т6</v>
      </c>
      <c r="J119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19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19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19" s="1038"/>
      <c r="N119" s="1038">
        <v>350</v>
      </c>
      <c r="O119" s="1013" t="str">
        <f>IFERROR(Таблица47[[#This Row],[Количество хлыстов]]-Таблица47[[#This Row],[Обработано в 1С]]-Таблица47[[#This Row],[Корректировка]],"")</f>
        <v/>
      </c>
      <c r="P119" s="638" t="str">
        <f>IFERROR((((Таблица47[[#This Row],[Осталось сделать, хлыст]]*Таблица47[[#This Row],[длина]])*Таблица47[[#This Row],[Периметр]])/28),"")</f>
        <v/>
      </c>
      <c r="Q119" s="468"/>
      <c r="R119" s="489">
        <f>IFERROR(Таблица47[[#This Row],[Коли-
чество м.п.]]/Таблица47[[#This Row],[Количество хлыстов]],"")</f>
        <v>3.2</v>
      </c>
      <c r="S119" s="468" t="s">
        <v>4459</v>
      </c>
      <c r="T119" s="489">
        <v>1120</v>
      </c>
      <c r="U119" s="490">
        <v>350</v>
      </c>
      <c r="V119" s="489">
        <v>0.31</v>
      </c>
      <c r="W119" s="489">
        <v>1.2010000000000001</v>
      </c>
      <c r="X119" s="1077">
        <v>347.2</v>
      </c>
      <c r="Y119" s="1077">
        <v>1345.12</v>
      </c>
      <c r="Z119" s="489">
        <v>45.14</v>
      </c>
      <c r="AA119" s="489">
        <v>94.55</v>
      </c>
      <c r="AB119" s="489">
        <v>305</v>
      </c>
      <c r="AC119" s="1037">
        <v>105896</v>
      </c>
    </row>
    <row r="120" spans="1:29" ht="15.75" customHeight="1" x14ac:dyDescent="0.25">
      <c r="A120" s="1030" t="s">
        <v>4939</v>
      </c>
      <c r="B120" s="467">
        <v>56</v>
      </c>
      <c r="C120" s="467"/>
      <c r="D120" s="468" t="s">
        <v>13</v>
      </c>
      <c r="E120" s="468" t="s">
        <v>663</v>
      </c>
      <c r="F120" s="469">
        <v>45321</v>
      </c>
      <c r="G120" s="469"/>
      <c r="H120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0" s="519" t="str">
        <f>CONCATENATE(Таблица47[[#This Row],[№ заявки в 1С]],Таблица47[[#This Row],[Наименование            ]])</f>
        <v>56[76222] 220650 (1606-52, АВА-3665) бортовой боковой 4,0м сплав 6063 Т6</v>
      </c>
      <c r="J120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0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0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0" s="1035"/>
      <c r="N120" s="1035">
        <v>379</v>
      </c>
      <c r="O120" s="1013" t="str">
        <f>IFERROR(Таблица47[[#This Row],[Количество хлыстов]]-Таблица47[[#This Row],[Обработано в 1С]]-Таблица47[[#This Row],[Корректировка]],"")</f>
        <v/>
      </c>
      <c r="P120" s="638" t="str">
        <f>IFERROR((((Таблица47[[#This Row],[Осталось сделать, хлыст]]*Таблица47[[#This Row],[длина]])*Таблица47[[#This Row],[Периметр]])/28),"")</f>
        <v/>
      </c>
      <c r="Q120" s="468"/>
      <c r="R120" s="489">
        <f>IFERROR(Таблица47[[#This Row],[Коли-
чество м.п.]]/Таблица47[[#This Row],[Количество хлыстов]],"")</f>
        <v>4</v>
      </c>
      <c r="S120" s="468" t="s">
        <v>4460</v>
      </c>
      <c r="T120" s="489">
        <v>1516</v>
      </c>
      <c r="U120" s="490">
        <v>379</v>
      </c>
      <c r="V120" s="489">
        <v>0.31</v>
      </c>
      <c r="W120" s="489">
        <v>1.2010000000000001</v>
      </c>
      <c r="X120" s="489">
        <v>469.96</v>
      </c>
      <c r="Y120" s="489">
        <v>1820.7159999999999</v>
      </c>
      <c r="Z120" s="489">
        <v>61.09</v>
      </c>
      <c r="AA120" s="489">
        <v>94.55</v>
      </c>
      <c r="AB120" s="489">
        <v>305</v>
      </c>
      <c r="AC120" s="1037">
        <v>143337.79999999999</v>
      </c>
    </row>
    <row r="121" spans="1:29" ht="15.75" customHeight="1" x14ac:dyDescent="0.25">
      <c r="A121" s="1030" t="s">
        <v>4939</v>
      </c>
      <c r="B121" s="467">
        <v>56</v>
      </c>
      <c r="C121" s="467"/>
      <c r="D121" s="468" t="s">
        <v>13</v>
      </c>
      <c r="E121" s="468" t="s">
        <v>663</v>
      </c>
      <c r="F121" s="469">
        <v>45321</v>
      </c>
      <c r="G121" s="469"/>
      <c r="H121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1" s="476" t="str">
        <f>CONCATENATE(Таблица47[[#This Row],[№ заявки в 1С]],Таблица47[[#This Row],[Наименование            ]])</f>
        <v>56[76034] 220650 (1606-52, АВА-3665) бортовой боковой 6,0м сплав 6063 Т6</v>
      </c>
      <c r="J121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1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1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1" s="1038"/>
      <c r="N121" s="1038">
        <v>427</v>
      </c>
      <c r="O121" s="1013" t="str">
        <f>IFERROR(Таблица47[[#This Row],[Количество хлыстов]]-Таблица47[[#This Row],[Обработано в 1С]]-Таблица47[[#This Row],[Корректировка]],"")</f>
        <v/>
      </c>
      <c r="P121" s="638" t="str">
        <f>IFERROR((((Таблица47[[#This Row],[Осталось сделать, хлыст]]*Таблица47[[#This Row],[длина]])*Таблица47[[#This Row],[Периметр]])/28),"")</f>
        <v/>
      </c>
      <c r="Q121" s="468"/>
      <c r="R121" s="489">
        <f>IFERROR(Таблица47[[#This Row],[Коли-
чество м.п.]]/Таблица47[[#This Row],[Количество хлыстов]],"")</f>
        <v>6</v>
      </c>
      <c r="S121" s="468" t="s">
        <v>4461</v>
      </c>
      <c r="T121" s="489">
        <v>2562</v>
      </c>
      <c r="U121" s="490">
        <v>427</v>
      </c>
      <c r="V121" s="489">
        <v>0.31</v>
      </c>
      <c r="W121" s="489">
        <v>1.2010000000000001</v>
      </c>
      <c r="X121" s="489">
        <v>794.22</v>
      </c>
      <c r="Y121" s="489">
        <v>3076.962</v>
      </c>
      <c r="Z121" s="489">
        <v>103.25</v>
      </c>
      <c r="AA121" s="489">
        <v>94.55</v>
      </c>
      <c r="AB121" s="489">
        <v>305</v>
      </c>
      <c r="AC121" s="1037">
        <v>242237.1</v>
      </c>
    </row>
    <row r="122" spans="1:29" ht="15.75" customHeight="1" x14ac:dyDescent="0.25">
      <c r="A122" s="1030" t="s">
        <v>4939</v>
      </c>
      <c r="B122" s="467">
        <v>56</v>
      </c>
      <c r="C122" s="467"/>
      <c r="D122" s="468" t="s">
        <v>13</v>
      </c>
      <c r="E122" s="468" t="s">
        <v>663</v>
      </c>
      <c r="F122" s="469">
        <v>45321</v>
      </c>
      <c r="G122" s="469"/>
      <c r="H122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2" s="519" t="str">
        <f>CONCATENATE(Таблица47[[#This Row],[№ заявки в 1С]],Таблица47[[#This Row],[Наименование            ]])</f>
        <v>56[85300] ручка боковой защиты (221148) 6,0м сплав 6063 Т6</v>
      </c>
      <c r="J122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2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2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2" s="1035">
        <v>1</v>
      </c>
      <c r="N122" s="1035">
        <v>40</v>
      </c>
      <c r="O122" s="1013" t="str">
        <f>IFERROR(Таблица47[[#This Row],[Количество хлыстов]]-Таблица47[[#This Row],[Обработано в 1С]]-Таблица47[[#This Row],[Корректировка]],"")</f>
        <v/>
      </c>
      <c r="P122" s="638" t="str">
        <f>IFERROR((((Таблица47[[#This Row],[Осталось сделать, хлыст]]*Таблица47[[#This Row],[длина]])*Таблица47[[#This Row],[Периметр]])/28),"")</f>
        <v/>
      </c>
      <c r="Q122" s="468" t="s">
        <v>559</v>
      </c>
      <c r="R122" s="489">
        <f>IFERROR(Таблица47[[#This Row],[Коли-
чество м.п.]]/Таблица47[[#This Row],[Количество хлыстов]],"")</f>
        <v>6</v>
      </c>
      <c r="S122" s="468" t="s">
        <v>4732</v>
      </c>
      <c r="T122" s="489">
        <v>246</v>
      </c>
      <c r="U122" s="490">
        <v>41</v>
      </c>
      <c r="V122" s="489">
        <v>0.47549999999999998</v>
      </c>
      <c r="W122" s="489">
        <v>1.486</v>
      </c>
      <c r="X122" s="489">
        <v>116.973</v>
      </c>
      <c r="Y122" s="489">
        <v>365.55599999999998</v>
      </c>
      <c r="Z122" s="489">
        <v>15.21</v>
      </c>
      <c r="AA122" s="489">
        <v>145.03</v>
      </c>
      <c r="AB122" s="489">
        <v>305</v>
      </c>
      <c r="AC122" s="1037">
        <v>35677.379999999997</v>
      </c>
    </row>
    <row r="123" spans="1:29" ht="15.75" customHeight="1" x14ac:dyDescent="0.25">
      <c r="A123" s="1030" t="s">
        <v>4939</v>
      </c>
      <c r="B123" s="467">
        <v>57</v>
      </c>
      <c r="C123" s="467"/>
      <c r="D123" s="468" t="s">
        <v>13</v>
      </c>
      <c r="E123" s="468" t="s">
        <v>4247</v>
      </c>
      <c r="F123" s="469">
        <v>45321</v>
      </c>
      <c r="G123" s="469"/>
      <c r="H123" s="4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3" s="476" t="str">
        <f>CONCATENATE(Таблица47[[#This Row],[№ заявки в 1С]],Таблица47[[#This Row],[Наименование            ]])</f>
        <v>57[76034] 220650 (1606-52, АВА-3665) бортовой боковой 6,0м сплав 6063 Т6</v>
      </c>
      <c r="J123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3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3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3" s="1038"/>
      <c r="N123" s="1038">
        <v>180</v>
      </c>
      <c r="O123" s="1013" t="str">
        <f>IFERROR(Таблица47[[#This Row],[Количество хлыстов]]-Таблица47[[#This Row],[Обработано в 1С]]-Таблица47[[#This Row],[Корректировка]],"")</f>
        <v/>
      </c>
      <c r="P123" s="638" t="str">
        <f>IFERROR((((Таблица47[[#This Row],[Осталось сделать, хлыст]]*Таблица47[[#This Row],[длина]])*Таблица47[[#This Row],[Периметр]])/28),"")</f>
        <v/>
      </c>
      <c r="Q123" s="468"/>
      <c r="R123" s="489">
        <f>IFERROR(Таблица47[[#This Row],[Коли-
чество м.п.]]/Таблица47[[#This Row],[Количество хлыстов]],"")</f>
        <v>6</v>
      </c>
      <c r="S123" s="468" t="s">
        <v>4461</v>
      </c>
      <c r="T123" s="489">
        <v>1080</v>
      </c>
      <c r="U123" s="490">
        <v>180</v>
      </c>
      <c r="V123" s="489">
        <v>0.31</v>
      </c>
      <c r="W123" s="489">
        <v>1.2010000000000001</v>
      </c>
      <c r="X123" s="489">
        <v>334.8</v>
      </c>
      <c r="Y123" s="489">
        <v>1297.08</v>
      </c>
      <c r="Z123" s="489">
        <v>43.52</v>
      </c>
      <c r="AA123" s="489">
        <v>94.55</v>
      </c>
      <c r="AB123" s="489">
        <v>305</v>
      </c>
      <c r="AC123" s="1037">
        <v>102114</v>
      </c>
    </row>
    <row r="124" spans="1:29" ht="15.75" customHeight="1" x14ac:dyDescent="0.25">
      <c r="A124" s="1030" t="s">
        <v>4939</v>
      </c>
      <c r="B124" s="467">
        <v>58</v>
      </c>
      <c r="C124" s="467"/>
      <c r="D124" s="468" t="s">
        <v>13</v>
      </c>
      <c r="E124" s="468" t="s">
        <v>4738</v>
      </c>
      <c r="F124" s="469">
        <v>45321</v>
      </c>
      <c r="G124" s="469"/>
      <c r="H124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4" s="519" t="str">
        <f>CONCATENATE(Таблица47[[#This Row],[№ заявки в 1С]],Таблица47[[#This Row],[Наименование            ]])</f>
        <v>58[76034] 220650 (1606-52, АВА-3665) бортовой боковой 6,0м сплав 6063 Т6</v>
      </c>
      <c r="J124" s="1035">
        <v>34</v>
      </c>
      <c r="K124" s="1035">
        <v>34</v>
      </c>
      <c r="L124" s="1035">
        <v>34</v>
      </c>
      <c r="M124" s="1035"/>
      <c r="N124" s="1035">
        <v>34</v>
      </c>
      <c r="O124" s="1013">
        <f>IFERROR(Таблица47[[#This Row],[Количество хлыстов]]-Таблица47[[#This Row],[Обработано в 1С]]-Таблица47[[#This Row],[Корректировка]],"")</f>
        <v>0</v>
      </c>
      <c r="P124" s="638">
        <f>IFERROR((((Таблица47[[#This Row],[Осталось сделать, хлыст]]*Таблица47[[#This Row],[длина]])*Таблица47[[#This Row],[Периметр]])/28),"")</f>
        <v>0</v>
      </c>
      <c r="Q124" s="468"/>
      <c r="R124" s="489">
        <f>IFERROR(Таблица47[[#This Row],[Коли-
чество м.п.]]/Таблица47[[#This Row],[Количество хлыстов]],"")</f>
        <v>6</v>
      </c>
      <c r="S124" s="468" t="s">
        <v>4461</v>
      </c>
      <c r="T124" s="489">
        <v>204</v>
      </c>
      <c r="U124" s="490">
        <v>34</v>
      </c>
      <c r="V124" s="489">
        <v>0.31</v>
      </c>
      <c r="W124" s="489">
        <v>1.2010000000000001</v>
      </c>
      <c r="X124" s="489">
        <v>451.98</v>
      </c>
      <c r="Y124" s="489">
        <v>1751.058</v>
      </c>
      <c r="Z124" s="489">
        <v>58.76</v>
      </c>
      <c r="AA124" s="489">
        <v>94.55</v>
      </c>
      <c r="AB124" s="489">
        <v>305</v>
      </c>
      <c r="AC124" s="1037">
        <v>137853.9</v>
      </c>
    </row>
    <row r="125" spans="1:29" ht="15.75" customHeight="1" x14ac:dyDescent="0.25">
      <c r="A125" s="1011" t="s">
        <v>4678</v>
      </c>
      <c r="B125" s="438">
        <v>59</v>
      </c>
      <c r="C125" s="438"/>
      <c r="D125" s="439" t="s">
        <v>34</v>
      </c>
      <c r="E125" s="439" t="s">
        <v>79</v>
      </c>
      <c r="F125" s="440">
        <v>45321</v>
      </c>
      <c r="G125" s="440"/>
      <c r="H12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5" s="449" t="str">
        <f>CONCATENATE(Таблица47[[#This Row],[№ заявки в 1С]],Таблица47[[#This Row],[Наименование            ]])</f>
        <v>59[34579] 0906-44 (АТ-6052), 6,0м, БА с перфорацией</v>
      </c>
      <c r="J125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5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5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5" s="461">
        <v>3</v>
      </c>
      <c r="N125" s="462">
        <v>483</v>
      </c>
      <c r="O125" s="1013" t="str">
        <f>IFERROR(Таблица47[[#This Row],[Количество хлыстов]]-Таблица47[[#This Row],[Обработано в 1С]]-Таблица47[[#This Row],[Корректировка]],"")</f>
        <v/>
      </c>
      <c r="P125" s="638" t="str">
        <f>IFERROR((((Таблица47[[#This Row],[Осталось сделать, хлыст]]*Таблица47[[#This Row],[длина]])*Таблица47[[#This Row],[Периметр]])/28),"")</f>
        <v/>
      </c>
      <c r="Q125" s="439" t="s">
        <v>5713</v>
      </c>
      <c r="R125" s="458">
        <f>IFERROR(Таблица47[[#This Row],[Коли-
чество м.п.]]/Таблица47[[#This Row],[Количество хлыстов]],"")</f>
        <v>6</v>
      </c>
      <c r="S125" s="439" t="s">
        <v>78</v>
      </c>
      <c r="T125" s="458">
        <v>2916</v>
      </c>
      <c r="U125" s="459">
        <v>486</v>
      </c>
      <c r="V125" s="458">
        <v>0.20230000000000001</v>
      </c>
      <c r="W125" s="458">
        <v>0.499</v>
      </c>
      <c r="X125" s="458">
        <v>589.90679999999998</v>
      </c>
      <c r="Y125" s="458">
        <v>1455.0840000000001</v>
      </c>
      <c r="Z125" s="458">
        <v>76.69</v>
      </c>
      <c r="AA125" s="458">
        <v>63.72</v>
      </c>
      <c r="AB125" s="458">
        <v>315</v>
      </c>
      <c r="AC125" s="460">
        <v>185820.64</v>
      </c>
    </row>
    <row r="126" spans="1:29" ht="15.75" customHeight="1" x14ac:dyDescent="0.25">
      <c r="A126" s="1066" t="s">
        <v>4678</v>
      </c>
      <c r="B126" s="350">
        <v>51</v>
      </c>
      <c r="C126" s="350" t="s">
        <v>4753</v>
      </c>
      <c r="D126" s="1024" t="s">
        <v>34</v>
      </c>
      <c r="E126" s="1024" t="s">
        <v>4467</v>
      </c>
      <c r="F126" s="320">
        <v>45321</v>
      </c>
      <c r="G126" s="320"/>
      <c r="H126" s="102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6" s="441" t="str">
        <f>CONCATENATE(Таблица47[[#This Row],[№ заявки в 1С]],Таблица47[[#This Row],[Наименование            ]])</f>
        <v>5120х40 V-slot, длина 6,05м, БЦ анод 10мкм с дробью</v>
      </c>
      <c r="J126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6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6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6" s="456"/>
      <c r="N126" s="457">
        <v>36</v>
      </c>
      <c r="O126" s="1013" t="str">
        <f>IFERROR(Таблица47[[#This Row],[Количество хлыстов]]-Таблица47[[#This Row],[Обработано в 1С]]-Таблица47[[#This Row],[Корректировка]],"")</f>
        <v/>
      </c>
      <c r="P126" s="638" t="str">
        <f>IFERROR((((Таблица47[[#This Row],[Осталось сделать, хлыст]]*Таблица47[[#This Row],[длина]])*Таблица47[[#This Row],[Периметр]])/28),"")</f>
        <v/>
      </c>
      <c r="Q126" s="307" t="s">
        <v>4795</v>
      </c>
      <c r="R126" s="1078">
        <f>IFERROR(Таблица47[[#This Row],[Коли-
чество м.п.]]/Таблица47[[#This Row],[Количество хлыстов]],"")</f>
        <v>6.0500000000000007</v>
      </c>
      <c r="S126" s="1024" t="s">
        <v>3929</v>
      </c>
      <c r="T126" s="1024">
        <v>217.8</v>
      </c>
      <c r="U126" s="1023">
        <f>Таблица47[[#This Row],[Коли-
чество м.п.]]/6.05</f>
        <v>36</v>
      </c>
      <c r="V126" s="1024"/>
      <c r="W126" s="1024"/>
      <c r="X126" s="1024"/>
      <c r="Y126" s="1024"/>
      <c r="Z126" s="1024"/>
      <c r="AA126" s="1024"/>
      <c r="AB126" s="1024"/>
      <c r="AC126" s="1026"/>
    </row>
    <row r="127" spans="1:29" ht="15.75" customHeight="1" x14ac:dyDescent="0.25">
      <c r="A127" s="427" t="s">
        <v>4678</v>
      </c>
      <c r="B127" s="309">
        <v>51</v>
      </c>
      <c r="C127" s="309" t="s">
        <v>4753</v>
      </c>
      <c r="D127" s="303" t="s">
        <v>34</v>
      </c>
      <c r="E127" s="303" t="s">
        <v>4467</v>
      </c>
      <c r="F127" s="528">
        <v>45321</v>
      </c>
      <c r="G127" s="528"/>
      <c r="H12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7" s="449" t="str">
        <f>CONCATENATE(Таблица47[[#This Row],[№ заявки в 1С]],Таблица47[[#This Row],[Наименование            ]])</f>
        <v>5145х90 B-Rxrt, длина 6,05м, БЦ анод 10мкм с дробью</v>
      </c>
      <c r="J127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7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7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7" s="461"/>
      <c r="N127" s="462">
        <v>18</v>
      </c>
      <c r="O127" s="1013" t="str">
        <f>IFERROR(Таблица47[[#This Row],[Количество хлыстов]]-Таблица47[[#This Row],[Обработано в 1С]]-Таблица47[[#This Row],[Корректировка]],"")</f>
        <v/>
      </c>
      <c r="P127" s="638" t="str">
        <f>IFERROR((((Таблица47[[#This Row],[Осталось сделать, хлыст]]*Таблица47[[#This Row],[длина]])*Таблица47[[#This Row],[Периметр]])/28),"")</f>
        <v/>
      </c>
      <c r="Q127" s="307" t="s">
        <v>4796</v>
      </c>
      <c r="R127" s="1078">
        <f>IFERROR(Таблица47[[#This Row],[Коли-
чество м.п.]]/Таблица47[[#This Row],[Количество хлыстов]],"")</f>
        <v>6.0500000000000007</v>
      </c>
      <c r="S127" s="303" t="s">
        <v>4586</v>
      </c>
      <c r="T127" s="303">
        <v>108.9</v>
      </c>
      <c r="U127" s="1023">
        <f>Таблица47[[#This Row],[Коли-
чество м.п.]]/6.05</f>
        <v>18</v>
      </c>
      <c r="V127" s="303"/>
      <c r="W127" s="303"/>
      <c r="X127" s="303"/>
      <c r="Y127" s="303"/>
      <c r="Z127" s="303"/>
      <c r="AA127" s="303"/>
      <c r="AB127" s="303"/>
      <c r="AC127" s="641"/>
    </row>
    <row r="128" spans="1:29" ht="15.75" customHeight="1" x14ac:dyDescent="0.25">
      <c r="A128" s="427" t="s">
        <v>4678</v>
      </c>
      <c r="B128" s="309">
        <v>51</v>
      </c>
      <c r="C128" s="309" t="s">
        <v>4753</v>
      </c>
      <c r="D128" s="303" t="s">
        <v>34</v>
      </c>
      <c r="E128" s="303" t="s">
        <v>4467</v>
      </c>
      <c r="F128" s="528">
        <v>45321</v>
      </c>
      <c r="G128" s="528"/>
      <c r="H12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8" s="441" t="str">
        <f>CONCATENATE(Таблица47[[#This Row],[№ заявки в 1С]],Таблица47[[#This Row],[Наименование            ]])</f>
        <v>5140х40 B-Rxrt, длина 6,05м, БЦ анод 10мкм с дробью</v>
      </c>
      <c r="J128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8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8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8" s="456"/>
      <c r="N128" s="457">
        <v>24</v>
      </c>
      <c r="O128" s="1013" t="str">
        <f>IFERROR(Таблица47[[#This Row],[Количество хлыстов]]-Таблица47[[#This Row],[Обработано в 1С]]-Таблица47[[#This Row],[Корректировка]],"")</f>
        <v/>
      </c>
      <c r="P128" s="638" t="str">
        <f>IFERROR((((Таблица47[[#This Row],[Осталось сделать, хлыст]]*Таблица47[[#This Row],[длина]])*Таблица47[[#This Row],[Периметр]])/28),"")</f>
        <v/>
      </c>
      <c r="Q128" s="307" t="s">
        <v>4797</v>
      </c>
      <c r="R128" s="1078">
        <f>IFERROR(Таблица47[[#This Row],[Коли-
чество м.п.]]/Таблица47[[#This Row],[Количество хлыстов]],"")</f>
        <v>6.05</v>
      </c>
      <c r="S128" s="303" t="s">
        <v>3866</v>
      </c>
      <c r="T128" s="303">
        <v>145.19999999999999</v>
      </c>
      <c r="U128" s="1023">
        <f>Таблица47[[#This Row],[Коли-
чество м.п.]]/6.05</f>
        <v>24</v>
      </c>
      <c r="V128" s="303"/>
      <c r="W128" s="303"/>
      <c r="X128" s="303"/>
      <c r="Y128" s="303"/>
      <c r="Z128" s="303"/>
      <c r="AA128" s="303"/>
      <c r="AB128" s="303"/>
      <c r="AC128" s="641"/>
    </row>
    <row r="129" spans="1:29" ht="15.75" customHeight="1" x14ac:dyDescent="0.25">
      <c r="A129" s="427" t="s">
        <v>4678</v>
      </c>
      <c r="B129" s="309">
        <v>51</v>
      </c>
      <c r="C129" s="309" t="s">
        <v>4753</v>
      </c>
      <c r="D129" s="304" t="s">
        <v>34</v>
      </c>
      <c r="E129" s="304" t="s">
        <v>4467</v>
      </c>
      <c r="F129" s="310">
        <v>45321</v>
      </c>
      <c r="G129" s="310"/>
      <c r="H129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29" s="449" t="str">
        <f>CONCATENATE(Таблица47[[#This Row],[№ заявки в 1С]],Таблица47[[#This Row],[Наименование            ]])</f>
        <v>5130х30 B-Rxrt, длина 6,05м, БЦ анод 10мкм с дробью</v>
      </c>
      <c r="J129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29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29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29" s="461"/>
      <c r="N129" s="462">
        <v>66</v>
      </c>
      <c r="O129" s="1013" t="str">
        <f>IFERROR(Таблица47[[#This Row],[Количество хлыстов]]-Таблица47[[#This Row],[Обработано в 1С]]-Таблица47[[#This Row],[Корректировка]],"")</f>
        <v/>
      </c>
      <c r="P129" s="638" t="str">
        <f>IFERROR((((Таблица47[[#This Row],[Осталось сделать, хлыст]]*Таблица47[[#This Row],[длина]])*Таблица47[[#This Row],[Периметр]])/28),"")</f>
        <v/>
      </c>
      <c r="Q129" s="307" t="s">
        <v>4798</v>
      </c>
      <c r="R129" s="1078">
        <f>IFERROR(Таблица47[[#This Row],[Коли-
чество м.п.]]/Таблица47[[#This Row],[Количество хлыстов]],"")</f>
        <v>6.05</v>
      </c>
      <c r="S129" s="304" t="s">
        <v>4053</v>
      </c>
      <c r="T129" s="304">
        <v>399.3</v>
      </c>
      <c r="U129" s="1023">
        <f>Таблица47[[#This Row],[Коли-
чество м.п.]]/6.05</f>
        <v>66</v>
      </c>
      <c r="V129" s="304"/>
      <c r="W129" s="304"/>
      <c r="X129" s="304"/>
      <c r="Y129" s="304"/>
      <c r="Z129" s="304"/>
      <c r="AA129" s="304"/>
      <c r="AB129" s="304"/>
      <c r="AC129" s="1019"/>
    </row>
    <row r="130" spans="1:29" s="1021" customFormat="1" ht="30.75" customHeight="1" x14ac:dyDescent="0.25">
      <c r="A130" s="979" t="s">
        <v>4978</v>
      </c>
      <c r="B130" s="980">
        <v>61</v>
      </c>
      <c r="C130" s="980"/>
      <c r="D130" s="509" t="s">
        <v>13</v>
      </c>
      <c r="E130" s="509" t="s">
        <v>4722</v>
      </c>
      <c r="F130" s="510">
        <v>45322</v>
      </c>
      <c r="G130" s="510"/>
      <c r="H130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0" s="511" t="str">
        <f>CONCATENATE(Таблица47[[#This Row],[№ заявки в 1С]],Таблица47[[#This Row],[Наименование            ]])</f>
        <v>61[86431] 1806-86, 6,0м, Ад31 Т1</v>
      </c>
      <c r="J130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0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0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0" s="981"/>
      <c r="N130" s="982">
        <v>50</v>
      </c>
      <c r="O130" s="1020" t="str">
        <f>IFERROR(Таблица47[[#This Row],[Количество хлыстов]]-Таблица47[[#This Row],[Обработано в 1С]]-Таблица47[[#This Row],[Корректировка]],"")</f>
        <v/>
      </c>
      <c r="P130" s="638" t="str">
        <f>IFERROR((((Таблица47[[#This Row],[Осталось сделать, хлыст]]*Таблица47[[#This Row],[длина]])*Таблица47[[#This Row],[Периметр]])/28),"")</f>
        <v/>
      </c>
      <c r="Q130" s="983" t="s">
        <v>4802</v>
      </c>
      <c r="R130" s="993">
        <f>IFERROR(Таблица47[[#This Row],[Коли-
чество м.п.]]/Таблица47[[#This Row],[Количество хлыстов]],"")</f>
        <v>6</v>
      </c>
      <c r="S130" s="509" t="s">
        <v>4801</v>
      </c>
      <c r="T130" s="984">
        <v>300</v>
      </c>
      <c r="U130" s="985">
        <v>50</v>
      </c>
      <c r="V130" s="984">
        <v>0.33300000000000002</v>
      </c>
      <c r="W130" s="984">
        <v>0.86599999999999999</v>
      </c>
      <c r="X130" s="984">
        <v>99.9</v>
      </c>
      <c r="Y130" s="984">
        <v>259.8</v>
      </c>
      <c r="Z130" s="984">
        <v>12.99</v>
      </c>
      <c r="AA130" s="984">
        <v>103.23</v>
      </c>
      <c r="AB130" s="984">
        <v>310</v>
      </c>
      <c r="AC130" s="986">
        <v>30969</v>
      </c>
    </row>
    <row r="131" spans="1:29" s="1021" customFormat="1" ht="30.75" customHeight="1" x14ac:dyDescent="0.25">
      <c r="A131" s="979" t="s">
        <v>4978</v>
      </c>
      <c r="B131" s="980">
        <v>62</v>
      </c>
      <c r="C131" s="980"/>
      <c r="D131" s="509" t="s">
        <v>13</v>
      </c>
      <c r="E131" s="509" t="s">
        <v>4722</v>
      </c>
      <c r="F131" s="510">
        <v>45322</v>
      </c>
      <c r="G131" s="510"/>
      <c r="H131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1" s="511" t="str">
        <f>CONCATENATE(Таблица47[[#This Row],[№ заявки в 1С]],Таблица47[[#This Row],[Наименование            ]])</f>
        <v>62[86431] 1806-86, 6,0м, Ад31 Т1</v>
      </c>
      <c r="J131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1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1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1" s="981"/>
      <c r="N131" s="982">
        <v>50</v>
      </c>
      <c r="O131" s="1020" t="str">
        <f>IFERROR(Таблица47[[#This Row],[Количество хлыстов]]-Таблица47[[#This Row],[Обработано в 1С]]-Таблица47[[#This Row],[Корректировка]],"")</f>
        <v/>
      </c>
      <c r="P131" s="638" t="str">
        <f>IFERROR((((Таблица47[[#This Row],[Осталось сделать, хлыст]]*Таблица47[[#This Row],[длина]])*Таблица47[[#This Row],[Периметр]])/28),"")</f>
        <v/>
      </c>
      <c r="Q131" s="983" t="s">
        <v>4803</v>
      </c>
      <c r="R131" s="993">
        <f>IFERROR(Таблица47[[#This Row],[Коли-
чество м.п.]]/Таблица47[[#This Row],[Количество хлыстов]],"")</f>
        <v>6</v>
      </c>
      <c r="S131" s="509" t="s">
        <v>4801</v>
      </c>
      <c r="T131" s="984">
        <v>300</v>
      </c>
      <c r="U131" s="985">
        <v>50</v>
      </c>
      <c r="V131" s="984">
        <v>0.33300000000000002</v>
      </c>
      <c r="W131" s="984">
        <v>0.86599999999999999</v>
      </c>
      <c r="X131" s="984">
        <v>99.9</v>
      </c>
      <c r="Y131" s="984">
        <v>259.8</v>
      </c>
      <c r="Z131" s="984">
        <v>12.99</v>
      </c>
      <c r="AA131" s="984">
        <v>103.23</v>
      </c>
      <c r="AB131" s="984">
        <v>310</v>
      </c>
      <c r="AC131" s="986">
        <v>30969</v>
      </c>
    </row>
    <row r="132" spans="1:29" ht="15.75" customHeight="1" x14ac:dyDescent="0.25">
      <c r="A132" s="427" t="s">
        <v>4678</v>
      </c>
      <c r="B132" s="309">
        <v>53</v>
      </c>
      <c r="C132" s="309" t="s">
        <v>4753</v>
      </c>
      <c r="D132" s="303" t="s">
        <v>13</v>
      </c>
      <c r="E132" s="303" t="s">
        <v>3401</v>
      </c>
      <c r="F132" s="528">
        <v>45323</v>
      </c>
      <c r="G132" s="528"/>
      <c r="H132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2" s="522" t="str">
        <f>CONCATENATE(Таблица47[[#This Row],[№ заявки в 1С]],Таблица47[[#This Row],[Наименование            ]])</f>
        <v xml:space="preserve">53П-обр 13,4*9ммм анодирование алюминиевого профиля (м.п.) </v>
      </c>
      <c r="J132" s="635">
        <v>45</v>
      </c>
      <c r="K132" s="635">
        <v>45</v>
      </c>
      <c r="L132" s="635">
        <v>45</v>
      </c>
      <c r="M132" s="635"/>
      <c r="N132" s="636">
        <v>45</v>
      </c>
      <c r="O132" s="1013">
        <f>IFERROR(Таблица47[[#This Row],[Количество хлыстов]]-Таблица47[[#This Row],[Обработано в 1С]]-Таблица47[[#This Row],[Корректировка]],"")</f>
        <v>0</v>
      </c>
      <c r="P132" s="638">
        <f>IFERROR((((Таблица47[[#This Row],[Осталось сделать, хлыст]]*Таблица47[[#This Row],[длина]])*Таблица47[[#This Row],[Периметр]])/28),"")</f>
        <v>0</v>
      </c>
      <c r="Q132" s="303" t="s">
        <v>4851</v>
      </c>
      <c r="R132" s="991">
        <f>IFERROR(Таблица47[[#This Row],[Коли-
чество м.п.]]/Таблица47[[#This Row],[Количество хлыстов]],"")</f>
        <v>6</v>
      </c>
      <c r="S132" s="303" t="s">
        <v>4821</v>
      </c>
      <c r="T132" s="639">
        <v>270</v>
      </c>
      <c r="U132" s="640">
        <v>45</v>
      </c>
      <c r="V132" s="639"/>
      <c r="W132" s="639"/>
      <c r="X132" s="639"/>
      <c r="Y132" s="639"/>
      <c r="Z132" s="639"/>
      <c r="AA132" s="639"/>
      <c r="AB132" s="639"/>
      <c r="AC132" s="641"/>
    </row>
    <row r="133" spans="1:29" s="1021" customFormat="1" ht="51.75" customHeight="1" x14ac:dyDescent="0.25">
      <c r="A133" s="979" t="s">
        <v>4978</v>
      </c>
      <c r="B133" s="1064">
        <v>64</v>
      </c>
      <c r="C133" s="1064"/>
      <c r="D133" s="509" t="s">
        <v>34</v>
      </c>
      <c r="E133" s="509" t="s">
        <v>4807</v>
      </c>
      <c r="F133" s="510">
        <v>45323</v>
      </c>
      <c r="G133" s="510"/>
      <c r="H133" s="50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3" s="606" t="str">
        <f>CONCATENATE(Таблица47[[#This Row],[№ заявки в 1С]],Таблица47[[#This Row],[Наименование            ]])</f>
        <v>64[64905] 216033, БОК, 6,0 м, сплав АД31Т1, БА</v>
      </c>
      <c r="J133" s="1073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3" s="1073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3" s="1073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3" s="1073"/>
      <c r="N133" s="1079">
        <v>196</v>
      </c>
      <c r="O133" s="1020" t="str">
        <f>IFERROR(Таблица47[[#This Row],[Количество хлыстов]]-Таблица47[[#This Row],[Обработано в 1С]]-Таблица47[[#This Row],[Корректировка]],"")</f>
        <v/>
      </c>
      <c r="P133" s="638" t="str">
        <f>IFERROR((((Таблица47[[#This Row],[Осталось сделать, хлыст]]*Таблица47[[#This Row],[длина]])*Таблица47[[#This Row],[Периметр]])/28),"")</f>
        <v/>
      </c>
      <c r="Q133" s="509" t="s">
        <v>4808</v>
      </c>
      <c r="R133" s="984">
        <f>IFERROR(Таблица47[[#This Row],[Коли-
чество м.п.]]/Таблица47[[#This Row],[Количество хлыстов]],"")</f>
        <v>6</v>
      </c>
      <c r="S133" s="509" t="s">
        <v>4804</v>
      </c>
      <c r="T133" s="984">
        <v>1176</v>
      </c>
      <c r="U133" s="1080">
        <v>196</v>
      </c>
      <c r="V133" s="984">
        <v>0.27610000000000001</v>
      </c>
      <c r="W133" s="984">
        <v>0.93400000000000005</v>
      </c>
      <c r="X133" s="984">
        <v>324.6936</v>
      </c>
      <c r="Y133" s="984">
        <v>1098.384</v>
      </c>
      <c r="Z133" s="984">
        <v>42.21</v>
      </c>
      <c r="AA133" s="984">
        <v>82.83</v>
      </c>
      <c r="AB133" s="984">
        <v>300</v>
      </c>
      <c r="AC133" s="986">
        <v>97408.08</v>
      </c>
    </row>
    <row r="134" spans="1:29" s="1021" customFormat="1" ht="15.75" customHeight="1" x14ac:dyDescent="0.25">
      <c r="A134" s="979" t="s">
        <v>4978</v>
      </c>
      <c r="B134" s="1064">
        <v>64</v>
      </c>
      <c r="C134" s="1064"/>
      <c r="D134" s="509" t="s">
        <v>34</v>
      </c>
      <c r="E134" s="509" t="s">
        <v>4807</v>
      </c>
      <c r="F134" s="510">
        <v>45323</v>
      </c>
      <c r="G134" s="510"/>
      <c r="H134" s="50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4" s="511" t="str">
        <f>CONCATENATE(Таблица47[[#This Row],[№ заявки в 1С]],Таблица47[[#This Row],[Наименование            ]])</f>
        <v>64[41108] 216074, ВЕРХНЯЯ БАЛКА, 5,95 м, сплав АД31Т1, БА</v>
      </c>
      <c r="J134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4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4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4" s="981"/>
      <c r="N134" s="982">
        <v>54</v>
      </c>
      <c r="O134" s="1020" t="str">
        <f>IFERROR(Таблица47[[#This Row],[Количество хлыстов]]-Таблица47[[#This Row],[Обработано в 1С]]-Таблица47[[#This Row],[Корректировка]],"")</f>
        <v/>
      </c>
      <c r="P134" s="638" t="str">
        <f>IFERROR((((Таблица47[[#This Row],[Осталось сделать, хлыст]]*Таблица47[[#This Row],[длина]])*Таблица47[[#This Row],[Периметр]])/28),"")</f>
        <v/>
      </c>
      <c r="Q134" s="509" t="s">
        <v>4808</v>
      </c>
      <c r="R134" s="984">
        <f>IFERROR(Таблица47[[#This Row],[Коли-
чество м.п.]]/Таблица47[[#This Row],[Количество хлыстов]],"")</f>
        <v>5.95</v>
      </c>
      <c r="S134" s="509" t="s">
        <v>4805</v>
      </c>
      <c r="T134" s="984">
        <v>321.3</v>
      </c>
      <c r="U134" s="985">
        <v>54</v>
      </c>
      <c r="V134" s="984">
        <v>0.58020000000000005</v>
      </c>
      <c r="W134" s="984">
        <v>1.306</v>
      </c>
      <c r="X134" s="984">
        <v>186.41829999999999</v>
      </c>
      <c r="Y134" s="984">
        <v>419.61779999999999</v>
      </c>
      <c r="Z134" s="984">
        <v>24.23</v>
      </c>
      <c r="AA134" s="984">
        <v>174.06</v>
      </c>
      <c r="AB134" s="984">
        <v>300</v>
      </c>
      <c r="AC134" s="986">
        <v>55925.48</v>
      </c>
    </row>
    <row r="135" spans="1:29" s="1021" customFormat="1" ht="15.75" customHeight="1" x14ac:dyDescent="0.25">
      <c r="A135" s="979" t="s">
        <v>4978</v>
      </c>
      <c r="B135" s="1064">
        <v>64</v>
      </c>
      <c r="C135" s="1064"/>
      <c r="D135" s="509" t="s">
        <v>34</v>
      </c>
      <c r="E135" s="509" t="s">
        <v>4807</v>
      </c>
      <c r="F135" s="510">
        <v>45323</v>
      </c>
      <c r="G135" s="510"/>
      <c r="H135" s="50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5" s="606" t="str">
        <f>CONCATENATE(Таблица47[[#This Row],[№ заявки в 1С]],Таблица47[[#This Row],[Наименование            ]])</f>
        <v>64[50071] 216004, рама, 5,3 м, сплав АД 31 Т1 , упаковка А3</v>
      </c>
      <c r="J135" s="1073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5" s="1073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5" s="1073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5" s="1073"/>
      <c r="N135" s="1079">
        <v>354</v>
      </c>
      <c r="O135" s="1020" t="str">
        <f>IFERROR(Таблица47[[#This Row],[Количество хлыстов]]-Таблица47[[#This Row],[Обработано в 1С]]-Таблица47[[#This Row],[Корректировка]],"")</f>
        <v/>
      </c>
      <c r="P135" s="638" t="str">
        <f>IFERROR((((Таблица47[[#This Row],[Осталось сделать, хлыст]]*Таблица47[[#This Row],[длина]])*Таблица47[[#This Row],[Периметр]])/28),"")</f>
        <v/>
      </c>
      <c r="Q135" s="509" t="s">
        <v>4808</v>
      </c>
      <c r="R135" s="984">
        <f>IFERROR(Таблица47[[#This Row],[Коли-
чество м.п.]]/Таблица47[[#This Row],[Количество хлыстов]],"")</f>
        <v>5.3</v>
      </c>
      <c r="S135" s="509" t="s">
        <v>4806</v>
      </c>
      <c r="T135" s="984">
        <v>1876.2</v>
      </c>
      <c r="U135" s="985">
        <v>354</v>
      </c>
      <c r="V135" s="984">
        <v>0.22270000000000001</v>
      </c>
      <c r="W135" s="984">
        <v>0.52700000000000002</v>
      </c>
      <c r="X135" s="984">
        <v>417.8297</v>
      </c>
      <c r="Y135" s="984">
        <v>988.75739999999996</v>
      </c>
      <c r="Z135" s="984">
        <v>54.32</v>
      </c>
      <c r="AA135" s="984">
        <v>66.81</v>
      </c>
      <c r="AB135" s="984">
        <v>300</v>
      </c>
      <c r="AC135" s="986">
        <v>125348.92</v>
      </c>
    </row>
    <row r="136" spans="1:29" ht="15.75" customHeight="1" x14ac:dyDescent="0.25">
      <c r="A136" s="1030" t="s">
        <v>4678</v>
      </c>
      <c r="B136" s="438">
        <v>65</v>
      </c>
      <c r="C136" s="438"/>
      <c r="D136" s="439" t="s">
        <v>13</v>
      </c>
      <c r="E136" s="439" t="s">
        <v>4725</v>
      </c>
      <c r="F136" s="440">
        <v>45323</v>
      </c>
      <c r="G136" s="440"/>
      <c r="H136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6" s="449" t="str">
        <f>CONCATENATE(Таблица47[[#This Row],[№ заявки в 1С]],Таблица47[[#This Row],[Наименование            ]])</f>
        <v>65[77780] автоуголок 250*40мм (97101,1706-75)  6,0м, сплав 6063 Т6 +  упаковка А5</v>
      </c>
      <c r="J136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6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6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6" s="461"/>
      <c r="N136" s="462">
        <v>156</v>
      </c>
      <c r="O136" s="1013" t="str">
        <f>IFERROR(Таблица47[[#This Row],[Количество хлыстов]]-Таблица47[[#This Row],[Обработано в 1С]]-Таблица47[[#This Row],[Корректировка]],"")</f>
        <v/>
      </c>
      <c r="P136" s="638" t="str">
        <f>IFERROR((((Таблица47[[#This Row],[Осталось сделать, хлыст]]*Таблица47[[#This Row],[длина]])*Таблица47[[#This Row],[Периметр]])/28),"")</f>
        <v/>
      </c>
      <c r="Q136" s="439"/>
      <c r="R136" s="458">
        <f>IFERROR(Таблица47[[#This Row],[Коли-
чество м.п.]]/Таблица47[[#This Row],[Количество хлыстов]],"")</f>
        <v>6</v>
      </c>
      <c r="S136" s="439" t="s">
        <v>4810</v>
      </c>
      <c r="T136" s="458">
        <v>936</v>
      </c>
      <c r="U136" s="459">
        <v>156</v>
      </c>
      <c r="V136" s="458">
        <v>0.60040000000000004</v>
      </c>
      <c r="W136" s="458">
        <v>2.5739999999999998</v>
      </c>
      <c r="X136" s="458">
        <v>561.97439999999995</v>
      </c>
      <c r="Y136" s="458">
        <v>2409.2640000000001</v>
      </c>
      <c r="Z136" s="458">
        <v>73.06</v>
      </c>
      <c r="AA136" s="458">
        <v>219.15</v>
      </c>
      <c r="AB136" s="458">
        <v>365</v>
      </c>
      <c r="AC136" s="460">
        <v>205120.66</v>
      </c>
    </row>
    <row r="137" spans="1:29" ht="15.75" customHeight="1" x14ac:dyDescent="0.25">
      <c r="A137" s="1030" t="s">
        <v>4678</v>
      </c>
      <c r="B137" s="438">
        <v>68</v>
      </c>
      <c r="C137" s="438"/>
      <c r="D137" s="439" t="s">
        <v>13</v>
      </c>
      <c r="E137" s="303" t="s">
        <v>292</v>
      </c>
      <c r="F137" s="440">
        <v>45323</v>
      </c>
      <c r="G137" s="469">
        <v>45414</v>
      </c>
      <c r="H137" s="574" t="s">
        <v>23</v>
      </c>
      <c r="I137" s="519" t="str">
        <f>CONCATENATE(Таблица47[[#This Row],[№ заявки в 1С]],Таблица47[[#This Row],[Наименование            ]])</f>
        <v>68[87626] 0106-107, 4,0м, 6063 Т6, уп.Т5</v>
      </c>
      <c r="J137" s="10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7" s="10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7" s="10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7" s="1035"/>
      <c r="N137" s="1036">
        <v>14</v>
      </c>
      <c r="O137" s="1013" t="str">
        <f>IFERROR(Таблица47[[#This Row],[Количество хлыстов]]-Таблица47[[#This Row],[Обработано в 1С]]-Таблица47[[#This Row],[Корректировка]],"")</f>
        <v/>
      </c>
      <c r="P137" s="638" t="str">
        <f>IFERROR((((Таблица47[[#This Row],[Осталось сделать, хлыст]]*Таблица47[[#This Row],[длина]])*Таблица47[[#This Row],[Периметр]])/28),"")</f>
        <v/>
      </c>
      <c r="Q137" s="469"/>
      <c r="R137" s="489">
        <f>IFERROR(Таблица47[[#This Row],[Коли-
чество м.п.]]/Таблица47[[#This Row],[Количество хлыстов]],"")</f>
        <v>4</v>
      </c>
      <c r="S137" s="468" t="s">
        <v>4544</v>
      </c>
      <c r="T137" s="489">
        <v>640</v>
      </c>
      <c r="U137" s="490">
        <v>160</v>
      </c>
      <c r="V137" s="489">
        <v>0.3266</v>
      </c>
      <c r="W137" s="489">
        <v>0.84099999999999997</v>
      </c>
      <c r="X137" s="489">
        <v>209.024</v>
      </c>
      <c r="Y137" s="489">
        <v>538.24</v>
      </c>
      <c r="Z137" s="489">
        <v>27.17</v>
      </c>
      <c r="AA137" s="489">
        <v>109.41</v>
      </c>
      <c r="AB137" s="489">
        <v>335</v>
      </c>
      <c r="AC137" s="1037">
        <v>70022.399999999994</v>
      </c>
    </row>
    <row r="138" spans="1:29" ht="15.75" customHeight="1" x14ac:dyDescent="0.25">
      <c r="A138" s="1030" t="s">
        <v>4678</v>
      </c>
      <c r="B138" s="438">
        <v>68</v>
      </c>
      <c r="C138" s="438"/>
      <c r="D138" s="439" t="s">
        <v>13</v>
      </c>
      <c r="E138" s="439" t="s">
        <v>4747</v>
      </c>
      <c r="F138" s="440">
        <v>45323</v>
      </c>
      <c r="G138" s="440" t="s">
        <v>4972</v>
      </c>
      <c r="H138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8" s="449" t="str">
        <f>CONCATENATE(Таблица47[[#This Row],[№ заявки в 1С]],Таблица47[[#This Row],[Наименование            ]])</f>
        <v>68[85155] 0106-107, 4,6м, 6063 Т6, уп.Т5</v>
      </c>
      <c r="J138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8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8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8" s="461"/>
      <c r="N138" s="462">
        <f>38+190+19</f>
        <v>247</v>
      </c>
      <c r="O138" s="1013" t="str">
        <f>IFERROR(Таблица47[[#This Row],[Количество хлыстов]]-Таблица47[[#This Row],[Обработано в 1С]]-Таблица47[[#This Row],[Корректировка]],"")</f>
        <v/>
      </c>
      <c r="P138" s="638" t="str">
        <f>IFERROR((((Таблица47[[#This Row],[Осталось сделать, хлыст]]*Таблица47[[#This Row],[длина]])*Таблица47[[#This Row],[Периметр]])/28),"")</f>
        <v/>
      </c>
      <c r="Q138" s="439"/>
      <c r="R138" s="458">
        <f>IFERROR(Таблица47[[#This Row],[Коли-
чество м.п.]]/Таблица47[[#This Row],[Количество хлыстов]],"")</f>
        <v>4.6000000000000005</v>
      </c>
      <c r="S138" s="439" t="s">
        <v>3974</v>
      </c>
      <c r="T138" s="458">
        <v>1136.2</v>
      </c>
      <c r="U138" s="459">
        <v>247</v>
      </c>
      <c r="V138" s="458">
        <v>0.3266</v>
      </c>
      <c r="W138" s="458">
        <v>0.84099999999999997</v>
      </c>
      <c r="X138" s="458">
        <v>371.0829</v>
      </c>
      <c r="Y138" s="458">
        <v>955.54420000000005</v>
      </c>
      <c r="Z138" s="458">
        <v>48.24</v>
      </c>
      <c r="AA138" s="458">
        <v>109.41</v>
      </c>
      <c r="AB138" s="458">
        <v>335</v>
      </c>
      <c r="AC138" s="460">
        <v>124311.64</v>
      </c>
    </row>
    <row r="139" spans="1:29" ht="15.75" customHeight="1" x14ac:dyDescent="0.25">
      <c r="A139" s="1030" t="s">
        <v>4678</v>
      </c>
      <c r="B139" s="438">
        <v>69</v>
      </c>
      <c r="C139" s="438"/>
      <c r="D139" s="439" t="s">
        <v>13</v>
      </c>
      <c r="E139" s="439" t="s">
        <v>32</v>
      </c>
      <c r="F139" s="440">
        <v>45323</v>
      </c>
      <c r="G139" s="440"/>
      <c r="H139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39" s="441" t="str">
        <f>CONCATENATE(Таблица47[[#This Row],[№ заявки в 1С]],Таблица47[[#This Row],[Наименование            ]])</f>
        <v>69[80922] 2606-07, 4,15 м,  6063 Т6</v>
      </c>
      <c r="J139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39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39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39" s="456"/>
      <c r="N139" s="457">
        <v>44</v>
      </c>
      <c r="O139" s="1013" t="str">
        <f>IFERROR(Таблица47[[#This Row],[Количество хлыстов]]-Таблица47[[#This Row],[Обработано в 1С]]-Таблица47[[#This Row],[Корректировка]],"")</f>
        <v/>
      </c>
      <c r="P139" s="638" t="str">
        <f>IFERROR((((Таблица47[[#This Row],[Осталось сделать, хлыст]]*Таблица47[[#This Row],[длина]])*Таблица47[[#This Row],[Периметр]])/28),"")</f>
        <v/>
      </c>
      <c r="Q139" s="439"/>
      <c r="R139" s="458">
        <f>IFERROR(Таблица47[[#This Row],[Коли-
чество м.п.]]/Таблица47[[#This Row],[Количество хлыстов]],"")</f>
        <v>4.1499999999999995</v>
      </c>
      <c r="S139" s="439" t="s">
        <v>4673</v>
      </c>
      <c r="T139" s="458">
        <v>182.6</v>
      </c>
      <c r="U139" s="459">
        <v>44</v>
      </c>
      <c r="V139" s="458">
        <v>0.17649999999999999</v>
      </c>
      <c r="W139" s="458">
        <v>1.3280000000000001</v>
      </c>
      <c r="X139" s="458">
        <v>32.228900000000003</v>
      </c>
      <c r="Y139" s="458">
        <v>242.49279999999999</v>
      </c>
      <c r="Z139" s="458">
        <v>4.1900000000000004</v>
      </c>
      <c r="AA139" s="458">
        <v>64.42</v>
      </c>
      <c r="AB139" s="458">
        <v>365</v>
      </c>
      <c r="AC139" s="460">
        <v>11763.55</v>
      </c>
    </row>
    <row r="140" spans="1:29" s="1021" customFormat="1" ht="15.75" customHeight="1" x14ac:dyDescent="0.25">
      <c r="A140" s="979" t="s">
        <v>4978</v>
      </c>
      <c r="B140" s="1064">
        <v>70</v>
      </c>
      <c r="C140" s="1064"/>
      <c r="D140" s="509" t="s">
        <v>13</v>
      </c>
      <c r="E140" s="509" t="s">
        <v>32</v>
      </c>
      <c r="F140" s="510">
        <v>45323</v>
      </c>
      <c r="G140" s="510"/>
      <c r="H140" s="50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0" s="551" t="str">
        <f>CONCATENATE(Таблица47[[#This Row],[№ заявки в 1С]],Таблица47[[#This Row],[Наименование            ]])</f>
        <v>70[88976] 1606-39 (197.04) 4,85 м, сплав Ад31 под покраску</v>
      </c>
      <c r="J140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0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0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0" s="981"/>
      <c r="N140" s="982">
        <v>354</v>
      </c>
      <c r="O140" s="1020" t="str">
        <f>IFERROR(Таблица47[[#This Row],[Количество хлыстов]]-Таблица47[[#This Row],[Обработано в 1С]]-Таблица47[[#This Row],[Корректировка]],"")</f>
        <v/>
      </c>
      <c r="P140" s="638" t="str">
        <f>IFERROR((((Таблица47[[#This Row],[Осталось сделать, хлыст]]*Таблица47[[#This Row],[длина]])*Таблица47[[#This Row],[Периметр]])/28),"")</f>
        <v/>
      </c>
      <c r="Q140" s="509"/>
      <c r="R140" s="984">
        <f>IFERROR(Таблица47[[#This Row],[Коли-
чество м.п.]]/Таблица47[[#This Row],[Количество хлыстов]],"")</f>
        <v>4.8500000000000005</v>
      </c>
      <c r="S140" s="509" t="s">
        <v>4774</v>
      </c>
      <c r="T140" s="984">
        <v>1716.9</v>
      </c>
      <c r="U140" s="985">
        <v>354</v>
      </c>
      <c r="V140" s="984">
        <v>9.5600000000000004E-2</v>
      </c>
      <c r="W140" s="984">
        <v>0.16</v>
      </c>
      <c r="X140" s="984">
        <v>164.13560000000001</v>
      </c>
      <c r="Y140" s="984">
        <v>274.70400000000001</v>
      </c>
      <c r="Z140" s="984">
        <v>21.34</v>
      </c>
      <c r="AA140" s="984">
        <v>30.11</v>
      </c>
      <c r="AB140" s="984">
        <v>315</v>
      </c>
      <c r="AC140" s="986">
        <v>51695.86</v>
      </c>
    </row>
    <row r="141" spans="1:29" s="1021" customFormat="1" ht="15.75" customHeight="1" x14ac:dyDescent="0.25">
      <c r="A141" s="979" t="s">
        <v>4978</v>
      </c>
      <c r="B141" s="1064">
        <v>70</v>
      </c>
      <c r="C141" s="1064"/>
      <c r="D141" s="509" t="s">
        <v>13</v>
      </c>
      <c r="E141" s="509" t="s">
        <v>32</v>
      </c>
      <c r="F141" s="510">
        <v>45323</v>
      </c>
      <c r="G141" s="510"/>
      <c r="H141" s="50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1" s="592" t="str">
        <f>CONCATENATE(Таблица47[[#This Row],[№ заявки в 1С]],Таблица47[[#This Row],[Наименование            ]])</f>
        <v>70[88286] 2606-07, 4,15 м,  Ад31 под покраску</v>
      </c>
      <c r="J141" s="1073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1" s="1073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1" s="1073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1" s="1073"/>
      <c r="N141" s="1079">
        <v>566</v>
      </c>
      <c r="O141" s="1020" t="str">
        <f>IFERROR(Таблица47[[#This Row],[Количество хлыстов]]-Таблица47[[#This Row],[Обработано в 1С]]-Таблица47[[#This Row],[Корректировка]],"")</f>
        <v/>
      </c>
      <c r="P141" s="638" t="str">
        <f>IFERROR((((Таблица47[[#This Row],[Осталось сделать, хлыст]]*Таблица47[[#This Row],[длина]])*Таблица47[[#This Row],[Периметр]])/28),"")</f>
        <v/>
      </c>
      <c r="Q141" s="509"/>
      <c r="R141" s="984">
        <f>IFERROR(Таблица47[[#This Row],[Коли-
чество м.п.]]/Таблица47[[#This Row],[Количество хлыстов]],"")</f>
        <v>4.1500000000000004</v>
      </c>
      <c r="S141" s="509" t="s">
        <v>4811</v>
      </c>
      <c r="T141" s="984">
        <v>2348.9</v>
      </c>
      <c r="U141" s="985">
        <v>566</v>
      </c>
      <c r="V141" s="984">
        <v>0.17649999999999999</v>
      </c>
      <c r="W141" s="984">
        <v>1.3280000000000001</v>
      </c>
      <c r="X141" s="984">
        <v>414.58089999999999</v>
      </c>
      <c r="Y141" s="984">
        <v>3119.3391999999999</v>
      </c>
      <c r="Z141" s="984">
        <v>53.9</v>
      </c>
      <c r="AA141" s="984">
        <v>55.6</v>
      </c>
      <c r="AB141" s="984">
        <v>315</v>
      </c>
      <c r="AC141" s="986">
        <v>130598.84</v>
      </c>
    </row>
    <row r="142" spans="1:29" ht="15.75" customHeight="1" x14ac:dyDescent="0.25">
      <c r="A142" s="1011" t="s">
        <v>4678</v>
      </c>
      <c r="B142" s="438" t="s">
        <v>4812</v>
      </c>
      <c r="C142" s="438"/>
      <c r="D142" s="439" t="s">
        <v>34</v>
      </c>
      <c r="E142" s="439" t="s">
        <v>16</v>
      </c>
      <c r="F142" s="440">
        <v>45323</v>
      </c>
      <c r="G142" s="440"/>
      <c r="H14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2" s="449" t="str">
        <f>CONCATENATE(Таблица47[[#This Row],[№ заявки в 1С]],Таблица47[[#This Row],[Наименование            ]])</f>
        <v>OPT000077[35197] 0106-238, 6,0м, 6063 Т1, упаковка Т-5, под анод тип 1 ,БА</v>
      </c>
      <c r="J142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2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2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2" s="461"/>
      <c r="N142" s="462">
        <v>252</v>
      </c>
      <c r="O142" s="1013" t="str">
        <f>IFERROR(Таблица47[[#This Row],[Количество хлыстов]]-Таблица47[[#This Row],[Обработано в 1С]]-Таблица47[[#This Row],[Корректировка]],"")</f>
        <v/>
      </c>
      <c r="P142" s="638" t="str">
        <f>IFERROR((((Таблица47[[#This Row],[Осталось сделать, хлыст]]*Таблица47[[#This Row],[длина]])*Таблица47[[#This Row],[Периметр]])/28),"")</f>
        <v/>
      </c>
      <c r="Q142" s="439"/>
      <c r="R142" s="458">
        <f>IFERROR(Таблица47[[#This Row],[Коли-
чество м.п.]]/Таблица47[[#This Row],[Количество хлыстов]],"")</f>
        <v>6</v>
      </c>
      <c r="S142" s="439" t="s">
        <v>2859</v>
      </c>
      <c r="T142" s="458">
        <v>1512</v>
      </c>
      <c r="U142" s="459">
        <v>252</v>
      </c>
      <c r="V142" s="458">
        <v>0.27260000000000001</v>
      </c>
      <c r="W142" s="458">
        <v>0.72899999999999998</v>
      </c>
      <c r="X142" s="458">
        <v>412.1712</v>
      </c>
      <c r="Y142" s="458">
        <v>1102.248</v>
      </c>
      <c r="Z142" s="458">
        <v>53.58</v>
      </c>
      <c r="AA142" s="458">
        <v>99.5</v>
      </c>
      <c r="AB142" s="458">
        <v>365</v>
      </c>
      <c r="AC142" s="460">
        <v>150442.49</v>
      </c>
    </row>
    <row r="143" spans="1:29" ht="15.75" customHeight="1" x14ac:dyDescent="0.25">
      <c r="A143" s="1011" t="s">
        <v>4678</v>
      </c>
      <c r="B143" s="438" t="s">
        <v>2602</v>
      </c>
      <c r="C143" s="438"/>
      <c r="D143" s="439" t="s">
        <v>34</v>
      </c>
      <c r="E143" s="439" t="s">
        <v>16</v>
      </c>
      <c r="F143" s="440">
        <v>45323</v>
      </c>
      <c r="G143" s="440"/>
      <c r="H143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3" s="441" t="str">
        <f>CONCATENATE(Таблица47[[#This Row],[№ заявки в 1С]],Таблица47[[#This Row],[Наименование            ]])</f>
        <v>OPT000078[38436] 0506-21, 6,0м, 6063 Т1, тип 1, упаковка Т-5, БА</v>
      </c>
      <c r="J143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3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3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3" s="456">
        <v>1</v>
      </c>
      <c r="N143" s="457">
        <f>29+18</f>
        <v>47</v>
      </c>
      <c r="O143" s="1013" t="str">
        <f>IFERROR(Таблица47[[#This Row],[Количество хлыстов]]-Таблица47[[#This Row],[Обработано в 1С]]-Таблица47[[#This Row],[Корректировка]],"")</f>
        <v/>
      </c>
      <c r="P143" s="638" t="str">
        <f>IFERROR((((Таблица47[[#This Row],[Осталось сделать, хлыст]]*Таблица47[[#This Row],[длина]])*Таблица47[[#This Row],[Периметр]])/28),"")</f>
        <v/>
      </c>
      <c r="Q143" s="439"/>
      <c r="R143" s="458">
        <f>IFERROR(Таблица47[[#This Row],[Коли-
чество м.п.]]/Таблица47[[#This Row],[Количество хлыстов]],"")</f>
        <v>6</v>
      </c>
      <c r="S143" s="439" t="s">
        <v>2469</v>
      </c>
      <c r="T143" s="458">
        <v>288</v>
      </c>
      <c r="U143" s="459">
        <v>48</v>
      </c>
      <c r="V143" s="458">
        <v>0.70820000000000005</v>
      </c>
      <c r="W143" s="458">
        <v>3.4609999999999999</v>
      </c>
      <c r="X143" s="458">
        <v>203.9616</v>
      </c>
      <c r="Y143" s="458">
        <v>996.76800000000003</v>
      </c>
      <c r="Z143" s="458">
        <v>26.52</v>
      </c>
      <c r="AA143" s="458">
        <v>258.49</v>
      </c>
      <c r="AB143" s="458">
        <v>365</v>
      </c>
      <c r="AC143" s="460">
        <v>74445.98</v>
      </c>
    </row>
    <row r="144" spans="1:29" ht="15.75" customHeight="1" x14ac:dyDescent="0.25">
      <c r="A144" s="1011" t="s">
        <v>4678</v>
      </c>
      <c r="B144" s="438">
        <v>71</v>
      </c>
      <c r="C144" s="438"/>
      <c r="D144" s="439" t="s">
        <v>34</v>
      </c>
      <c r="E144" s="439" t="s">
        <v>328</v>
      </c>
      <c r="F144" s="440">
        <v>45323</v>
      </c>
      <c r="G144" s="440"/>
      <c r="H14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4" s="449" t="str">
        <f>CONCATENATE(Таблица47[[#This Row],[№ заявки в 1С]],Таблица47[[#This Row],[Наименование            ]])</f>
        <v>71[70484] 1506-77 (АА-2050-85), 6,0м, 6063 Т6, упаковка Т-5, без покрытия</v>
      </c>
      <c r="J144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4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4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4" s="461">
        <v>5</v>
      </c>
      <c r="N144" s="462">
        <v>60</v>
      </c>
      <c r="O144" s="1013" t="str">
        <f>IFERROR(Таблица47[[#This Row],[Количество хлыстов]]-Таблица47[[#This Row],[Обработано в 1С]]-Таблица47[[#This Row],[Корректировка]],"")</f>
        <v/>
      </c>
      <c r="P144" s="638" t="str">
        <f>IFERROR((((Таблица47[[#This Row],[Осталось сделать, хлыст]]*Таблица47[[#This Row],[длина]])*Таблица47[[#This Row],[Периметр]])/28),"")</f>
        <v/>
      </c>
      <c r="Q144" s="439"/>
      <c r="R144" s="458">
        <f>IFERROR(Таблица47[[#This Row],[Коли-
чество м.п.]]/Таблица47[[#This Row],[Количество хлыстов]],"")</f>
        <v>6</v>
      </c>
      <c r="S144" s="439" t="s">
        <v>4813</v>
      </c>
      <c r="T144" s="458">
        <v>390</v>
      </c>
      <c r="U144" s="459">
        <v>65</v>
      </c>
      <c r="V144" s="458">
        <v>0.30919999999999997</v>
      </c>
      <c r="W144" s="458">
        <v>1.101</v>
      </c>
      <c r="X144" s="458">
        <v>120.58799999999999</v>
      </c>
      <c r="Y144" s="458">
        <v>429.39</v>
      </c>
      <c r="Z144" s="458">
        <v>15.68</v>
      </c>
      <c r="AA144" s="458">
        <v>112.86</v>
      </c>
      <c r="AB144" s="458">
        <v>365</v>
      </c>
      <c r="AC144" s="460">
        <v>44014.62</v>
      </c>
    </row>
    <row r="145" spans="1:29" ht="15.75" customHeight="1" x14ac:dyDescent="0.25">
      <c r="A145" s="1011" t="s">
        <v>4678</v>
      </c>
      <c r="B145" s="438">
        <v>72</v>
      </c>
      <c r="C145" s="438"/>
      <c r="D145" s="439" t="s">
        <v>34</v>
      </c>
      <c r="E145" s="439" t="s">
        <v>3404</v>
      </c>
      <c r="F145" s="440">
        <v>45323</v>
      </c>
      <c r="G145" s="440"/>
      <c r="H14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5" s="441" t="str">
        <f>CONCATENATE(Таблица47[[#This Row],[№ заявки в 1С]],Таблица47[[#This Row],[Наименование            ]])</f>
        <v>72[81578] 1706-68, 6,0м, 6063 Т1, упаковка Т-5, БА</v>
      </c>
      <c r="J145" s="456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5" s="456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5" s="456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5" s="456"/>
      <c r="N145" s="457">
        <v>486</v>
      </c>
      <c r="O145" s="1013" t="str">
        <f>IFERROR(Таблица47[[#This Row],[Количество хлыстов]]-Таблица47[[#This Row],[Обработано в 1С]]-Таблица47[[#This Row],[Корректировка]],"")</f>
        <v/>
      </c>
      <c r="P145" s="638" t="str">
        <f>IFERROR((((Таблица47[[#This Row],[Осталось сделать, хлыст]]*Таблица47[[#This Row],[длина]])*Таблица47[[#This Row],[Периметр]])/28),"")</f>
        <v/>
      </c>
      <c r="Q145" s="439" t="s">
        <v>161</v>
      </c>
      <c r="R145" s="458">
        <f>IFERROR(Таблица47[[#This Row],[Коли-
чество м.п.]]/Таблица47[[#This Row],[Количество хлыстов]],"")</f>
        <v>6</v>
      </c>
      <c r="S145" s="439" t="s">
        <v>4582</v>
      </c>
      <c r="T145" s="458">
        <v>2916</v>
      </c>
      <c r="U145" s="459">
        <v>486</v>
      </c>
      <c r="V145" s="458">
        <v>0.10100000000000001</v>
      </c>
      <c r="W145" s="458">
        <v>0.30599999999999999</v>
      </c>
      <c r="X145" s="458">
        <v>294.51600000000002</v>
      </c>
      <c r="Y145" s="458">
        <v>892.29600000000005</v>
      </c>
      <c r="Z145" s="458">
        <v>38.29</v>
      </c>
      <c r="AA145" s="458">
        <v>31.82</v>
      </c>
      <c r="AB145" s="458">
        <v>315</v>
      </c>
      <c r="AC145" s="460">
        <v>92772.54</v>
      </c>
    </row>
    <row r="146" spans="1:29" ht="15.75" customHeight="1" x14ac:dyDescent="0.25">
      <c r="A146" s="1011" t="s">
        <v>4678</v>
      </c>
      <c r="B146" s="438">
        <v>72</v>
      </c>
      <c r="C146" s="438"/>
      <c r="D146" s="439" t="s">
        <v>34</v>
      </c>
      <c r="E146" s="439" t="s">
        <v>3404</v>
      </c>
      <c r="F146" s="440">
        <v>45323</v>
      </c>
      <c r="G146" s="440"/>
      <c r="H146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6" s="449" t="str">
        <f>CONCATENATE(Таблица47[[#This Row],[№ заявки в 1С]],Таблица47[[#This Row],[Наименование            ]])</f>
        <v>72[81738] 1706-70, 6,0м, 6063 Т1, упаковка Т-5, БА</v>
      </c>
      <c r="J146" s="4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6" s="4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6" s="4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6" s="461"/>
      <c r="N146" s="462">
        <v>193</v>
      </c>
      <c r="O146" s="1013" t="str">
        <f>IFERROR(Таблица47[[#This Row],[Количество хлыстов]]-Таблица47[[#This Row],[Обработано в 1С]]-Таблица47[[#This Row],[Корректировка]],"")</f>
        <v/>
      </c>
      <c r="P146" s="638" t="str">
        <f>IFERROR((((Таблица47[[#This Row],[Осталось сделать, хлыст]]*Таблица47[[#This Row],[длина]])*Таблица47[[#This Row],[Периметр]])/28),"")</f>
        <v/>
      </c>
      <c r="Q146" s="439" t="s">
        <v>161</v>
      </c>
      <c r="R146" s="458">
        <f>IFERROR(Таблица47[[#This Row],[Коли-
чество м.п.]]/Таблица47[[#This Row],[Количество хлыстов]],"")</f>
        <v>6</v>
      </c>
      <c r="S146" s="439" t="s">
        <v>4378</v>
      </c>
      <c r="T146" s="458">
        <v>1158</v>
      </c>
      <c r="U146" s="459">
        <v>193</v>
      </c>
      <c r="V146" s="458">
        <v>0.25169999999999998</v>
      </c>
      <c r="W146" s="458">
        <v>0.56699999999999995</v>
      </c>
      <c r="X146" s="458">
        <v>291.46859999999998</v>
      </c>
      <c r="Y146" s="458">
        <v>656.58600000000001</v>
      </c>
      <c r="Z146" s="458">
        <v>37.89</v>
      </c>
      <c r="AA146" s="458">
        <v>79.290000000000006</v>
      </c>
      <c r="AB146" s="458">
        <v>315</v>
      </c>
      <c r="AC146" s="460">
        <v>91812.61</v>
      </c>
    </row>
    <row r="147" spans="1:29" ht="45.75" customHeight="1" x14ac:dyDescent="0.25">
      <c r="A147" s="427" t="s">
        <v>4678</v>
      </c>
      <c r="B147" s="309">
        <v>73</v>
      </c>
      <c r="C147" s="309"/>
      <c r="D147" s="303" t="s">
        <v>34</v>
      </c>
      <c r="E147" s="303" t="s">
        <v>19</v>
      </c>
      <c r="F147" s="528">
        <v>45324</v>
      </c>
      <c r="G147" s="528"/>
      <c r="H14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7" s="522" t="str">
        <f>CONCATENATE(Таблица47[[#This Row],[№ заявки в 1С]],Таблица47[[#This Row],[Наименование            ]])</f>
        <v>73[80505] 1606-30, 3,7м, 6063 под анод, Т1, уп.Т5 (контроль геометрии), БА</v>
      </c>
      <c r="J14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7" s="635">
        <v>11</v>
      </c>
      <c r="N147" s="636">
        <v>585</v>
      </c>
      <c r="O147" s="1013" t="str">
        <f>IFERROR(Таблица47[[#This Row],[Количество хлыстов]]-Таблица47[[#This Row],[Обработано в 1С]]-Таблица47[[#This Row],[Корректировка]],"")</f>
        <v/>
      </c>
      <c r="P147" s="638" t="str">
        <f>IFERROR((((Таблица47[[#This Row],[Осталось сделать, хлыст]]*Таблица47[[#This Row],[длина]])*Таблица47[[#This Row],[Периметр]])/28),"")</f>
        <v/>
      </c>
      <c r="Q147" s="1081" t="s">
        <v>4838</v>
      </c>
      <c r="R147" s="639">
        <f>IFERROR(Таблица47[[#This Row],[Коли-
чество м.п.]]/Таблица47[[#This Row],[Количество хлыстов]],"")</f>
        <v>3.6999999999999997</v>
      </c>
      <c r="S147" s="303" t="s">
        <v>3094</v>
      </c>
      <c r="T147" s="639">
        <v>2205.1999999999998</v>
      </c>
      <c r="U147" s="640">
        <v>596</v>
      </c>
      <c r="V147" s="639">
        <v>0.27160000000000001</v>
      </c>
      <c r="W147" s="639">
        <v>0.72799999999999998</v>
      </c>
      <c r="X147" s="639">
        <v>598.93230000000005</v>
      </c>
      <c r="Y147" s="639">
        <v>1605.3856000000001</v>
      </c>
      <c r="Z147" s="639">
        <v>77.86</v>
      </c>
      <c r="AA147" s="639">
        <v>89.63</v>
      </c>
      <c r="AB147" s="639">
        <v>330</v>
      </c>
      <c r="AC147" s="641">
        <v>197647.67</v>
      </c>
    </row>
    <row r="148" spans="1:29" s="1021" customFormat="1" ht="15.75" customHeight="1" x14ac:dyDescent="0.25">
      <c r="A148" s="979" t="s">
        <v>4978</v>
      </c>
      <c r="B148" s="1067">
        <v>74</v>
      </c>
      <c r="C148" s="1067"/>
      <c r="D148" s="1068" t="s">
        <v>13</v>
      </c>
      <c r="E148" s="1068" t="s">
        <v>557</v>
      </c>
      <c r="F148" s="1069">
        <v>45327</v>
      </c>
      <c r="G148" s="1069"/>
      <c r="H14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8" s="612" t="str">
        <f>CONCATENATE(Таблица47[[#This Row],[№ заявки в 1С]],Таблица47[[#This Row],[Наименование            ]])</f>
        <v>74[82595] 1606-17 (Коробка 40) 4,7 м, сплав Ад31 Т1</v>
      </c>
      <c r="J14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8" s="1082"/>
      <c r="N148" s="1082">
        <v>24</v>
      </c>
      <c r="O148" s="1020" t="str">
        <f>IFERROR(Таблица47[[#This Row],[Количество хлыстов]]-Таблица47[[#This Row],[Обработано в 1С]]-Таблица47[[#This Row],[Корректировка]],"")</f>
        <v/>
      </c>
      <c r="P148" s="638" t="str">
        <f>IFERROR((((Таблица47[[#This Row],[Осталось сделать, хлыст]]*Таблица47[[#This Row],[длина]])*Таблица47[[#This Row],[Периметр]])/28),"")</f>
        <v/>
      </c>
      <c r="Q148" s="1068" t="s">
        <v>4826</v>
      </c>
      <c r="R148" s="1083">
        <f>IFERROR(Таблица47[[#This Row],[Коли-
чество м.п.]]/Таблица47[[#This Row],[Количество хлыстов]],"")</f>
        <v>4.7</v>
      </c>
      <c r="S148" s="1068" t="s">
        <v>4824</v>
      </c>
      <c r="T148" s="1083">
        <v>112.8</v>
      </c>
      <c r="U148" s="1084">
        <v>24</v>
      </c>
      <c r="V148" s="1083">
        <v>0.34789999999999999</v>
      </c>
      <c r="W148" s="1083">
        <v>1.643</v>
      </c>
      <c r="X148" s="1083">
        <v>39.243099999999998</v>
      </c>
      <c r="Y148" s="1083">
        <v>185.3304</v>
      </c>
      <c r="Z148" s="1083">
        <v>5.0999999999999996</v>
      </c>
      <c r="AA148" s="1083">
        <v>109.59</v>
      </c>
      <c r="AB148" s="1083">
        <v>315</v>
      </c>
      <c r="AC148" s="1085">
        <v>12361.58</v>
      </c>
    </row>
    <row r="149" spans="1:29" s="1021" customFormat="1" ht="15.75" customHeight="1" x14ac:dyDescent="0.25">
      <c r="A149" s="979" t="s">
        <v>4978</v>
      </c>
      <c r="B149" s="1067">
        <v>74</v>
      </c>
      <c r="C149" s="1067"/>
      <c r="D149" s="1068" t="s">
        <v>13</v>
      </c>
      <c r="E149" s="1068" t="s">
        <v>557</v>
      </c>
      <c r="F149" s="1069">
        <v>45327</v>
      </c>
      <c r="G149" s="1069"/>
      <c r="H14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49" s="612" t="str">
        <f>CONCATENATE(Таблица47[[#This Row],[№ заявки в 1С]],Таблица47[[#This Row],[Наименование            ]])</f>
        <v>74[88036] 1606-45, (Кромка 40) 4,7 м, декоратиный анод с дробью+стрейч по 2шт</v>
      </c>
      <c r="J14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4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4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49" s="1082"/>
      <c r="N149" s="1082">
        <v>22</v>
      </c>
      <c r="O149" s="1020" t="str">
        <f>IFERROR(Таблица47[[#This Row],[Количество хлыстов]]-Таблица47[[#This Row],[Обработано в 1С]]-Таблица47[[#This Row],[Корректировка]],"")</f>
        <v/>
      </c>
      <c r="P149" s="638" t="str">
        <f>IFERROR((((Таблица47[[#This Row],[Осталось сделать, хлыст]]*Таблица47[[#This Row],[длина]])*Таблица47[[#This Row],[Периметр]])/28),"")</f>
        <v/>
      </c>
      <c r="Q149" s="1068" t="s">
        <v>4827</v>
      </c>
      <c r="R149" s="1083">
        <f>IFERROR(Таблица47[[#This Row],[Коли-
чество м.п.]]/Таблица47[[#This Row],[Количество хлыстов]],"")</f>
        <v>4.7</v>
      </c>
      <c r="S149" s="1068" t="s">
        <v>4825</v>
      </c>
      <c r="T149" s="1083">
        <v>103.4</v>
      </c>
      <c r="U149" s="1084">
        <v>22</v>
      </c>
      <c r="V149" s="1083">
        <v>0.13400000000000001</v>
      </c>
      <c r="W149" s="1083">
        <v>0.26600000000000001</v>
      </c>
      <c r="X149" s="1083">
        <v>13.855600000000001</v>
      </c>
      <c r="Y149" s="1083">
        <v>27.5044</v>
      </c>
      <c r="Z149" s="1083">
        <v>1.8</v>
      </c>
      <c r="AA149" s="1083">
        <v>40.200000000000003</v>
      </c>
      <c r="AB149" s="1083">
        <v>300</v>
      </c>
      <c r="AC149" s="1085">
        <v>4156.68</v>
      </c>
    </row>
    <row r="150" spans="1:29" s="1021" customFormat="1" ht="15.75" customHeight="1" x14ac:dyDescent="0.25">
      <c r="A150" s="979" t="s">
        <v>4978</v>
      </c>
      <c r="B150" s="1067">
        <v>75</v>
      </c>
      <c r="C150" s="1067"/>
      <c r="D150" s="1068" t="s">
        <v>13</v>
      </c>
      <c r="E150" s="1068" t="s">
        <v>4828</v>
      </c>
      <c r="F150" s="1069">
        <v>45327</v>
      </c>
      <c r="G150" s="1069"/>
      <c r="H150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0" s="612" t="str">
        <f>CONCATENATE(Таблица47[[#This Row],[№ заявки в 1С]],Таблица47[[#This Row],[Наименование            ]])</f>
        <v>75[76437] АТ-6286, 3,0 м, сплав 6063</v>
      </c>
      <c r="J15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0" s="1082">
        <v>4</v>
      </c>
      <c r="N150" s="1082">
        <v>348</v>
      </c>
      <c r="O150" s="1020" t="str">
        <f>IFERROR(Таблица47[[#This Row],[Количество хлыстов]]-Таблица47[[#This Row],[Обработано в 1С]]-Таблица47[[#This Row],[Корректировка]],"")</f>
        <v/>
      </c>
      <c r="P150" s="638" t="str">
        <f>IFERROR((((Таблица47[[#This Row],[Осталось сделать, хлыст]]*Таблица47[[#This Row],[длина]])*Таблица47[[#This Row],[Периметр]])/28),"")</f>
        <v/>
      </c>
      <c r="Q150" s="1068" t="s">
        <v>4830</v>
      </c>
      <c r="R150" s="1083">
        <f>IFERROR(Таблица47[[#This Row],[Коли-
чество м.п.]]/Таблица47[[#This Row],[Количество хлыстов]],"")</f>
        <v>3</v>
      </c>
      <c r="S150" s="1068" t="s">
        <v>4829</v>
      </c>
      <c r="T150" s="1083">
        <v>1056</v>
      </c>
      <c r="U150" s="1084">
        <v>352</v>
      </c>
      <c r="V150" s="1083">
        <v>0.27600000000000002</v>
      </c>
      <c r="W150" s="1083">
        <v>0.63900000000000001</v>
      </c>
      <c r="X150" s="1083">
        <v>291.45600000000002</v>
      </c>
      <c r="Y150" s="1083">
        <v>674.78399999999999</v>
      </c>
      <c r="Z150" s="1083">
        <v>37.89</v>
      </c>
      <c r="AA150" s="1083">
        <v>82.8</v>
      </c>
      <c r="AB150" s="1083">
        <v>300</v>
      </c>
      <c r="AC150" s="1085">
        <v>87436.800000000003</v>
      </c>
    </row>
    <row r="151" spans="1:29" s="1021" customFormat="1" ht="15.75" customHeight="1" x14ac:dyDescent="0.25">
      <c r="A151" s="979" t="s">
        <v>4978</v>
      </c>
      <c r="B151" s="1067">
        <v>76</v>
      </c>
      <c r="C151" s="1067"/>
      <c r="D151" s="1068" t="s">
        <v>13</v>
      </c>
      <c r="E151" s="1068" t="s">
        <v>4725</v>
      </c>
      <c r="F151" s="1069">
        <v>45328</v>
      </c>
      <c r="G151" s="1069"/>
      <c r="H151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1" s="620" t="str">
        <f>CONCATENATE(Таблица47[[#This Row],[№ заявки в 1С]],Таблица47[[#This Row],[Наименование            ]])</f>
        <v>76[866] автоуголок 150*55*3мм (0106-153 ) 6,0м АД31 Т1 уп. Т5</v>
      </c>
      <c r="J15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1" s="1082"/>
      <c r="N151" s="1086">
        <v>57</v>
      </c>
      <c r="O151" s="1020" t="str">
        <f>IFERROR(Таблица47[[#This Row],[Количество хлыстов]]-Таблица47[[#This Row],[Обработано в 1С]]-Таблица47[[#This Row],[Корректировка]],"")</f>
        <v/>
      </c>
      <c r="P151" s="638" t="str">
        <f>IFERROR((((Таблица47[[#This Row],[Осталось сделать, хлыст]]*Таблица47[[#This Row],[длина]])*Таблица47[[#This Row],[Периметр]])/28),"")</f>
        <v/>
      </c>
      <c r="Q151" s="1068" t="s">
        <v>4728</v>
      </c>
      <c r="R151" s="1083">
        <f>IFERROR(Таблица47[[#This Row],[Коли-
чество м.п.]]/Таблица47[[#This Row],[Количество хлыстов]],"")</f>
        <v>6</v>
      </c>
      <c r="S151" s="1068" t="s">
        <v>4834</v>
      </c>
      <c r="T151" s="1083">
        <v>342</v>
      </c>
      <c r="U151" s="1084">
        <v>57</v>
      </c>
      <c r="V151" s="1083">
        <v>0.42199999999999999</v>
      </c>
      <c r="W151" s="1083">
        <v>1.389</v>
      </c>
      <c r="X151" s="1083">
        <v>144.32400000000001</v>
      </c>
      <c r="Y151" s="1083">
        <v>475.03800000000001</v>
      </c>
      <c r="Z151" s="1083">
        <v>18.760000000000002</v>
      </c>
      <c r="AA151" s="1083">
        <v>92.84</v>
      </c>
      <c r="AB151" s="1083">
        <v>220</v>
      </c>
      <c r="AC151" s="1085">
        <v>31751.279999999999</v>
      </c>
    </row>
    <row r="152" spans="1:29" s="1021" customFormat="1" ht="15.75" customHeight="1" x14ac:dyDescent="0.25">
      <c r="A152" s="979" t="s">
        <v>4978</v>
      </c>
      <c r="B152" s="1067">
        <v>78</v>
      </c>
      <c r="C152" s="1067"/>
      <c r="D152" s="1068" t="s">
        <v>13</v>
      </c>
      <c r="E152" s="1068" t="s">
        <v>892</v>
      </c>
      <c r="F152" s="1069">
        <v>45329</v>
      </c>
      <c r="G152" s="1069"/>
      <c r="H15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2" s="612" t="str">
        <f>CONCATENATE(Таблица47[[#This Row],[№ заявки в 1С]],Таблица47[[#This Row],[Наименование            ]])</f>
        <v>78[88977] 2606-14, 5,05 м,  Ад31 под покраску</v>
      </c>
      <c r="J15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2" s="1082"/>
      <c r="N152" s="1082">
        <v>74</v>
      </c>
      <c r="O152" s="1020" t="str">
        <f>IFERROR(Таблица47[[#This Row],[Количество хлыстов]]-Таблица47[[#This Row],[Обработано в 1С]]-Таблица47[[#This Row],[Корректировка]],"")</f>
        <v/>
      </c>
      <c r="P152" s="638" t="str">
        <f>IFERROR((((Таблица47[[#This Row],[Осталось сделать, хлыст]]*Таблица47[[#This Row],[длина]])*Таблица47[[#This Row],[Периметр]])/28),"")</f>
        <v/>
      </c>
      <c r="Q152" s="1068" t="s">
        <v>4840</v>
      </c>
      <c r="R152" s="1083">
        <f>IFERROR(Таблица47[[#This Row],[Коли-
чество м.п.]]/Таблица47[[#This Row],[Количество хлыстов]],"")</f>
        <v>5.05</v>
      </c>
      <c r="S152" s="1068" t="s">
        <v>4839</v>
      </c>
      <c r="T152" s="1083">
        <v>373.7</v>
      </c>
      <c r="U152" s="1084">
        <v>74</v>
      </c>
      <c r="V152" s="1083">
        <v>0.1469</v>
      </c>
      <c r="W152" s="1083">
        <v>1.3859999999999999</v>
      </c>
      <c r="X152" s="1083">
        <v>54.896500000000003</v>
      </c>
      <c r="Y152" s="1083">
        <v>517.94820000000004</v>
      </c>
      <c r="Z152" s="1083">
        <v>7.14</v>
      </c>
      <c r="AA152" s="1083">
        <v>46.27</v>
      </c>
      <c r="AB152" s="1083">
        <v>315</v>
      </c>
      <c r="AC152" s="1085">
        <v>17292.41</v>
      </c>
    </row>
    <row r="153" spans="1:29" ht="15.75" customHeight="1" x14ac:dyDescent="0.25">
      <c r="A153" s="238" t="s">
        <v>4678</v>
      </c>
      <c r="B153" s="1070">
        <v>79</v>
      </c>
      <c r="C153" s="1070"/>
      <c r="D153" s="200" t="s">
        <v>13</v>
      </c>
      <c r="E153" s="200" t="s">
        <v>657</v>
      </c>
      <c r="F153" s="201">
        <v>45329</v>
      </c>
      <c r="G153" s="528"/>
      <c r="H15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3" s="522" t="str">
        <f>CONCATENATE(Таблица47[[#This Row],[№ заявки в 1С]],Таблица47[[#This Row],[Наименование            ]])</f>
        <v>79[68773] 0906-71, 5,8 м, сплав 6063 КР Т1</v>
      </c>
      <c r="J15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3" s="635"/>
      <c r="N153" s="636">
        <v>346</v>
      </c>
      <c r="O153" s="1013" t="str">
        <f>IFERROR(Таблица47[[#This Row],[Количество хлыстов]]-Таблица47[[#This Row],[Обработано в 1С]]-Таблица47[[#This Row],[Корректировка]],"")</f>
        <v/>
      </c>
      <c r="P153" s="638" t="str">
        <f>IFERROR((((Таблица47[[#This Row],[Осталось сделать, хлыст]]*Таблица47[[#This Row],[длина]])*Таблица47[[#This Row],[Периметр]])/28),"")</f>
        <v/>
      </c>
      <c r="Q153" s="303"/>
      <c r="R153" s="639">
        <f>IFERROR(Таблица47[[#This Row],[Коли-
чество м.п.]]/Таблица47[[#This Row],[Количество хлыстов]],"")</f>
        <v>5.8</v>
      </c>
      <c r="S153" s="303" t="s">
        <v>2963</v>
      </c>
      <c r="T153" s="639">
        <v>2006.8</v>
      </c>
      <c r="U153" s="640">
        <v>346</v>
      </c>
      <c r="V153" s="639">
        <v>0.1724</v>
      </c>
      <c r="W153" s="639">
        <v>0.41499999999999998</v>
      </c>
      <c r="X153" s="639">
        <v>345.97230000000002</v>
      </c>
      <c r="Y153" s="639">
        <v>832.822</v>
      </c>
      <c r="Z153" s="639">
        <v>44.98</v>
      </c>
      <c r="AA153" s="639">
        <v>62.93</v>
      </c>
      <c r="AB153" s="639">
        <v>365</v>
      </c>
      <c r="AC153" s="641">
        <v>126279.9</v>
      </c>
    </row>
    <row r="154" spans="1:29" ht="15.75" customHeight="1" x14ac:dyDescent="0.25">
      <c r="A154" s="427" t="s">
        <v>4678</v>
      </c>
      <c r="B154" s="309">
        <v>80</v>
      </c>
      <c r="C154" s="309"/>
      <c r="D154" s="303" t="s">
        <v>13</v>
      </c>
      <c r="E154" s="303" t="s">
        <v>591</v>
      </c>
      <c r="F154" s="528">
        <v>45329</v>
      </c>
      <c r="G154" s="528"/>
      <c r="H15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4" s="522" t="str">
        <f>CONCATENATE(Таблица47[[#This Row],[№ заявки в 1С]],Таблица47[[#This Row],[Наименование            ]])</f>
        <v>80[25560] 0506-75, 3,0м, БА сплав 6063 Кр</v>
      </c>
      <c r="J15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4" s="635"/>
      <c r="N154" s="636">
        <v>2140</v>
      </c>
      <c r="O154" s="1013" t="str">
        <f>IFERROR(Таблица47[[#This Row],[Количество хлыстов]]-Таблица47[[#This Row],[Обработано в 1С]]-Таблица47[[#This Row],[Корректировка]],"")</f>
        <v/>
      </c>
      <c r="P154" s="638" t="str">
        <f>IFERROR((((Таблица47[[#This Row],[Осталось сделать, хлыст]]*Таблица47[[#This Row],[длина]])*Таблица47[[#This Row],[Периметр]])/28),"")</f>
        <v/>
      </c>
      <c r="Q154" s="303"/>
      <c r="R154" s="639">
        <f>IFERROR(Таблица47[[#This Row],[Коли-
чество м.п.]]/Таблица47[[#This Row],[Количество хлыстов]],"")</f>
        <v>3</v>
      </c>
      <c r="S154" s="303" t="s">
        <v>38</v>
      </c>
      <c r="T154" s="639">
        <v>6420</v>
      </c>
      <c r="U154" s="640">
        <v>2140</v>
      </c>
      <c r="V154" s="639">
        <v>6.4500000000000002E-2</v>
      </c>
      <c r="W154" s="639">
        <v>8.5000000000000006E-2</v>
      </c>
      <c r="X154" s="639">
        <v>414.09</v>
      </c>
      <c r="Y154" s="639">
        <v>545.70000000000005</v>
      </c>
      <c r="Z154" s="639">
        <v>53.83</v>
      </c>
      <c r="AA154" s="639">
        <v>21.61</v>
      </c>
      <c r="AB154" s="639">
        <v>335</v>
      </c>
      <c r="AC154" s="641">
        <v>138720.15</v>
      </c>
    </row>
    <row r="155" spans="1:29" ht="15.75" customHeight="1" x14ac:dyDescent="0.25">
      <c r="A155" s="427" t="s">
        <v>4678</v>
      </c>
      <c r="B155" s="309">
        <v>55</v>
      </c>
      <c r="C155" s="309"/>
      <c r="D155" s="303" t="s">
        <v>34</v>
      </c>
      <c r="E155" s="303" t="s">
        <v>4554</v>
      </c>
      <c r="F155" s="528">
        <v>45329</v>
      </c>
      <c r="G155" s="528"/>
      <c r="H15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5" s="522" t="str">
        <f>CONCATENATE(Таблица47[[#This Row],[№ заявки в 1С]],Таблица47[[#This Row],[Наименование            ]])</f>
        <v>55[88065] 1806-63, 3,4м, 6063 Т1, уп.Т5</v>
      </c>
      <c r="J15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5" s="635"/>
      <c r="N155" s="636">
        <v>604</v>
      </c>
      <c r="O155" s="1013" t="str">
        <f>IFERROR(Таблица47[[#This Row],[Количество хлыстов]]-Таблица47[[#This Row],[Обработано в 1С]]-Таблица47[[#This Row],[Корректировка]],"")</f>
        <v/>
      </c>
      <c r="P155" s="638" t="str">
        <f>IFERROR((((Таблица47[[#This Row],[Осталось сделать, хлыст]]*Таблица47[[#This Row],[длина]])*Таблица47[[#This Row],[Периметр]])/28),"")</f>
        <v/>
      </c>
      <c r="Q155" s="303"/>
      <c r="R155" s="639">
        <f>IFERROR(Таблица47[[#This Row],[Коли-
чество м.п.]]/Таблица47[[#This Row],[Количество хлыстов]],"")</f>
        <v>3.4</v>
      </c>
      <c r="S155" s="303" t="s">
        <v>4555</v>
      </c>
      <c r="T155" s="639">
        <v>2053.6</v>
      </c>
      <c r="U155" s="640">
        <v>604</v>
      </c>
      <c r="V155" s="639">
        <v>0.18279999999999999</v>
      </c>
      <c r="W155" s="639">
        <v>0.59099999999999997</v>
      </c>
      <c r="X155" s="639">
        <v>375.3981</v>
      </c>
      <c r="Y155" s="639">
        <v>1213.6776</v>
      </c>
      <c r="Z155" s="639">
        <v>48.8</v>
      </c>
      <c r="AA155" s="639">
        <v>62.88</v>
      </c>
      <c r="AB155" s="639">
        <v>344</v>
      </c>
      <c r="AC155" s="641">
        <v>129130.37</v>
      </c>
    </row>
    <row r="156" spans="1:29" ht="15.75" customHeight="1" x14ac:dyDescent="0.25">
      <c r="A156" s="427" t="s">
        <v>4678</v>
      </c>
      <c r="B156" s="309">
        <v>81</v>
      </c>
      <c r="C156" s="309"/>
      <c r="D156" s="303" t="s">
        <v>34</v>
      </c>
      <c r="E156" s="303" t="s">
        <v>3404</v>
      </c>
      <c r="F156" s="528">
        <v>45329</v>
      </c>
      <c r="G156" s="528"/>
      <c r="H15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6" s="522" t="str">
        <f>CONCATENATE(Таблица47[[#This Row],[№ заявки в 1С]],Таблица47[[#This Row],[Наименование            ]])</f>
        <v>81[81578] 1706-68, 6,0м, 6063 Т1, упаковка Т-5, БА</v>
      </c>
      <c r="J15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6" s="635"/>
      <c r="N156" s="636">
        <v>104</v>
      </c>
      <c r="O156" s="1013" t="str">
        <f>IFERROR(Таблица47[[#This Row],[Количество хлыстов]]-Таблица47[[#This Row],[Обработано в 1С]]-Таблица47[[#This Row],[Корректировка]],"")</f>
        <v/>
      </c>
      <c r="P156" s="638" t="str">
        <f>IFERROR((((Таблица47[[#This Row],[Осталось сделать, хлыст]]*Таблица47[[#This Row],[длина]])*Таблица47[[#This Row],[Периметр]])/28),"")</f>
        <v/>
      </c>
      <c r="Q156" s="303"/>
      <c r="R156" s="639">
        <f>IFERROR(Таблица47[[#This Row],[Коли-
чество м.п.]]/Таблица47[[#This Row],[Количество хлыстов]],"")</f>
        <v>6</v>
      </c>
      <c r="S156" s="303" t="s">
        <v>4582</v>
      </c>
      <c r="T156" s="639">
        <v>624</v>
      </c>
      <c r="U156" s="640">
        <v>104</v>
      </c>
      <c r="V156" s="639">
        <v>0.10100000000000001</v>
      </c>
      <c r="W156" s="639">
        <v>0.30599999999999999</v>
      </c>
      <c r="X156" s="639">
        <v>63.024000000000001</v>
      </c>
      <c r="Y156" s="639">
        <v>190.94399999999999</v>
      </c>
      <c r="Z156" s="639">
        <v>8.19</v>
      </c>
      <c r="AA156" s="639">
        <v>31.82</v>
      </c>
      <c r="AB156" s="639">
        <v>315</v>
      </c>
      <c r="AC156" s="641">
        <v>19852.560000000001</v>
      </c>
    </row>
    <row r="157" spans="1:29" ht="15.75" customHeight="1" x14ac:dyDescent="0.25">
      <c r="A157" s="427" t="s">
        <v>4678</v>
      </c>
      <c r="B157" s="309">
        <v>81</v>
      </c>
      <c r="C157" s="309"/>
      <c r="D157" s="303" t="s">
        <v>34</v>
      </c>
      <c r="E157" s="303" t="s">
        <v>3404</v>
      </c>
      <c r="F157" s="528">
        <v>45329</v>
      </c>
      <c r="G157" s="528"/>
      <c r="H15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7" s="522" t="str">
        <f>CONCATENATE(Таблица47[[#This Row],[№ заявки в 1С]],Таблица47[[#This Row],[Наименование            ]])</f>
        <v>81[81579] 1706-69, 6,0м, 6063 Т6, упаковка Т-5, БА</v>
      </c>
      <c r="J15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7" s="635"/>
      <c r="N157" s="636">
        <v>348</v>
      </c>
      <c r="O157" s="1013" t="str">
        <f>IFERROR(Таблица47[[#This Row],[Количество хлыстов]]-Таблица47[[#This Row],[Обработано в 1С]]-Таблица47[[#This Row],[Корректировка]],"")</f>
        <v/>
      </c>
      <c r="P157" s="638" t="str">
        <f>IFERROR((((Таблица47[[#This Row],[Осталось сделать, хлыст]]*Таблица47[[#This Row],[длина]])*Таблица47[[#This Row],[Периметр]])/28),"")</f>
        <v/>
      </c>
      <c r="Q157" s="303"/>
      <c r="R157" s="639">
        <f>IFERROR(Таблица47[[#This Row],[Коли-
чество м.п.]]/Таблица47[[#This Row],[Количество хлыстов]],"")</f>
        <v>6</v>
      </c>
      <c r="S157" s="303" t="s">
        <v>4994</v>
      </c>
      <c r="T157" s="639">
        <v>2088</v>
      </c>
      <c r="U157" s="640">
        <v>348</v>
      </c>
      <c r="V157" s="639">
        <v>0.21959999999999999</v>
      </c>
      <c r="W157" s="639">
        <v>0.35</v>
      </c>
      <c r="X157" s="639">
        <v>458.52480000000003</v>
      </c>
      <c r="Y157" s="639">
        <v>730.8</v>
      </c>
      <c r="Z157" s="639">
        <v>59.61</v>
      </c>
      <c r="AA157" s="639">
        <v>69.17</v>
      </c>
      <c r="AB157" s="639">
        <v>315</v>
      </c>
      <c r="AC157" s="641">
        <v>144435.31</v>
      </c>
    </row>
    <row r="158" spans="1:29" ht="30.75" customHeight="1" x14ac:dyDescent="0.25">
      <c r="A158" s="427" t="s">
        <v>4678</v>
      </c>
      <c r="B158" s="309">
        <v>81</v>
      </c>
      <c r="C158" s="309"/>
      <c r="D158" s="303" t="s">
        <v>34</v>
      </c>
      <c r="E158" s="303" t="s">
        <v>3404</v>
      </c>
      <c r="F158" s="528">
        <v>45329</v>
      </c>
      <c r="G158" s="528"/>
      <c r="H15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8" s="522" t="str">
        <f>CONCATENATE(Таблица47[[#This Row],[№ заявки в 1С]],Таблица47[[#This Row],[Наименование            ]])</f>
        <v>81[81738] 1706-70, 6,0м, 6063 Т1, упаковка Т-5, БА</v>
      </c>
      <c r="J15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8" s="635">
        <v>145</v>
      </c>
      <c r="N158" s="636">
        <v>330</v>
      </c>
      <c r="O158" s="1013" t="str">
        <f>IFERROR(Таблица47[[#This Row],[Количество хлыстов]]-Таблица47[[#This Row],[Обработано в 1С]]-Таблица47[[#This Row],[Корректировка]],"")</f>
        <v/>
      </c>
      <c r="P158" s="638" t="str">
        <f>IFERROR((((Таблица47[[#This Row],[Осталось сделать, хлыст]]*Таблица47[[#This Row],[длина]])*Таблица47[[#This Row],[Периметр]])/28),"")</f>
        <v/>
      </c>
      <c r="Q158" s="1081" t="s">
        <v>5078</v>
      </c>
      <c r="R158" s="639">
        <f>IFERROR(Таблица47[[#This Row],[Коли-
чество м.п.]]/Таблица47[[#This Row],[Количество хлыстов]],"")</f>
        <v>6</v>
      </c>
      <c r="S158" s="303" t="s">
        <v>4378</v>
      </c>
      <c r="T158" s="639">
        <v>2850</v>
      </c>
      <c r="U158" s="640">
        <v>475</v>
      </c>
      <c r="V158" s="639">
        <v>0.25169999999999998</v>
      </c>
      <c r="W158" s="639">
        <v>0.56699999999999995</v>
      </c>
      <c r="X158" s="639">
        <v>717.34500000000003</v>
      </c>
      <c r="Y158" s="639">
        <v>1615.95</v>
      </c>
      <c r="Z158" s="639">
        <v>93.25</v>
      </c>
      <c r="AA158" s="639">
        <v>79.290000000000006</v>
      </c>
      <c r="AB158" s="639">
        <v>315</v>
      </c>
      <c r="AC158" s="641">
        <v>225963.68</v>
      </c>
    </row>
    <row r="159" spans="1:29" ht="15.75" customHeight="1" x14ac:dyDescent="0.25">
      <c r="A159" s="427" t="s">
        <v>4678</v>
      </c>
      <c r="B159" s="309" t="s">
        <v>4841</v>
      </c>
      <c r="C159" s="309"/>
      <c r="D159" s="303" t="s">
        <v>34</v>
      </c>
      <c r="E159" s="303" t="s">
        <v>16</v>
      </c>
      <c r="F159" s="528">
        <v>45329</v>
      </c>
      <c r="G159" s="528"/>
      <c r="H15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59" s="522" t="str">
        <f>CONCATENATE(Таблица47[[#This Row],[№ заявки в 1С]],Таблица47[[#This Row],[Наименование            ]])</f>
        <v>OPT000111[35197] 0106-238, 6,0м, 6063 Т1, упаковка Т-5, под анод тип 1 ,БА</v>
      </c>
      <c r="J15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5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5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59" s="635"/>
      <c r="N159" s="636">
        <v>57</v>
      </c>
      <c r="O159" s="1013" t="str">
        <f>IFERROR(Таблица47[[#This Row],[Количество хлыстов]]-Таблица47[[#This Row],[Обработано в 1С]]-Таблица47[[#This Row],[Корректировка]],"")</f>
        <v/>
      </c>
      <c r="P159" s="638" t="str">
        <f>IFERROR((((Таблица47[[#This Row],[Осталось сделать, хлыст]]*Таблица47[[#This Row],[длина]])*Таблица47[[#This Row],[Периметр]])/28),"")</f>
        <v/>
      </c>
      <c r="Q159" s="303"/>
      <c r="R159" s="639">
        <f>IFERROR(Таблица47[[#This Row],[Коли-
чество м.п.]]/Таблица47[[#This Row],[Количество хлыстов]],"")</f>
        <v>6</v>
      </c>
      <c r="S159" s="303" t="s">
        <v>2859</v>
      </c>
      <c r="T159" s="639">
        <v>342</v>
      </c>
      <c r="U159" s="640">
        <v>57</v>
      </c>
      <c r="V159" s="639">
        <v>0.27260000000000001</v>
      </c>
      <c r="W159" s="639">
        <v>0.72899999999999998</v>
      </c>
      <c r="X159" s="639">
        <v>93.229200000000006</v>
      </c>
      <c r="Y159" s="639">
        <v>249.31800000000001</v>
      </c>
      <c r="Z159" s="639">
        <v>12.12</v>
      </c>
      <c r="AA159" s="639">
        <v>106.31</v>
      </c>
      <c r="AB159" s="639">
        <v>390</v>
      </c>
      <c r="AC159" s="641">
        <v>36359.39</v>
      </c>
    </row>
    <row r="160" spans="1:29" ht="15.75" customHeight="1" x14ac:dyDescent="0.25">
      <c r="A160" s="427" t="s">
        <v>4678</v>
      </c>
      <c r="B160" s="309" t="s">
        <v>4842</v>
      </c>
      <c r="C160" s="309"/>
      <c r="D160" s="303" t="s">
        <v>34</v>
      </c>
      <c r="E160" s="303" t="s">
        <v>16</v>
      </c>
      <c r="F160" s="528">
        <v>45329</v>
      </c>
      <c r="G160" s="528"/>
      <c r="H16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0" s="522" t="str">
        <f>CONCATENATE(Таблица47[[#This Row],[№ заявки в 1С]],Таблица47[[#This Row],[Наименование            ]])</f>
        <v>OPT000112[38435] 0506-20, 6,0м, 6063 Т1, упаковка Т-5, под анод тип 1, БА</v>
      </c>
      <c r="J16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0" s="635"/>
      <c r="N160" s="636">
        <v>121</v>
      </c>
      <c r="O160" s="1013" t="str">
        <f>IFERROR(Таблица47[[#This Row],[Количество хлыстов]]-Таблица47[[#This Row],[Обработано в 1С]]-Таблица47[[#This Row],[Корректировка]],"")</f>
        <v/>
      </c>
      <c r="P160" s="638" t="str">
        <f>IFERROR((((Таблица47[[#This Row],[Осталось сделать, хлыст]]*Таблица47[[#This Row],[длина]])*Таблица47[[#This Row],[Периметр]])/28),"")</f>
        <v/>
      </c>
      <c r="Q160" s="303"/>
      <c r="R160" s="639">
        <f>IFERROR(Таблица47[[#This Row],[Коли-
чество м.п.]]/Таблица47[[#This Row],[Количество хлыстов]],"")</f>
        <v>6</v>
      </c>
      <c r="S160" s="303" t="s">
        <v>2730</v>
      </c>
      <c r="T160" s="639">
        <v>726</v>
      </c>
      <c r="U160" s="640">
        <v>121</v>
      </c>
      <c r="V160" s="639">
        <v>0.3498</v>
      </c>
      <c r="W160" s="639">
        <v>1.425</v>
      </c>
      <c r="X160" s="639">
        <v>253.95480000000001</v>
      </c>
      <c r="Y160" s="639">
        <v>1034.55</v>
      </c>
      <c r="Z160" s="639">
        <v>33.01</v>
      </c>
      <c r="AA160" s="639">
        <v>127.68</v>
      </c>
      <c r="AB160" s="639">
        <v>365</v>
      </c>
      <c r="AC160" s="641">
        <v>92695.679999999993</v>
      </c>
    </row>
    <row r="161" spans="1:29" ht="15.75" customHeight="1" x14ac:dyDescent="0.25">
      <c r="A161" s="427" t="s">
        <v>4678</v>
      </c>
      <c r="B161" s="309" t="s">
        <v>4843</v>
      </c>
      <c r="C161" s="309"/>
      <c r="D161" s="303" t="s">
        <v>34</v>
      </c>
      <c r="E161" s="303" t="s">
        <v>16</v>
      </c>
      <c r="F161" s="528">
        <v>45329</v>
      </c>
      <c r="G161" s="528"/>
      <c r="H16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1" s="522" t="str">
        <f>CONCATENATE(Таблица47[[#This Row],[№ заявки в 1С]],Таблица47[[#This Row],[Наименование            ]])</f>
        <v>OPT000113[38436] 0506-21, 6,0м, 6063 Т1, тип 1, упаковка Т-5, БА</v>
      </c>
      <c r="J16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1" s="635"/>
      <c r="N161" s="636">
        <f>49+15</f>
        <v>64</v>
      </c>
      <c r="O161" s="1013" t="str">
        <f>IFERROR(Таблица47[[#This Row],[Количество хлыстов]]-Таблица47[[#This Row],[Обработано в 1С]]-Таблица47[[#This Row],[Корректировка]],"")</f>
        <v/>
      </c>
      <c r="P161" s="638" t="str">
        <f>IFERROR((((Таблица47[[#This Row],[Осталось сделать, хлыст]]*Таблица47[[#This Row],[длина]])*Таблица47[[#This Row],[Периметр]])/28),"")</f>
        <v/>
      </c>
      <c r="Q161" s="303"/>
      <c r="R161" s="639">
        <f>IFERROR(Таблица47[[#This Row],[Коли-
чество м.п.]]/Таблица47[[#This Row],[Количество хлыстов]],"")</f>
        <v>6</v>
      </c>
      <c r="S161" s="303" t="s">
        <v>2469</v>
      </c>
      <c r="T161" s="639">
        <v>384</v>
      </c>
      <c r="U161" s="640">
        <v>64</v>
      </c>
      <c r="V161" s="639">
        <v>0.70820000000000005</v>
      </c>
      <c r="W161" s="639">
        <v>3.4609999999999999</v>
      </c>
      <c r="X161" s="639">
        <v>271.94880000000001</v>
      </c>
      <c r="Y161" s="639">
        <v>1329.0239999999999</v>
      </c>
      <c r="Z161" s="639">
        <v>35.35</v>
      </c>
      <c r="AA161" s="639">
        <v>258.49</v>
      </c>
      <c r="AB161" s="639">
        <v>365</v>
      </c>
      <c r="AC161" s="641">
        <v>99261.31</v>
      </c>
    </row>
    <row r="162" spans="1:29" ht="30.75" customHeight="1" x14ac:dyDescent="0.25">
      <c r="A162" s="427" t="s">
        <v>4678</v>
      </c>
      <c r="B162" s="309">
        <v>61</v>
      </c>
      <c r="C162" s="309" t="s">
        <v>4753</v>
      </c>
      <c r="D162" s="303" t="s">
        <v>34</v>
      </c>
      <c r="E162" s="303" t="s">
        <v>861</v>
      </c>
      <c r="F162" s="528">
        <v>45329</v>
      </c>
      <c r="G162" s="528"/>
      <c r="H16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2" s="522" t="str">
        <f>CONCATENATE(Таблица47[[#This Row],[№ заявки в 1С]],Таблица47[[#This Row],[Наименование            ]])</f>
        <v>61Основания ТИС-Р-3
(профиль 1111-116), 475мм</v>
      </c>
      <c r="J16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2" s="635"/>
      <c r="N162" s="636">
        <v>151</v>
      </c>
      <c r="O162" s="1013" t="str">
        <f>IFERROR(Таблица47[[#This Row],[Количество хлыстов]]-Таблица47[[#This Row],[Обработано в 1С]]-Таблица47[[#This Row],[Корректировка]],"")</f>
        <v/>
      </c>
      <c r="P162" s="638" t="str">
        <f>IFERROR((((Таблица47[[#This Row],[Осталось сделать, хлыст]]*Таблица47[[#This Row],[длина]])*Таблица47[[#This Row],[Периметр]])/28),"")</f>
        <v/>
      </c>
      <c r="Q162" s="303" t="s">
        <v>4846</v>
      </c>
      <c r="R162" s="639">
        <f>IFERROR(Таблица47[[#This Row],[Коли-
чество м.п.]]/Таблица47[[#This Row],[Количество хлыстов]],"")</f>
        <v>0</v>
      </c>
      <c r="S162" s="1081" t="s">
        <v>4844</v>
      </c>
      <c r="T162" s="639"/>
      <c r="U162" s="640">
        <v>151</v>
      </c>
      <c r="V162" s="639"/>
      <c r="W162" s="639"/>
      <c r="X162" s="639"/>
      <c r="Y162" s="639"/>
      <c r="Z162" s="639"/>
      <c r="AA162" s="639"/>
      <c r="AB162" s="639"/>
      <c r="AC162" s="641"/>
    </row>
    <row r="163" spans="1:29" ht="30.75" customHeight="1" x14ac:dyDescent="0.25">
      <c r="A163" s="427" t="s">
        <v>4678</v>
      </c>
      <c r="B163" s="309">
        <v>61</v>
      </c>
      <c r="C163" s="309" t="s">
        <v>4753</v>
      </c>
      <c r="D163" s="303" t="s">
        <v>34</v>
      </c>
      <c r="E163" s="303" t="s">
        <v>861</v>
      </c>
      <c r="F163" s="528">
        <v>45329</v>
      </c>
      <c r="G163" s="528"/>
      <c r="H163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3" s="522" t="str">
        <f>CONCATENATE(Таблица47[[#This Row],[№ заявки в 1С]],Таблица47[[#This Row],[Наименование            ]])</f>
        <v>61Основания
ТИС-Р-2А (профиль 1111-116), 320мм</v>
      </c>
      <c r="J16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3" s="635"/>
      <c r="N163" s="636">
        <v>83</v>
      </c>
      <c r="O163" s="1013" t="str">
        <f>IFERROR(Таблица47[[#This Row],[Количество хлыстов]]-Таблица47[[#This Row],[Обработано в 1С]]-Таблица47[[#This Row],[Корректировка]],"")</f>
        <v/>
      </c>
      <c r="P163" s="638" t="str">
        <f>IFERROR((((Таблица47[[#This Row],[Осталось сделать, хлыст]]*Таблица47[[#This Row],[длина]])*Таблица47[[#This Row],[Периметр]])/28),"")</f>
        <v/>
      </c>
      <c r="Q163" s="303" t="s">
        <v>4847</v>
      </c>
      <c r="R163" s="639">
        <f>IFERROR(Таблица47[[#This Row],[Коли-
чество м.п.]]/Таблица47[[#This Row],[Количество хлыстов]],"")</f>
        <v>0</v>
      </c>
      <c r="S163" s="1081" t="s">
        <v>4845</v>
      </c>
      <c r="T163" s="639"/>
      <c r="U163" s="640">
        <v>83</v>
      </c>
      <c r="V163" s="639"/>
      <c r="W163" s="639"/>
      <c r="X163" s="639"/>
      <c r="Y163" s="639"/>
      <c r="Z163" s="639"/>
      <c r="AA163" s="639"/>
      <c r="AB163" s="639"/>
      <c r="AC163" s="641"/>
    </row>
    <row r="164" spans="1:29" ht="15.75" customHeight="1" x14ac:dyDescent="0.25">
      <c r="A164" s="427" t="s">
        <v>4678</v>
      </c>
      <c r="B164" s="309">
        <v>51</v>
      </c>
      <c r="C164" s="309" t="s">
        <v>4753</v>
      </c>
      <c r="D164" s="303" t="s">
        <v>34</v>
      </c>
      <c r="E164" s="303" t="s">
        <v>4467</v>
      </c>
      <c r="F164" s="528">
        <v>45329</v>
      </c>
      <c r="G164" s="528"/>
      <c r="H16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4" s="522" t="str">
        <f>CONCATENATE(Таблица47[[#This Row],[№ заявки в 1С]],Таблица47[[#This Row],[Наименование            ]])</f>
        <v>5145х90 B-Rxrt, длина 6,05м, БЦ анод 10мкм с дробью</v>
      </c>
      <c r="J16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4" s="635"/>
      <c r="N164" s="636">
        <v>27</v>
      </c>
      <c r="O164" s="1013" t="str">
        <f>IFERROR(Таблица47[[#This Row],[Количество хлыстов]]-Таблица47[[#This Row],[Обработано в 1С]]-Таблица47[[#This Row],[Корректировка]],"")</f>
        <v/>
      </c>
      <c r="P164" s="638" t="str">
        <f>IFERROR((((Таблица47[[#This Row],[Осталось сделать, хлыст]]*Таблица47[[#This Row],[длина]])*Таблица47[[#This Row],[Периметр]])/28),"")</f>
        <v/>
      </c>
      <c r="Q164" s="303" t="s">
        <v>3490</v>
      </c>
      <c r="R164" s="639">
        <f>IFERROR(Таблица47[[#This Row],[Коли-
чество м.п.]]/Таблица47[[#This Row],[Количество хлыстов]],"")</f>
        <v>6.05</v>
      </c>
      <c r="S164" s="303" t="s">
        <v>4586</v>
      </c>
      <c r="T164" s="639">
        <v>163.35</v>
      </c>
      <c r="U164" s="1023">
        <f>Таблица47[[#This Row],[Коли-
чество м.п.]]/6.05</f>
        <v>27</v>
      </c>
      <c r="V164" s="639"/>
      <c r="W164" s="639"/>
      <c r="X164" s="639"/>
      <c r="Y164" s="639"/>
      <c r="Z164" s="639"/>
      <c r="AA164" s="639"/>
      <c r="AB164" s="639"/>
      <c r="AC164" s="641"/>
    </row>
    <row r="165" spans="1:29" ht="15.75" customHeight="1" x14ac:dyDescent="0.25">
      <c r="A165" s="427" t="s">
        <v>4678</v>
      </c>
      <c r="B165" s="309">
        <v>51</v>
      </c>
      <c r="C165" s="309" t="s">
        <v>4753</v>
      </c>
      <c r="D165" s="303" t="s">
        <v>34</v>
      </c>
      <c r="E165" s="303" t="s">
        <v>4467</v>
      </c>
      <c r="F165" s="528">
        <v>45329</v>
      </c>
      <c r="G165" s="528"/>
      <c r="H16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5" s="522" t="str">
        <f>CONCATENATE(Таблица47[[#This Row],[№ заявки в 1С]],Таблица47[[#This Row],[Наименование            ]])</f>
        <v>5140х40 B-Rxrt, длина 6,05м, БЦ анод 10мкм с дробью</v>
      </c>
      <c r="J16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5" s="635"/>
      <c r="N165" s="636">
        <v>24</v>
      </c>
      <c r="O165" s="1013" t="str">
        <f>IFERROR(Таблица47[[#This Row],[Количество хлыстов]]-Таблица47[[#This Row],[Обработано в 1С]]-Таблица47[[#This Row],[Корректировка]],"")</f>
        <v/>
      </c>
      <c r="P165" s="638" t="str">
        <f>IFERROR((((Таблица47[[#This Row],[Осталось сделать, хлыст]]*Таблица47[[#This Row],[длина]])*Таблица47[[#This Row],[Периметр]])/28),"")</f>
        <v/>
      </c>
      <c r="Q165" s="303" t="s">
        <v>4848</v>
      </c>
      <c r="R165" s="639">
        <f>IFERROR(Таблица47[[#This Row],[Коли-
чество м.п.]]/Таблица47[[#This Row],[Количество хлыстов]],"")</f>
        <v>6.05</v>
      </c>
      <c r="S165" s="303" t="s">
        <v>3866</v>
      </c>
      <c r="T165" s="639">
        <v>145.19999999999999</v>
      </c>
      <c r="U165" s="1023">
        <f>Таблица47[[#This Row],[Коли-
чество м.п.]]/6.05</f>
        <v>24</v>
      </c>
      <c r="V165" s="639"/>
      <c r="W165" s="639"/>
      <c r="X165" s="639"/>
      <c r="Y165" s="639"/>
      <c r="Z165" s="639"/>
      <c r="AA165" s="639"/>
      <c r="AB165" s="639"/>
      <c r="AC165" s="641"/>
    </row>
    <row r="166" spans="1:29" ht="15.75" customHeight="1" x14ac:dyDescent="0.25">
      <c r="A166" s="427" t="s">
        <v>4678</v>
      </c>
      <c r="B166" s="309">
        <v>51</v>
      </c>
      <c r="C166" s="309" t="s">
        <v>4753</v>
      </c>
      <c r="D166" s="303" t="s">
        <v>34</v>
      </c>
      <c r="E166" s="303" t="s">
        <v>4467</v>
      </c>
      <c r="F166" s="528">
        <v>45329</v>
      </c>
      <c r="G166" s="528"/>
      <c r="H16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6" s="522" t="str">
        <f>CONCATENATE(Таблица47[[#This Row],[№ заявки в 1С]],Таблица47[[#This Row],[Наименование            ]])</f>
        <v>5130х30 B-Rxrt, длина 6,05м, БЦ анод 10мкм с дробью</v>
      </c>
      <c r="J16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6" s="635"/>
      <c r="N166" s="636">
        <v>66</v>
      </c>
      <c r="O166" s="1013" t="str">
        <f>IFERROR(Таблица47[[#This Row],[Количество хлыстов]]-Таблица47[[#This Row],[Обработано в 1С]]-Таблица47[[#This Row],[Корректировка]],"")</f>
        <v/>
      </c>
      <c r="P166" s="638" t="str">
        <f>IFERROR((((Таблица47[[#This Row],[Осталось сделать, хлыст]]*Таблица47[[#This Row],[длина]])*Таблица47[[#This Row],[Периметр]])/28),"")</f>
        <v/>
      </c>
      <c r="Q166" s="303" t="s">
        <v>3490</v>
      </c>
      <c r="R166" s="639">
        <f>IFERROR(Таблица47[[#This Row],[Коли-
чество м.п.]]/Таблица47[[#This Row],[Количество хлыстов]],"")</f>
        <v>6.05</v>
      </c>
      <c r="S166" s="303" t="s">
        <v>4053</v>
      </c>
      <c r="T166" s="639">
        <v>399.3</v>
      </c>
      <c r="U166" s="1023">
        <f>Таблица47[[#This Row],[Коли-
чество м.п.]]/6.05</f>
        <v>66</v>
      </c>
      <c r="V166" s="639"/>
      <c r="W166" s="639"/>
      <c r="X166" s="639"/>
      <c r="Y166" s="639"/>
      <c r="Z166" s="639"/>
      <c r="AA166" s="639"/>
      <c r="AB166" s="639"/>
      <c r="AC166" s="641"/>
    </row>
    <row r="167" spans="1:29" ht="15.75" customHeight="1" x14ac:dyDescent="0.25">
      <c r="A167" s="427" t="s">
        <v>4678</v>
      </c>
      <c r="B167" s="309">
        <v>86</v>
      </c>
      <c r="C167" s="309"/>
      <c r="D167" s="303" t="s">
        <v>34</v>
      </c>
      <c r="E167" s="303" t="s">
        <v>328</v>
      </c>
      <c r="F167" s="528">
        <v>45334</v>
      </c>
      <c r="G167" s="528"/>
      <c r="H16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7" s="522" t="str">
        <f>CONCATENATE(Таблица47[[#This Row],[№ заявки в 1С]],Таблица47[[#This Row],[Наименование            ]])</f>
        <v>86[70484] 1506-77 (АА-2050-85), 6,0м, 6063 Т6, упаковка Т-5, без покрытия</v>
      </c>
      <c r="J16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7" s="635">
        <v>19</v>
      </c>
      <c r="N167" s="636">
        <v>175</v>
      </c>
      <c r="O167" s="1013" t="str">
        <f>IFERROR(Таблица47[[#This Row],[Количество хлыстов]]-Таблица47[[#This Row],[Обработано в 1С]]-Таблица47[[#This Row],[Корректировка]],"")</f>
        <v/>
      </c>
      <c r="P167" s="638" t="str">
        <f>IFERROR((((Таблица47[[#This Row],[Осталось сделать, хлыст]]*Таблица47[[#This Row],[длина]])*Таблица47[[#This Row],[Периметр]])/28),"")</f>
        <v/>
      </c>
      <c r="Q167" s="303" t="s">
        <v>4960</v>
      </c>
      <c r="R167" s="639">
        <f>IFERROR(Таблица47[[#This Row],[Коли-
чество м.п.]]/Таблица47[[#This Row],[Количество хлыстов]],"")</f>
        <v>6</v>
      </c>
      <c r="S167" s="303" t="s">
        <v>4813</v>
      </c>
      <c r="T167" s="639">
        <v>1164</v>
      </c>
      <c r="U167" s="640">
        <v>194</v>
      </c>
      <c r="V167" s="639">
        <v>0.30919999999999997</v>
      </c>
      <c r="W167" s="639">
        <v>1.101</v>
      </c>
      <c r="X167" s="639">
        <v>359.90879999999999</v>
      </c>
      <c r="Y167" s="639">
        <v>1281.5640000000001</v>
      </c>
      <c r="Z167" s="639">
        <v>46.79</v>
      </c>
      <c r="AA167" s="639">
        <v>112.86</v>
      </c>
      <c r="AB167" s="639">
        <v>365</v>
      </c>
      <c r="AC167" s="641">
        <v>131366.71</v>
      </c>
    </row>
    <row r="168" spans="1:29" ht="15.75" customHeight="1" x14ac:dyDescent="0.25">
      <c r="A168" s="427" t="s">
        <v>4678</v>
      </c>
      <c r="B168" s="309">
        <v>87</v>
      </c>
      <c r="C168" s="309"/>
      <c r="D168" s="303" t="s">
        <v>34</v>
      </c>
      <c r="E168" s="303" t="s">
        <v>3404</v>
      </c>
      <c r="F168" s="528">
        <v>45334</v>
      </c>
      <c r="G168" s="528"/>
      <c r="H16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8" s="522" t="str">
        <f>CONCATENATE(Таблица47[[#This Row],[№ заявки в 1С]],Таблица47[[#This Row],[Наименование            ]])</f>
        <v>87[81578] 1706-68, 6,0м, 6063 Т1, упаковка Т-5, БА</v>
      </c>
      <c r="J16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8" s="635"/>
      <c r="N168" s="636">
        <v>443</v>
      </c>
      <c r="O168" s="1013" t="str">
        <f>IFERROR(Таблица47[[#This Row],[Количество хлыстов]]-Таблица47[[#This Row],[Обработано в 1С]]-Таблица47[[#This Row],[Корректировка]],"")</f>
        <v/>
      </c>
      <c r="P168" s="638" t="str">
        <f>IFERROR((((Таблица47[[#This Row],[Осталось сделать, хлыст]]*Таблица47[[#This Row],[длина]])*Таблица47[[#This Row],[Периметр]])/28),"")</f>
        <v/>
      </c>
      <c r="Q168" s="303"/>
      <c r="R168" s="639">
        <f>IFERROR(Таблица47[[#This Row],[Коли-
чество м.п.]]/Таблица47[[#This Row],[Количество хлыстов]],"")</f>
        <v>6</v>
      </c>
      <c r="S168" s="303" t="s">
        <v>4582</v>
      </c>
      <c r="T168" s="639">
        <v>2658</v>
      </c>
      <c r="U168" s="640">
        <v>443</v>
      </c>
      <c r="V168" s="639">
        <v>0.10100000000000001</v>
      </c>
      <c r="W168" s="639">
        <v>0.30599999999999999</v>
      </c>
      <c r="X168" s="639">
        <v>268.45800000000003</v>
      </c>
      <c r="Y168" s="639">
        <v>813.34799999999996</v>
      </c>
      <c r="Z168" s="639">
        <v>34.9</v>
      </c>
      <c r="AA168" s="639">
        <v>31.82</v>
      </c>
      <c r="AB168" s="639">
        <v>315</v>
      </c>
      <c r="AC168" s="641">
        <v>84577.56</v>
      </c>
    </row>
    <row r="169" spans="1:29" s="1021" customFormat="1" ht="15.75" customHeight="1" x14ac:dyDescent="0.25">
      <c r="A169" s="979" t="s">
        <v>4978</v>
      </c>
      <c r="B169" s="1067">
        <v>88</v>
      </c>
      <c r="C169" s="1067"/>
      <c r="D169" s="1068" t="s">
        <v>13</v>
      </c>
      <c r="E169" s="1068" t="s">
        <v>4725</v>
      </c>
      <c r="F169" s="1069">
        <v>45334</v>
      </c>
      <c r="G169" s="1069"/>
      <c r="H16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69" s="620" t="str">
        <f>CONCATENATE(Таблица47[[#This Row],[№ заявки в 1С]],Таблица47[[#This Row],[Наименование            ]])</f>
        <v>88[866] автоуголок 150*55*3мм (0106-153 ) 6,0м АД31 Т1 уп. Т5</v>
      </c>
      <c r="J16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6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6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69" s="1082"/>
      <c r="N169" s="1086">
        <v>71</v>
      </c>
      <c r="O169" s="1020" t="str">
        <f>IFERROR(Таблица47[[#This Row],[Количество хлыстов]]-Таблица47[[#This Row],[Обработано в 1С]]-Таблица47[[#This Row],[Корректировка]],"")</f>
        <v/>
      </c>
      <c r="P169" s="638" t="str">
        <f>IFERROR((((Таблица47[[#This Row],[Осталось сделать, хлыст]]*Таблица47[[#This Row],[длина]])*Таблица47[[#This Row],[Периметр]])/28),"")</f>
        <v/>
      </c>
      <c r="Q169" s="1068" t="s">
        <v>4728</v>
      </c>
      <c r="R169" s="1083">
        <f>IFERROR(Таблица47[[#This Row],[Коли-
чество м.п.]]/Таблица47[[#This Row],[Количество хлыстов]],"")</f>
        <v>6</v>
      </c>
      <c r="S169" s="1068" t="s">
        <v>4834</v>
      </c>
      <c r="T169" s="1083">
        <v>426</v>
      </c>
      <c r="U169" s="1084">
        <v>71</v>
      </c>
      <c r="V169" s="1083">
        <v>0.42199999999999999</v>
      </c>
      <c r="W169" s="1083">
        <v>1.389</v>
      </c>
      <c r="X169" s="1083">
        <v>179.77199999999999</v>
      </c>
      <c r="Y169" s="1083">
        <v>591.71400000000006</v>
      </c>
      <c r="Z169" s="1083">
        <v>23.37</v>
      </c>
      <c r="AA169" s="1083">
        <v>92.84</v>
      </c>
      <c r="AB169" s="1083">
        <v>220</v>
      </c>
      <c r="AC169" s="1085">
        <v>39549.839999999997</v>
      </c>
    </row>
    <row r="170" spans="1:29" s="1021" customFormat="1" ht="15.75" customHeight="1" x14ac:dyDescent="0.25">
      <c r="A170" s="979" t="s">
        <v>4978</v>
      </c>
      <c r="B170" s="1067">
        <v>91</v>
      </c>
      <c r="C170" s="1067"/>
      <c r="D170" s="1068" t="s">
        <v>13</v>
      </c>
      <c r="E170" s="1068" t="s">
        <v>45</v>
      </c>
      <c r="F170" s="1069">
        <v>45335</v>
      </c>
      <c r="G170" s="1069"/>
      <c r="H17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0" s="620" t="str">
        <f>CONCATENATE(Таблица47[[#This Row],[№ заявки в 1С]],Таблица47[[#This Row],[Наименование            ]])</f>
        <v>91[88113] 2606-24, 6,0м, 6063 Т6, уп.Т5</v>
      </c>
      <c r="J17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0" s="1082"/>
      <c r="N170" s="1086">
        <v>8</v>
      </c>
      <c r="O170" s="1020" t="str">
        <f>IFERROR(Таблица47[[#This Row],[Количество хлыстов]]-Таблица47[[#This Row],[Обработано в 1С]]-Таблица47[[#This Row],[Корректировка]],"")</f>
        <v/>
      </c>
      <c r="P170" s="638" t="str">
        <f>IFERROR((((Таблица47[[#This Row],[Осталось сделать, хлыст]]*Таблица47[[#This Row],[длина]])*Таблица47[[#This Row],[Периметр]])/28),"")</f>
        <v/>
      </c>
      <c r="Q170" s="1068" t="s">
        <v>4854</v>
      </c>
      <c r="R170" s="1083">
        <f>IFERROR(Таблица47[[#This Row],[Коли-
чество м.п.]]/Таблица47[[#This Row],[Количество хлыстов]],"")</f>
        <v>6</v>
      </c>
      <c r="S170" s="1068" t="s">
        <v>4786</v>
      </c>
      <c r="T170" s="1083">
        <v>48</v>
      </c>
      <c r="U170" s="1084">
        <v>8</v>
      </c>
      <c r="V170" s="1083">
        <v>0.2893</v>
      </c>
      <c r="W170" s="1083">
        <v>1.48</v>
      </c>
      <c r="X170" s="1083">
        <v>13.8864</v>
      </c>
      <c r="Y170" s="1083">
        <v>71.040000000000006</v>
      </c>
      <c r="Z170" s="1083">
        <v>1.81</v>
      </c>
      <c r="AA170" s="1083">
        <v>93.75</v>
      </c>
      <c r="AB170" s="1083">
        <v>324.06</v>
      </c>
      <c r="AC170" s="1085">
        <v>4500</v>
      </c>
    </row>
    <row r="171" spans="1:29" ht="15.75" customHeight="1" x14ac:dyDescent="0.25">
      <c r="A171" s="427" t="s">
        <v>4678</v>
      </c>
      <c r="B171" s="1070">
        <v>92</v>
      </c>
      <c r="C171" s="1070"/>
      <c r="D171" s="200" t="s">
        <v>13</v>
      </c>
      <c r="E171" s="200" t="s">
        <v>45</v>
      </c>
      <c r="F171" s="201">
        <v>45335</v>
      </c>
      <c r="G171" s="528"/>
      <c r="H1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1" s="522" t="str">
        <f>CONCATENATE(Таблица47[[#This Row],[№ заявки в 1С]],Таблица47[[#This Row],[Наименование            ]])</f>
        <v>92[88113] 2606-24, 6,0м, 6063 Т6, уп.Т5</v>
      </c>
      <c r="J17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1" s="635"/>
      <c r="N171" s="636">
        <v>1</v>
      </c>
      <c r="O171" s="1013" t="str">
        <f>IFERROR(Таблица47[[#This Row],[Количество хлыстов]]-Таблица47[[#This Row],[Обработано в 1С]]-Таблица47[[#This Row],[Корректировка]],"")</f>
        <v/>
      </c>
      <c r="P171" s="638" t="str">
        <f>IFERROR((((Таблица47[[#This Row],[Осталось сделать, хлыст]]*Таблица47[[#This Row],[длина]])*Таблица47[[#This Row],[Периметр]])/28),"")</f>
        <v/>
      </c>
      <c r="Q171" s="303" t="s">
        <v>680</v>
      </c>
      <c r="R171" s="639">
        <f>IFERROR(Таблица47[[#This Row],[Коли-
чество м.п.]]/Таблица47[[#This Row],[Количество хлыстов]],"")</f>
        <v>6</v>
      </c>
      <c r="S171" s="303" t="s">
        <v>4786</v>
      </c>
      <c r="T171" s="639">
        <v>6</v>
      </c>
      <c r="U171" s="640">
        <v>1</v>
      </c>
      <c r="V171" s="639">
        <v>0.2893</v>
      </c>
      <c r="W171" s="639">
        <v>1.48</v>
      </c>
      <c r="X171" s="639">
        <v>1.7358</v>
      </c>
      <c r="Y171" s="639">
        <v>8.8800000000000008</v>
      </c>
      <c r="Z171" s="639">
        <v>0.23</v>
      </c>
      <c r="AA171" s="639">
        <v>114.27</v>
      </c>
      <c r="AB171" s="639">
        <v>395</v>
      </c>
      <c r="AC171" s="641">
        <v>685.64</v>
      </c>
    </row>
    <row r="172" spans="1:29" ht="15.75" customHeight="1" x14ac:dyDescent="0.25">
      <c r="A172" s="427" t="s">
        <v>4678</v>
      </c>
      <c r="B172" s="309">
        <v>93</v>
      </c>
      <c r="C172" s="309"/>
      <c r="D172" s="303" t="s">
        <v>34</v>
      </c>
      <c r="E172" s="303" t="s">
        <v>45</v>
      </c>
      <c r="F172" s="528">
        <v>45335</v>
      </c>
      <c r="G172" s="528"/>
      <c r="H17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2" s="522" t="str">
        <f>CONCATENATE(Таблица47[[#This Row],[№ заявки в 1С]],Таблица47[[#This Row],[Наименование            ]])</f>
        <v>93[16306] 0216-92, 6,0м, 6063 Т1, упаковка Т-5, без покрытия</v>
      </c>
      <c r="J17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2" s="635"/>
      <c r="N172" s="636">
        <v>55</v>
      </c>
      <c r="O172" s="1013" t="str">
        <f>IFERROR(Таблица47[[#This Row],[Количество хлыстов]]-Таблица47[[#This Row],[Обработано в 1С]]-Таблица47[[#This Row],[Корректировка]],"")</f>
        <v/>
      </c>
      <c r="P172" s="638" t="str">
        <f>IFERROR((((Таблица47[[#This Row],[Осталось сделать, хлыст]]*Таблица47[[#This Row],[длина]])*Таблица47[[#This Row],[Периметр]])/28),"")</f>
        <v/>
      </c>
      <c r="Q172" s="303" t="s">
        <v>4857</v>
      </c>
      <c r="R172" s="639">
        <f>IFERROR(Таблица47[[#This Row],[Коли-
чество м.п.]]/Таблица47[[#This Row],[Количество хлыстов]],"")</f>
        <v>6</v>
      </c>
      <c r="S172" s="303" t="s">
        <v>4856</v>
      </c>
      <c r="T172" s="639">
        <v>330</v>
      </c>
      <c r="U172" s="640">
        <v>55</v>
      </c>
      <c r="V172" s="639">
        <v>0.1837</v>
      </c>
      <c r="W172" s="639">
        <v>0.83599999999999997</v>
      </c>
      <c r="X172" s="639">
        <v>60.621000000000002</v>
      </c>
      <c r="Y172" s="639">
        <v>275.88</v>
      </c>
      <c r="Z172" s="639">
        <v>7.88</v>
      </c>
      <c r="AA172" s="639">
        <v>79.91</v>
      </c>
      <c r="AB172" s="639">
        <v>435</v>
      </c>
      <c r="AC172" s="641">
        <v>26370.3</v>
      </c>
    </row>
    <row r="173" spans="1:29" ht="15.75" customHeight="1" x14ac:dyDescent="0.25">
      <c r="A173" s="427" t="s">
        <v>4678</v>
      </c>
      <c r="B173" s="309">
        <v>63</v>
      </c>
      <c r="C173" s="309" t="s">
        <v>4753</v>
      </c>
      <c r="D173" s="303" t="s">
        <v>34</v>
      </c>
      <c r="E173" s="303" t="s">
        <v>5169</v>
      </c>
      <c r="F173" s="528">
        <v>45331</v>
      </c>
      <c r="G173" s="528"/>
      <c r="H17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3" s="522" t="str">
        <f>CONCATENATE(Таблица47[[#This Row],[№ заявки в 1С]],Таблица47[[#This Row],[Наименование            ]])</f>
        <v xml:space="preserve">63Крышка ригеля ТП-5014М </v>
      </c>
      <c r="J17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3" s="635"/>
      <c r="N173" s="636">
        <v>60</v>
      </c>
      <c r="O173" s="1013" t="str">
        <f>IFERROR(Таблица47[[#This Row],[Количество хлыстов]]-Таблица47[[#This Row],[Обработано в 1С]]-Таблица47[[#This Row],[Корректировка]],"")</f>
        <v/>
      </c>
      <c r="P173" s="638" t="str">
        <f>IFERROR((((Таблица47[[#This Row],[Осталось сделать, хлыст]]*Таблица47[[#This Row],[длина]])*Таблица47[[#This Row],[Периметр]])/28),"")</f>
        <v/>
      </c>
      <c r="Q173" s="303"/>
      <c r="R173" s="639">
        <f>IFERROR(Таблица47[[#This Row],[Коли-
чество м.п.]]/Таблица47[[#This Row],[Количество хлыстов]],"")</f>
        <v>6</v>
      </c>
      <c r="S173" s="303" t="s">
        <v>4862</v>
      </c>
      <c r="T173" s="639">
        <v>360</v>
      </c>
      <c r="U173" s="640">
        <v>60</v>
      </c>
      <c r="V173" s="639">
        <v>0.1381</v>
      </c>
      <c r="W173" s="639"/>
      <c r="X173" s="639">
        <v>49</v>
      </c>
      <c r="Y173" s="639"/>
      <c r="Z173" s="639"/>
      <c r="AA173" s="639"/>
      <c r="AB173" s="639"/>
      <c r="AC173" s="641">
        <v>49280</v>
      </c>
    </row>
    <row r="174" spans="1:29" ht="15.75" customHeight="1" x14ac:dyDescent="0.25">
      <c r="A174" s="427" t="s">
        <v>4678</v>
      </c>
      <c r="B174" s="309">
        <v>97</v>
      </c>
      <c r="C174" s="1070"/>
      <c r="D174" s="200" t="s">
        <v>13</v>
      </c>
      <c r="E174" s="200" t="s">
        <v>4247</v>
      </c>
      <c r="F174" s="201">
        <v>45337</v>
      </c>
      <c r="G174" s="528"/>
      <c r="H17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4" s="522" t="str">
        <f>CONCATENATE(Таблица47[[#This Row],[№ заявки в 1С]],Таблица47[[#This Row],[Наименование            ]])</f>
        <v>97[76221] 220650 (1606-52, АВА-3665) бортовой боковой 3,2м сплав 6063 Т6</v>
      </c>
      <c r="J17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4" s="635"/>
      <c r="N174" s="636">
        <v>120</v>
      </c>
      <c r="O174" s="1013" t="str">
        <f>IFERROR(Таблица47[[#This Row],[Количество хлыстов]]-Таблица47[[#This Row],[Обработано в 1С]]-Таблица47[[#This Row],[Корректировка]],"")</f>
        <v/>
      </c>
      <c r="P174" s="638" t="str">
        <f>IFERROR((((Таблица47[[#This Row],[Осталось сделать, хлыст]]*Таблица47[[#This Row],[длина]])*Таблица47[[#This Row],[Периметр]])/28),"")</f>
        <v/>
      </c>
      <c r="Q174" s="303"/>
      <c r="R174" s="639">
        <f>IFERROR(Таблица47[[#This Row],[Коли-
чество м.п.]]/Таблица47[[#This Row],[Количество хлыстов]],"")</f>
        <v>3.2</v>
      </c>
      <c r="S174" s="303" t="s">
        <v>4459</v>
      </c>
      <c r="T174" s="639">
        <v>384</v>
      </c>
      <c r="U174" s="640">
        <v>120</v>
      </c>
      <c r="V174" s="639">
        <v>0.31</v>
      </c>
      <c r="W174" s="639">
        <v>1.2010000000000001</v>
      </c>
      <c r="X174" s="639">
        <v>119.04</v>
      </c>
      <c r="Y174" s="639">
        <v>461.18400000000003</v>
      </c>
      <c r="Z174" s="639">
        <v>15.48</v>
      </c>
      <c r="AA174" s="639">
        <v>125.55</v>
      </c>
      <c r="AB174" s="639">
        <v>405</v>
      </c>
      <c r="AC174" s="641">
        <v>48211.199999999997</v>
      </c>
    </row>
    <row r="175" spans="1:29" ht="15.75" customHeight="1" x14ac:dyDescent="0.25">
      <c r="A175" s="238" t="s">
        <v>4678</v>
      </c>
      <c r="B175" s="1070">
        <v>97</v>
      </c>
      <c r="C175" s="1070"/>
      <c r="D175" s="200" t="s">
        <v>13</v>
      </c>
      <c r="E175" s="200" t="s">
        <v>4637</v>
      </c>
      <c r="F175" s="201">
        <v>45337</v>
      </c>
      <c r="G175" s="469">
        <v>45384</v>
      </c>
      <c r="H175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5" s="587" t="str">
        <f>CONCATENATE(Таблица47[[#This Row],[№ заявки в 1С]],Таблица47[[#This Row],[Наименование            ]])</f>
        <v>97[81550] автоуголок 250*40мм (1706-75, 97101) 6,0м сплав 6063 Т6 + уп А5</v>
      </c>
      <c r="J175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5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5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5" s="1062"/>
      <c r="N175" s="1063">
        <v>26</v>
      </c>
      <c r="O175" s="1013" t="str">
        <f>IFERROR(Таблица47[[#This Row],[Количество хлыстов]]-Таблица47[[#This Row],[Обработано в 1С]]-Таблица47[[#This Row],[Корректировка]],"")</f>
        <v/>
      </c>
      <c r="P175" s="638" t="str">
        <f>IFERROR((((Таблица47[[#This Row],[Осталось сделать, хлыст]]*Таблица47[[#This Row],[длина]])*Таблица47[[#This Row],[Периметр]])/28),"")</f>
        <v/>
      </c>
      <c r="Q175" s="200"/>
      <c r="R175" s="1043">
        <f>IFERROR(Таблица47[[#This Row],[Коли-
чество м.п.]]/Таблица47[[#This Row],[Количество хлыстов]],"")</f>
        <v>6</v>
      </c>
      <c r="S175" s="200" t="s">
        <v>4863</v>
      </c>
      <c r="T175" s="1043">
        <v>156</v>
      </c>
      <c r="U175" s="1042">
        <v>26</v>
      </c>
      <c r="V175" s="1043">
        <v>0.59919999999999995</v>
      </c>
      <c r="W175" s="1043">
        <v>2.5859999999999999</v>
      </c>
      <c r="X175" s="1043">
        <v>93.475200000000001</v>
      </c>
      <c r="Y175" s="1043">
        <v>403.416</v>
      </c>
      <c r="Z175" s="1043">
        <v>12.15</v>
      </c>
      <c r="AA175" s="1043">
        <v>242.68</v>
      </c>
      <c r="AB175" s="1043">
        <v>405</v>
      </c>
      <c r="AC175" s="1044">
        <v>37857.46</v>
      </c>
    </row>
    <row r="176" spans="1:29" ht="15.75" customHeight="1" x14ac:dyDescent="0.25">
      <c r="A176" s="1030" t="s">
        <v>4939</v>
      </c>
      <c r="B176" s="467">
        <v>85</v>
      </c>
      <c r="C176" s="467"/>
      <c r="D176" s="468" t="s">
        <v>13</v>
      </c>
      <c r="E176" s="468" t="s">
        <v>4734</v>
      </c>
      <c r="F176" s="469">
        <v>45331</v>
      </c>
      <c r="G176" s="469">
        <v>45390</v>
      </c>
      <c r="H176" s="574" t="s">
        <v>23</v>
      </c>
      <c r="I176" s="476" t="str">
        <f>CONCATENATE(Таблица47[[#This Row],[№ заявки в 1С]],Таблица47[[#This Row],[Наименование            ]])</f>
        <v>85[56993] автоуголок 90*60*2мм (0506-17, 97083)6,0м 6063 Т6</v>
      </c>
      <c r="J176" s="103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6" s="103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6" s="103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6" s="1038"/>
      <c r="N176" s="1038">
        <v>131</v>
      </c>
      <c r="O176" s="1013" t="str">
        <f>IFERROR(Таблица47[[#This Row],[Количество хлыстов]]-Таблица47[[#This Row],[Обработано в 1С]]-Таблица47[[#This Row],[Корректировка]],"")</f>
        <v/>
      </c>
      <c r="P176" s="638" t="str">
        <f>IFERROR((((Таблица47[[#This Row],[Осталось сделать, хлыст]]*Таблица47[[#This Row],[длина]])*Таблица47[[#This Row],[Периметр]])/28),"")</f>
        <v/>
      </c>
      <c r="Q176" s="468"/>
      <c r="R176" s="489">
        <f>IFERROR(Таблица47[[#This Row],[Коли-
чество м.п.]]/Таблица47[[#This Row],[Количество хлыстов]],"")</f>
        <v>6</v>
      </c>
      <c r="S176" s="468" t="s">
        <v>4567</v>
      </c>
      <c r="T176" s="489">
        <v>816</v>
      </c>
      <c r="U176" s="490">
        <v>136</v>
      </c>
      <c r="V176" s="489">
        <v>0.29759999999999998</v>
      </c>
      <c r="W176" s="489">
        <v>0.67600000000000005</v>
      </c>
      <c r="X176" s="489">
        <v>242.8416</v>
      </c>
      <c r="Y176" s="489">
        <v>551.61599999999999</v>
      </c>
      <c r="Z176" s="489">
        <v>31.57</v>
      </c>
      <c r="AA176" s="489">
        <v>108.62</v>
      </c>
      <c r="AB176" s="489">
        <v>365</v>
      </c>
      <c r="AC176" s="1037">
        <v>88633.919999999998</v>
      </c>
    </row>
    <row r="177" spans="1:29" ht="15.75" customHeight="1" x14ac:dyDescent="0.25">
      <c r="A177" s="238" t="s">
        <v>4939</v>
      </c>
      <c r="B177" s="1070">
        <v>98</v>
      </c>
      <c r="C177" s="1070"/>
      <c r="D177" s="200" t="s">
        <v>13</v>
      </c>
      <c r="E177" s="200" t="s">
        <v>4971</v>
      </c>
      <c r="F177" s="201">
        <v>45337</v>
      </c>
      <c r="G177" s="201"/>
      <c r="H177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7" s="587" t="str">
        <f>CONCATENATE(Таблица47[[#This Row],[№ заявки в 1С]],Таблица47[[#This Row],[Наименование            ]])</f>
        <v>98[865] автополоса 155*4мм (0106-152)  6,0м  60631 Т6  уп Т5</v>
      </c>
      <c r="J177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7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7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7" s="1062">
        <v>1</v>
      </c>
      <c r="N177" s="1063">
        <v>62</v>
      </c>
      <c r="O177" s="1013" t="str">
        <f>IFERROR(Таблица47[[#This Row],[Количество хлыстов]]-Таблица47[[#This Row],[Обработано в 1С]]-Таблица47[[#This Row],[Корректировка]],"")</f>
        <v/>
      </c>
      <c r="P177" s="638" t="str">
        <f>IFERROR((((Таблица47[[#This Row],[Осталось сделать, хлыст]]*Таблица47[[#This Row],[длина]])*Таблица47[[#This Row],[Периметр]])/28),"")</f>
        <v/>
      </c>
      <c r="Q177" s="200"/>
      <c r="R177" s="1043">
        <f>IFERROR(Таблица47[[#This Row],[Коли-
чество м.п.]]/Таблица47[[#This Row],[Количество хлыстов]],"")</f>
        <v>6</v>
      </c>
      <c r="S177" s="200" t="s">
        <v>4748</v>
      </c>
      <c r="T177" s="1043">
        <v>378</v>
      </c>
      <c r="U177" s="1042">
        <v>63</v>
      </c>
      <c r="V177" s="1043">
        <v>0.33660000000000001</v>
      </c>
      <c r="W177" s="1043">
        <v>1.2350000000000001</v>
      </c>
      <c r="X177" s="1043">
        <v>127.23480000000001</v>
      </c>
      <c r="Y177" s="1043">
        <v>466.83</v>
      </c>
      <c r="Z177" s="1043">
        <v>16.54</v>
      </c>
      <c r="AA177" s="1043">
        <v>102.66</v>
      </c>
      <c r="AB177" s="1043">
        <v>305</v>
      </c>
      <c r="AC177" s="1044">
        <v>38806.61</v>
      </c>
    </row>
    <row r="178" spans="1:29" ht="15.75" customHeight="1" x14ac:dyDescent="0.25">
      <c r="A178" s="238" t="s">
        <v>4939</v>
      </c>
      <c r="B178" s="1070">
        <v>98</v>
      </c>
      <c r="C178" s="1070"/>
      <c r="D178" s="200" t="s">
        <v>13</v>
      </c>
      <c r="E178" s="200" t="s">
        <v>4725</v>
      </c>
      <c r="F178" s="201">
        <v>45337</v>
      </c>
      <c r="G178" s="201">
        <v>45390</v>
      </c>
      <c r="H178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8" s="587" t="str">
        <f>CONCATENATE(Таблица47[[#This Row],[№ заявки в 1С]],Таблица47[[#This Row],[Наименование            ]])</f>
        <v>98[81550] автоуголок 250*40мм (1706-75, 97101) 6,0м сплав 6063 Т6 + уп А5</v>
      </c>
      <c r="J178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8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8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8" s="1062"/>
      <c r="N178" s="1063">
        <v>38</v>
      </c>
      <c r="O178" s="1013" t="str">
        <f>IFERROR(Таблица47[[#This Row],[Количество хлыстов]]-Таблица47[[#This Row],[Обработано в 1С]]-Таблица47[[#This Row],[Корректировка]],"")</f>
        <v/>
      </c>
      <c r="P178" s="638" t="str">
        <f>IFERROR((((Таблица47[[#This Row],[Осталось сделать, хлыст]]*Таблица47[[#This Row],[длина]])*Таблица47[[#This Row],[Периметр]])/28),"")</f>
        <v/>
      </c>
      <c r="Q178" s="200"/>
      <c r="R178" s="1043">
        <f>IFERROR(Таблица47[[#This Row],[Коли-
чество м.п.]]/Таблица47[[#This Row],[Количество хлыстов]],"")</f>
        <v>6</v>
      </c>
      <c r="S178" s="200" t="s">
        <v>4863</v>
      </c>
      <c r="T178" s="1043">
        <v>228</v>
      </c>
      <c r="U178" s="1042">
        <v>38</v>
      </c>
      <c r="V178" s="1043">
        <v>0.59919999999999995</v>
      </c>
      <c r="W178" s="1043">
        <v>2.5859999999999999</v>
      </c>
      <c r="X178" s="1043">
        <v>136.61760000000001</v>
      </c>
      <c r="Y178" s="1043">
        <v>589.60799999999995</v>
      </c>
      <c r="Z178" s="1043">
        <v>17.760000000000002</v>
      </c>
      <c r="AA178" s="1043">
        <v>182.76</v>
      </c>
      <c r="AB178" s="1043">
        <v>305</v>
      </c>
      <c r="AC178" s="1044">
        <v>41668.370000000003</v>
      </c>
    </row>
    <row r="179" spans="1:29" ht="15.75" customHeight="1" x14ac:dyDescent="0.25">
      <c r="A179" s="238" t="s">
        <v>4939</v>
      </c>
      <c r="B179" s="1070">
        <v>99</v>
      </c>
      <c r="C179" s="1070"/>
      <c r="D179" s="200" t="s">
        <v>13</v>
      </c>
      <c r="E179" s="200" t="s">
        <v>32</v>
      </c>
      <c r="F179" s="201">
        <v>45337</v>
      </c>
      <c r="G179" s="201">
        <v>45390</v>
      </c>
      <c r="H179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79" s="587" t="str">
        <f>CONCATENATE(Таблица47[[#This Row],[№ заявки в 1С]],Таблица47[[#This Row],[Наименование            ]])</f>
        <v>99[81356] АВА-7227, 5,05 м, сплав 6063 КР Т6, упаковка Т-5</v>
      </c>
      <c r="J179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79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79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79" s="1062"/>
      <c r="N179" s="1063">
        <v>40</v>
      </c>
      <c r="O179" s="1013" t="str">
        <f>IFERROR(Таблица47[[#This Row],[Количество хлыстов]]-Таблица47[[#This Row],[Обработано в 1С]]-Таблица47[[#This Row],[Корректировка]],"")</f>
        <v/>
      </c>
      <c r="P179" s="638" t="str">
        <f>IFERROR((((Таблица47[[#This Row],[Осталось сделать, хлыст]]*Таблица47[[#This Row],[длина]])*Таблица47[[#This Row],[Периметр]])/28),"")</f>
        <v/>
      </c>
      <c r="Q179" s="200" t="s">
        <v>4997</v>
      </c>
      <c r="R179" s="1043">
        <f>IFERROR(Таблица47[[#This Row],[Коли-
чество м.п.]]/Таблица47[[#This Row],[Количество хлыстов]],"")</f>
        <v>5.05</v>
      </c>
      <c r="S179" s="200" t="s">
        <v>5028</v>
      </c>
      <c r="T179" s="1043">
        <v>202</v>
      </c>
      <c r="U179" s="1042">
        <v>40</v>
      </c>
      <c r="V179" s="1043">
        <v>0.2651</v>
      </c>
      <c r="W179" s="1043">
        <v>0.82099999999999995</v>
      </c>
      <c r="X179" s="1043">
        <v>53.550199999999997</v>
      </c>
      <c r="Y179" s="1043">
        <v>165.84200000000001</v>
      </c>
      <c r="Z179" s="1043">
        <v>6.96</v>
      </c>
      <c r="AA179" s="1043">
        <v>160.38999999999999</v>
      </c>
      <c r="AB179" s="1043">
        <v>605</v>
      </c>
      <c r="AC179" s="1044">
        <v>32397.87</v>
      </c>
    </row>
    <row r="180" spans="1:29" ht="15.75" customHeight="1" x14ac:dyDescent="0.25">
      <c r="A180" s="238" t="s">
        <v>4939</v>
      </c>
      <c r="B180" s="1070">
        <v>99</v>
      </c>
      <c r="C180" s="1070"/>
      <c r="D180" s="200" t="s">
        <v>13</v>
      </c>
      <c r="E180" s="200" t="s">
        <v>32</v>
      </c>
      <c r="F180" s="201">
        <v>45337</v>
      </c>
      <c r="G180" s="201">
        <v>45390</v>
      </c>
      <c r="H180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0" s="587" t="str">
        <f>CONCATENATE(Таблица47[[#This Row],[№ заявки в 1С]],Таблица47[[#This Row],[Наименование            ]])</f>
        <v>99[76596] 1606-39  4,85 м, сплав 6063 КР Т6, упковка Т5</v>
      </c>
      <c r="J180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0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0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0" s="1062">
        <v>1</v>
      </c>
      <c r="N180" s="1063">
        <v>79</v>
      </c>
      <c r="O180" s="1013" t="str">
        <f>IFERROR(Таблица47[[#This Row],[Количество хлыстов]]-Таблица47[[#This Row],[Обработано в 1С]]-Таблица47[[#This Row],[Корректировка]],"")</f>
        <v/>
      </c>
      <c r="P180" s="638" t="str">
        <f>IFERROR((((Таблица47[[#This Row],[Осталось сделать, хлыст]]*Таблица47[[#This Row],[длина]])*Таблица47[[#This Row],[Периметр]])/28),"")</f>
        <v/>
      </c>
      <c r="Q180" s="200" t="s">
        <v>4997</v>
      </c>
      <c r="R180" s="1043">
        <f>IFERROR(Таблица47[[#This Row],[Коли-
чество м.п.]]/Таблица47[[#This Row],[Количество хлыстов]],"")</f>
        <v>4.8499999999999996</v>
      </c>
      <c r="S180" s="200" t="s">
        <v>5027</v>
      </c>
      <c r="T180" s="1043">
        <v>388</v>
      </c>
      <c r="U180" s="1042">
        <v>80</v>
      </c>
      <c r="V180" s="1043">
        <v>9.5600000000000004E-2</v>
      </c>
      <c r="W180" s="1043">
        <v>0.16</v>
      </c>
      <c r="X180" s="1043">
        <v>37.092799999999997</v>
      </c>
      <c r="Y180" s="1043">
        <v>62.08</v>
      </c>
      <c r="Z180" s="1043">
        <v>4.82</v>
      </c>
      <c r="AA180" s="1043">
        <v>57.84</v>
      </c>
      <c r="AB180" s="1043">
        <v>605</v>
      </c>
      <c r="AC180" s="1044">
        <v>22441.14</v>
      </c>
    </row>
    <row r="181" spans="1:29" ht="15.75" customHeight="1" x14ac:dyDescent="0.25">
      <c r="A181" s="427" t="s">
        <v>4678</v>
      </c>
      <c r="B181" s="309">
        <v>94</v>
      </c>
      <c r="C181" s="309" t="s">
        <v>4753</v>
      </c>
      <c r="D181" s="303" t="s">
        <v>13</v>
      </c>
      <c r="E181" s="303" t="s">
        <v>27</v>
      </c>
      <c r="F181" s="528">
        <v>45337</v>
      </c>
      <c r="G181" s="440">
        <v>45386</v>
      </c>
      <c r="H18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1" s="522" t="str">
        <f>CONCATENATE(Таблица47[[#This Row],[№ заявки в 1С]],Таблица47[[#This Row],[Наименование            ]])</f>
        <v>94[89407] профиль70 Д, длина 3,1м, Ад31</v>
      </c>
      <c r="J18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1" s="635"/>
      <c r="N181" s="636">
        <v>488</v>
      </c>
      <c r="O181" s="1013" t="str">
        <f>IFERROR(Таблица47[[#This Row],[Количество хлыстов]]-Таблица47[[#This Row],[Обработано в 1С]]-Таблица47[[#This Row],[Корректировка]],"")</f>
        <v/>
      </c>
      <c r="P181" s="638" t="str">
        <f>IFERROR((((Таблица47[[#This Row],[Осталось сделать, хлыст]]*Таблица47[[#This Row],[длина]])*Таблица47[[#This Row],[Периметр]])/28),"")</f>
        <v/>
      </c>
      <c r="Q181" s="303" t="s">
        <v>4999</v>
      </c>
      <c r="R181" s="991">
        <f>IFERROR(Таблица47[[#This Row],[Коли-
чество м.п.]]/Таблица47[[#This Row],[Количество хлыстов]],"")</f>
        <v>3.1</v>
      </c>
      <c r="S181" s="303" t="s">
        <v>4865</v>
      </c>
      <c r="T181" s="639">
        <v>1512.8</v>
      </c>
      <c r="U181" s="640">
        <v>488</v>
      </c>
      <c r="V181" s="639">
        <v>0.17499999999999999</v>
      </c>
      <c r="W181" s="639">
        <v>0.33200000000000002</v>
      </c>
      <c r="X181" s="639">
        <v>264.74</v>
      </c>
      <c r="Y181" s="639">
        <v>502.24959999999999</v>
      </c>
      <c r="Z181" s="639">
        <v>34.42</v>
      </c>
      <c r="AA181" s="639">
        <v>152.43</v>
      </c>
      <c r="AB181" s="639">
        <v>871</v>
      </c>
      <c r="AC181" s="641">
        <v>230588.54</v>
      </c>
    </row>
    <row r="182" spans="1:29" ht="15.75" customHeight="1" x14ac:dyDescent="0.25">
      <c r="A182" s="238" t="s">
        <v>4678</v>
      </c>
      <c r="B182" s="1070">
        <v>95</v>
      </c>
      <c r="C182" s="1070" t="s">
        <v>4753</v>
      </c>
      <c r="D182" s="200" t="s">
        <v>13</v>
      </c>
      <c r="E182" s="200" t="s">
        <v>37</v>
      </c>
      <c r="F182" s="201">
        <v>45337</v>
      </c>
      <c r="G182" s="469">
        <v>45392</v>
      </c>
      <c r="H182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2" s="587" t="str">
        <f>CONCATENATE(Таблица47[[#This Row],[№ заявки в 1С]],Таблица47[[#This Row],[Наименование            ]])</f>
        <v>95[89409] 650.08 Д , 3,0м, 6063</v>
      </c>
      <c r="J182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2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2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2" s="1062">
        <v>2</v>
      </c>
      <c r="N182" s="1063">
        <v>466</v>
      </c>
      <c r="O182" s="1013" t="str">
        <f>IFERROR(Таблица47[[#This Row],[Количество хлыстов]]-Таблица47[[#This Row],[Обработано в 1С]]-Таблица47[[#This Row],[Корректировка]],"")</f>
        <v/>
      </c>
      <c r="P182" s="638" t="str">
        <f>IFERROR((((Таблица47[[#This Row],[Осталось сделать, хлыст]]*Таблица47[[#This Row],[длина]])*Таблица47[[#This Row],[Периметр]])/28),"")</f>
        <v/>
      </c>
      <c r="Q182" s="200" t="s">
        <v>4809</v>
      </c>
      <c r="R182" s="1043">
        <f>IFERROR(Таблица47[[#This Row],[Коли-
чество м.п.]]/Таблица47[[#This Row],[Количество хлыстов]],"")</f>
        <v>3</v>
      </c>
      <c r="S182" s="200" t="s">
        <v>4864</v>
      </c>
      <c r="T182" s="1043">
        <v>1404</v>
      </c>
      <c r="U182" s="1042">
        <v>468</v>
      </c>
      <c r="V182" s="1043">
        <v>0.16700000000000001</v>
      </c>
      <c r="W182" s="1043">
        <v>0.40600000000000003</v>
      </c>
      <c r="X182" s="1043">
        <v>234.46799999999999</v>
      </c>
      <c r="Y182" s="1043">
        <v>570.024</v>
      </c>
      <c r="Z182" s="1043">
        <v>30.48</v>
      </c>
      <c r="AA182" s="1043">
        <v>65.13</v>
      </c>
      <c r="AB182" s="1043">
        <v>390</v>
      </c>
      <c r="AC182" s="1044">
        <v>91442.52</v>
      </c>
    </row>
    <row r="183" spans="1:29" ht="15.75" customHeight="1" x14ac:dyDescent="0.25">
      <c r="A183" s="427" t="s">
        <v>4678</v>
      </c>
      <c r="B183" s="1070">
        <v>102</v>
      </c>
      <c r="C183" s="1070" t="s">
        <v>4753</v>
      </c>
      <c r="D183" s="200" t="s">
        <v>13</v>
      </c>
      <c r="E183" s="200" t="s">
        <v>3762</v>
      </c>
      <c r="F183" s="201">
        <v>45337</v>
      </c>
      <c r="G183" s="440"/>
      <c r="H1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3" s="522" t="str">
        <f>CONCATENATE(Таблица47[[#This Row],[№ заявки в 1С]],Таблица47[[#This Row],[Наименование            ]])</f>
        <v>102[89428] Корпус_КУДР.676621.015.01-02 (1358мм) (Д) сплав 6063</v>
      </c>
      <c r="J18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3" s="635"/>
      <c r="N183" s="635">
        <v>900</v>
      </c>
      <c r="O183" s="1013" t="str">
        <f>IFERROR(Таблица47[[#This Row],[Количество хлыстов]]-Таблица47[[#This Row],[Обработано в 1С]]-Таблица47[[#This Row],[Корректировка]],"")</f>
        <v/>
      </c>
      <c r="P183" s="638" t="str">
        <f>IFERROR((((Таблица47[[#This Row],[Осталось сделать, хлыст]]*Таблица47[[#This Row],[длина]])*Таблица47[[#This Row],[Периметр]])/28),"")</f>
        <v/>
      </c>
      <c r="Q183" s="303"/>
      <c r="R183" s="639">
        <f>IFERROR(Таблица47[[#This Row],[Коли-
чество м.п.]]/Таблица47[[#This Row],[Количество хлыстов]],"")</f>
        <v>0</v>
      </c>
      <c r="S183" s="303" t="s">
        <v>4866</v>
      </c>
      <c r="T183" s="639"/>
      <c r="U183" s="640">
        <v>900</v>
      </c>
      <c r="V183" s="639">
        <v>7.0000000000000007E-2</v>
      </c>
      <c r="W183" s="639">
        <v>0.11</v>
      </c>
      <c r="X183" s="639">
        <v>63</v>
      </c>
      <c r="Y183" s="639">
        <v>99</v>
      </c>
      <c r="Z183" s="639">
        <v>8.19</v>
      </c>
      <c r="AA183" s="639">
        <v>40.46</v>
      </c>
      <c r="AB183" s="639">
        <v>578.03</v>
      </c>
      <c r="AC183" s="641">
        <v>36416</v>
      </c>
    </row>
    <row r="184" spans="1:29" ht="15.75" customHeight="1" x14ac:dyDescent="0.25">
      <c r="A184" s="427" t="s">
        <v>4678</v>
      </c>
      <c r="B184" s="1070">
        <v>103</v>
      </c>
      <c r="C184" s="1070" t="s">
        <v>4753</v>
      </c>
      <c r="D184" s="200" t="s">
        <v>13</v>
      </c>
      <c r="E184" s="200" t="s">
        <v>3762</v>
      </c>
      <c r="F184" s="201">
        <v>45337</v>
      </c>
      <c r="G184" s="440"/>
      <c r="H18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4" s="522" t="str">
        <f>CONCATENATE(Таблица47[[#This Row],[№ заявки в 1С]],Таблица47[[#This Row],[Наименование            ]])</f>
        <v>103[89443] Корпус_КУДР.676621.015.01-04 (1703мм) Д сплав 6063</v>
      </c>
      <c r="J18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4" s="635"/>
      <c r="N184" s="635">
        <v>100</v>
      </c>
      <c r="O184" s="1013" t="str">
        <f>IFERROR(Таблица47[[#This Row],[Количество хлыстов]]-Таблица47[[#This Row],[Обработано в 1С]]-Таблица47[[#This Row],[Корректировка]],"")</f>
        <v/>
      </c>
      <c r="P184" s="638" t="str">
        <f>IFERROR((((Таблица47[[#This Row],[Осталось сделать, хлыст]]*Таблица47[[#This Row],[длина]])*Таблица47[[#This Row],[Периметр]])/28),"")</f>
        <v/>
      </c>
      <c r="Q184" s="303"/>
      <c r="R184" s="639">
        <f>IFERROR(Таблица47[[#This Row],[Коли-
чество м.п.]]/Таблица47[[#This Row],[Количество хлыстов]],"")</f>
        <v>0</v>
      </c>
      <c r="S184" s="303" t="s">
        <v>4867</v>
      </c>
      <c r="T184" s="639"/>
      <c r="U184" s="640">
        <v>100</v>
      </c>
      <c r="V184" s="639">
        <v>0.05</v>
      </c>
      <c r="W184" s="639">
        <v>0.19</v>
      </c>
      <c r="X184" s="639">
        <v>5</v>
      </c>
      <c r="Y184" s="639">
        <v>19</v>
      </c>
      <c r="Z184" s="639">
        <v>0.65</v>
      </c>
      <c r="AA184" s="639">
        <v>50.75</v>
      </c>
      <c r="AB184" s="639">
        <v>1015</v>
      </c>
      <c r="AC184" s="641">
        <v>5075</v>
      </c>
    </row>
    <row r="185" spans="1:29" ht="15.75" customHeight="1" x14ac:dyDescent="0.25">
      <c r="A185" s="427" t="s">
        <v>4678</v>
      </c>
      <c r="B185" s="309">
        <v>103</v>
      </c>
      <c r="C185" s="309" t="s">
        <v>4753</v>
      </c>
      <c r="D185" s="303" t="s">
        <v>13</v>
      </c>
      <c r="E185" s="303" t="s">
        <v>3762</v>
      </c>
      <c r="F185" s="528">
        <v>45337</v>
      </c>
      <c r="G185" s="440" t="s">
        <v>4972</v>
      </c>
      <c r="H18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5" s="522" t="str">
        <f>CONCATENATE(Таблица47[[#This Row],[№ заявки в 1С]],Таблица47[[#This Row],[Наименование            ]])</f>
        <v>103[89444] Корпус_КУДР.676621.018.02 (1418мм) Д сплав 6063</v>
      </c>
      <c r="J18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5" s="635"/>
      <c r="N185" s="635">
        <v>249</v>
      </c>
      <c r="O185" s="1013" t="str">
        <f>IFERROR(Таблица47[[#This Row],[Количество хлыстов]]-Таблица47[[#This Row],[Обработано в 1С]]-Таблица47[[#This Row],[Корректировка]],"")</f>
        <v/>
      </c>
      <c r="P185" s="638" t="str">
        <f>IFERROR((((Таблица47[[#This Row],[Осталось сделать, хлыст]]*Таблица47[[#This Row],[длина]])*Таблица47[[#This Row],[Периметр]])/28),"")</f>
        <v/>
      </c>
      <c r="Q185" s="303"/>
      <c r="R185" s="639">
        <f>IFERROR(Таблица47[[#This Row],[Коли-
чество м.п.]]/Таблица47[[#This Row],[Количество хлыстов]],"")</f>
        <v>0</v>
      </c>
      <c r="S185" s="303" t="s">
        <v>4868</v>
      </c>
      <c r="T185" s="639"/>
      <c r="U185" s="640">
        <v>249</v>
      </c>
      <c r="V185" s="639">
        <v>8.7999999999999995E-2</v>
      </c>
      <c r="W185" s="639">
        <v>0.15</v>
      </c>
      <c r="X185" s="639">
        <v>21.911999999999999</v>
      </c>
      <c r="Y185" s="639">
        <v>37.35</v>
      </c>
      <c r="Z185" s="639">
        <v>2.85</v>
      </c>
      <c r="AA185" s="639">
        <v>74.37</v>
      </c>
      <c r="AB185" s="639">
        <v>845.11</v>
      </c>
      <c r="AC185" s="641">
        <v>18518</v>
      </c>
    </row>
    <row r="186" spans="1:29" ht="15.75" customHeight="1" x14ac:dyDescent="0.25">
      <c r="A186" s="427" t="s">
        <v>4678</v>
      </c>
      <c r="B186" s="309">
        <v>104</v>
      </c>
      <c r="C186" s="309" t="s">
        <v>4753</v>
      </c>
      <c r="D186" s="303" t="s">
        <v>13</v>
      </c>
      <c r="E186" s="303" t="s">
        <v>289</v>
      </c>
      <c r="F186" s="528">
        <v>45341</v>
      </c>
      <c r="G186" s="440">
        <v>45384</v>
      </c>
      <c r="H18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6" s="522" t="str">
        <f>CONCATENATE(Таблица47[[#This Row],[№ заявки в 1С]],Таблица47[[#This Row],[Наименование            ]])</f>
        <v>104[89457] АП 2168 Д, кроншейн большой 2400 (1700х52мм), 6063</v>
      </c>
      <c r="J18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6" s="635"/>
      <c r="N186" s="1087">
        <v>34</v>
      </c>
      <c r="O186" s="1013" t="str">
        <f>IFERROR(Таблица47[[#This Row],[Количество хлыстов]]-Таблица47[[#This Row],[Обработано в 1С]]-Таблица47[[#This Row],[Корректировка]],"")</f>
        <v/>
      </c>
      <c r="P186" s="638" t="str">
        <f>IFERROR((((Таблица47[[#This Row],[Осталось сделать, хлыст]]*Таблица47[[#This Row],[длина]])*Таблица47[[#This Row],[Периметр]])/28),"")</f>
        <v/>
      </c>
      <c r="Q186" s="303"/>
      <c r="R186" s="991">
        <f>IFERROR(Таблица47[[#This Row],[Коли-
чество м.п.]]/Таблица47[[#This Row],[Количество хлыстов]],"")</f>
        <v>1</v>
      </c>
      <c r="S186" s="303" t="s">
        <v>4903</v>
      </c>
      <c r="T186" s="639">
        <v>34</v>
      </c>
      <c r="U186" s="640">
        <v>34</v>
      </c>
      <c r="V186" s="639">
        <v>0.55000000000000004</v>
      </c>
      <c r="W186" s="639">
        <v>2.5499999999999998</v>
      </c>
      <c r="X186" s="639">
        <v>18.7</v>
      </c>
      <c r="Y186" s="639">
        <v>86.7</v>
      </c>
      <c r="Z186" s="639">
        <v>2.4300000000000002</v>
      </c>
      <c r="AA186" s="639"/>
      <c r="AB186" s="639"/>
      <c r="AC186" s="641"/>
    </row>
    <row r="187" spans="1:29" ht="15.75" customHeight="1" x14ac:dyDescent="0.25">
      <c r="A187" s="427" t="s">
        <v>4678</v>
      </c>
      <c r="B187" s="309">
        <v>104</v>
      </c>
      <c r="C187" s="309" t="s">
        <v>4753</v>
      </c>
      <c r="D187" s="303" t="s">
        <v>13</v>
      </c>
      <c r="E187" s="303" t="s">
        <v>289</v>
      </c>
      <c r="F187" s="528">
        <v>45341</v>
      </c>
      <c r="G187" s="440">
        <v>45384</v>
      </c>
      <c r="H18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7" s="522" t="str">
        <f>CONCATENATE(Таблица47[[#This Row],[№ заявки в 1С]],Таблица47[[#This Row],[Наименование            ]])</f>
        <v>104[89458] АП 2168 Д, кронштейн малый 1580 (1300х52мм), 6063</v>
      </c>
      <c r="J18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7" s="635"/>
      <c r="N187" s="1087">
        <v>14</v>
      </c>
      <c r="O187" s="1013" t="str">
        <f>IFERROR(Таблица47[[#This Row],[Количество хлыстов]]-Таблица47[[#This Row],[Обработано в 1С]]-Таблица47[[#This Row],[Корректировка]],"")</f>
        <v/>
      </c>
      <c r="P187" s="638" t="str">
        <f>IFERROR((((Таблица47[[#This Row],[Осталось сделать, хлыст]]*Таблица47[[#This Row],[длина]])*Таблица47[[#This Row],[Периметр]])/28),"")</f>
        <v/>
      </c>
      <c r="Q187" s="303"/>
      <c r="R187" s="991">
        <f>IFERROR(Таблица47[[#This Row],[Коли-
чество м.п.]]/Таблица47[[#This Row],[Количество хлыстов]],"")</f>
        <v>1</v>
      </c>
      <c r="S187" s="303" t="s">
        <v>4904</v>
      </c>
      <c r="T187" s="639">
        <v>14</v>
      </c>
      <c r="U187" s="640">
        <v>14</v>
      </c>
      <c r="V187" s="639">
        <v>0.35</v>
      </c>
      <c r="W187" s="639">
        <v>1.7</v>
      </c>
      <c r="X187" s="639">
        <v>4.9000000000000004</v>
      </c>
      <c r="Y187" s="639">
        <v>23.8</v>
      </c>
      <c r="Z187" s="639">
        <v>0.64</v>
      </c>
      <c r="AA187" s="639"/>
      <c r="AB187" s="639"/>
      <c r="AC187" s="641"/>
    </row>
    <row r="188" spans="1:29" s="1021" customFormat="1" ht="15.75" customHeight="1" x14ac:dyDescent="0.25">
      <c r="A188" s="979" t="s">
        <v>4978</v>
      </c>
      <c r="B188" s="1067">
        <v>90</v>
      </c>
      <c r="C188" s="1067"/>
      <c r="D188" s="1068" t="s">
        <v>13</v>
      </c>
      <c r="E188" s="1071" t="s">
        <v>32</v>
      </c>
      <c r="F188" s="1069">
        <v>45342</v>
      </c>
      <c r="G188" s="1072"/>
      <c r="H188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8" s="630" t="str">
        <f>CONCATENATE(Таблица47[[#This Row],[№ заявки в 1С]],Таблица47[[#This Row],[Наименование            ]])</f>
        <v>90[88733] 1606-37, 4,45 м,  Ад31 под покраску</v>
      </c>
      <c r="J188" s="108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8" s="108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8" s="108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8" s="1088">
        <v>3</v>
      </c>
      <c r="N188" s="1088">
        <v>256</v>
      </c>
      <c r="O188" s="1020" t="str">
        <f>IFERROR(Таблица47[[#This Row],[Количество хлыстов]]-Таблица47[[#This Row],[Обработано в 1С]]-Таблица47[[#This Row],[Корректировка]],"")</f>
        <v/>
      </c>
      <c r="P188" s="638" t="str">
        <f>IFERROR((((Таблица47[[#This Row],[Осталось сделать, хлыст]]*Таблица47[[#This Row],[длина]])*Таблица47[[#This Row],[Периметр]])/28),"")</f>
        <v/>
      </c>
      <c r="Q188" s="1071" t="s">
        <v>4731</v>
      </c>
      <c r="R188" s="1089">
        <f>IFERROR(Таблица47[[#This Row],[Коли-
чество м.п.]]/Таблица47[[#This Row],[Количество хлыстов]],"")</f>
        <v>4.45</v>
      </c>
      <c r="S188" s="1071" t="s">
        <v>4772</v>
      </c>
      <c r="T188" s="1089">
        <v>1152.55</v>
      </c>
      <c r="U188" s="1090">
        <v>259</v>
      </c>
      <c r="V188" s="1089">
        <v>0.2651</v>
      </c>
      <c r="W188" s="1089">
        <v>0.82099999999999995</v>
      </c>
      <c r="X188" s="1089">
        <v>305.541</v>
      </c>
      <c r="Y188" s="1089">
        <v>946.24360000000001</v>
      </c>
      <c r="Z188" s="1089">
        <v>39.72</v>
      </c>
      <c r="AA188" s="1089">
        <v>83.51</v>
      </c>
      <c r="AB188" s="1089">
        <v>315</v>
      </c>
      <c r="AC188" s="1091">
        <v>96245.42</v>
      </c>
    </row>
    <row r="189" spans="1:29" s="1021" customFormat="1" ht="15.75" customHeight="1" x14ac:dyDescent="0.25">
      <c r="A189" s="979" t="s">
        <v>4978</v>
      </c>
      <c r="B189" s="1067">
        <v>90</v>
      </c>
      <c r="C189" s="1067"/>
      <c r="D189" s="1068" t="s">
        <v>13</v>
      </c>
      <c r="E189" s="1071" t="s">
        <v>32</v>
      </c>
      <c r="F189" s="1069">
        <v>45342</v>
      </c>
      <c r="G189" s="1069"/>
      <c r="H18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89" s="612" t="str">
        <f>CONCATENATE(Таблица47[[#This Row],[№ заявки в 1С]],Таблица47[[#This Row],[Наименование            ]])</f>
        <v>90[88734] 1606-37, 5,05 м,  Ад 31 под покраску</v>
      </c>
      <c r="J18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8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8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89" s="1082"/>
      <c r="N189" s="1092">
        <v>168</v>
      </c>
      <c r="O189" s="1020" t="str">
        <f>IFERROR(Таблица47[[#This Row],[Количество хлыстов]]-Таблица47[[#This Row],[Обработано в 1С]]-Таблица47[[#This Row],[Корректировка]],"")</f>
        <v/>
      </c>
      <c r="P189" s="638" t="str">
        <f>IFERROR((((Таблица47[[#This Row],[Осталось сделать, хлыст]]*Таблица47[[#This Row],[длина]])*Таблица47[[#This Row],[Периметр]])/28),"")</f>
        <v/>
      </c>
      <c r="Q189" s="1068" t="s">
        <v>4731</v>
      </c>
      <c r="R189" s="1089">
        <f>IFERROR(Таблица47[[#This Row],[Коли-
чество м.п.]]/Таблица47[[#This Row],[Количество хлыстов]],"")</f>
        <v>5.05</v>
      </c>
      <c r="S189" s="1068" t="s">
        <v>4855</v>
      </c>
      <c r="T189" s="1083">
        <v>848.4</v>
      </c>
      <c r="U189" s="1084">
        <v>168</v>
      </c>
      <c r="V189" s="1083">
        <v>0.2651</v>
      </c>
      <c r="W189" s="1083">
        <v>0.82099999999999995</v>
      </c>
      <c r="X189" s="1083">
        <v>224.91079999999999</v>
      </c>
      <c r="Y189" s="1083">
        <v>696.53639999999996</v>
      </c>
      <c r="Z189" s="1083">
        <v>29.24</v>
      </c>
      <c r="AA189" s="1083">
        <v>83.51</v>
      </c>
      <c r="AB189" s="1083">
        <v>315</v>
      </c>
      <c r="AC189" s="1085">
        <v>70846.91</v>
      </c>
    </row>
    <row r="190" spans="1:29" s="1021" customFormat="1" ht="15.75" customHeight="1" x14ac:dyDescent="0.25">
      <c r="A190" s="979" t="s">
        <v>4978</v>
      </c>
      <c r="B190" s="1067">
        <v>90</v>
      </c>
      <c r="C190" s="1067"/>
      <c r="D190" s="1068" t="s">
        <v>13</v>
      </c>
      <c r="E190" s="1071" t="s">
        <v>32</v>
      </c>
      <c r="F190" s="1069">
        <v>45342</v>
      </c>
      <c r="G190" s="1072"/>
      <c r="H190" s="107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0" s="630" t="str">
        <f>CONCATENATE(Таблица47[[#This Row],[№ заявки в 1С]],Таблица47[[#This Row],[Наименование            ]])</f>
        <v>90[88976] 1606-39 (197.04) 4,85 м, сплав Ад31 под покраску</v>
      </c>
      <c r="J190" s="108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0" s="108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0" s="108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0" s="1088"/>
      <c r="N190" s="1088">
        <v>322</v>
      </c>
      <c r="O190" s="1020" t="str">
        <f>IFERROR(Таблица47[[#This Row],[Количество хлыстов]]-Таблица47[[#This Row],[Обработано в 1С]]-Таблица47[[#This Row],[Корректировка]],"")</f>
        <v/>
      </c>
      <c r="P190" s="638" t="str">
        <f>IFERROR((((Таблица47[[#This Row],[Осталось сделать, хлыст]]*Таблица47[[#This Row],[длина]])*Таблица47[[#This Row],[Периметр]])/28),"")</f>
        <v/>
      </c>
      <c r="Q190" s="1071" t="s">
        <v>4731</v>
      </c>
      <c r="R190" s="1089">
        <f>IFERROR(Таблица47[[#This Row],[Коли-
чество м.п.]]/Таблица47[[#This Row],[Количество хлыстов]],"")</f>
        <v>4.8500000000000005</v>
      </c>
      <c r="S190" s="1071" t="s">
        <v>4774</v>
      </c>
      <c r="T190" s="1089">
        <v>1561.7</v>
      </c>
      <c r="U190" s="1090">
        <v>322</v>
      </c>
      <c r="V190" s="1089">
        <v>9.5600000000000004E-2</v>
      </c>
      <c r="W190" s="1089">
        <v>0.16</v>
      </c>
      <c r="X190" s="1089">
        <v>149.29849999999999</v>
      </c>
      <c r="Y190" s="1089">
        <v>249.87200000000001</v>
      </c>
      <c r="Z190" s="1089">
        <v>19.41</v>
      </c>
      <c r="AA190" s="1089">
        <v>30.11</v>
      </c>
      <c r="AB190" s="1089">
        <v>315</v>
      </c>
      <c r="AC190" s="1091">
        <v>47029.03</v>
      </c>
    </row>
    <row r="191" spans="1:29" s="1021" customFormat="1" ht="15.75" customHeight="1" x14ac:dyDescent="0.25">
      <c r="A191" s="979" t="s">
        <v>4978</v>
      </c>
      <c r="B191" s="1067">
        <v>105</v>
      </c>
      <c r="C191" s="1067"/>
      <c r="D191" s="1068" t="s">
        <v>13</v>
      </c>
      <c r="E191" s="1068" t="s">
        <v>4870</v>
      </c>
      <c r="F191" s="1069">
        <v>45342</v>
      </c>
      <c r="G191" s="1069"/>
      <c r="H19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1" s="612" t="str">
        <f>CONCATENATE(Таблица47[[#This Row],[№ заявки в 1С]],Таблица47[[#This Row],[Наименование            ]])</f>
        <v>105[88391] 1806-97, 2,7м, 6063 Т6</v>
      </c>
      <c r="J19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1" s="1082"/>
      <c r="N191" s="1086">
        <v>800</v>
      </c>
      <c r="O191" s="1020" t="str">
        <f>IFERROR(Таблица47[[#This Row],[Количество хлыстов]]-Таблица47[[#This Row],[Обработано в 1С]]-Таблица47[[#This Row],[Корректировка]],"")</f>
        <v/>
      </c>
      <c r="P191" s="638" t="str">
        <f>IFERROR((((Таблица47[[#This Row],[Осталось сделать, хлыст]]*Таблица47[[#This Row],[длина]])*Таблица47[[#This Row],[Периметр]])/28),"")</f>
        <v/>
      </c>
      <c r="Q191" s="1068" t="s">
        <v>4871</v>
      </c>
      <c r="R191" s="1083">
        <f>IFERROR(Таблица47[[#This Row],[Коли-
чество м.п.]]/Таблица47[[#This Row],[Количество хлыстов]],"")</f>
        <v>2.7</v>
      </c>
      <c r="S191" s="1068" t="s">
        <v>4869</v>
      </c>
      <c r="T191" s="1083">
        <v>2160</v>
      </c>
      <c r="U191" s="1084">
        <v>800</v>
      </c>
      <c r="V191" s="1083">
        <v>7.2999999999999995E-2</v>
      </c>
      <c r="W191" s="1083">
        <v>0.121</v>
      </c>
      <c r="X191" s="1083">
        <v>157.68</v>
      </c>
      <c r="Y191" s="1083">
        <v>261.36</v>
      </c>
      <c r="Z191" s="1083">
        <v>20.5</v>
      </c>
      <c r="AA191" s="1083">
        <v>21.9</v>
      </c>
      <c r="AB191" s="1083">
        <v>300</v>
      </c>
      <c r="AC191" s="1085">
        <v>47304</v>
      </c>
    </row>
    <row r="192" spans="1:29" s="1021" customFormat="1" ht="15.75" customHeight="1" x14ac:dyDescent="0.25">
      <c r="A192" s="979" t="s">
        <v>4978</v>
      </c>
      <c r="B192" s="1067">
        <v>106</v>
      </c>
      <c r="C192" s="1067"/>
      <c r="D192" s="1068" t="s">
        <v>13</v>
      </c>
      <c r="E192" s="1068" t="s">
        <v>32</v>
      </c>
      <c r="F192" s="1069">
        <v>45342</v>
      </c>
      <c r="G192" s="1069"/>
      <c r="H19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2" s="612" t="str">
        <f>CONCATENATE(Таблица47[[#This Row],[№ заявки в 1С]],Таблица47[[#This Row],[Наименование            ]])</f>
        <v>106[85515] 2606-14 (замена 2606-06), 5,05 м,  6063 Т1, БА</v>
      </c>
      <c r="J19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2" s="1082"/>
      <c r="N192" s="1082">
        <v>63</v>
      </c>
      <c r="O192" s="1020" t="str">
        <f>IFERROR(Таблица47[[#This Row],[Количество хлыстов]]-Таблица47[[#This Row],[Обработано в 1С]]-Таблица47[[#This Row],[Корректировка]],"")</f>
        <v/>
      </c>
      <c r="P192" s="638" t="str">
        <f>IFERROR((((Таблица47[[#This Row],[Осталось сделать, хлыст]]*Таблица47[[#This Row],[длина]])*Таблица47[[#This Row],[Периметр]])/28),"")</f>
        <v/>
      </c>
      <c r="Q192" s="1068" t="s">
        <v>4731</v>
      </c>
      <c r="R192" s="1083">
        <f>IFERROR(Таблица47[[#This Row],[Коли-
чество м.п.]]/Таблица47[[#This Row],[Количество хлыстов]],"")</f>
        <v>5.05</v>
      </c>
      <c r="S192" s="1068" t="s">
        <v>4403</v>
      </c>
      <c r="T192" s="1083">
        <v>318.14999999999998</v>
      </c>
      <c r="U192" s="1084">
        <v>63</v>
      </c>
      <c r="V192" s="1083">
        <v>0.1469</v>
      </c>
      <c r="W192" s="1083">
        <v>1.3859999999999999</v>
      </c>
      <c r="X192" s="1083">
        <v>46.736199999999997</v>
      </c>
      <c r="Y192" s="1083">
        <v>440.95589999999999</v>
      </c>
      <c r="Z192" s="1083">
        <v>6.08</v>
      </c>
      <c r="AA192" s="1083">
        <v>46.27</v>
      </c>
      <c r="AB192" s="1083">
        <v>315</v>
      </c>
      <c r="AC192" s="1085">
        <v>14721.91</v>
      </c>
    </row>
    <row r="193" spans="1:29" ht="15.75" customHeight="1" x14ac:dyDescent="0.25">
      <c r="A193" s="427" t="s">
        <v>4678</v>
      </c>
      <c r="B193" s="309">
        <v>109</v>
      </c>
      <c r="C193" s="309"/>
      <c r="D193" s="303" t="s">
        <v>13</v>
      </c>
      <c r="E193" s="303" t="s">
        <v>1768</v>
      </c>
      <c r="F193" s="528">
        <v>45342</v>
      </c>
      <c r="G193" s="528"/>
      <c r="H19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3" s="522" t="str">
        <f>CONCATENATE(Таблица47[[#This Row],[№ заявки в 1С]],Таблица47[[#This Row],[Наименование            ]])</f>
        <v>109[37634] 0906-85, 4,0м,  6063 КР Т1</v>
      </c>
      <c r="J19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3" s="635"/>
      <c r="N193" s="636">
        <v>310</v>
      </c>
      <c r="O193" s="1013" t="str">
        <f>IFERROR(Таблица47[[#This Row],[Количество хлыстов]]-Таблица47[[#This Row],[Обработано в 1С]]-Таблица47[[#This Row],[Корректировка]],"")</f>
        <v/>
      </c>
      <c r="P193" s="638" t="str">
        <f>IFERROR((((Таблица47[[#This Row],[Осталось сделать, хлыст]]*Таблица47[[#This Row],[длина]])*Таблица47[[#This Row],[Периметр]])/28),"")</f>
        <v/>
      </c>
      <c r="Q193" s="303"/>
      <c r="R193" s="991">
        <f>IFERROR(Таблица47[[#This Row],[Коли-
чество м.п.]]/Таблица47[[#This Row],[Количество хлыстов]],"")</f>
        <v>4</v>
      </c>
      <c r="S193" s="303" t="s">
        <v>1767</v>
      </c>
      <c r="T193" s="639">
        <v>1240</v>
      </c>
      <c r="U193" s="640">
        <v>310</v>
      </c>
      <c r="V193" s="639">
        <v>9.74E-2</v>
      </c>
      <c r="W193" s="639">
        <v>0.37</v>
      </c>
      <c r="X193" s="639">
        <v>120.776</v>
      </c>
      <c r="Y193" s="639">
        <v>458.8</v>
      </c>
      <c r="Z193" s="639">
        <v>15.7</v>
      </c>
      <c r="AA193" s="639">
        <v>40.42</v>
      </c>
      <c r="AB193" s="639">
        <v>415</v>
      </c>
      <c r="AC193" s="641">
        <v>50122.04</v>
      </c>
    </row>
    <row r="194" spans="1:29" ht="15.75" customHeight="1" x14ac:dyDescent="0.25">
      <c r="A194" s="427" t="s">
        <v>4678</v>
      </c>
      <c r="B194" s="309">
        <v>110</v>
      </c>
      <c r="C194" s="309"/>
      <c r="D194" s="303" t="s">
        <v>13</v>
      </c>
      <c r="E194" s="303" t="s">
        <v>2973</v>
      </c>
      <c r="F194" s="528">
        <v>45342</v>
      </c>
      <c r="G194" s="440">
        <v>45384</v>
      </c>
      <c r="H19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4" s="522" t="str">
        <f>CONCATENATE(Таблица47[[#This Row],[№ заявки в 1С]],Таблица47[[#This Row],[Наименование            ]])</f>
        <v>110[77499] 0706-86 4,9м, сплав 6063 Кр, сост Т6, упак Т5</v>
      </c>
      <c r="J19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4" s="635"/>
      <c r="N194" s="636">
        <v>160</v>
      </c>
      <c r="O194" s="1013" t="str">
        <f>IFERROR(Таблица47[[#This Row],[Количество хлыстов]]-Таблица47[[#This Row],[Обработано в 1С]]-Таблица47[[#This Row],[Корректировка]],"")</f>
        <v/>
      </c>
      <c r="P194" s="638" t="str">
        <f>IFERROR((((Таблица47[[#This Row],[Осталось сделать, хлыст]]*Таблица47[[#This Row],[длина]])*Таблица47[[#This Row],[Периметр]])/28),"")</f>
        <v/>
      </c>
      <c r="Q194" s="303"/>
      <c r="R194" s="991">
        <f>IFERROR(Таблица47[[#This Row],[Коли-
чество м.п.]]/Таблица47[[#This Row],[Количество хлыстов]],"")</f>
        <v>4.9000000000000004</v>
      </c>
      <c r="S194" s="303" t="s">
        <v>1753</v>
      </c>
      <c r="T194" s="639">
        <v>784</v>
      </c>
      <c r="U194" s="640">
        <v>160</v>
      </c>
      <c r="V194" s="639">
        <v>0.247</v>
      </c>
      <c r="W194" s="639">
        <v>0.498</v>
      </c>
      <c r="X194" s="639">
        <v>193.648</v>
      </c>
      <c r="Y194" s="639">
        <v>390.43200000000002</v>
      </c>
      <c r="Z194" s="639">
        <v>25.17</v>
      </c>
      <c r="AA194" s="639">
        <v>107.45</v>
      </c>
      <c r="AB194" s="639">
        <v>435</v>
      </c>
      <c r="AC194" s="641">
        <v>84236.88</v>
      </c>
    </row>
    <row r="195" spans="1:29" ht="15.75" customHeight="1" x14ac:dyDescent="0.25">
      <c r="A195" s="427" t="s">
        <v>4678</v>
      </c>
      <c r="B195" s="1070">
        <v>111</v>
      </c>
      <c r="C195" s="1070"/>
      <c r="D195" s="200" t="s">
        <v>13</v>
      </c>
      <c r="E195" s="200" t="s">
        <v>32</v>
      </c>
      <c r="F195" s="201">
        <v>45342</v>
      </c>
      <c r="G195" s="528"/>
      <c r="H19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5" s="522" t="str">
        <f>CONCATENATE(Таблица47[[#This Row],[№ заявки в 1С]],Таблица47[[#This Row],[Наименование            ]])</f>
        <v>111[81356] 1606-37 (АВА-7227), 5,05 м, сплав 6063 КР Т6, упаковка Т-5</v>
      </c>
      <c r="J19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5" s="635">
        <v>7</v>
      </c>
      <c r="N195" s="636">
        <v>153</v>
      </c>
      <c r="O195" s="1013" t="str">
        <f>IFERROR(Таблица47[[#This Row],[Количество хлыстов]]-Таблица47[[#This Row],[Обработано в 1С]]-Таблица47[[#This Row],[Корректировка]],"")</f>
        <v/>
      </c>
      <c r="P195" s="638" t="str">
        <f>IFERROR((((Таблица47[[#This Row],[Осталось сделать, хлыст]]*Таблица47[[#This Row],[длина]])*Таблица47[[#This Row],[Периметр]])/28),"")</f>
        <v/>
      </c>
      <c r="Q195" s="303" t="s">
        <v>4975</v>
      </c>
      <c r="R195" s="991">
        <f>IFERROR(Таблица47[[#This Row],[Коли-
чество м.п.]]/Таблица47[[#This Row],[Количество хлыстов]],"")</f>
        <v>5.05</v>
      </c>
      <c r="S195" s="303" t="s">
        <v>4275</v>
      </c>
      <c r="T195" s="639">
        <v>808</v>
      </c>
      <c r="U195" s="640">
        <v>160</v>
      </c>
      <c r="V195" s="639">
        <v>0.2651</v>
      </c>
      <c r="W195" s="639">
        <v>0.82099999999999995</v>
      </c>
      <c r="X195" s="639">
        <v>214.20079999999999</v>
      </c>
      <c r="Y195" s="639">
        <v>663.36800000000005</v>
      </c>
      <c r="Z195" s="639">
        <v>27.85</v>
      </c>
      <c r="AA195" s="639">
        <v>135.19999999999999</v>
      </c>
      <c r="AB195" s="639">
        <v>510</v>
      </c>
      <c r="AC195" s="641">
        <v>109242.41</v>
      </c>
    </row>
    <row r="196" spans="1:29" ht="15.75" customHeight="1" x14ac:dyDescent="0.25">
      <c r="A196" s="427" t="s">
        <v>4678</v>
      </c>
      <c r="B196" s="1070">
        <v>114</v>
      </c>
      <c r="C196" s="1070"/>
      <c r="D196" s="200" t="s">
        <v>13</v>
      </c>
      <c r="E196" s="200" t="s">
        <v>32</v>
      </c>
      <c r="F196" s="201">
        <v>45342</v>
      </c>
      <c r="G196" s="528"/>
      <c r="H19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6" s="522" t="str">
        <f>CONCATENATE(Таблица47[[#This Row],[№ заявки в 1С]],Таблица47[[#This Row],[Наименование            ]])</f>
        <v>114[81356] 1606-37 (АВА-7227), 5,05 м, сплав 6063 КР Т6, упаковка Т-5</v>
      </c>
      <c r="J19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6" s="635"/>
      <c r="N196" s="636">
        <v>130</v>
      </c>
      <c r="O196" s="1013" t="str">
        <f>IFERROR(Таблица47[[#This Row],[Количество хлыстов]]-Таблица47[[#This Row],[Обработано в 1С]]-Таблица47[[#This Row],[Корректировка]],"")</f>
        <v/>
      </c>
      <c r="P196" s="638" t="str">
        <f>IFERROR((((Таблица47[[#This Row],[Осталось сделать, хлыст]]*Таблица47[[#This Row],[длина]])*Таблица47[[#This Row],[Периметр]])/28),"")</f>
        <v/>
      </c>
      <c r="Q196" s="303"/>
      <c r="R196" s="991">
        <f>IFERROR(Таблица47[[#This Row],[Коли-
чество м.п.]]/Таблица47[[#This Row],[Количество хлыстов]],"")</f>
        <v>5.05</v>
      </c>
      <c r="S196" s="303" t="s">
        <v>4275</v>
      </c>
      <c r="T196" s="639">
        <v>656.5</v>
      </c>
      <c r="U196" s="640">
        <v>130</v>
      </c>
      <c r="V196" s="639">
        <v>0.2651</v>
      </c>
      <c r="W196" s="639">
        <v>0.82099999999999995</v>
      </c>
      <c r="X196" s="639">
        <v>174.03819999999999</v>
      </c>
      <c r="Y196" s="639">
        <v>538.98649999999998</v>
      </c>
      <c r="Z196" s="639">
        <v>22.63</v>
      </c>
      <c r="AA196" s="639">
        <v>135.19999999999999</v>
      </c>
      <c r="AB196" s="639">
        <v>510</v>
      </c>
      <c r="AC196" s="641">
        <v>88759.46</v>
      </c>
    </row>
    <row r="197" spans="1:29" ht="15.75" customHeight="1" x14ac:dyDescent="0.25">
      <c r="A197" s="427" t="s">
        <v>4678</v>
      </c>
      <c r="B197" s="309">
        <v>112</v>
      </c>
      <c r="C197" s="309"/>
      <c r="D197" s="303" t="s">
        <v>34</v>
      </c>
      <c r="E197" s="303" t="s">
        <v>328</v>
      </c>
      <c r="F197" s="528">
        <v>45342</v>
      </c>
      <c r="G197" s="528"/>
      <c r="H19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7" s="522" t="str">
        <f>CONCATENATE(Таблица47[[#This Row],[№ заявки в 1С]],Таблица47[[#This Row],[Наименование            ]])</f>
        <v>112[70484] 1506-77 (АА-2050-85), 6,0м, 6063 Т6, упаковка Т-5, без покрытия</v>
      </c>
      <c r="J19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7" s="635">
        <v>9</v>
      </c>
      <c r="N197" s="636">
        <v>39</v>
      </c>
      <c r="O197" s="1013" t="str">
        <f>IFERROR(Таблица47[[#This Row],[Количество хлыстов]]-Таблица47[[#This Row],[Обработано в 1С]]-Таблица47[[#This Row],[Корректировка]],"")</f>
        <v/>
      </c>
      <c r="P197" s="638" t="str">
        <f>IFERROR((((Таблица47[[#This Row],[Осталось сделать, хлыст]]*Таблица47[[#This Row],[длина]])*Таблица47[[#This Row],[Периметр]])/28),"")</f>
        <v/>
      </c>
      <c r="Q197" s="303" t="s">
        <v>4886</v>
      </c>
      <c r="R197" s="991">
        <f>IFERROR(Таблица47[[#This Row],[Коли-
чество м.п.]]/Таблица47[[#This Row],[Количество хлыстов]],"")</f>
        <v>6</v>
      </c>
      <c r="S197" s="303" t="s">
        <v>4813</v>
      </c>
      <c r="T197" s="639">
        <v>288</v>
      </c>
      <c r="U197" s="640">
        <v>48</v>
      </c>
      <c r="V197" s="639">
        <v>0.30919999999999997</v>
      </c>
      <c r="W197" s="639">
        <v>1.101</v>
      </c>
      <c r="X197" s="639">
        <v>89.049599999999998</v>
      </c>
      <c r="Y197" s="639">
        <v>317.08800000000002</v>
      </c>
      <c r="Z197" s="639">
        <v>11.58</v>
      </c>
      <c r="AA197" s="639">
        <v>112.86</v>
      </c>
      <c r="AB197" s="639">
        <v>365</v>
      </c>
      <c r="AC197" s="641">
        <v>32503.68</v>
      </c>
    </row>
    <row r="198" spans="1:29" ht="15.75" customHeight="1" x14ac:dyDescent="0.25">
      <c r="A198" s="427" t="s">
        <v>4678</v>
      </c>
      <c r="B198" s="309" t="s">
        <v>4873</v>
      </c>
      <c r="C198" s="309"/>
      <c r="D198" s="303" t="s">
        <v>34</v>
      </c>
      <c r="E198" s="303" t="s">
        <v>16</v>
      </c>
      <c r="F198" s="528">
        <v>45342</v>
      </c>
      <c r="G198" s="528"/>
      <c r="H19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8" s="522" t="str">
        <f>CONCATENATE(Таблица47[[#This Row],[№ заявки в 1С]],Таблица47[[#This Row],[Наименование            ]])</f>
        <v>OPT000155[11564] 0106-235, 6,0м, 6063 Т6, упаковка Т-5, под анод тип 2, БА (прессовать на плюсовом допуске)</v>
      </c>
      <c r="J19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8" s="635"/>
      <c r="N198" s="636">
        <v>32</v>
      </c>
      <c r="O198" s="1013" t="str">
        <f>IFERROR(Таблица47[[#This Row],[Количество хлыстов]]-Таблица47[[#This Row],[Обработано в 1С]]-Таблица47[[#This Row],[Корректировка]],"")</f>
        <v/>
      </c>
      <c r="P198" s="638" t="str">
        <f>IFERROR((((Таблица47[[#This Row],[Осталось сделать, хлыст]]*Таблица47[[#This Row],[длина]])*Таблица47[[#This Row],[Периметр]])/28),"")</f>
        <v/>
      </c>
      <c r="Q198" s="303"/>
      <c r="R198" s="991">
        <f>IFERROR(Таблица47[[#This Row],[Коли-
чество м.п.]]/Таблица47[[#This Row],[Количество хлыстов]],"")</f>
        <v>6</v>
      </c>
      <c r="S198" s="303" t="s">
        <v>2581</v>
      </c>
      <c r="T198" s="639">
        <v>192</v>
      </c>
      <c r="U198" s="640">
        <v>32</v>
      </c>
      <c r="V198" s="639">
        <v>0.56989999999999996</v>
      </c>
      <c r="W198" s="639">
        <v>1.304</v>
      </c>
      <c r="X198" s="639">
        <v>109.4208</v>
      </c>
      <c r="Y198" s="639">
        <v>250.36799999999999</v>
      </c>
      <c r="Z198" s="639">
        <v>14.22</v>
      </c>
      <c r="AA198" s="639">
        <v>267.85000000000002</v>
      </c>
      <c r="AB198" s="639">
        <v>470</v>
      </c>
      <c r="AC198" s="641">
        <v>51427.78</v>
      </c>
    </row>
    <row r="199" spans="1:29" ht="60.75" customHeight="1" x14ac:dyDescent="0.25">
      <c r="A199" s="427" t="s">
        <v>4678</v>
      </c>
      <c r="B199" s="309" t="s">
        <v>4874</v>
      </c>
      <c r="C199" s="309"/>
      <c r="D199" s="303" t="s">
        <v>34</v>
      </c>
      <c r="E199" s="303" t="s">
        <v>16</v>
      </c>
      <c r="F199" s="528">
        <v>45342</v>
      </c>
      <c r="G199" s="528"/>
      <c r="H19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99" s="928" t="str">
        <f>CONCATENATE(Таблица47[[#This Row],[№ заявки в 1С]],Таблица47[[#This Row],[Наименование            ]])</f>
        <v>OPT000156[35197] 0106-238, 6,0м, 6063 Т1, упаковка Т-5, под анод тип 1 ,БА</v>
      </c>
      <c r="J19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9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9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99" s="635">
        <v>2</v>
      </c>
      <c r="N199" s="636">
        <v>320</v>
      </c>
      <c r="O199" s="1013" t="str">
        <f>IFERROR(Таблица47[[#This Row],[Количество хлыстов]]-Таблица47[[#This Row],[Обработано в 1С]]-Таблица47[[#This Row],[Корректировка]],"")</f>
        <v/>
      </c>
      <c r="P199" s="638" t="str">
        <f>IFERROR((((Таблица47[[#This Row],[Осталось сделать, хлыст]]*Таблица47[[#This Row],[длина]])*Таблица47[[#This Row],[Периметр]])/28),"")</f>
        <v/>
      </c>
      <c r="Q199" s="1081" t="s">
        <v>5335</v>
      </c>
      <c r="R199" s="991">
        <f>IFERROR(Таблица47[[#This Row],[Коли-
чество м.п.]]/Таблица47[[#This Row],[Количество хлыстов]],"")</f>
        <v>6</v>
      </c>
      <c r="S199" s="303" t="s">
        <v>2859</v>
      </c>
      <c r="T199" s="639">
        <v>1932</v>
      </c>
      <c r="U199" s="640">
        <v>322</v>
      </c>
      <c r="V199" s="639">
        <v>0.27260000000000001</v>
      </c>
      <c r="W199" s="639">
        <v>0.72899999999999998</v>
      </c>
      <c r="X199" s="639">
        <v>526.66319999999996</v>
      </c>
      <c r="Y199" s="639">
        <v>1408.4280000000001</v>
      </c>
      <c r="Z199" s="639">
        <v>68.47</v>
      </c>
      <c r="AA199" s="639">
        <v>106.31</v>
      </c>
      <c r="AB199" s="639">
        <v>390</v>
      </c>
      <c r="AC199" s="641">
        <v>205398.65</v>
      </c>
    </row>
    <row r="200" spans="1:29" ht="15.75" customHeight="1" x14ac:dyDescent="0.25">
      <c r="A200" s="427" t="s">
        <v>4678</v>
      </c>
      <c r="B200" s="309" t="s">
        <v>4875</v>
      </c>
      <c r="C200" s="309"/>
      <c r="D200" s="303" t="s">
        <v>34</v>
      </c>
      <c r="E200" s="303" t="s">
        <v>16</v>
      </c>
      <c r="F200" s="528">
        <v>45342</v>
      </c>
      <c r="G200" s="528"/>
      <c r="H2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0" s="522" t="str">
        <f>CONCATENATE(Таблица47[[#This Row],[№ заявки в 1С]],Таблица47[[#This Row],[Наименование            ]])</f>
        <v>OPT000157[61440] 0106-289, 6,0м, 6063 Т1, упаковка Т-5, под анод тип 1, БА</v>
      </c>
      <c r="J20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0" s="635">
        <v>4</v>
      </c>
      <c r="N200" s="636">
        <v>579</v>
      </c>
      <c r="O200" s="1013" t="str">
        <f>IFERROR(Таблица47[[#This Row],[Количество хлыстов]]-Таблица47[[#This Row],[Обработано в 1С]]-Таблица47[[#This Row],[Корректировка]],"")</f>
        <v/>
      </c>
      <c r="P200" s="638" t="str">
        <f>IFERROR((((Таблица47[[#This Row],[Осталось сделать, хлыст]]*Таблица47[[#This Row],[длина]])*Таблица47[[#This Row],[Периметр]])/28),"")</f>
        <v/>
      </c>
      <c r="Q200" s="303" t="s">
        <v>5203</v>
      </c>
      <c r="R200" s="991">
        <f>IFERROR(Таблица47[[#This Row],[Коли-
чество м.п.]]/Таблица47[[#This Row],[Количество хлыстов]],"")</f>
        <v>6</v>
      </c>
      <c r="S200" s="303" t="s">
        <v>2845</v>
      </c>
      <c r="T200" s="639">
        <v>3498</v>
      </c>
      <c r="U200" s="640">
        <v>583</v>
      </c>
      <c r="V200" s="639">
        <v>0.15909999999999999</v>
      </c>
      <c r="W200" s="639">
        <v>0.26</v>
      </c>
      <c r="X200" s="639">
        <v>556.53179999999998</v>
      </c>
      <c r="Y200" s="639">
        <v>909.48</v>
      </c>
      <c r="Z200" s="639">
        <v>72.349999999999994</v>
      </c>
      <c r="AA200" s="639">
        <v>81.14</v>
      </c>
      <c r="AB200" s="639">
        <v>510</v>
      </c>
      <c r="AC200" s="641">
        <v>283831.21999999997</v>
      </c>
    </row>
    <row r="201" spans="1:29" ht="15.75" customHeight="1" x14ac:dyDescent="0.25">
      <c r="A201" s="427" t="s">
        <v>4678</v>
      </c>
      <c r="B201" s="309" t="s">
        <v>4953</v>
      </c>
      <c r="C201" s="309"/>
      <c r="D201" s="303" t="s">
        <v>34</v>
      </c>
      <c r="E201" s="303" t="s">
        <v>16</v>
      </c>
      <c r="F201" s="528">
        <v>45342</v>
      </c>
      <c r="G201" s="528"/>
      <c r="H20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1" s="635" t="str">
        <f>CONCATENATE(Таблица47[[#This Row],[№ заявки в 1С]],Таблица47[[#This Row],[Наименование            ]])</f>
        <v>OPT000158[13620] 0106-290 (6158), 6,0м, 6063 Т1, тип 1, упаковка Т-5, БА</v>
      </c>
      <c r="J20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1" s="635">
        <v>1</v>
      </c>
      <c r="N201" s="636">
        <v>139</v>
      </c>
      <c r="O201" s="1013" t="str">
        <f>IFERROR(Таблица47[[#This Row],[Количество хлыстов]]-Таблица47[[#This Row],[Обработано в 1С]]-Таблица47[[#This Row],[Корректировка]],"")</f>
        <v/>
      </c>
      <c r="P201" s="638" t="str">
        <f>IFERROR((((Таблица47[[#This Row],[Осталось сделать, хлыст]]*Таблица47[[#This Row],[длина]])*Таблица47[[#This Row],[Периметр]])/28),"")</f>
        <v/>
      </c>
      <c r="Q201" s="303"/>
      <c r="R201" s="991">
        <f>IFERROR(Таблица47[[#This Row],[Коли-
чество м.п.]]/Таблица47[[#This Row],[Количество хлыстов]],"")</f>
        <v>6</v>
      </c>
      <c r="S201" s="303" t="s">
        <v>5693</v>
      </c>
      <c r="T201" s="639">
        <v>840</v>
      </c>
      <c r="U201" s="640">
        <v>140</v>
      </c>
      <c r="V201" s="639">
        <v>0.29970000000000002</v>
      </c>
      <c r="W201" s="639">
        <v>1.6739999999999999</v>
      </c>
      <c r="X201" s="639">
        <v>251.74799999999999</v>
      </c>
      <c r="Y201" s="639">
        <v>1406.16</v>
      </c>
      <c r="Z201" s="639">
        <v>32.729999999999997</v>
      </c>
      <c r="AA201" s="639">
        <v>109.39</v>
      </c>
      <c r="AB201" s="639">
        <v>365</v>
      </c>
      <c r="AC201" s="641">
        <v>91888.02</v>
      </c>
    </row>
    <row r="202" spans="1:29" ht="15.75" customHeight="1" x14ac:dyDescent="0.25">
      <c r="A202" s="427" t="s">
        <v>4678</v>
      </c>
      <c r="B202" s="309" t="s">
        <v>4877</v>
      </c>
      <c r="C202" s="309"/>
      <c r="D202" s="303" t="s">
        <v>34</v>
      </c>
      <c r="E202" s="303" t="s">
        <v>16</v>
      </c>
      <c r="F202" s="528">
        <v>45342</v>
      </c>
      <c r="G202" s="528"/>
      <c r="H20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2" s="522" t="str">
        <f>CONCATENATE(Таблица47[[#This Row],[№ заявки в 1С]],Таблица47[[#This Row],[Наименование            ]])</f>
        <v>OPT000159[38435] 0506-20, 6,0м, 6063 Т1, упаковка Т-5, под анод тип 1, БА</v>
      </c>
      <c r="J20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2" s="635"/>
      <c r="N202" s="636">
        <v>147</v>
      </c>
      <c r="O202" s="1013" t="str">
        <f>IFERROR(Таблица47[[#This Row],[Количество хлыстов]]-Таблица47[[#This Row],[Обработано в 1С]]-Таблица47[[#This Row],[Корректировка]],"")</f>
        <v/>
      </c>
      <c r="P202" s="638" t="str">
        <f>IFERROR((((Таблица47[[#This Row],[Осталось сделать, хлыст]]*Таблица47[[#This Row],[длина]])*Таблица47[[#This Row],[Периметр]])/28),"")</f>
        <v/>
      </c>
      <c r="Q202" s="303"/>
      <c r="R202" s="991">
        <f>IFERROR(Таблица47[[#This Row],[Коли-
чество м.п.]]/Таблица47[[#This Row],[Количество хлыстов]],"")</f>
        <v>6</v>
      </c>
      <c r="S202" s="303" t="s">
        <v>2730</v>
      </c>
      <c r="T202" s="639">
        <v>882</v>
      </c>
      <c r="U202" s="640">
        <v>147</v>
      </c>
      <c r="V202" s="639">
        <v>0.3498</v>
      </c>
      <c r="W202" s="639">
        <v>1.425</v>
      </c>
      <c r="X202" s="639">
        <v>308.52359999999999</v>
      </c>
      <c r="Y202" s="639">
        <v>1256.8499999999999</v>
      </c>
      <c r="Z202" s="639">
        <v>40.11</v>
      </c>
      <c r="AA202" s="639">
        <v>136.41999999999999</v>
      </c>
      <c r="AB202" s="639">
        <v>390</v>
      </c>
      <c r="AC202" s="641">
        <v>120324.2</v>
      </c>
    </row>
    <row r="203" spans="1:29" ht="15.75" customHeight="1" x14ac:dyDescent="0.25">
      <c r="A203" s="427" t="s">
        <v>4678</v>
      </c>
      <c r="B203" s="309" t="s">
        <v>4878</v>
      </c>
      <c r="C203" s="309"/>
      <c r="D203" s="303" t="s">
        <v>34</v>
      </c>
      <c r="E203" s="303" t="s">
        <v>16</v>
      </c>
      <c r="F203" s="528">
        <v>45342</v>
      </c>
      <c r="G203" s="528"/>
      <c r="H20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3" s="522" t="str">
        <f>CONCATENATE(Таблица47[[#This Row],[№ заявки в 1С]],Таблица47[[#This Row],[Наименование            ]])</f>
        <v>OPT000160[38436] 0506-21, 6,0м, 6063 Т1, тип 1, упаковка Т-5, БА</v>
      </c>
      <c r="J20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3" s="635"/>
      <c r="N203" s="636">
        <v>114</v>
      </c>
      <c r="O203" s="1013" t="str">
        <f>IFERROR(Таблица47[[#This Row],[Количество хлыстов]]-Таблица47[[#This Row],[Обработано в 1С]]-Таблица47[[#This Row],[Корректировка]],"")</f>
        <v/>
      </c>
      <c r="P203" s="638" t="str">
        <f>IFERROR((((Таблица47[[#This Row],[Осталось сделать, хлыст]]*Таблица47[[#This Row],[длина]])*Таблица47[[#This Row],[Периметр]])/28),"")</f>
        <v/>
      </c>
      <c r="Q203" s="303"/>
      <c r="R203" s="991">
        <f>IFERROR(Таблица47[[#This Row],[Коли-
чество м.п.]]/Таблица47[[#This Row],[Количество хлыстов]],"")</f>
        <v>6</v>
      </c>
      <c r="S203" s="303" t="s">
        <v>2469</v>
      </c>
      <c r="T203" s="639">
        <v>684</v>
      </c>
      <c r="U203" s="640">
        <v>114</v>
      </c>
      <c r="V203" s="639">
        <v>0.70820000000000005</v>
      </c>
      <c r="W203" s="639">
        <v>3.4609999999999999</v>
      </c>
      <c r="X203" s="639">
        <v>484.40879999999999</v>
      </c>
      <c r="Y203" s="639">
        <v>2367.3240000000001</v>
      </c>
      <c r="Z203" s="639">
        <v>62.97</v>
      </c>
      <c r="AA203" s="639">
        <v>127.68</v>
      </c>
      <c r="AB203" s="639">
        <v>365</v>
      </c>
      <c r="AC203" s="641">
        <v>87331.07</v>
      </c>
    </row>
    <row r="204" spans="1:29" ht="15.75" customHeight="1" x14ac:dyDescent="0.25">
      <c r="A204" s="427" t="s">
        <v>4678</v>
      </c>
      <c r="B204" s="309" t="s">
        <v>4876</v>
      </c>
      <c r="C204" s="309"/>
      <c r="D204" s="303" t="s">
        <v>34</v>
      </c>
      <c r="E204" s="303" t="s">
        <v>16</v>
      </c>
      <c r="F204" s="528">
        <v>45342</v>
      </c>
      <c r="G204" s="528"/>
      <c r="H20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4" s="522" t="str">
        <f>CONCATENATE(Таблица47[[#This Row],[№ заявки в 1С]],Таблица47[[#This Row],[Наименование            ]])</f>
        <v>OPT000161[38436] 0506-21, 6,0м, 6063 Т1, тип 1, упаковка Т-5, БА</v>
      </c>
      <c r="J20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4" s="635"/>
      <c r="N204" s="636">
        <v>86</v>
      </c>
      <c r="O204" s="1013" t="str">
        <f>IFERROR(Таблица47[[#This Row],[Количество хлыстов]]-Таблица47[[#This Row],[Обработано в 1С]]-Таблица47[[#This Row],[Корректировка]],"")</f>
        <v/>
      </c>
      <c r="P204" s="638" t="str">
        <f>IFERROR((((Таблица47[[#This Row],[Осталось сделать, хлыст]]*Таблица47[[#This Row],[длина]])*Таблица47[[#This Row],[Периметр]])/28),"")</f>
        <v/>
      </c>
      <c r="Q204" s="303"/>
      <c r="R204" s="991">
        <f>IFERROR(Таблица47[[#This Row],[Коли-
чество м.п.]]/Таблица47[[#This Row],[Количество хлыстов]],"")</f>
        <v>6</v>
      </c>
      <c r="S204" s="561" t="s">
        <v>2469</v>
      </c>
      <c r="T204" s="1093">
        <v>516</v>
      </c>
      <c r="U204" s="1094">
        <v>86</v>
      </c>
      <c r="V204" s="1093">
        <v>0.70820000000000005</v>
      </c>
      <c r="W204" s="1093">
        <v>3.4609999999999999</v>
      </c>
      <c r="X204" s="1093">
        <v>365.43119999999999</v>
      </c>
      <c r="Y204" s="1093">
        <v>1785.876</v>
      </c>
      <c r="Z204" s="1093">
        <v>47.51</v>
      </c>
      <c r="AA204" s="1093">
        <v>276.2</v>
      </c>
      <c r="AB204" s="1093">
        <v>390</v>
      </c>
      <c r="AC204" s="1095">
        <v>142518.17000000001</v>
      </c>
    </row>
    <row r="205" spans="1:29" ht="15.75" customHeight="1" x14ac:dyDescent="0.25">
      <c r="A205" s="427" t="s">
        <v>4678</v>
      </c>
      <c r="B205" s="1070">
        <v>108</v>
      </c>
      <c r="C205" s="1070" t="s">
        <v>4753</v>
      </c>
      <c r="D205" s="200" t="s">
        <v>13</v>
      </c>
      <c r="E205" s="200" t="s">
        <v>4884</v>
      </c>
      <c r="F205" s="201">
        <v>45343</v>
      </c>
      <c r="G205" s="528"/>
      <c r="H20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5" s="522" t="str">
        <f>CONCATENATE(Таблица47[[#This Row],[№ заявки в 1С]],Таблица47[[#This Row],[Наименование            ]])</f>
        <v>108[89496] 263.15 Д , 6,0м, 6063</v>
      </c>
      <c r="J20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5" s="635"/>
      <c r="N205" s="636">
        <v>700</v>
      </c>
      <c r="O205" s="1013" t="str">
        <f>IFERROR(Таблица47[[#This Row],[Количество хлыстов]]-Таблица47[[#This Row],[Обработано в 1С]]-Таблица47[[#This Row],[Корректировка]],"")</f>
        <v/>
      </c>
      <c r="P205" s="638" t="str">
        <f>IFERROR((((Таблица47[[#This Row],[Осталось сделать, хлыст]]*Таблица47[[#This Row],[длина]])*Таблица47[[#This Row],[Периметр]])/28),"")</f>
        <v/>
      </c>
      <c r="Q205" s="303"/>
      <c r="R205" s="991">
        <f>IFERROR(Таблица47[[#This Row],[Коли-
чество м.п.]]/Таблица47[[#This Row],[Количество хлыстов]],"")</f>
        <v>6</v>
      </c>
      <c r="S205" s="303" t="s">
        <v>4885</v>
      </c>
      <c r="T205" s="639">
        <v>4200</v>
      </c>
      <c r="U205" s="640">
        <v>700</v>
      </c>
      <c r="V205" s="639">
        <v>0.15</v>
      </c>
      <c r="W205" s="639">
        <v>0.38500000000000001</v>
      </c>
      <c r="X205" s="639">
        <v>630</v>
      </c>
      <c r="Y205" s="639">
        <v>1617</v>
      </c>
      <c r="Z205" s="639">
        <v>81.900000000000006</v>
      </c>
      <c r="AA205" s="639">
        <v>97.81</v>
      </c>
      <c r="AB205" s="639">
        <v>652.09</v>
      </c>
      <c r="AC205" s="641">
        <v>410816</v>
      </c>
    </row>
    <row r="206" spans="1:29" customFormat="1" ht="15.75" customHeight="1" x14ac:dyDescent="0.25">
      <c r="A206" s="147" t="s">
        <v>4678</v>
      </c>
      <c r="B206" s="521">
        <v>55</v>
      </c>
      <c r="C206" s="521" t="s">
        <v>4753</v>
      </c>
      <c r="D206" s="145" t="s">
        <v>4858</v>
      </c>
      <c r="E206" s="145" t="s">
        <v>4859</v>
      </c>
      <c r="F206" s="148">
        <v>45324</v>
      </c>
      <c r="G206" s="148"/>
      <c r="H206" s="145" t="s">
        <v>677</v>
      </c>
      <c r="I206" s="645" t="str">
        <f>CONCATENATE(Таблица47[[#This Row],[№ заявки в 1С]],Таблица47[[#This Row],[Наименование            ]])</f>
        <v>55НЧП 7463 (5,9)</v>
      </c>
      <c r="J206" s="64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6" s="64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6" s="64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6" s="645"/>
      <c r="N206" s="646"/>
      <c r="O206" s="1001" t="str">
        <f>IFERROR(Таблица47[[#This Row],[Количество хлыстов]]-Таблица47[[#This Row],[Обработано в 1С]]-Таблица47[[#This Row],[Корректировка]],"")</f>
        <v/>
      </c>
      <c r="P206" s="638" t="str">
        <f>IFERROR((((Таблица47[[#This Row],[Осталось сделать, хлыст]]*Таблица47[[#This Row],[длина]])*Таблица47[[#This Row],[Периметр]])/28),"")</f>
        <v/>
      </c>
      <c r="Q206" s="145" t="s">
        <v>4860</v>
      </c>
      <c r="R206" s="992">
        <f>IFERROR(Таблица47[[#This Row],[Коли-
чество м.п.]]/Таблица47[[#This Row],[Количество хлыстов]],"")</f>
        <v>5.9</v>
      </c>
      <c r="S206" s="145" t="s">
        <v>4861</v>
      </c>
      <c r="T206" s="280">
        <v>1622.5</v>
      </c>
      <c r="U206" s="322">
        <v>275</v>
      </c>
      <c r="V206" s="648">
        <v>0.30199999999999999</v>
      </c>
      <c r="W206" s="648">
        <v>0.67300000000000004</v>
      </c>
      <c r="X206" s="648">
        <f>Таблица47[[#This Row],[Периметр]]*Таблица47[[#This Row],[Коли-
чество м.п.]]</f>
        <v>489.995</v>
      </c>
      <c r="Y206" s="280">
        <f>Таблица47[[#This Row],[Вес п.м., кг]]*Таблица47[[#This Row],[Коли-
чество м.п.]]</f>
        <v>1091.9425000000001</v>
      </c>
      <c r="Z206" s="280"/>
      <c r="AA206" s="280">
        <f>Таблица47[[#This Row],[Сумма, руб]]/Таблица47[[#This Row],[Коли-
чество м.п.]]</f>
        <v>130.78582434514638</v>
      </c>
      <c r="AB206" s="280">
        <f>Таблица47[[#This Row],[Сумма, руб]]/Таблица47[[#This Row],[Площадь общая, м2]]</f>
        <v>433.06564352697478</v>
      </c>
      <c r="AC206" s="397">
        <v>212200</v>
      </c>
    </row>
    <row r="207" spans="1:29" s="1021" customFormat="1" ht="15.75" customHeight="1" x14ac:dyDescent="0.25">
      <c r="A207" s="979" t="s">
        <v>4979</v>
      </c>
      <c r="B207" s="1067">
        <v>113</v>
      </c>
      <c r="C207" s="1067" t="s">
        <v>4753</v>
      </c>
      <c r="D207" s="1068" t="s">
        <v>13</v>
      </c>
      <c r="E207" s="1068" t="s">
        <v>892</v>
      </c>
      <c r="F207" s="1069">
        <v>45342</v>
      </c>
      <c r="G207" s="1069"/>
      <c r="H20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7" s="612" t="str">
        <f>CONCATENATE(Таблица47[[#This Row],[№ заявки в 1С]],Таблица47[[#This Row],[Наименование            ]])</f>
        <v>113[89501] 1606-37 (аналог), 6,8 м, ЧЕРНЫЙ анод  с дробью (ДАВ 166.566 )</v>
      </c>
      <c r="J20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7" s="1082"/>
      <c r="N207" s="1086">
        <v>64</v>
      </c>
      <c r="O207" s="1020" t="str">
        <f>IFERROR(Таблица47[[#This Row],[Количество хлыстов]]-Таблица47[[#This Row],[Обработано в 1С]]-Таблица47[[#This Row],[Корректировка]],"")</f>
        <v/>
      </c>
      <c r="P207" s="638" t="str">
        <f>IFERROR((((Таблица47[[#This Row],[Осталось сделать, хлыст]]*Таблица47[[#This Row],[длина]])*Таблица47[[#This Row],[Периметр]])/28),"")</f>
        <v/>
      </c>
      <c r="Q207" s="1068"/>
      <c r="R207" s="1097">
        <f>IFERROR(Таблица47[[#This Row],[Коли-
чество м.п.]]/Таблица47[[#This Row],[Количество хлыстов]],"")</f>
        <v>6.8</v>
      </c>
      <c r="S207" s="1068" t="s">
        <v>4890</v>
      </c>
      <c r="T207" s="1083">
        <v>435.2</v>
      </c>
      <c r="U207" s="1084">
        <v>64</v>
      </c>
      <c r="V207" s="1098">
        <v>0.255</v>
      </c>
      <c r="W207" s="1098">
        <v>0.80400000000000005</v>
      </c>
      <c r="X207" s="1098">
        <v>110.976</v>
      </c>
      <c r="Y207" s="1083">
        <v>349.9008</v>
      </c>
      <c r="Z207" s="1083">
        <v>14.43</v>
      </c>
      <c r="AA207" s="1083">
        <v>80.33</v>
      </c>
      <c r="AB207" s="1083">
        <v>315</v>
      </c>
      <c r="AC207" s="1085">
        <v>34957.440000000002</v>
      </c>
    </row>
    <row r="208" spans="1:29" s="1021" customFormat="1" ht="15.75" customHeight="1" x14ac:dyDescent="0.25">
      <c r="A208" s="979" t="s">
        <v>4979</v>
      </c>
      <c r="B208" s="1067">
        <v>113</v>
      </c>
      <c r="C208" s="1067" t="s">
        <v>4753</v>
      </c>
      <c r="D208" s="1068" t="s">
        <v>13</v>
      </c>
      <c r="E208" s="1068" t="s">
        <v>892</v>
      </c>
      <c r="F208" s="1069">
        <v>45342</v>
      </c>
      <c r="G208" s="1069"/>
      <c r="H20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8" s="612" t="str">
        <f>CONCATENATE(Таблица47[[#This Row],[№ заявки в 1С]],Таблица47[[#This Row],[Наименование            ]])</f>
        <v>113[89502] 1606-38 (аналог), 4,15 м, ЧЕРНЫЙ анод  с дробью (ДАВ 166.568)</v>
      </c>
      <c r="J20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8" s="1082"/>
      <c r="N208" s="1086">
        <v>348</v>
      </c>
      <c r="O208" s="1020" t="str">
        <f>IFERROR(Таблица47[[#This Row],[Количество хлыстов]]-Таблица47[[#This Row],[Обработано в 1С]]-Таблица47[[#This Row],[Корректировка]],"")</f>
        <v/>
      </c>
      <c r="P208" s="638" t="str">
        <f>IFERROR((((Таблица47[[#This Row],[Осталось сделать, хлыст]]*Таблица47[[#This Row],[длина]])*Таблица47[[#This Row],[Периметр]])/28),"")</f>
        <v/>
      </c>
      <c r="Q208" s="1068"/>
      <c r="R208" s="1097">
        <f>IFERROR(Таблица47[[#This Row],[Коли-
чество м.п.]]/Таблица47[[#This Row],[Количество хлыстов]],"")</f>
        <v>4.1500000000000004</v>
      </c>
      <c r="S208" s="1068" t="s">
        <v>4891</v>
      </c>
      <c r="T208" s="1083">
        <v>1444.2</v>
      </c>
      <c r="U208" s="1084">
        <v>348</v>
      </c>
      <c r="V208" s="1098">
        <v>0.15790000000000001</v>
      </c>
      <c r="W208" s="1098">
        <v>0.309</v>
      </c>
      <c r="X208" s="1098">
        <v>228.03919999999999</v>
      </c>
      <c r="Y208" s="1083">
        <v>446.25779999999997</v>
      </c>
      <c r="Z208" s="1083">
        <v>29.65</v>
      </c>
      <c r="AA208" s="1083">
        <v>49.74</v>
      </c>
      <c r="AB208" s="1083">
        <v>315</v>
      </c>
      <c r="AC208" s="1085">
        <v>71832.34</v>
      </c>
    </row>
    <row r="209" spans="1:29" s="1021" customFormat="1" ht="15.75" customHeight="1" x14ac:dyDescent="0.25">
      <c r="A209" s="979" t="s">
        <v>4979</v>
      </c>
      <c r="B209" s="1067">
        <v>113</v>
      </c>
      <c r="C209" s="1067" t="s">
        <v>4753</v>
      </c>
      <c r="D209" s="1068" t="s">
        <v>13</v>
      </c>
      <c r="E209" s="1068" t="s">
        <v>892</v>
      </c>
      <c r="F209" s="1069">
        <v>45342</v>
      </c>
      <c r="G209" s="1069"/>
      <c r="H20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09" s="612" t="str">
        <f>CONCATENATE(Таблица47[[#This Row],[№ заявки в 1С]],Таблица47[[#This Row],[Наименование            ]])</f>
        <v>113[85876] 1606-39 (аналог), 4,15 м, анод  с  дробью  (ДАВ 166.569)</v>
      </c>
      <c r="J20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0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0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09" s="1082"/>
      <c r="N209" s="1086">
        <v>529</v>
      </c>
      <c r="O209" s="1020" t="str">
        <f>IFERROR(Таблица47[[#This Row],[Количество хлыстов]]-Таблица47[[#This Row],[Обработано в 1С]]-Таблица47[[#This Row],[Корректировка]],"")</f>
        <v/>
      </c>
      <c r="P209" s="638" t="str">
        <f>IFERROR((((Таблица47[[#This Row],[Осталось сделать, хлыст]]*Таблица47[[#This Row],[длина]])*Таблица47[[#This Row],[Периметр]])/28),"")</f>
        <v/>
      </c>
      <c r="Q209" s="1068"/>
      <c r="R209" s="1097">
        <f>IFERROR(Таблица47[[#This Row],[Коли-
чество м.п.]]/Таблица47[[#This Row],[Количество хлыстов]],"")</f>
        <v>4.1499999999999995</v>
      </c>
      <c r="S209" s="1068" t="s">
        <v>4892</v>
      </c>
      <c r="T209" s="1083">
        <v>2195.35</v>
      </c>
      <c r="U209" s="1084">
        <v>529</v>
      </c>
      <c r="V209" s="1098">
        <v>0.1</v>
      </c>
      <c r="W209" s="1098">
        <v>0.16</v>
      </c>
      <c r="X209" s="1098">
        <v>219.535</v>
      </c>
      <c r="Y209" s="1083">
        <v>351.25599999999997</v>
      </c>
      <c r="Z209" s="1083">
        <v>28.54</v>
      </c>
      <c r="AA209" s="1083">
        <v>31.5</v>
      </c>
      <c r="AB209" s="1083">
        <v>315</v>
      </c>
      <c r="AC209" s="1085">
        <v>69153.53</v>
      </c>
    </row>
    <row r="210" spans="1:29" s="1021" customFormat="1" ht="15.75" customHeight="1" x14ac:dyDescent="0.25">
      <c r="A210" s="979" t="s">
        <v>4979</v>
      </c>
      <c r="B210" s="1067">
        <v>113</v>
      </c>
      <c r="C210" s="1067" t="s">
        <v>4753</v>
      </c>
      <c r="D210" s="1068" t="s">
        <v>13</v>
      </c>
      <c r="E210" s="1068" t="s">
        <v>892</v>
      </c>
      <c r="F210" s="1069">
        <v>45342</v>
      </c>
      <c r="G210" s="1069"/>
      <c r="H21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0" s="612" t="str">
        <f>CONCATENATE(Таблица47[[#This Row],[№ заявки в 1С]],Таблица47[[#This Row],[Наименование            ]])</f>
        <v>113[89494] 1606-39 , 4,15 м, ЧЁРНЫЙ анод  с  дробью  (ДАВ 166.569)</v>
      </c>
      <c r="J21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0" s="1082"/>
      <c r="N210" s="1086">
        <v>278</v>
      </c>
      <c r="O210" s="1020" t="str">
        <f>IFERROR(Таблица47[[#This Row],[Количество хлыстов]]-Таблица47[[#This Row],[Обработано в 1С]]-Таблица47[[#This Row],[Корректировка]],"")</f>
        <v/>
      </c>
      <c r="P210" s="638" t="str">
        <f>IFERROR((((Таблица47[[#This Row],[Осталось сделать, хлыст]]*Таблица47[[#This Row],[длина]])*Таблица47[[#This Row],[Периметр]])/28),"")</f>
        <v/>
      </c>
      <c r="Q210" s="1068"/>
      <c r="R210" s="1097">
        <f>IFERROR(Таблица47[[#This Row],[Коли-
чество м.п.]]/Таблица47[[#This Row],[Количество хлыстов]],"")</f>
        <v>4.1500000000000004</v>
      </c>
      <c r="S210" s="1068" t="s">
        <v>4893</v>
      </c>
      <c r="T210" s="1083">
        <v>1153.7</v>
      </c>
      <c r="U210" s="1084">
        <v>278</v>
      </c>
      <c r="V210" s="1098">
        <v>0.1</v>
      </c>
      <c r="W210" s="1098">
        <v>0.16</v>
      </c>
      <c r="X210" s="1098">
        <v>115.37</v>
      </c>
      <c r="Y210" s="1083">
        <v>184.59200000000001</v>
      </c>
      <c r="Z210" s="1083">
        <v>15</v>
      </c>
      <c r="AA210" s="1083">
        <v>31.5</v>
      </c>
      <c r="AB210" s="1083">
        <v>315</v>
      </c>
      <c r="AC210" s="1085">
        <v>36341.550000000003</v>
      </c>
    </row>
    <row r="211" spans="1:29" s="1021" customFormat="1" ht="15.75" customHeight="1" x14ac:dyDescent="0.25">
      <c r="A211" s="979" t="s">
        <v>4979</v>
      </c>
      <c r="B211" s="1067">
        <v>113</v>
      </c>
      <c r="C211" s="1067" t="s">
        <v>4753</v>
      </c>
      <c r="D211" s="1068" t="s">
        <v>13</v>
      </c>
      <c r="E211" s="1068" t="s">
        <v>892</v>
      </c>
      <c r="F211" s="1069">
        <v>45342</v>
      </c>
      <c r="G211" s="1069"/>
      <c r="H21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1" s="612" t="str">
        <f>CONCATENATE(Таблица47[[#This Row],[№ заявки в 1С]],Таблица47[[#This Row],[Наименование            ]])</f>
        <v>113[85874] 1606-38 (аналог), 4,15 м, анод 4-5мкм с дробью  (ДАВ 166.568)</v>
      </c>
      <c r="J21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1" s="1082"/>
      <c r="N211" s="1086">
        <v>132</v>
      </c>
      <c r="O211" s="1020" t="str">
        <f>IFERROR(Таблица47[[#This Row],[Количество хлыстов]]-Таблица47[[#This Row],[Обработано в 1С]]-Таблица47[[#This Row],[Корректировка]],"")</f>
        <v/>
      </c>
      <c r="P211" s="638" t="str">
        <f>IFERROR((((Таблица47[[#This Row],[Осталось сделать, хлыст]]*Таблица47[[#This Row],[длина]])*Таблица47[[#This Row],[Периметр]])/28),"")</f>
        <v/>
      </c>
      <c r="Q211" s="1068"/>
      <c r="R211" s="1097">
        <f>IFERROR(Таблица47[[#This Row],[Коли-
чество м.п.]]/Таблица47[[#This Row],[Количество хлыстов]],"")</f>
        <v>4.1499999999999995</v>
      </c>
      <c r="S211" s="1068" t="s">
        <v>4894</v>
      </c>
      <c r="T211" s="1083">
        <v>547.79999999999995</v>
      </c>
      <c r="U211" s="1084">
        <v>132</v>
      </c>
      <c r="V211" s="1098">
        <v>0.15790000000000001</v>
      </c>
      <c r="W211" s="1098">
        <v>0.309</v>
      </c>
      <c r="X211" s="1098">
        <v>86.497600000000006</v>
      </c>
      <c r="Y211" s="1083">
        <v>169.27019999999999</v>
      </c>
      <c r="Z211" s="1083">
        <v>11.24</v>
      </c>
      <c r="AA211" s="1083">
        <v>49.74</v>
      </c>
      <c r="AB211" s="1083">
        <v>315</v>
      </c>
      <c r="AC211" s="1085">
        <v>27246.75</v>
      </c>
    </row>
    <row r="212" spans="1:29" ht="15.75" customHeight="1" x14ac:dyDescent="0.25">
      <c r="A212" s="238" t="s">
        <v>4678</v>
      </c>
      <c r="B212" s="1070">
        <v>115</v>
      </c>
      <c r="C212" s="1070" t="s">
        <v>4753</v>
      </c>
      <c r="D212" s="200" t="s">
        <v>13</v>
      </c>
      <c r="E212" s="200" t="s">
        <v>4879</v>
      </c>
      <c r="F212" s="201">
        <v>45343</v>
      </c>
      <c r="G212" s="201"/>
      <c r="H212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2" s="587" t="str">
        <f>CONCATENATE(Таблица47[[#This Row],[№ заявки в 1С]],Таблица47[[#This Row],[Наименование            ]])</f>
        <v>115[89488] 209247 Д, 6,36м, сплав 6063</v>
      </c>
      <c r="J212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2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2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2" s="1062">
        <v>1</v>
      </c>
      <c r="N212" s="1063">
        <v>209</v>
      </c>
      <c r="O212" s="1013" t="str">
        <f>IFERROR(Таблица47[[#This Row],[Количество хлыстов]]-Таблица47[[#This Row],[Обработано в 1С]]-Таблица47[[#This Row],[Корректировка]],"")</f>
        <v/>
      </c>
      <c r="P212" s="638" t="str">
        <f>IFERROR((((Таблица47[[#This Row],[Осталось сделать, хлыст]]*Таблица47[[#This Row],[длина]])*Таблица47[[#This Row],[Периметр]])/28),"")</f>
        <v/>
      </c>
      <c r="Q212" s="200" t="s">
        <v>721</v>
      </c>
      <c r="R212" s="1099">
        <f>IFERROR(Таблица47[[#This Row],[Коли-
чество м.п.]]/Таблица47[[#This Row],[Количество хлыстов]],"")</f>
        <v>6.3599999999999994</v>
      </c>
      <c r="S212" s="200" t="s">
        <v>4935</v>
      </c>
      <c r="T212" s="1043">
        <v>1335.6</v>
      </c>
      <c r="U212" s="1042">
        <v>210</v>
      </c>
      <c r="V212" s="1100">
        <v>0.23</v>
      </c>
      <c r="W212" s="1100">
        <v>2.9</v>
      </c>
      <c r="X212" s="1100">
        <v>307.18799999999999</v>
      </c>
      <c r="Y212" s="1043">
        <v>3873.24</v>
      </c>
      <c r="Z212" s="1043">
        <v>39.93</v>
      </c>
      <c r="AA212" s="1043">
        <v>100.05</v>
      </c>
      <c r="AB212" s="1043">
        <v>435</v>
      </c>
      <c r="AC212" s="1044">
        <v>133626.78</v>
      </c>
    </row>
    <row r="213" spans="1:29" ht="15.75" customHeight="1" x14ac:dyDescent="0.25">
      <c r="A213" s="238" t="s">
        <v>4678</v>
      </c>
      <c r="B213" s="1070">
        <v>115</v>
      </c>
      <c r="C213" s="1070" t="s">
        <v>4753</v>
      </c>
      <c r="D213" s="200" t="s">
        <v>13</v>
      </c>
      <c r="E213" s="200" t="s">
        <v>4879</v>
      </c>
      <c r="F213" s="201">
        <v>45343</v>
      </c>
      <c r="G213" s="201">
        <v>45392</v>
      </c>
      <c r="H213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3" s="587" t="str">
        <f>CONCATENATE(Таблица47[[#This Row],[№ заявки в 1С]],Таблица47[[#This Row],[Наименование            ]])</f>
        <v>115[89490] 210322 Д, 3,75 м, сплав 6063 Т6</v>
      </c>
      <c r="J213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3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3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3" s="1062"/>
      <c r="N213" s="1063">
        <v>244</v>
      </c>
      <c r="O213" s="1013" t="str">
        <f>IFERROR(Таблица47[[#This Row],[Количество хлыстов]]-Таблица47[[#This Row],[Обработано в 1С]]-Таблица47[[#This Row],[Корректировка]],"")</f>
        <v/>
      </c>
      <c r="P213" s="638" t="str">
        <f>IFERROR((((Таблица47[[#This Row],[Осталось сделать, хлыст]]*Таблица47[[#This Row],[длина]])*Таблица47[[#This Row],[Периметр]])/28),"")</f>
        <v/>
      </c>
      <c r="Q213" s="200"/>
      <c r="R213" s="1099">
        <f>IFERROR(Таблица47[[#This Row],[Коли-
чество м.п.]]/Таблица47[[#This Row],[Количество хлыстов]],"")</f>
        <v>3.75</v>
      </c>
      <c r="S213" s="200" t="s">
        <v>4919</v>
      </c>
      <c r="T213" s="1043">
        <v>915</v>
      </c>
      <c r="U213" s="1042">
        <v>244</v>
      </c>
      <c r="V213" s="1100">
        <v>0.77500000000000002</v>
      </c>
      <c r="W213" s="1100">
        <v>1.5409999999999999</v>
      </c>
      <c r="X213" s="1100">
        <v>709.125</v>
      </c>
      <c r="Y213" s="1043">
        <v>1410.0150000000001</v>
      </c>
      <c r="Z213" s="1043">
        <v>92.19</v>
      </c>
      <c r="AA213" s="1043">
        <v>337.13</v>
      </c>
      <c r="AB213" s="1043">
        <v>435</v>
      </c>
      <c r="AC213" s="1044">
        <v>308473.95</v>
      </c>
    </row>
    <row r="214" spans="1:29" ht="15.75" customHeight="1" x14ac:dyDescent="0.25">
      <c r="A214" s="427" t="s">
        <v>4678</v>
      </c>
      <c r="B214" s="309">
        <v>116</v>
      </c>
      <c r="C214" s="309"/>
      <c r="D214" s="303" t="s">
        <v>34</v>
      </c>
      <c r="E214" s="303" t="s">
        <v>328</v>
      </c>
      <c r="F214" s="528">
        <v>45344</v>
      </c>
      <c r="G214" s="528">
        <v>45376</v>
      </c>
      <c r="H21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4" s="522" t="str">
        <f>CONCATENATE(Таблица47[[#This Row],[№ заявки в 1С]],Таблица47[[#This Row],[Наименование            ]])</f>
        <v>116[70484] 1506-77 (АА-2050-85), 6,0м, 6063 Т6, упаковка Т-5, без покрытия</v>
      </c>
      <c r="J21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4" s="635">
        <v>3</v>
      </c>
      <c r="N214" s="636">
        <v>14</v>
      </c>
      <c r="O214" s="1013" t="str">
        <f>IFERROR(Таблица47[[#This Row],[Количество хлыстов]]-Таблица47[[#This Row],[Обработано в 1С]]-Таблица47[[#This Row],[Корректировка]],"")</f>
        <v/>
      </c>
      <c r="P214" s="638" t="str">
        <f>IFERROR((((Таблица47[[#This Row],[Осталось сделать, хлыст]]*Таблица47[[#This Row],[длина]])*Таблица47[[#This Row],[Периметр]])/28),"")</f>
        <v/>
      </c>
      <c r="Q214" s="303" t="s">
        <v>4992</v>
      </c>
      <c r="R214" s="991">
        <f>IFERROR(Таблица47[[#This Row],[Коли-
чество м.п.]]/Таблица47[[#This Row],[Количество хлыстов]],"")</f>
        <v>6</v>
      </c>
      <c r="S214" s="303" t="s">
        <v>4813</v>
      </c>
      <c r="T214" s="639">
        <v>102</v>
      </c>
      <c r="U214" s="640">
        <v>17</v>
      </c>
      <c r="V214" s="639">
        <v>0.30919999999999997</v>
      </c>
      <c r="W214" s="639">
        <v>1.101</v>
      </c>
      <c r="X214" s="639">
        <v>31.538399999999999</v>
      </c>
      <c r="Y214" s="639">
        <v>112.30200000000001</v>
      </c>
      <c r="Z214" s="639">
        <v>4.0999999999999996</v>
      </c>
      <c r="AA214" s="639">
        <v>112.86</v>
      </c>
      <c r="AB214" s="639">
        <v>365</v>
      </c>
      <c r="AC214" s="641">
        <v>11511.72</v>
      </c>
    </row>
    <row r="215" spans="1:29" ht="15.75" customHeight="1" x14ac:dyDescent="0.25">
      <c r="A215" s="427" t="s">
        <v>4678</v>
      </c>
      <c r="B215" s="309">
        <v>117</v>
      </c>
      <c r="C215" s="309"/>
      <c r="D215" s="303" t="s">
        <v>34</v>
      </c>
      <c r="E215" s="303" t="s">
        <v>328</v>
      </c>
      <c r="F215" s="528">
        <v>45344</v>
      </c>
      <c r="G215" s="528">
        <v>45376</v>
      </c>
      <c r="H21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5" s="522" t="str">
        <f>CONCATENATE(Таблица47[[#This Row],[№ заявки в 1С]],Таблица47[[#This Row],[Наименование            ]])</f>
        <v>117[70484] 1506-77 (АА-2050-85), 6,0м, 6063 Т6, упаковка Т-5, без покрытия</v>
      </c>
      <c r="J21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5" s="635">
        <v>3</v>
      </c>
      <c r="N215" s="636">
        <v>82</v>
      </c>
      <c r="O215" s="1013" t="str">
        <f>IFERROR(Таблица47[[#This Row],[Количество хлыстов]]-Таблица47[[#This Row],[Обработано в 1С]]-Таблица47[[#This Row],[Корректировка]],"")</f>
        <v/>
      </c>
      <c r="P215" s="638" t="str">
        <f>IFERROR((((Таблица47[[#This Row],[Осталось сделать, хлыст]]*Таблица47[[#This Row],[длина]])*Таблица47[[#This Row],[Периметр]])/28),"")</f>
        <v/>
      </c>
      <c r="Q215" s="303" t="s">
        <v>5687</v>
      </c>
      <c r="R215" s="991">
        <f>IFERROR(Таблица47[[#This Row],[Коли-
чество м.п.]]/Таблица47[[#This Row],[Количество хлыстов]],"")</f>
        <v>6</v>
      </c>
      <c r="S215" s="303" t="s">
        <v>4813</v>
      </c>
      <c r="T215" s="639">
        <v>510</v>
      </c>
      <c r="U215" s="640">
        <v>85</v>
      </c>
      <c r="V215" s="639">
        <v>0.30919999999999997</v>
      </c>
      <c r="W215" s="639">
        <v>1.101</v>
      </c>
      <c r="X215" s="639">
        <v>157.69200000000001</v>
      </c>
      <c r="Y215" s="639">
        <v>561.51</v>
      </c>
      <c r="Z215" s="639">
        <v>20.5</v>
      </c>
      <c r="AA215" s="639">
        <v>112.86</v>
      </c>
      <c r="AB215" s="639">
        <v>365</v>
      </c>
      <c r="AC215" s="641">
        <v>57558.6</v>
      </c>
    </row>
    <row r="216" spans="1:29" s="1021" customFormat="1" ht="15.75" customHeight="1" x14ac:dyDescent="0.25">
      <c r="A216" s="979" t="s">
        <v>4978</v>
      </c>
      <c r="B216" s="1067">
        <v>67</v>
      </c>
      <c r="C216" s="1067"/>
      <c r="D216" s="1068" t="s">
        <v>13</v>
      </c>
      <c r="E216" s="1068" t="s">
        <v>4881</v>
      </c>
      <c r="F216" s="1069">
        <v>45348</v>
      </c>
      <c r="G216" s="1069"/>
      <c r="H21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6" s="612" t="str">
        <f>CONCATENATE(Таблица47[[#This Row],[№ заявки в 1С]],Таблица47[[#This Row],[Наименование            ]])</f>
        <v>67[32823] 0406-55 2,0 м, Ад31</v>
      </c>
      <c r="J21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6" s="1082"/>
      <c r="N216" s="1086">
        <v>1060</v>
      </c>
      <c r="O216" s="1020" t="str">
        <f>IFERROR(Таблица47[[#This Row],[Количество хлыстов]]-Таблица47[[#This Row],[Обработано в 1С]]-Таблица47[[#This Row],[Корректировка]],"")</f>
        <v/>
      </c>
      <c r="P216" s="638" t="str">
        <f>IFERROR((((Таблица47[[#This Row],[Осталось сделать, хлыст]]*Таблица47[[#This Row],[длина]])*Таблица47[[#This Row],[Периметр]])/28),"")</f>
        <v/>
      </c>
      <c r="Q216" s="1068" t="s">
        <v>4728</v>
      </c>
      <c r="R216" s="1083">
        <f>IFERROR(Таблица47[[#This Row],[Коли-
чество м.п.]]/Таблица47[[#This Row],[Количество хлыстов]],"")</f>
        <v>2</v>
      </c>
      <c r="S216" s="1068" t="s">
        <v>4882</v>
      </c>
      <c r="T216" s="1083">
        <v>2120</v>
      </c>
      <c r="U216" s="1084">
        <v>1060</v>
      </c>
      <c r="V216" s="1083">
        <v>0.10979999999999999</v>
      </c>
      <c r="W216" s="1083">
        <v>0.20899999999999999</v>
      </c>
      <c r="X216" s="1083">
        <v>232.77600000000001</v>
      </c>
      <c r="Y216" s="1083">
        <v>443.08</v>
      </c>
      <c r="Z216" s="1083">
        <v>30.26</v>
      </c>
      <c r="AA216" s="1083">
        <v>26.9</v>
      </c>
      <c r="AB216" s="1083">
        <v>245</v>
      </c>
      <c r="AC216" s="1085">
        <v>57028</v>
      </c>
    </row>
    <row r="217" spans="1:29" s="1021" customFormat="1" ht="15.75" customHeight="1" x14ac:dyDescent="0.25">
      <c r="A217" s="979" t="s">
        <v>4978</v>
      </c>
      <c r="B217" s="1067">
        <v>119</v>
      </c>
      <c r="C217" s="1067"/>
      <c r="D217" s="1068" t="s">
        <v>13</v>
      </c>
      <c r="E217" s="1068" t="s">
        <v>4881</v>
      </c>
      <c r="F217" s="1069">
        <v>45348</v>
      </c>
      <c r="G217" s="1069"/>
      <c r="H21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7" s="612" t="str">
        <f>CONCATENATE(Таблица47[[#This Row],[№ заявки в 1С]],Таблица47[[#This Row],[Наименование            ]])</f>
        <v>119[32822] 0406-55 3,0 м, Ад31</v>
      </c>
      <c r="J21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7" s="1082"/>
      <c r="N217" s="1086">
        <v>1078</v>
      </c>
      <c r="O217" s="1020" t="str">
        <f>IFERROR(Таблица47[[#This Row],[Количество хлыстов]]-Таблица47[[#This Row],[Обработано в 1С]]-Таблица47[[#This Row],[Корректировка]],"")</f>
        <v/>
      </c>
      <c r="P217" s="638" t="str">
        <f>IFERROR((((Таблица47[[#This Row],[Осталось сделать, хлыст]]*Таблица47[[#This Row],[длина]])*Таблица47[[#This Row],[Периметр]])/28),"")</f>
        <v/>
      </c>
      <c r="Q217" s="1068" t="s">
        <v>4728</v>
      </c>
      <c r="R217" s="1083">
        <f>IFERROR(Таблица47[[#This Row],[Коли-
чество м.п.]]/Таблица47[[#This Row],[Количество хлыстов]],"")</f>
        <v>3</v>
      </c>
      <c r="S217" s="1068" t="s">
        <v>4883</v>
      </c>
      <c r="T217" s="1083">
        <v>3234</v>
      </c>
      <c r="U217" s="1084">
        <v>1078</v>
      </c>
      <c r="V217" s="1083">
        <v>0.10979999999999999</v>
      </c>
      <c r="W217" s="1083">
        <v>0.20899999999999999</v>
      </c>
      <c r="X217" s="1083">
        <v>355.09320000000002</v>
      </c>
      <c r="Y217" s="1083">
        <v>675.90599999999995</v>
      </c>
      <c r="Z217" s="1083">
        <v>46.16</v>
      </c>
      <c r="AA217" s="1083">
        <v>26.9</v>
      </c>
      <c r="AB217" s="1083">
        <v>245</v>
      </c>
      <c r="AC217" s="1085">
        <v>86997.83</v>
      </c>
    </row>
    <row r="218" spans="1:29" ht="15.75" customHeight="1" x14ac:dyDescent="0.25">
      <c r="A218" s="427" t="s">
        <v>4678</v>
      </c>
      <c r="B218" s="309" t="s">
        <v>4887</v>
      </c>
      <c r="C218" s="309"/>
      <c r="D218" s="303" t="s">
        <v>34</v>
      </c>
      <c r="E218" s="303" t="s">
        <v>16</v>
      </c>
      <c r="F218" s="528">
        <v>45348</v>
      </c>
      <c r="G218" s="528"/>
      <c r="H21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8" s="522" t="str">
        <f>CONCATENATE(Таблица47[[#This Row],[№ заявки в 1С]],Таблица47[[#This Row],[Наименование            ]])</f>
        <v>OPT000183[11564] 0106-235, 6,0м, 6063 Т6, упаковка Т-5, под анод тип 2, БА (прессовать на плюсовом допуске)</v>
      </c>
      <c r="J21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8" s="635"/>
      <c r="N218" s="636">
        <v>97</v>
      </c>
      <c r="O218" s="1013" t="str">
        <f>IFERROR(Таблица47[[#This Row],[Количество хлыстов]]-Таблица47[[#This Row],[Обработано в 1С]]-Таблица47[[#This Row],[Корректировка]],"")</f>
        <v/>
      </c>
      <c r="P218" s="638" t="str">
        <f>IFERROR((((Таблица47[[#This Row],[Осталось сделать, хлыст]]*Таблица47[[#This Row],[длина]])*Таблица47[[#This Row],[Периметр]])/28),"")</f>
        <v/>
      </c>
      <c r="Q218" s="303"/>
      <c r="R218" s="1074">
        <f>IFERROR(Таблица47[[#This Row],[Коли-
чество м.п.]]/Таблица47[[#This Row],[Количество хлыстов]],"")</f>
        <v>6</v>
      </c>
      <c r="S218" s="303" t="s">
        <v>2581</v>
      </c>
      <c r="T218" s="639">
        <v>582</v>
      </c>
      <c r="U218" s="640">
        <v>97</v>
      </c>
      <c r="V218" s="639">
        <v>0.56989999999999996</v>
      </c>
      <c r="W218" s="639">
        <v>1.304</v>
      </c>
      <c r="X218" s="639">
        <v>331.68180000000001</v>
      </c>
      <c r="Y218" s="639">
        <v>758.928</v>
      </c>
      <c r="Z218" s="639">
        <v>43.12</v>
      </c>
      <c r="AA218" s="639">
        <v>267.85000000000002</v>
      </c>
      <c r="AB218" s="639">
        <v>470</v>
      </c>
      <c r="AC218" s="641">
        <v>155888.70000000001</v>
      </c>
    </row>
    <row r="219" spans="1:29" ht="15.75" customHeight="1" x14ac:dyDescent="0.25">
      <c r="A219" s="427" t="s">
        <v>4678</v>
      </c>
      <c r="B219" s="309" t="s">
        <v>4888</v>
      </c>
      <c r="C219" s="309"/>
      <c r="D219" s="303" t="s">
        <v>34</v>
      </c>
      <c r="E219" s="303" t="s">
        <v>16</v>
      </c>
      <c r="F219" s="528">
        <v>45348</v>
      </c>
      <c r="G219" s="528"/>
      <c r="H21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19" s="522" t="str">
        <f>CONCATENATE(Таблица47[[#This Row],[№ заявки в 1С]],Таблица47[[#This Row],[Наименование            ]])</f>
        <v>OPT000184[35197] 0106-238, 6,0м, 6063 Т1, упаковка Т-5, под анод тип 1 ,БА</v>
      </c>
      <c r="J21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1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1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19" s="635"/>
      <c r="N219" s="636">
        <v>24</v>
      </c>
      <c r="O219" s="1013" t="str">
        <f>IFERROR(Таблица47[[#This Row],[Количество хлыстов]]-Таблица47[[#This Row],[Обработано в 1С]]-Таблица47[[#This Row],[Корректировка]],"")</f>
        <v/>
      </c>
      <c r="P219" s="638" t="str">
        <f>IFERROR((((Таблица47[[#This Row],[Осталось сделать, хлыст]]*Таблица47[[#This Row],[длина]])*Таблица47[[#This Row],[Периметр]])/28),"")</f>
        <v/>
      </c>
      <c r="Q219" s="303"/>
      <c r="R219" s="1074">
        <f>IFERROR(Таблица47[[#This Row],[Коли-
чество м.п.]]/Таблица47[[#This Row],[Количество хлыстов]],"")</f>
        <v>6</v>
      </c>
      <c r="S219" s="303" t="s">
        <v>2859</v>
      </c>
      <c r="T219" s="639">
        <v>144</v>
      </c>
      <c r="U219" s="640">
        <v>24</v>
      </c>
      <c r="V219" s="639">
        <v>0.27260000000000001</v>
      </c>
      <c r="W219" s="639">
        <v>0.72899999999999998</v>
      </c>
      <c r="X219" s="639">
        <v>39.254399999999997</v>
      </c>
      <c r="Y219" s="639">
        <v>104.976</v>
      </c>
      <c r="Z219" s="639">
        <v>5.0999999999999996</v>
      </c>
      <c r="AA219" s="639">
        <v>106.31</v>
      </c>
      <c r="AB219" s="639">
        <v>390</v>
      </c>
      <c r="AC219" s="641">
        <v>15308.64</v>
      </c>
    </row>
    <row r="220" spans="1:29" ht="15.75" customHeight="1" x14ac:dyDescent="0.25">
      <c r="A220" s="427" t="s">
        <v>4678</v>
      </c>
      <c r="B220" s="309" t="s">
        <v>4889</v>
      </c>
      <c r="C220" s="309"/>
      <c r="D220" s="303" t="s">
        <v>34</v>
      </c>
      <c r="E220" s="303" t="s">
        <v>16</v>
      </c>
      <c r="F220" s="528">
        <v>45348</v>
      </c>
      <c r="G220" s="528"/>
      <c r="H22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0" s="522" t="str">
        <f>CONCATENATE(Таблица47[[#This Row],[№ заявки в 1С]],Таблица47[[#This Row],[Наименование            ]])</f>
        <v>OPT000185[13620] 0106-290 (6158), 6,0м, 6063 Т1, тип 1, упаковка Т-5, БА</v>
      </c>
      <c r="J22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0" s="635"/>
      <c r="N220" s="636">
        <v>11</v>
      </c>
      <c r="O220" s="1013" t="str">
        <f>IFERROR(Таблица47[[#This Row],[Количество хлыстов]]-Таблица47[[#This Row],[Обработано в 1С]]-Таблица47[[#This Row],[Корректировка]],"")</f>
        <v/>
      </c>
      <c r="P220" s="638" t="str">
        <f>IFERROR((((Таблица47[[#This Row],[Осталось сделать, хлыст]]*Таблица47[[#This Row],[длина]])*Таблица47[[#This Row],[Периметр]])/28),"")</f>
        <v/>
      </c>
      <c r="Q220" s="303"/>
      <c r="R220" s="1074">
        <f>IFERROR(Таблица47[[#This Row],[Коли-
чество м.п.]]/Таблица47[[#This Row],[Количество хлыстов]],"")</f>
        <v>6</v>
      </c>
      <c r="S220" s="303" t="s">
        <v>5693</v>
      </c>
      <c r="T220" s="639">
        <v>66</v>
      </c>
      <c r="U220" s="640">
        <v>11</v>
      </c>
      <c r="V220" s="639">
        <v>0.29970000000000002</v>
      </c>
      <c r="W220" s="639">
        <v>1.6739999999999999</v>
      </c>
      <c r="X220" s="639">
        <v>19.780200000000001</v>
      </c>
      <c r="Y220" s="639">
        <v>110.48399999999999</v>
      </c>
      <c r="Z220" s="639">
        <v>2.57</v>
      </c>
      <c r="AA220" s="639">
        <v>109.39</v>
      </c>
      <c r="AB220" s="639">
        <v>365</v>
      </c>
      <c r="AC220" s="641">
        <v>7219.74</v>
      </c>
    </row>
    <row r="221" spans="1:29" s="1021" customFormat="1" ht="15.75" customHeight="1" x14ac:dyDescent="0.25">
      <c r="A221" s="979" t="s">
        <v>4978</v>
      </c>
      <c r="B221" s="1067">
        <v>121</v>
      </c>
      <c r="C221" s="1067"/>
      <c r="D221" s="1068" t="s">
        <v>34</v>
      </c>
      <c r="E221" s="1068" t="s">
        <v>4807</v>
      </c>
      <c r="F221" s="1069">
        <v>45349</v>
      </c>
      <c r="G221" s="1069"/>
      <c r="H22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1" s="522" t="str">
        <f>CONCATENATE(Таблица47[[#This Row],[№ заявки в 1С]],Таблица47[[#This Row],[Наименование            ]])</f>
        <v>121[64905] 216033, БОК, 6,0 м, сплав АД31Т1, БА</v>
      </c>
      <c r="J22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1" s="1082"/>
      <c r="N221" s="1082">
        <f>175+2</f>
        <v>177</v>
      </c>
      <c r="O221" s="1020" t="str">
        <f>IFERROR(Таблица47[[#This Row],[Количество хлыстов]]-Таблица47[[#This Row],[Обработано в 1С]]-Таблица47[[#This Row],[Корректировка]],"")</f>
        <v/>
      </c>
      <c r="P221" s="638" t="str">
        <f>IFERROR((((Таблица47[[#This Row],[Осталось сделать, хлыст]]*Таблица47[[#This Row],[длина]])*Таблица47[[#This Row],[Периметр]])/28),"")</f>
        <v/>
      </c>
      <c r="Q221" s="1068" t="s">
        <v>4809</v>
      </c>
      <c r="R221" s="1101">
        <f>IFERROR(Таблица47[[#This Row],[Коли-
чество м.п.]]/Таблица47[[#This Row],[Количество хлыстов]],"")</f>
        <v>6</v>
      </c>
      <c r="S221" s="1083" t="s">
        <v>4804</v>
      </c>
      <c r="T221" s="1083">
        <v>1062</v>
      </c>
      <c r="U221" s="1084">
        <v>177</v>
      </c>
      <c r="V221" s="1083">
        <v>0.27610000000000001</v>
      </c>
      <c r="W221" s="1083">
        <v>0.93400000000000005</v>
      </c>
      <c r="X221" s="1083">
        <v>293.21820000000002</v>
      </c>
      <c r="Y221" s="1083">
        <v>991.90800000000002</v>
      </c>
      <c r="Z221" s="1083">
        <v>38.119999999999997</v>
      </c>
      <c r="AA221" s="1083">
        <v>82.83</v>
      </c>
      <c r="AB221" s="1083">
        <v>300</v>
      </c>
      <c r="AC221" s="1085">
        <v>87965.46</v>
      </c>
    </row>
    <row r="222" spans="1:29" s="1021" customFormat="1" ht="15.75" customHeight="1" x14ac:dyDescent="0.25">
      <c r="A222" s="979" t="s">
        <v>4978</v>
      </c>
      <c r="B222" s="1067">
        <v>121</v>
      </c>
      <c r="C222" s="1067"/>
      <c r="D222" s="1068" t="s">
        <v>34</v>
      </c>
      <c r="E222" s="1068" t="s">
        <v>4807</v>
      </c>
      <c r="F222" s="1069">
        <v>45349</v>
      </c>
      <c r="G222" s="1069"/>
      <c r="H22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2" s="522" t="str">
        <f>CONCATENATE(Таблица47[[#This Row],[№ заявки в 1С]],Таблица47[[#This Row],[Наименование            ]])</f>
        <v>121[50071] 216004, рама, 5,3 м, сплав АД 31 Т1 , упаковка А3</v>
      </c>
      <c r="J22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2" s="1082">
        <v>11</v>
      </c>
      <c r="N222" s="1082">
        <f>497+8</f>
        <v>505</v>
      </c>
      <c r="O222" s="1020" t="str">
        <f>IFERROR(Таблица47[[#This Row],[Количество хлыстов]]-Таблица47[[#This Row],[Обработано в 1С]]-Таблица47[[#This Row],[Корректировка]],"")</f>
        <v/>
      </c>
      <c r="P222" s="638" t="str">
        <f>IFERROR((((Таблица47[[#This Row],[Осталось сделать, хлыст]]*Таблица47[[#This Row],[длина]])*Таблица47[[#This Row],[Периметр]])/28),"")</f>
        <v/>
      </c>
      <c r="Q222" s="1068" t="s">
        <v>4969</v>
      </c>
      <c r="R222" s="1101">
        <f>IFERROR(Таблица47[[#This Row],[Коли-
чество м.п.]]/Таблица47[[#This Row],[Количество хлыстов]],"")</f>
        <v>5.3000000000000007</v>
      </c>
      <c r="S222" s="1083" t="s">
        <v>4806</v>
      </c>
      <c r="T222" s="1083">
        <v>2734.8</v>
      </c>
      <c r="U222" s="1084">
        <v>516</v>
      </c>
      <c r="V222" s="1083">
        <v>0.22270000000000001</v>
      </c>
      <c r="W222" s="1083">
        <v>0.52700000000000002</v>
      </c>
      <c r="X222" s="1083">
        <v>609.04</v>
      </c>
      <c r="Y222" s="1083">
        <v>1441.2396000000001</v>
      </c>
      <c r="Z222" s="1083">
        <v>79.180000000000007</v>
      </c>
      <c r="AA222" s="1083">
        <v>66.81</v>
      </c>
      <c r="AB222" s="1083">
        <v>300</v>
      </c>
      <c r="AC222" s="1085">
        <v>182711.99</v>
      </c>
    </row>
    <row r="223" spans="1:29" s="1021" customFormat="1" ht="15.75" customHeight="1" x14ac:dyDescent="0.25">
      <c r="A223" s="979" t="s">
        <v>4978</v>
      </c>
      <c r="B223" s="1067">
        <v>121</v>
      </c>
      <c r="C223" s="1067"/>
      <c r="D223" s="1071" t="s">
        <v>34</v>
      </c>
      <c r="E223" s="1071" t="s">
        <v>4807</v>
      </c>
      <c r="F223" s="1069">
        <v>45349</v>
      </c>
      <c r="G223" s="1069"/>
      <c r="H22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3" s="522" t="str">
        <f>CONCATENATE(Таблица47[[#This Row],[№ заявки в 1С]],Таблица47[[#This Row],[Наименование            ]])</f>
        <v>121[73377] 215232, рама бок/низ R10, 4,9 м, сплав 6060 Т66, БА</v>
      </c>
      <c r="J22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3" s="1082"/>
      <c r="N223" s="1082">
        <f>401+2</f>
        <v>403</v>
      </c>
      <c r="O223" s="1020" t="str">
        <f>IFERROR(Таблица47[[#This Row],[Количество хлыстов]]-Таблица47[[#This Row],[Обработано в 1С]]-Таблица47[[#This Row],[Корректировка]],"")</f>
        <v/>
      </c>
      <c r="P223" s="638" t="str">
        <f>IFERROR((((Таблица47[[#This Row],[Осталось сделать, хлыст]]*Таблица47[[#This Row],[длина]])*Таблица47[[#This Row],[Периметр]])/28),"")</f>
        <v/>
      </c>
      <c r="Q223" s="1068" t="s">
        <v>4809</v>
      </c>
      <c r="R223" s="1101">
        <f>IFERROR(Таблица47[[#This Row],[Коли-
чество м.п.]]/Таблица47[[#This Row],[Количество хлыстов]],"")</f>
        <v>4.9000000000000004</v>
      </c>
      <c r="S223" s="1083" t="s">
        <v>4897</v>
      </c>
      <c r="T223" s="1083">
        <v>1974.7</v>
      </c>
      <c r="U223" s="1084">
        <v>403</v>
      </c>
      <c r="V223" s="1083">
        <v>0.14419999999999999</v>
      </c>
      <c r="W223" s="1083">
        <v>0.33200000000000002</v>
      </c>
      <c r="X223" s="1083">
        <v>284.75170000000003</v>
      </c>
      <c r="Y223" s="1083">
        <v>655.60040000000004</v>
      </c>
      <c r="Z223" s="1083">
        <v>37.020000000000003</v>
      </c>
      <c r="AA223" s="1083">
        <v>43.26</v>
      </c>
      <c r="AB223" s="1083">
        <v>300</v>
      </c>
      <c r="AC223" s="1085">
        <v>85425.52</v>
      </c>
    </row>
    <row r="224" spans="1:29" s="1021" customFormat="1" ht="15.75" customHeight="1" x14ac:dyDescent="0.25">
      <c r="A224" s="979" t="s">
        <v>4978</v>
      </c>
      <c r="B224" s="1096">
        <v>121</v>
      </c>
      <c r="C224" s="1096"/>
      <c r="D224" s="1068" t="s">
        <v>34</v>
      </c>
      <c r="E224" s="1068" t="s">
        <v>4807</v>
      </c>
      <c r="F224" s="1069">
        <v>45349</v>
      </c>
      <c r="G224" s="1069"/>
      <c r="H22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4" s="522" t="str">
        <f>CONCATENATE(Таблица47[[#This Row],[№ заявки в 1С]],Таблица47[[#This Row],[Наименование            ]])</f>
        <v>121[75789] 215234, рама-ручка R10/R8, 5.6 м, сплав 6060 Т66, БА</v>
      </c>
      <c r="J22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4" s="1082"/>
      <c r="N224" s="1082">
        <f>191+7</f>
        <v>198</v>
      </c>
      <c r="O224" s="1020" t="str">
        <f>IFERROR(Таблица47[[#This Row],[Количество хлыстов]]-Таблица47[[#This Row],[Обработано в 1С]]-Таблица47[[#This Row],[Корректировка]],"")</f>
        <v/>
      </c>
      <c r="P224" s="638" t="str">
        <f>IFERROR((((Таблица47[[#This Row],[Осталось сделать, хлыст]]*Таблица47[[#This Row],[длина]])*Таблица47[[#This Row],[Периметр]])/28),"")</f>
        <v/>
      </c>
      <c r="Q224" s="1068" t="s">
        <v>4970</v>
      </c>
      <c r="R224" s="1101">
        <f>IFERROR(Таблица47[[#This Row],[Коли-
чество м.п.]]/Таблица47[[#This Row],[Количество хлыстов]],"")</f>
        <v>5.6</v>
      </c>
      <c r="S224" s="1083" t="s">
        <v>4898</v>
      </c>
      <c r="T224" s="1083">
        <v>1108.8</v>
      </c>
      <c r="U224" s="1084">
        <v>198</v>
      </c>
      <c r="V224" s="1083">
        <v>0.1734</v>
      </c>
      <c r="W224" s="1083">
        <v>0.38200000000000001</v>
      </c>
      <c r="X224" s="1083">
        <v>192.26589999999999</v>
      </c>
      <c r="Y224" s="1083">
        <v>423.5616</v>
      </c>
      <c r="Z224" s="1083">
        <v>24.99</v>
      </c>
      <c r="AA224" s="1083">
        <v>52.02</v>
      </c>
      <c r="AB224" s="1083">
        <v>300</v>
      </c>
      <c r="AC224" s="1085">
        <v>57679.78</v>
      </c>
    </row>
    <row r="225" spans="1:29" ht="15.75" customHeight="1" x14ac:dyDescent="0.25">
      <c r="A225" s="1066" t="s">
        <v>4678</v>
      </c>
      <c r="B225" s="350">
        <v>122</v>
      </c>
      <c r="C225" s="350"/>
      <c r="D225" s="349" t="s">
        <v>34</v>
      </c>
      <c r="E225" s="349" t="s">
        <v>19</v>
      </c>
      <c r="F225" s="528">
        <v>45349</v>
      </c>
      <c r="G225" s="310"/>
      <c r="H22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5" s="645" t="str">
        <f>CONCATENATE(Таблица47[[#This Row],[№ заявки в 1С]],Таблица47[[#This Row],[Наименование            ]])</f>
        <v>122[76859] 220658 АГС, (АТ-6270 (ВР-371)), 6063 Т6,  3,7м, БА</v>
      </c>
      <c r="J225" s="110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5" s="110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5" s="110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5" s="1102">
        <v>82</v>
      </c>
      <c r="N225" s="1103">
        <v>545</v>
      </c>
      <c r="O225" s="1013" t="str">
        <f>IFERROR(Таблица47[[#This Row],[Количество хлыстов]]-Таблица47[[#This Row],[Обработано в 1С]]-Таблица47[[#This Row],[Корректировка]],"")</f>
        <v/>
      </c>
      <c r="P225" s="638" t="str">
        <f>IFERROR((((Таблица47[[#This Row],[Осталось сделать, хлыст]]*Таблица47[[#This Row],[длина]])*Таблица47[[#This Row],[Периметр]])/28),"")</f>
        <v/>
      </c>
      <c r="Q225" s="304" t="s">
        <v>5034</v>
      </c>
      <c r="R225" s="1074">
        <f>IFERROR(Таблица47[[#This Row],[Коли-
чество м.п.]]/Таблица47[[#This Row],[Количество хлыстов]],"")</f>
        <v>3.7</v>
      </c>
      <c r="S225" s="991" t="s">
        <v>1455</v>
      </c>
      <c r="T225" s="991">
        <v>2319.9</v>
      </c>
      <c r="U225" s="1018">
        <v>627</v>
      </c>
      <c r="V225" s="991">
        <v>0.17829999999999999</v>
      </c>
      <c r="W225" s="991">
        <v>0.47499999999999998</v>
      </c>
      <c r="X225" s="991">
        <v>413.63819999999998</v>
      </c>
      <c r="Y225" s="991">
        <v>1101.9525000000001</v>
      </c>
      <c r="Z225" s="991">
        <v>53.77</v>
      </c>
      <c r="AA225" s="991">
        <v>69.540000000000006</v>
      </c>
      <c r="AB225" s="991">
        <v>390</v>
      </c>
      <c r="AC225" s="1019">
        <v>161318.89000000001</v>
      </c>
    </row>
    <row r="226" spans="1:29" customFormat="1" ht="15.75" customHeight="1" x14ac:dyDescent="0.25">
      <c r="A226" s="659" t="s">
        <v>4678</v>
      </c>
      <c r="B226" s="309">
        <v>123</v>
      </c>
      <c r="C226" s="660"/>
      <c r="D226" s="660" t="s">
        <v>13</v>
      </c>
      <c r="E226" s="660" t="s">
        <v>32</v>
      </c>
      <c r="F226" s="528">
        <v>45349</v>
      </c>
      <c r="G226" s="660"/>
      <c r="H226" s="574" t="s">
        <v>677</v>
      </c>
      <c r="I226" s="661" t="str">
        <f>CONCATENATE(Таблица47[[#This Row],[№ заявки в 1С]],Таблица47[[#This Row],[Наименование            ]])</f>
        <v>123[81357] 1606-37 (АВА-7227), 4,45 м, сплав 6063 КР Т6, упаковка Т-5</v>
      </c>
      <c r="J226" s="6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6" s="6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6" s="6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6" s="661"/>
      <c r="N226" s="662"/>
      <c r="O226" s="1001" t="str">
        <f>IFERROR(Таблица47[[#This Row],[Количество хлыстов]]-Таблица47[[#This Row],[Обработано в 1С]]-Таблица47[[#This Row],[Корректировка]],"")</f>
        <v/>
      </c>
      <c r="P226" s="638" t="str">
        <f>IFERROR((((Таблица47[[#This Row],[Осталось сделать, хлыст]]*Таблица47[[#This Row],[длина]])*Таблица47[[#This Row],[Периметр]])/28),"")</f>
        <v/>
      </c>
      <c r="Q226" s="663" t="s">
        <v>2522</v>
      </c>
      <c r="R226" s="664">
        <f>IFERROR(Таблица47[[#This Row],[Коли-
чество м.п.]]/Таблица47[[#This Row],[Количество хлыстов]],"")</f>
        <v>4.45</v>
      </c>
      <c r="S226" s="664" t="s">
        <v>5039</v>
      </c>
      <c r="T226" s="664">
        <v>658.6</v>
      </c>
      <c r="U226" s="665">
        <v>148</v>
      </c>
      <c r="V226" s="664">
        <v>0.2651</v>
      </c>
      <c r="W226" s="664">
        <v>0.82099999999999995</v>
      </c>
      <c r="X226" s="664">
        <v>174.5949</v>
      </c>
      <c r="Y226" s="664">
        <v>540.7106</v>
      </c>
      <c r="Z226" s="664">
        <v>22.7</v>
      </c>
      <c r="AA226" s="664">
        <v>90.93</v>
      </c>
      <c r="AB226" s="664">
        <v>343</v>
      </c>
      <c r="AC226" s="666">
        <v>59886.04</v>
      </c>
    </row>
    <row r="227" spans="1:29" ht="15.75" customHeight="1" x14ac:dyDescent="0.25">
      <c r="A227" s="1104" t="s">
        <v>4678</v>
      </c>
      <c r="B227" s="309">
        <v>124</v>
      </c>
      <c r="C227" s="660"/>
      <c r="D227" s="660" t="s">
        <v>13</v>
      </c>
      <c r="E227" s="660" t="s">
        <v>32</v>
      </c>
      <c r="F227" s="528">
        <v>45350</v>
      </c>
      <c r="G227" s="660"/>
      <c r="H227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7" s="661" t="str">
        <f>CONCATENATE(Таблица47[[#This Row],[№ заявки в 1С]],Таблица47[[#This Row],[Наименование            ]])</f>
        <v>124[76596] 1606-39 (197.04) 4,85 м, сплав 6063 КР Т6, упковка Т5</v>
      </c>
      <c r="J227" s="66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7" s="66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7" s="66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7" s="661">
        <v>3</v>
      </c>
      <c r="N227" s="1110">
        <f>440+201</f>
        <v>641</v>
      </c>
      <c r="O227" s="1013" t="str">
        <f>IFERROR(Таблица47[[#This Row],[Количество хлыстов]]-Таблица47[[#This Row],[Обработано в 1С]]-Таблица47[[#This Row],[Корректировка]],"")</f>
        <v/>
      </c>
      <c r="P227" s="638" t="str">
        <f>IFERROR((((Таблица47[[#This Row],[Осталось сделать, хлыст]]*Таблица47[[#This Row],[длина]])*Таблица47[[#This Row],[Периметр]])/28),"")</f>
        <v/>
      </c>
      <c r="Q227" s="660" t="s">
        <v>4934</v>
      </c>
      <c r="R227" s="1111">
        <f>IFERROR(Таблица47[[#This Row],[Коли-
чество м.п.]]/Таблица47[[#This Row],[Количество хлыстов]],"")</f>
        <v>4.8500000000000005</v>
      </c>
      <c r="S227" s="1111" t="s">
        <v>2841</v>
      </c>
      <c r="T227" s="1111">
        <v>3123.4</v>
      </c>
      <c r="U227" s="1112">
        <v>644</v>
      </c>
      <c r="V227" s="1111">
        <v>9.5600000000000004E-2</v>
      </c>
      <c r="W227" s="1111">
        <v>0.16</v>
      </c>
      <c r="X227" s="1111">
        <v>298.59699999999998</v>
      </c>
      <c r="Y227" s="1111">
        <v>499.74400000000003</v>
      </c>
      <c r="Z227" s="1111">
        <v>38.82</v>
      </c>
      <c r="AA227" s="1111">
        <v>48.76</v>
      </c>
      <c r="AB227" s="1111">
        <v>510</v>
      </c>
      <c r="AC227" s="1113">
        <v>152296.98000000001</v>
      </c>
    </row>
    <row r="228" spans="1:29" s="1021" customFormat="1" ht="15.75" customHeight="1" x14ac:dyDescent="0.25">
      <c r="A228" s="979" t="s">
        <v>4978</v>
      </c>
      <c r="B228" s="1096">
        <v>126</v>
      </c>
      <c r="C228" s="509"/>
      <c r="D228" s="509" t="s">
        <v>13</v>
      </c>
      <c r="E228" s="509" t="s">
        <v>32</v>
      </c>
      <c r="F228" s="1069">
        <v>45350</v>
      </c>
      <c r="G228" s="1069"/>
      <c r="H228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8" s="612" t="str">
        <f>CONCATENATE(Таблица47[[#This Row],[№ заявки в 1С]],Таблица47[[#This Row],[Наименование            ]])</f>
        <v>126[88733] 1606-37, 4,45 м,  Ад31 под покраску</v>
      </c>
      <c r="J22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8" s="1082">
        <v>2</v>
      </c>
      <c r="N228" s="1082">
        <v>431</v>
      </c>
      <c r="O228" s="1020" t="str">
        <f>IFERROR(Таблица47[[#This Row],[Количество хлыстов]]-Таблица47[[#This Row],[Обработано в 1С]]-Таблица47[[#This Row],[Корректировка]],"")</f>
        <v/>
      </c>
      <c r="P228" s="638" t="str">
        <f>IFERROR((((Таблица47[[#This Row],[Осталось сделать, хлыст]]*Таблица47[[#This Row],[длина]])*Таблица47[[#This Row],[Периметр]])/28),"")</f>
        <v/>
      </c>
      <c r="Q228" s="1068" t="s">
        <v>4731</v>
      </c>
      <c r="R228" s="1097">
        <f>IFERROR(Таблица47[[#This Row],[Коли-
чество м.п.]]/Таблица47[[#This Row],[Количество хлыстов]],"")</f>
        <v>4.45</v>
      </c>
      <c r="S228" s="1068" t="s">
        <v>4772</v>
      </c>
      <c r="T228" s="1083">
        <v>1926.85</v>
      </c>
      <c r="U228" s="1084">
        <v>433</v>
      </c>
      <c r="V228" s="1098">
        <v>0.2651</v>
      </c>
      <c r="W228" s="1098">
        <v>0.82099999999999995</v>
      </c>
      <c r="X228" s="1098">
        <v>510.80790000000002</v>
      </c>
      <c r="Y228" s="1083">
        <v>1581.9439</v>
      </c>
      <c r="Z228" s="1083">
        <v>66.41</v>
      </c>
      <c r="AA228" s="1083">
        <v>83.51</v>
      </c>
      <c r="AB228" s="1083">
        <v>315</v>
      </c>
      <c r="AC228" s="1085">
        <v>160904.5</v>
      </c>
    </row>
    <row r="229" spans="1:29" ht="15.75" customHeight="1" x14ac:dyDescent="0.25">
      <c r="A229" s="1066" t="s">
        <v>4678</v>
      </c>
      <c r="B229" s="350">
        <v>127</v>
      </c>
      <c r="C229" s="350"/>
      <c r="D229" s="660" t="s">
        <v>13</v>
      </c>
      <c r="E229" s="1024" t="s">
        <v>2217</v>
      </c>
      <c r="F229" s="528">
        <v>45351</v>
      </c>
      <c r="G229" s="528"/>
      <c r="H22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29" s="522" t="str">
        <f>CONCATENATE(Таблица47[[#This Row],[№ заявки в 1С]],Таблица47[[#This Row],[Наименование            ]])</f>
        <v>127[88786] 2606-53, 6,05 м, 6063 Т6</v>
      </c>
      <c r="J22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2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2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29" s="635"/>
      <c r="N229" s="636">
        <v>8</v>
      </c>
      <c r="O229" s="1013" t="str">
        <f>IFERROR(Таблица47[[#This Row],[Количество хлыстов]]-Таблица47[[#This Row],[Обработано в 1С]]-Таблица47[[#This Row],[Корректировка]],"")</f>
        <v/>
      </c>
      <c r="P229" s="638" t="str">
        <f>IFERROR((((Таблица47[[#This Row],[Осталось сделать, хлыст]]*Таблица47[[#This Row],[длина]])*Таблица47[[#This Row],[Периметр]])/28),"")</f>
        <v/>
      </c>
      <c r="Q229" s="303" t="s">
        <v>4913</v>
      </c>
      <c r="R229" s="1114">
        <f>IFERROR(Таблица47[[#This Row],[Коли-
чество м.п.]]/Таблица47[[#This Row],[Количество хлыстов]],"")</f>
        <v>6.05</v>
      </c>
      <c r="S229" s="303" t="s">
        <v>4912</v>
      </c>
      <c r="T229" s="639">
        <v>48.4</v>
      </c>
      <c r="U229" s="640">
        <v>8</v>
      </c>
      <c r="V229" s="1115">
        <v>0.29880000000000001</v>
      </c>
      <c r="W229" s="1115">
        <v>0.81</v>
      </c>
      <c r="X229" s="1115">
        <v>14.4619</v>
      </c>
      <c r="Y229" s="639">
        <v>39.204000000000001</v>
      </c>
      <c r="Z229" s="639">
        <v>1.88</v>
      </c>
      <c r="AA229" s="639">
        <v>140.44</v>
      </c>
      <c r="AB229" s="639">
        <v>470</v>
      </c>
      <c r="AC229" s="641">
        <v>6797.1</v>
      </c>
    </row>
    <row r="230" spans="1:29" ht="15.75" customHeight="1" x14ac:dyDescent="0.25">
      <c r="A230" s="427" t="s">
        <v>4678</v>
      </c>
      <c r="B230" s="309">
        <v>128</v>
      </c>
      <c r="C230" s="309"/>
      <c r="D230" s="303" t="s">
        <v>34</v>
      </c>
      <c r="E230" s="303" t="s">
        <v>201</v>
      </c>
      <c r="F230" s="528">
        <v>45351</v>
      </c>
      <c r="G230" s="528"/>
      <c r="H230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0" s="522" t="str">
        <f>CONCATENATE(Таблица47[[#This Row],[№ заявки в 1С]],Таблица47[[#This Row],[Наименование            ]])</f>
        <v>128[34252] 0906-64, 6,0м, 6063 Т1, упаковка Т-5, БА (4000 пресс)</v>
      </c>
      <c r="J23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0" s="635"/>
      <c r="N230" s="636">
        <v>42</v>
      </c>
      <c r="O230" s="1013" t="str">
        <f>IFERROR(Таблица47[[#This Row],[Количество хлыстов]]-Таблица47[[#This Row],[Обработано в 1С]]-Таблица47[[#This Row],[Корректировка]],"")</f>
        <v/>
      </c>
      <c r="P230" s="638" t="str">
        <f>IFERROR((((Таблица47[[#This Row],[Осталось сделать, хлыст]]*Таблица47[[#This Row],[длина]])*Таблица47[[#This Row],[Периметр]])/28),"")</f>
        <v/>
      </c>
      <c r="Q230" s="303"/>
      <c r="R230" s="1114">
        <f>IFERROR(Таблица47[[#This Row],[Коли-
чество м.п.]]/Таблица47[[#This Row],[Количество хлыстов]],"")</f>
        <v>6</v>
      </c>
      <c r="S230" s="303" t="s">
        <v>2561</v>
      </c>
      <c r="T230" s="639">
        <v>252</v>
      </c>
      <c r="U230" s="640">
        <v>42</v>
      </c>
      <c r="V230" s="1115">
        <v>0.31109999999999999</v>
      </c>
      <c r="W230" s="1115">
        <v>1.7769999999999999</v>
      </c>
      <c r="X230" s="1115">
        <v>78.397199999999998</v>
      </c>
      <c r="Y230" s="639">
        <v>447.80399999999997</v>
      </c>
      <c r="Z230" s="639">
        <v>10.19</v>
      </c>
      <c r="AA230" s="639">
        <v>113.55</v>
      </c>
      <c r="AB230" s="639">
        <v>365</v>
      </c>
      <c r="AC230" s="641">
        <v>28614.98</v>
      </c>
    </row>
    <row r="231" spans="1:29" ht="15.75" customHeight="1" x14ac:dyDescent="0.25">
      <c r="A231" s="427" t="s">
        <v>4678</v>
      </c>
      <c r="B231" s="309">
        <v>129</v>
      </c>
      <c r="C231" s="309"/>
      <c r="D231" s="303" t="s">
        <v>34</v>
      </c>
      <c r="E231" s="303" t="s">
        <v>4554</v>
      </c>
      <c r="F231" s="528">
        <v>45351</v>
      </c>
      <c r="G231" s="528"/>
      <c r="H23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1" s="522" t="str">
        <f>CONCATENATE(Таблица47[[#This Row],[№ заявки в 1С]],Таблица47[[#This Row],[Наименование            ]])</f>
        <v>129[88065] 1806-63, 3,4м, 6063 Т1, уп.Т5</v>
      </c>
      <c r="J23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1" s="635">
        <v>4</v>
      </c>
      <c r="N231" s="636">
        <v>356</v>
      </c>
      <c r="O231" s="1013" t="str">
        <f>IFERROR(Таблица47[[#This Row],[Количество хлыстов]]-Таблица47[[#This Row],[Обработано в 1С]]-Таблица47[[#This Row],[Корректировка]],"")</f>
        <v/>
      </c>
      <c r="P231" s="638" t="str">
        <f>IFERROR((((Таблица47[[#This Row],[Осталось сделать, хлыст]]*Таблица47[[#This Row],[длина]])*Таблица47[[#This Row],[Периметр]])/28),"")</f>
        <v/>
      </c>
      <c r="Q231" s="303" t="s">
        <v>3080</v>
      </c>
      <c r="R231" s="1114">
        <f>IFERROR(Таблица47[[#This Row],[Коли-
чество м.п.]]/Таблица47[[#This Row],[Количество хлыстов]],"")</f>
        <v>3.4</v>
      </c>
      <c r="S231" s="303" t="s">
        <v>4555</v>
      </c>
      <c r="T231" s="639">
        <v>1224</v>
      </c>
      <c r="U231" s="640">
        <v>360</v>
      </c>
      <c r="V231" s="1115">
        <v>0.18279999999999999</v>
      </c>
      <c r="W231" s="1115">
        <v>0.59099999999999997</v>
      </c>
      <c r="X231" s="1115">
        <v>223.74719999999999</v>
      </c>
      <c r="Y231" s="639">
        <v>723.38400000000001</v>
      </c>
      <c r="Z231" s="639">
        <v>29.09</v>
      </c>
      <c r="AA231" s="639">
        <v>74.03</v>
      </c>
      <c r="AB231" s="639">
        <v>405</v>
      </c>
      <c r="AC231" s="641">
        <v>90617.62</v>
      </c>
    </row>
    <row r="232" spans="1:29" ht="15.75" customHeight="1" x14ac:dyDescent="0.25">
      <c r="A232" s="427" t="s">
        <v>4678</v>
      </c>
      <c r="B232" s="309" t="s">
        <v>4915</v>
      </c>
      <c r="C232" s="309"/>
      <c r="D232" s="303" t="s">
        <v>34</v>
      </c>
      <c r="E232" s="303" t="s">
        <v>16</v>
      </c>
      <c r="F232" s="528">
        <v>45351</v>
      </c>
      <c r="G232" s="528"/>
      <c r="H23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2" s="522" t="str">
        <f>CONCATENATE(Таблица47[[#This Row],[№ заявки в 1С]],Таблица47[[#This Row],[Наименование            ]])</f>
        <v>OPT000203[11564] 0106-235, 6,0м, 6063 Т6, упаковка Т-5, под анод тип 2, БА (прессовать на плюсовом допуске)</v>
      </c>
      <c r="J23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2" s="635">
        <v>6</v>
      </c>
      <c r="N232" s="636">
        <v>26</v>
      </c>
      <c r="O232" s="1013" t="str">
        <f>IFERROR(Таблица47[[#This Row],[Количество хлыстов]]-Таблица47[[#This Row],[Обработано в 1С]]-Таблица47[[#This Row],[Корректировка]],"")</f>
        <v/>
      </c>
      <c r="P232" s="638" t="str">
        <f>IFERROR((((Таблица47[[#This Row],[Осталось сделать, хлыст]]*Таблица47[[#This Row],[длина]])*Таблица47[[#This Row],[Периметр]])/28),"")</f>
        <v/>
      </c>
      <c r="Q232" s="303" t="s">
        <v>4401</v>
      </c>
      <c r="R232" s="1114">
        <f>IFERROR(Таблица47[[#This Row],[Коли-
чество м.п.]]/Таблица47[[#This Row],[Количество хлыстов]],"")</f>
        <v>6</v>
      </c>
      <c r="S232" s="303" t="s">
        <v>2581</v>
      </c>
      <c r="T232" s="639">
        <v>192</v>
      </c>
      <c r="U232" s="640">
        <v>32</v>
      </c>
      <c r="V232" s="1115">
        <v>0.56989999999999996</v>
      </c>
      <c r="W232" s="1115">
        <v>1.304</v>
      </c>
      <c r="X232" s="1115">
        <v>109.4208</v>
      </c>
      <c r="Y232" s="639">
        <v>250.36799999999999</v>
      </c>
      <c r="Z232" s="639">
        <v>14.22</v>
      </c>
      <c r="AA232" s="639">
        <v>290.64999999999998</v>
      </c>
      <c r="AB232" s="639">
        <v>510</v>
      </c>
      <c r="AC232" s="641">
        <v>55804.61</v>
      </c>
    </row>
    <row r="233" spans="1:29" ht="15.75" customHeight="1" x14ac:dyDescent="0.25">
      <c r="A233" s="427" t="s">
        <v>4678</v>
      </c>
      <c r="B233" s="309" t="s">
        <v>4916</v>
      </c>
      <c r="C233" s="309"/>
      <c r="D233" s="303" t="s">
        <v>34</v>
      </c>
      <c r="E233" s="303" t="s">
        <v>16</v>
      </c>
      <c r="F233" s="528">
        <v>45351</v>
      </c>
      <c r="G233" s="528"/>
      <c r="H23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3" s="522" t="str">
        <f>CONCATENATE(Таблица47[[#This Row],[№ заявки в 1С]],Таблица47[[#This Row],[Наименование            ]])</f>
        <v>OPT000204[38435] 0506-20, 6,0м, 6063 Т1, упаковка Т-5, под анод тип 1, БА</v>
      </c>
      <c r="J23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3" s="635"/>
      <c r="N233" s="636">
        <f>50+49</f>
        <v>99</v>
      </c>
      <c r="O233" s="1013" t="str">
        <f>IFERROR(Таблица47[[#This Row],[Количество хлыстов]]-Таблица47[[#This Row],[Обработано в 1С]]-Таблица47[[#This Row],[Корректировка]],"")</f>
        <v/>
      </c>
      <c r="P233" s="638" t="str">
        <f>IFERROR((((Таблица47[[#This Row],[Осталось сделать, хлыст]]*Таблица47[[#This Row],[длина]])*Таблица47[[#This Row],[Периметр]])/28),"")</f>
        <v/>
      </c>
      <c r="Q233" s="303"/>
      <c r="R233" s="1114">
        <f>IFERROR(Таблица47[[#This Row],[Коли-
чество м.п.]]/Таблица47[[#This Row],[Количество хлыстов]],"")</f>
        <v>6</v>
      </c>
      <c r="S233" s="303" t="s">
        <v>2730</v>
      </c>
      <c r="T233" s="639">
        <v>594</v>
      </c>
      <c r="U233" s="640">
        <v>99</v>
      </c>
      <c r="V233" s="1115">
        <v>0.3498</v>
      </c>
      <c r="W233" s="1115">
        <v>1.425</v>
      </c>
      <c r="X233" s="1115">
        <v>207.78120000000001</v>
      </c>
      <c r="Y233" s="639">
        <v>846.45</v>
      </c>
      <c r="Z233" s="639">
        <v>27.01</v>
      </c>
      <c r="AA233" s="639">
        <v>136.41999999999999</v>
      </c>
      <c r="AB233" s="639">
        <v>390</v>
      </c>
      <c r="AC233" s="641">
        <v>81034.67</v>
      </c>
    </row>
    <row r="234" spans="1:29" ht="15.75" customHeight="1" x14ac:dyDescent="0.25">
      <c r="A234" s="427" t="s">
        <v>4678</v>
      </c>
      <c r="B234" s="309" t="s">
        <v>4917</v>
      </c>
      <c r="C234" s="309"/>
      <c r="D234" s="303" t="s">
        <v>34</v>
      </c>
      <c r="E234" s="303" t="s">
        <v>16</v>
      </c>
      <c r="F234" s="528">
        <v>45351</v>
      </c>
      <c r="G234" s="528"/>
      <c r="H23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4" s="522" t="str">
        <f>CONCATENATE(Таблица47[[#This Row],[№ заявки в 1С]],Таблица47[[#This Row],[Наименование            ]])</f>
        <v>OPT000205[38436] 0506-21, 6,0м, 6063 Т1, тип 1, упаковка Т-5, БА</v>
      </c>
      <c r="J23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4" s="635">
        <v>1</v>
      </c>
      <c r="N234" s="636">
        <v>45</v>
      </c>
      <c r="O234" s="1013" t="str">
        <f>IFERROR(Таблица47[[#This Row],[Количество хлыстов]]-Таблица47[[#This Row],[Обработано в 1С]]-Таблица47[[#This Row],[Корректировка]],"")</f>
        <v/>
      </c>
      <c r="P234" s="638" t="str">
        <f>IFERROR((((Таблица47[[#This Row],[Осталось сделать, хлыст]]*Таблица47[[#This Row],[длина]])*Таблица47[[#This Row],[Периметр]])/28),"")</f>
        <v/>
      </c>
      <c r="Q234" s="303" t="s">
        <v>5106</v>
      </c>
      <c r="R234" s="1114">
        <f>IFERROR(Таблица47[[#This Row],[Коли-
чество м.п.]]/Таблица47[[#This Row],[Количество хлыстов]],"")</f>
        <v>6</v>
      </c>
      <c r="S234" s="303" t="s">
        <v>2469</v>
      </c>
      <c r="T234" s="639">
        <v>276</v>
      </c>
      <c r="U234" s="640">
        <v>46</v>
      </c>
      <c r="V234" s="1115">
        <v>0.70820000000000005</v>
      </c>
      <c r="W234" s="1115">
        <v>3.4609999999999999</v>
      </c>
      <c r="X234" s="1115">
        <v>195.4632</v>
      </c>
      <c r="Y234" s="639">
        <v>955.23599999999999</v>
      </c>
      <c r="Z234" s="639">
        <v>25.41</v>
      </c>
      <c r="AA234" s="639">
        <v>276.2</v>
      </c>
      <c r="AB234" s="639">
        <v>390</v>
      </c>
      <c r="AC234" s="641">
        <v>76231.199999999997</v>
      </c>
    </row>
    <row r="235" spans="1:29" ht="15.75" customHeight="1" x14ac:dyDescent="0.25">
      <c r="A235" s="427" t="s">
        <v>4678</v>
      </c>
      <c r="B235" s="309">
        <v>130</v>
      </c>
      <c r="C235" s="309"/>
      <c r="D235" s="303" t="s">
        <v>13</v>
      </c>
      <c r="E235" s="303" t="s">
        <v>4870</v>
      </c>
      <c r="F235" s="528">
        <v>45351</v>
      </c>
      <c r="G235" s="528"/>
      <c r="H23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5" s="522" t="str">
        <f>CONCATENATE(Таблица47[[#This Row],[№ заявки в 1С]],Таблица47[[#This Row],[Наименование            ]])</f>
        <v>130[89250] 1806-97, 5,45м, 6063 Т6</v>
      </c>
      <c r="J23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5" s="635"/>
      <c r="N235" s="636">
        <v>384</v>
      </c>
      <c r="O235" s="1013" t="str">
        <f>IFERROR(Таблица47[[#This Row],[Количество хлыстов]]-Таблица47[[#This Row],[Обработано в 1С]]-Таблица47[[#This Row],[Корректировка]],"")</f>
        <v/>
      </c>
      <c r="P235" s="638" t="str">
        <f>IFERROR((((Таблица47[[#This Row],[Осталось сделать, хлыст]]*Таблица47[[#This Row],[длина]])*Таблица47[[#This Row],[Периметр]])/28),"")</f>
        <v/>
      </c>
      <c r="Q235" s="303"/>
      <c r="R235" s="1114">
        <f>IFERROR(Таблица47[[#This Row],[Коли-
чество м.п.]]/Таблица47[[#This Row],[Количество хлыстов]],"")</f>
        <v>5.45</v>
      </c>
      <c r="S235" s="303" t="s">
        <v>4918</v>
      </c>
      <c r="T235" s="639">
        <v>2092.8000000000002</v>
      </c>
      <c r="U235" s="640">
        <v>384</v>
      </c>
      <c r="V235" s="1115">
        <v>7.2999999999999995E-2</v>
      </c>
      <c r="W235" s="1115">
        <v>0.121</v>
      </c>
      <c r="X235" s="1115">
        <v>152.77440000000001</v>
      </c>
      <c r="Y235" s="639">
        <v>253.22880000000001</v>
      </c>
      <c r="Z235" s="639">
        <v>19.86</v>
      </c>
      <c r="AA235" s="639">
        <v>37.6</v>
      </c>
      <c r="AB235" s="639">
        <v>515</v>
      </c>
      <c r="AC235" s="641">
        <v>78678.820000000007</v>
      </c>
    </row>
    <row r="236" spans="1:29" ht="15.75" customHeight="1" x14ac:dyDescent="0.25">
      <c r="A236" s="427" t="s">
        <v>4678</v>
      </c>
      <c r="B236" s="309">
        <v>82</v>
      </c>
      <c r="C236" s="309" t="s">
        <v>4753</v>
      </c>
      <c r="D236" s="303" t="s">
        <v>34</v>
      </c>
      <c r="E236" s="303" t="s">
        <v>4933</v>
      </c>
      <c r="F236" s="528">
        <v>45348</v>
      </c>
      <c r="G236" s="528"/>
      <c r="H23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6" s="522" t="str">
        <f>CONCATENATE(Таблица47[[#This Row],[№ заявки в 1С]],Таблица47[[#This Row],[Наименование            ]])</f>
        <v>82Бесцветное анодирование 21±2мкм алюминиевого профиля ТПСК-6042, 6,0м</v>
      </c>
      <c r="J23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6" s="635"/>
      <c r="N236" s="1028">
        <v>6</v>
      </c>
      <c r="O236" s="1013" t="str">
        <f>IFERROR(Таблица47[[#This Row],[Количество хлыстов]]-Таблица47[[#This Row],[Обработано в 1С]]-Таблица47[[#This Row],[Корректировка]],"")</f>
        <v/>
      </c>
      <c r="P236" s="638" t="str">
        <f>IFERROR((((Таблица47[[#This Row],[Осталось сделать, хлыст]]*Таблица47[[#This Row],[длина]])*Таблица47[[#This Row],[Периметр]])/28),"")</f>
        <v/>
      </c>
      <c r="Q236" s="303"/>
      <c r="R236" s="1114">
        <f>IFERROR(Таблица47[[#This Row],[Коли-
чество м.п.]]/Таблица47[[#This Row],[Количество хлыстов]],"")</f>
        <v>6</v>
      </c>
      <c r="S236" s="303" t="s">
        <v>4920</v>
      </c>
      <c r="T236" s="639">
        <v>36</v>
      </c>
      <c r="U236" s="640">
        <v>6</v>
      </c>
      <c r="V236" s="1115"/>
      <c r="W236" s="1115"/>
      <c r="X236" s="1115"/>
      <c r="Y236" s="639"/>
      <c r="Z236" s="639" t="s">
        <v>4927</v>
      </c>
      <c r="AA236" s="639"/>
      <c r="AB236" s="639"/>
      <c r="AC236" s="641"/>
    </row>
    <row r="237" spans="1:29" ht="15.75" customHeight="1" x14ac:dyDescent="0.25">
      <c r="A237" s="427" t="s">
        <v>4678</v>
      </c>
      <c r="B237" s="309">
        <v>82</v>
      </c>
      <c r="C237" s="309" t="s">
        <v>4753</v>
      </c>
      <c r="D237" s="303" t="s">
        <v>34</v>
      </c>
      <c r="E237" s="303" t="s">
        <v>4933</v>
      </c>
      <c r="F237" s="528">
        <v>45348</v>
      </c>
      <c r="G237" s="528"/>
      <c r="H23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7" s="522" t="str">
        <f>CONCATENATE(Таблица47[[#This Row],[№ заявки в 1С]],Таблица47[[#This Row],[Наименование            ]])</f>
        <v>82Бесцветное анодирование 21±2мкм алюминиевого профиля МП-50359, 6,0м</v>
      </c>
      <c r="J23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7" s="635"/>
      <c r="N237" s="1028">
        <v>8</v>
      </c>
      <c r="O237" s="1013" t="str">
        <f>IFERROR(Таблица47[[#This Row],[Количество хлыстов]]-Таблица47[[#This Row],[Обработано в 1С]]-Таблица47[[#This Row],[Корректировка]],"")</f>
        <v/>
      </c>
      <c r="P237" s="638" t="str">
        <f>IFERROR((((Таблица47[[#This Row],[Осталось сделать, хлыст]]*Таблица47[[#This Row],[длина]])*Таблица47[[#This Row],[Периметр]])/28),"")</f>
        <v/>
      </c>
      <c r="Q237" s="303"/>
      <c r="R237" s="1114">
        <f>IFERROR(Таблица47[[#This Row],[Коли-
чество м.п.]]/Таблица47[[#This Row],[Количество хлыстов]],"")</f>
        <v>6</v>
      </c>
      <c r="S237" s="303" t="s">
        <v>4921</v>
      </c>
      <c r="T237" s="639">
        <v>48</v>
      </c>
      <c r="U237" s="640">
        <v>8</v>
      </c>
      <c r="V237" s="1115"/>
      <c r="W237" s="1115"/>
      <c r="X237" s="1115"/>
      <c r="Y237" s="639"/>
      <c r="Z237" s="639" t="s">
        <v>4928</v>
      </c>
      <c r="AA237" s="639"/>
      <c r="AB237" s="639"/>
      <c r="AC237" s="641"/>
    </row>
    <row r="238" spans="1:29" ht="15.75" customHeight="1" x14ac:dyDescent="0.25">
      <c r="A238" s="427" t="s">
        <v>4678</v>
      </c>
      <c r="B238" s="309">
        <v>82</v>
      </c>
      <c r="C238" s="309" t="s">
        <v>4753</v>
      </c>
      <c r="D238" s="303" t="s">
        <v>34</v>
      </c>
      <c r="E238" s="303" t="s">
        <v>4933</v>
      </c>
      <c r="F238" s="528">
        <v>45348</v>
      </c>
      <c r="G238" s="528"/>
      <c r="H23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8" s="522" t="str">
        <f>CONCATENATE(Таблица47[[#This Row],[№ заявки в 1С]],Таблица47[[#This Row],[Наименование            ]])</f>
        <v>82Бесцветное анодирование 21±2мкм алюминиевого профиля МП-50311, 6,0м</v>
      </c>
      <c r="J23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8" s="635"/>
      <c r="N238" s="1028">
        <v>9</v>
      </c>
      <c r="O238" s="1013" t="str">
        <f>IFERROR(Таблица47[[#This Row],[Количество хлыстов]]-Таблица47[[#This Row],[Обработано в 1С]]-Таблица47[[#This Row],[Корректировка]],"")</f>
        <v/>
      </c>
      <c r="P238" s="638" t="str">
        <f>IFERROR((((Таблица47[[#This Row],[Осталось сделать, хлыст]]*Таблица47[[#This Row],[длина]])*Таблица47[[#This Row],[Периметр]])/28),"")</f>
        <v/>
      </c>
      <c r="Q238" s="303"/>
      <c r="R238" s="1114">
        <f>IFERROR(Таблица47[[#This Row],[Коли-
чество м.п.]]/Таблица47[[#This Row],[Количество хлыстов]],"")</f>
        <v>6</v>
      </c>
      <c r="S238" s="303" t="s">
        <v>4922</v>
      </c>
      <c r="T238" s="639">
        <v>54</v>
      </c>
      <c r="U238" s="640">
        <v>9</v>
      </c>
      <c r="V238" s="1115"/>
      <c r="W238" s="1115"/>
      <c r="X238" s="1115"/>
      <c r="Y238" s="639"/>
      <c r="Z238" s="639" t="s">
        <v>4929</v>
      </c>
      <c r="AA238" s="639"/>
      <c r="AB238" s="639"/>
      <c r="AC238" s="641"/>
    </row>
    <row r="239" spans="1:29" ht="15.75" customHeight="1" x14ac:dyDescent="0.25">
      <c r="A239" s="427" t="s">
        <v>4678</v>
      </c>
      <c r="B239" s="309">
        <v>82</v>
      </c>
      <c r="C239" s="309" t="s">
        <v>4753</v>
      </c>
      <c r="D239" s="303" t="s">
        <v>34</v>
      </c>
      <c r="E239" s="303" t="s">
        <v>4933</v>
      </c>
      <c r="F239" s="528">
        <v>45348</v>
      </c>
      <c r="G239" s="528"/>
      <c r="H23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39" s="522" t="str">
        <f>CONCATENATE(Таблица47[[#This Row],[№ заявки в 1С]],Таблица47[[#This Row],[Наименование            ]])</f>
        <v>82Бесцветное анодирование 21±2мкм алюминиевого профиля МП-50321, 6,0м</v>
      </c>
      <c r="J23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3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3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39" s="635"/>
      <c r="N239" s="1028">
        <v>6</v>
      </c>
      <c r="O239" s="1013" t="str">
        <f>IFERROR(Таблица47[[#This Row],[Количество хлыстов]]-Таблица47[[#This Row],[Обработано в 1С]]-Таблица47[[#This Row],[Корректировка]],"")</f>
        <v/>
      </c>
      <c r="P239" s="638" t="str">
        <f>IFERROR((((Таблица47[[#This Row],[Осталось сделать, хлыст]]*Таблица47[[#This Row],[длина]])*Таблица47[[#This Row],[Периметр]])/28),"")</f>
        <v/>
      </c>
      <c r="Q239" s="303"/>
      <c r="R239" s="1114">
        <f>IFERROR(Таблица47[[#This Row],[Коли-
чество м.п.]]/Таблица47[[#This Row],[Количество хлыстов]],"")</f>
        <v>6</v>
      </c>
      <c r="S239" s="639" t="s">
        <v>4923</v>
      </c>
      <c r="T239" s="639">
        <v>36</v>
      </c>
      <c r="U239" s="640">
        <v>6</v>
      </c>
      <c r="V239" s="639"/>
      <c r="W239" s="639"/>
      <c r="X239" s="639"/>
      <c r="Y239" s="639"/>
      <c r="Z239" s="639" t="s">
        <v>4927</v>
      </c>
      <c r="AA239" s="639"/>
      <c r="AB239" s="639"/>
      <c r="AC239" s="641"/>
    </row>
    <row r="240" spans="1:29" ht="15.75" customHeight="1" x14ac:dyDescent="0.25">
      <c r="A240" s="427" t="s">
        <v>4678</v>
      </c>
      <c r="B240" s="309">
        <v>82</v>
      </c>
      <c r="C240" s="309" t="s">
        <v>4753</v>
      </c>
      <c r="D240" s="303" t="s">
        <v>34</v>
      </c>
      <c r="E240" s="303" t="s">
        <v>4933</v>
      </c>
      <c r="F240" s="528">
        <v>45348</v>
      </c>
      <c r="G240" s="528"/>
      <c r="H2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0" s="522" t="str">
        <f>CONCATENATE(Таблица47[[#This Row],[№ заявки в 1С]],Таблица47[[#This Row],[Наименование            ]])</f>
        <v>82Бесцветное анодирование 21±2мкм алюминиевого профиля F50.03.06, 6,0м</v>
      </c>
      <c r="J24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0" s="635"/>
      <c r="N240" s="1028">
        <v>7</v>
      </c>
      <c r="O240" s="1013" t="str">
        <f>IFERROR(Таблица47[[#This Row],[Количество хлыстов]]-Таблица47[[#This Row],[Обработано в 1С]]-Таблица47[[#This Row],[Корректировка]],"")</f>
        <v/>
      </c>
      <c r="P240" s="638" t="str">
        <f>IFERROR((((Таблица47[[#This Row],[Осталось сделать, хлыст]]*Таблица47[[#This Row],[длина]])*Таблица47[[#This Row],[Периметр]])/28),"")</f>
        <v/>
      </c>
      <c r="Q240" s="303"/>
      <c r="R240" s="1114">
        <f>IFERROR(Таблица47[[#This Row],[Коли-
чество м.п.]]/Таблица47[[#This Row],[Количество хлыстов]],"")</f>
        <v>6</v>
      </c>
      <c r="S240" s="639" t="s">
        <v>4924</v>
      </c>
      <c r="T240" s="639">
        <v>42</v>
      </c>
      <c r="U240" s="640">
        <v>7</v>
      </c>
      <c r="V240" s="639"/>
      <c r="W240" s="639"/>
      <c r="X240" s="639"/>
      <c r="Y240" s="639"/>
      <c r="Z240" s="639" t="s">
        <v>4930</v>
      </c>
      <c r="AA240" s="639"/>
      <c r="AB240" s="639"/>
      <c r="AC240" s="641"/>
    </row>
    <row r="241" spans="1:29" ht="15.75" customHeight="1" x14ac:dyDescent="0.25">
      <c r="A241" s="427" t="s">
        <v>4678</v>
      </c>
      <c r="B241" s="309">
        <v>82</v>
      </c>
      <c r="C241" s="309" t="s">
        <v>4753</v>
      </c>
      <c r="D241" s="303" t="s">
        <v>34</v>
      </c>
      <c r="E241" s="303" t="s">
        <v>4933</v>
      </c>
      <c r="F241" s="528">
        <v>45348</v>
      </c>
      <c r="G241" s="528"/>
      <c r="H24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1" s="522" t="str">
        <f>CONCATENATE(Таблица47[[#This Row],[№ заявки в 1С]],Таблица47[[#This Row],[Наименование            ]])</f>
        <v>82Бесцветное анодирование 21±2мкм алюминиевого профиля F50.04.23, 6,0м</v>
      </c>
      <c r="J24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1" s="635"/>
      <c r="N241" s="1028">
        <v>12</v>
      </c>
      <c r="O241" s="1013" t="str">
        <f>IFERROR(Таблица47[[#This Row],[Количество хлыстов]]-Таблица47[[#This Row],[Обработано в 1С]]-Таблица47[[#This Row],[Корректировка]],"")</f>
        <v/>
      </c>
      <c r="P241" s="638" t="str">
        <f>IFERROR((((Таблица47[[#This Row],[Осталось сделать, хлыст]]*Таблица47[[#This Row],[длина]])*Таблица47[[#This Row],[Периметр]])/28),"")</f>
        <v/>
      </c>
      <c r="Q241" s="303"/>
      <c r="R241" s="1114">
        <f>IFERROR(Таблица47[[#This Row],[Коли-
чество м.п.]]/Таблица47[[#This Row],[Количество хлыстов]],"")</f>
        <v>6</v>
      </c>
      <c r="S241" s="639" t="s">
        <v>4925</v>
      </c>
      <c r="T241" s="639">
        <v>72</v>
      </c>
      <c r="U241" s="640">
        <v>12</v>
      </c>
      <c r="V241" s="639"/>
      <c r="W241" s="639"/>
      <c r="X241" s="639"/>
      <c r="Y241" s="639"/>
      <c r="Z241" s="639" t="s">
        <v>4931</v>
      </c>
      <c r="AA241" s="639"/>
      <c r="AB241" s="639"/>
      <c r="AC241" s="641"/>
    </row>
    <row r="242" spans="1:29" ht="15.75" customHeight="1" x14ac:dyDescent="0.25">
      <c r="A242" s="427" t="s">
        <v>4678</v>
      </c>
      <c r="B242" s="309">
        <v>82</v>
      </c>
      <c r="C242" s="309" t="s">
        <v>4753</v>
      </c>
      <c r="D242" s="303" t="s">
        <v>34</v>
      </c>
      <c r="E242" s="303" t="s">
        <v>4933</v>
      </c>
      <c r="F242" s="528">
        <v>45348</v>
      </c>
      <c r="G242" s="310"/>
      <c r="H24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2" s="645" t="str">
        <f>CONCATENATE(Таблица47[[#This Row],[№ заявки в 1С]],Таблица47[[#This Row],[Наименование            ]])</f>
        <v>82Бесцветное анодирование 21±2мкм алюминиевого профиля F50.04.01, 6,0м</v>
      </c>
      <c r="J242" s="110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2" s="110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2" s="110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2" s="1102"/>
      <c r="N242" s="1116">
        <v>4</v>
      </c>
      <c r="O242" s="1013" t="str">
        <f>IFERROR(Таблица47[[#This Row],[Количество хлыстов]]-Таблица47[[#This Row],[Обработано в 1С]]-Таблица47[[#This Row],[Корректировка]],"")</f>
        <v/>
      </c>
      <c r="P242" s="638" t="str">
        <f>IFERROR((((Таблица47[[#This Row],[Осталось сделать, хлыст]]*Таблица47[[#This Row],[длина]])*Таблица47[[#This Row],[Периметр]])/28),"")</f>
        <v/>
      </c>
      <c r="Q242" s="304"/>
      <c r="R242" s="1114">
        <f>IFERROR(Таблица47[[#This Row],[Коли-
чество м.п.]]/Таблица47[[#This Row],[Количество хлыстов]],"")</f>
        <v>6</v>
      </c>
      <c r="S242" s="991" t="s">
        <v>4926</v>
      </c>
      <c r="T242" s="991">
        <v>24</v>
      </c>
      <c r="U242" s="1018">
        <v>4</v>
      </c>
      <c r="V242" s="991"/>
      <c r="W242" s="991"/>
      <c r="X242" s="991"/>
      <c r="Y242" s="991"/>
      <c r="Z242" s="991" t="s">
        <v>4932</v>
      </c>
      <c r="AA242" s="991"/>
      <c r="AB242" s="991"/>
      <c r="AC242" s="1019"/>
    </row>
    <row r="243" spans="1:29" ht="15.75" customHeight="1" x14ac:dyDescent="0.25">
      <c r="A243" s="427" t="s">
        <v>4678</v>
      </c>
      <c r="B243" s="309">
        <v>134</v>
      </c>
      <c r="C243" s="309"/>
      <c r="D243" s="304" t="s">
        <v>34</v>
      </c>
      <c r="E243" s="304" t="s">
        <v>3404</v>
      </c>
      <c r="F243" s="528">
        <v>45356</v>
      </c>
      <c r="G243" s="528"/>
      <c r="H24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3" s="522" t="str">
        <f>CONCATENATE(Таблица47[[#This Row],[№ заявки в 1С]],Таблица47[[#This Row],[Наименование            ]])</f>
        <v>134[89435] 2606-56, 6,0м, 6063 Т6, уп.Т5, БА</v>
      </c>
      <c r="J24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3" s="635"/>
      <c r="N243" s="640">
        <v>6</v>
      </c>
      <c r="O243" s="1013" t="str">
        <f>IFERROR(Таблица47[[#This Row],[Количество хлыстов]]-Таблица47[[#This Row],[Обработано в 1С]]-Таблица47[[#This Row],[Корректировка]],"")</f>
        <v/>
      </c>
      <c r="P243" s="638" t="str">
        <f>IFERROR((((Таблица47[[#This Row],[Осталось сделать, хлыст]]*Таблица47[[#This Row],[длина]])*Таблица47[[#This Row],[Периметр]])/28),"")</f>
        <v/>
      </c>
      <c r="Q243" s="303"/>
      <c r="R243" s="1114">
        <f>IFERROR(Таблица47[[#This Row],[Коли-
чество м.п.]]/Таблица47[[#This Row],[Количество хлыстов]],"")</f>
        <v>6</v>
      </c>
      <c r="S243" s="639" t="s">
        <v>4998</v>
      </c>
      <c r="T243" s="639">
        <v>36</v>
      </c>
      <c r="U243" s="640">
        <v>6</v>
      </c>
      <c r="V243" s="639">
        <v>0.3075</v>
      </c>
      <c r="W243" s="639">
        <v>0.85</v>
      </c>
      <c r="X243" s="639">
        <v>11.07</v>
      </c>
      <c r="Y243" s="639">
        <v>30.6</v>
      </c>
      <c r="Z243" s="639">
        <v>1.44</v>
      </c>
      <c r="AA243" s="639">
        <v>113.78</v>
      </c>
      <c r="AB243" s="639">
        <v>370</v>
      </c>
      <c r="AC243" s="641">
        <v>4096.08</v>
      </c>
    </row>
    <row r="244" spans="1:29" s="1021" customFormat="1" ht="15.75" customHeight="1" x14ac:dyDescent="0.25">
      <c r="A244" s="979" t="s">
        <v>4978</v>
      </c>
      <c r="B244" s="1096">
        <v>135</v>
      </c>
      <c r="C244" s="509"/>
      <c r="D244" s="509" t="s">
        <v>34</v>
      </c>
      <c r="E244" s="509" t="s">
        <v>4718</v>
      </c>
      <c r="F244" s="1069">
        <v>45356</v>
      </c>
      <c r="G244" s="1069"/>
      <c r="H24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4" s="620" t="str">
        <f>CONCATENATE(Таблица47[[#This Row],[№ заявки в 1С]],Таблица47[[#This Row],[Наименование            ]])</f>
        <v>135[87278] 1806-10, 6,1м, 6063 Т1, упаковка Т-5, БА</v>
      </c>
      <c r="J24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4" s="1082"/>
      <c r="N244" s="640">
        <v>38</v>
      </c>
      <c r="O244" s="1020" t="str">
        <f>IFERROR(Таблица47[[#This Row],[Количество хлыстов]]-Таблица47[[#This Row],[Обработано в 1С]]-Таблица47[[#This Row],[Корректировка]],"")</f>
        <v/>
      </c>
      <c r="P244" s="638" t="str">
        <f>IFERROR((((Таблица47[[#This Row],[Осталось сделать, хлыст]]*Таблица47[[#This Row],[длина]])*Таблица47[[#This Row],[Периметр]])/28),"")</f>
        <v/>
      </c>
      <c r="Q244" s="1068" t="s">
        <v>4944</v>
      </c>
      <c r="R244" s="1097">
        <f>IFERROR(Таблица47[[#This Row],[Коли-
чество м.п.]]/Таблица47[[#This Row],[Количество хлыстов]],"")</f>
        <v>6.1000000000000005</v>
      </c>
      <c r="S244" s="1068" t="s">
        <v>4941</v>
      </c>
      <c r="T244" s="1083">
        <v>231.8</v>
      </c>
      <c r="U244" s="1084">
        <v>38</v>
      </c>
      <c r="V244" s="1098">
        <v>0.87019999999999997</v>
      </c>
      <c r="W244" s="1098">
        <v>3.4220000000000002</v>
      </c>
      <c r="X244" s="1098">
        <v>201.7124</v>
      </c>
      <c r="Y244" s="1083">
        <v>793.21960000000001</v>
      </c>
      <c r="Z244" s="1083">
        <v>26.22</v>
      </c>
      <c r="AA244" s="1083">
        <v>302.61</v>
      </c>
      <c r="AB244" s="1083">
        <v>347.75</v>
      </c>
      <c r="AC244" s="1085">
        <v>70145.47</v>
      </c>
    </row>
    <row r="245" spans="1:29" s="1021" customFormat="1" ht="15.75" customHeight="1" x14ac:dyDescent="0.25">
      <c r="A245" s="979" t="s">
        <v>4978</v>
      </c>
      <c r="B245" s="1096">
        <v>135</v>
      </c>
      <c r="C245" s="509"/>
      <c r="D245" s="509" t="s">
        <v>34</v>
      </c>
      <c r="E245" s="509" t="s">
        <v>4718</v>
      </c>
      <c r="F245" s="1069">
        <v>45356</v>
      </c>
      <c r="G245" s="1069"/>
      <c r="H24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5" s="620" t="str">
        <f>CONCATENATE(Таблица47[[#This Row],[№ заявки в 1С]],Таблица47[[#This Row],[Наименование            ]])</f>
        <v>135[87279] 1806-11, 6,1м, 6063 Т1, упаковка Т-5, БА</v>
      </c>
      <c r="J24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5" s="1082"/>
      <c r="N245" s="1086">
        <v>44</v>
      </c>
      <c r="O245" s="1020" t="str">
        <f>IFERROR(Таблица47[[#This Row],[Количество хлыстов]]-Таблица47[[#This Row],[Обработано в 1С]]-Таблица47[[#This Row],[Корректировка]],"")</f>
        <v/>
      </c>
      <c r="P245" s="638" t="str">
        <f>IFERROR((((Таблица47[[#This Row],[Осталось сделать, хлыст]]*Таблица47[[#This Row],[длина]])*Таблица47[[#This Row],[Периметр]])/28),"")</f>
        <v/>
      </c>
      <c r="Q245" s="1068" t="s">
        <v>4944</v>
      </c>
      <c r="R245" s="1097">
        <f>IFERROR(Таблица47[[#This Row],[Коли-
чество м.п.]]/Таблица47[[#This Row],[Количество хлыстов]],"")</f>
        <v>6.1</v>
      </c>
      <c r="S245" s="1068" t="s">
        <v>4942</v>
      </c>
      <c r="T245" s="1083">
        <v>268.39999999999998</v>
      </c>
      <c r="U245" s="1084">
        <v>44</v>
      </c>
      <c r="V245" s="1098">
        <v>0.1023</v>
      </c>
      <c r="W245" s="1098">
        <v>0.28599999999999998</v>
      </c>
      <c r="X245" s="1098">
        <v>27.4573</v>
      </c>
      <c r="Y245" s="1083">
        <v>76.7624</v>
      </c>
      <c r="Z245" s="1083">
        <v>3.57</v>
      </c>
      <c r="AA245" s="1083">
        <v>31.28</v>
      </c>
      <c r="AB245" s="1083">
        <v>305.75</v>
      </c>
      <c r="AC245" s="1085">
        <v>8395.08</v>
      </c>
    </row>
    <row r="246" spans="1:29" s="1021" customFormat="1" ht="15.75" customHeight="1" x14ac:dyDescent="0.25">
      <c r="A246" s="979" t="s">
        <v>4978</v>
      </c>
      <c r="B246" s="1096">
        <v>136</v>
      </c>
      <c r="C246" s="509"/>
      <c r="D246" s="509" t="s">
        <v>34</v>
      </c>
      <c r="E246" s="509" t="s">
        <v>4718</v>
      </c>
      <c r="F246" s="1069">
        <v>45356</v>
      </c>
      <c r="G246" s="1069"/>
      <c r="H24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6" s="620" t="str">
        <f>CONCATENATE(Таблица47[[#This Row],[№ заявки в 1С]],Таблица47[[#This Row],[Наименование            ]])</f>
        <v>136[87278] 1806-10, 6,1м, 6063 Т1, упаковка Т-5, БА</v>
      </c>
      <c r="J24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6" s="1082"/>
      <c r="N246" s="1086">
        <v>10</v>
      </c>
      <c r="O246" s="1020" t="str">
        <f>IFERROR(Таблица47[[#This Row],[Количество хлыстов]]-Таблица47[[#This Row],[Обработано в 1С]]-Таблица47[[#This Row],[Корректировка]],"")</f>
        <v/>
      </c>
      <c r="P246" s="638" t="str">
        <f>IFERROR((((Таблица47[[#This Row],[Осталось сделать, хлыст]]*Таблица47[[#This Row],[длина]])*Таблица47[[#This Row],[Периметр]])/28),"")</f>
        <v/>
      </c>
      <c r="Q246" s="1068" t="s">
        <v>4943</v>
      </c>
      <c r="R246" s="1097">
        <f>IFERROR(Таблица47[[#This Row],[Коли-
чество м.п.]]/Таблица47[[#This Row],[Количество хлыстов]],"")</f>
        <v>6.1</v>
      </c>
      <c r="S246" s="1068" t="s">
        <v>4941</v>
      </c>
      <c r="T246" s="1083">
        <v>61</v>
      </c>
      <c r="U246" s="1084">
        <v>10</v>
      </c>
      <c r="V246" s="1098">
        <v>0.87019999999999997</v>
      </c>
      <c r="W246" s="1098">
        <v>3.4220000000000002</v>
      </c>
      <c r="X246" s="1098">
        <v>53.0822</v>
      </c>
      <c r="Y246" s="1083">
        <v>208.74199999999999</v>
      </c>
      <c r="Z246" s="1083">
        <v>6.9</v>
      </c>
      <c r="AA246" s="1083">
        <v>302.61</v>
      </c>
      <c r="AB246" s="1083">
        <v>347.75</v>
      </c>
      <c r="AC246" s="1085">
        <v>18459.21</v>
      </c>
    </row>
    <row r="247" spans="1:29" s="1021" customFormat="1" ht="15.75" customHeight="1" x14ac:dyDescent="0.25">
      <c r="A247" s="979" t="s">
        <v>4978</v>
      </c>
      <c r="B247" s="1096">
        <v>136</v>
      </c>
      <c r="C247" s="509"/>
      <c r="D247" s="509" t="s">
        <v>34</v>
      </c>
      <c r="E247" s="509" t="s">
        <v>4718</v>
      </c>
      <c r="F247" s="1069">
        <v>45356</v>
      </c>
      <c r="G247" s="1069"/>
      <c r="H24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7" s="620" t="str">
        <f>CONCATENATE(Таблица47[[#This Row],[№ заявки в 1С]],Таблица47[[#This Row],[Наименование            ]])</f>
        <v>136[87279] 1806-11, 6,1м, 6063 Т1, упаковка Т-5, БА</v>
      </c>
      <c r="J24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7" s="1082"/>
      <c r="N247" s="1086">
        <v>11</v>
      </c>
      <c r="O247" s="1020" t="str">
        <f>IFERROR(Таблица47[[#This Row],[Количество хлыстов]]-Таблица47[[#This Row],[Обработано в 1С]]-Таблица47[[#This Row],[Корректировка]],"")</f>
        <v/>
      </c>
      <c r="P247" s="638" t="str">
        <f>IFERROR((((Таблица47[[#This Row],[Осталось сделать, хлыст]]*Таблица47[[#This Row],[длина]])*Таблица47[[#This Row],[Периметр]])/28),"")</f>
        <v/>
      </c>
      <c r="Q247" s="1068" t="s">
        <v>4943</v>
      </c>
      <c r="R247" s="1097">
        <f>IFERROR(Таблица47[[#This Row],[Коли-
чество м.п.]]/Таблица47[[#This Row],[Количество хлыстов]],"")</f>
        <v>6.1</v>
      </c>
      <c r="S247" s="1068" t="s">
        <v>4942</v>
      </c>
      <c r="T247" s="1083">
        <v>67.099999999999994</v>
      </c>
      <c r="U247" s="1084">
        <v>11</v>
      </c>
      <c r="V247" s="1098">
        <v>0.1023</v>
      </c>
      <c r="W247" s="1098">
        <v>0.28599999999999998</v>
      </c>
      <c r="X247" s="1098">
        <v>6.8643000000000001</v>
      </c>
      <c r="Y247" s="1083">
        <v>19.1906</v>
      </c>
      <c r="Z247" s="1083">
        <v>0.89</v>
      </c>
      <c r="AA247" s="1083">
        <v>31.28</v>
      </c>
      <c r="AB247" s="1083">
        <v>305.75</v>
      </c>
      <c r="AC247" s="1085">
        <v>2098.89</v>
      </c>
    </row>
    <row r="248" spans="1:29" ht="15.75" customHeight="1" x14ac:dyDescent="0.25">
      <c r="A248" s="1055" t="s">
        <v>4678</v>
      </c>
      <c r="B248" s="350">
        <v>139</v>
      </c>
      <c r="C248" s="350" t="s">
        <v>4753</v>
      </c>
      <c r="D248" s="1024" t="s">
        <v>13</v>
      </c>
      <c r="E248" s="1024" t="s">
        <v>799</v>
      </c>
      <c r="F248" s="528">
        <v>45357</v>
      </c>
      <c r="G248" s="528"/>
      <c r="H248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8" s="587" t="str">
        <f>CONCATENATE(Таблица47[[#This Row],[№ заявки в 1С]],Таблица47[[#This Row],[Наименование            ]])</f>
        <v>139[89662] конструкционный профиль 40*40, длина 6,0м, 6063</v>
      </c>
      <c r="J248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8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8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8" s="1062"/>
      <c r="N248" s="1117">
        <v>15</v>
      </c>
      <c r="O248" s="1013" t="str">
        <f>IFERROR(Таблица47[[#This Row],[Количество хлыстов]]-Таблица47[[#This Row],[Обработано в 1С]]-Таблица47[[#This Row],[Корректировка]],"")</f>
        <v/>
      </c>
      <c r="P248" s="638" t="str">
        <f>IFERROR((((Таблица47[[#This Row],[Осталось сделать, хлыст]]*Таблица47[[#This Row],[длина]])*Таблица47[[#This Row],[Периметр]])/28),"")</f>
        <v/>
      </c>
      <c r="Q248" s="1118"/>
      <c r="R248" s="1099">
        <f>IFERROR(Таблица47[[#This Row],[Коли-
чество м.п.]]/Таблица47[[#This Row],[Количество хлыстов]],"")</f>
        <v>6</v>
      </c>
      <c r="S248" s="1043" t="s">
        <v>4948</v>
      </c>
      <c r="T248" s="1043">
        <v>90</v>
      </c>
      <c r="U248" s="1042">
        <v>15</v>
      </c>
      <c r="V248" s="1043">
        <v>0.31719999999999998</v>
      </c>
      <c r="W248" s="1043">
        <v>1.405</v>
      </c>
      <c r="X248" s="1043">
        <v>28.547999999999998</v>
      </c>
      <c r="Y248" s="1043">
        <v>126.45</v>
      </c>
      <c r="Z248" s="1043">
        <v>3.71</v>
      </c>
      <c r="AA248" s="1043">
        <v>180</v>
      </c>
      <c r="AB248" s="1043">
        <v>567.47</v>
      </c>
      <c r="AC248" s="1044">
        <v>16200</v>
      </c>
    </row>
    <row r="249" spans="1:29" ht="15.75" customHeight="1" x14ac:dyDescent="0.25">
      <c r="A249" s="427" t="s">
        <v>4678</v>
      </c>
      <c r="B249" s="309">
        <v>144</v>
      </c>
      <c r="C249" s="309"/>
      <c r="D249" s="1024" t="s">
        <v>13</v>
      </c>
      <c r="E249" s="303" t="s">
        <v>2973</v>
      </c>
      <c r="F249" s="528">
        <v>45362</v>
      </c>
      <c r="G249" s="528">
        <v>45384</v>
      </c>
      <c r="H24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49" s="522" t="str">
        <f>CONCATENATE(Таблица47[[#This Row],[№ заявки в 1С]],Таблица47[[#This Row],[Наименование            ]])</f>
        <v>144[77499] 0706-86 4,9м, сплав 6063 Кр, сост Т6, упак Т5</v>
      </c>
      <c r="J24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4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4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49" s="635">
        <v>1</v>
      </c>
      <c r="N249" s="1119">
        <v>52</v>
      </c>
      <c r="O249" s="1013" t="str">
        <f>IFERROR(Таблица47[[#This Row],[Количество хлыстов]]-Таблица47[[#This Row],[Обработано в 1С]]-Таблица47[[#This Row],[Корректировка]],"")</f>
        <v/>
      </c>
      <c r="P249" s="638" t="str">
        <f>IFERROR((((Таблица47[[#This Row],[Осталось сделать, хлыст]]*Таблица47[[#This Row],[длина]])*Таблица47[[#This Row],[Периметр]])/28),"")</f>
        <v/>
      </c>
      <c r="Q249" s="303" t="s">
        <v>559</v>
      </c>
      <c r="R249" s="1114">
        <f>IFERROR(Таблица47[[#This Row],[Коли-
чество м.п.]]/Таблица47[[#This Row],[Количество хлыстов]],"")</f>
        <v>4.8999999999999995</v>
      </c>
      <c r="S249" s="639" t="s">
        <v>1753</v>
      </c>
      <c r="T249" s="639">
        <v>259.7</v>
      </c>
      <c r="U249" s="640">
        <v>53</v>
      </c>
      <c r="V249" s="639">
        <v>0.247</v>
      </c>
      <c r="W249" s="639">
        <v>0.498</v>
      </c>
      <c r="X249" s="639">
        <v>64.145899999999997</v>
      </c>
      <c r="Y249" s="639">
        <v>129.3306</v>
      </c>
      <c r="Z249" s="639">
        <v>8.34</v>
      </c>
      <c r="AA249" s="639">
        <v>127.21</v>
      </c>
      <c r="AB249" s="639">
        <v>515</v>
      </c>
      <c r="AC249" s="641">
        <v>33035.14</v>
      </c>
    </row>
    <row r="250" spans="1:29" ht="15.75" customHeight="1" x14ac:dyDescent="0.25">
      <c r="A250" s="238" t="s">
        <v>4678</v>
      </c>
      <c r="B250" s="1070">
        <v>145</v>
      </c>
      <c r="C250" s="1070"/>
      <c r="D250" s="496" t="s">
        <v>13</v>
      </c>
      <c r="E250" s="200" t="s">
        <v>37</v>
      </c>
      <c r="F250" s="201">
        <v>45362</v>
      </c>
      <c r="G250" s="201">
        <v>45398</v>
      </c>
      <c r="H250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0" s="587" t="str">
        <f>CONCATENATE(Таблица47[[#This Row],[№ заявки в 1С]],Таблица47[[#This Row],[Наименование            ]])</f>
        <v>145[82182] 1706-83, 3,0 м,  6063 Т6 упаковка Т5</v>
      </c>
      <c r="J250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0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0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0" s="1062"/>
      <c r="N250" s="1117">
        <v>176</v>
      </c>
      <c r="O250" s="1013" t="str">
        <f>IFERROR(Таблица47[[#This Row],[Количество хлыстов]]-Таблица47[[#This Row],[Обработано в 1С]]-Таблица47[[#This Row],[Корректировка]],"")</f>
        <v/>
      </c>
      <c r="P250" s="638" t="str">
        <f>IFERROR((((Таблица47[[#This Row],[Осталось сделать, хлыст]]*Таблица47[[#This Row],[длина]])*Таблица47[[#This Row],[Периметр]])/28),"")</f>
        <v/>
      </c>
      <c r="Q250" s="200" t="s">
        <v>4995</v>
      </c>
      <c r="R250" s="1099">
        <f>IFERROR(Таблица47[[#This Row],[Коли-
чество м.п.]]/Таблица47[[#This Row],[Количество хлыстов]],"")</f>
        <v>3</v>
      </c>
      <c r="S250" s="1043" t="s">
        <v>3645</v>
      </c>
      <c r="T250" s="1043">
        <v>528</v>
      </c>
      <c r="U250" s="1042">
        <v>176</v>
      </c>
      <c r="V250" s="1043">
        <v>0.27829999999999999</v>
      </c>
      <c r="W250" s="1043">
        <v>0.98499999999999999</v>
      </c>
      <c r="X250" s="1043">
        <v>146.94239999999999</v>
      </c>
      <c r="Y250" s="1043">
        <v>520.08000000000004</v>
      </c>
      <c r="Z250" s="1043">
        <v>19.100000000000001</v>
      </c>
      <c r="AA250" s="1043" t="s">
        <v>17</v>
      </c>
      <c r="AB250" s="1043" t="s">
        <v>17</v>
      </c>
      <c r="AC250" s="1044" t="s">
        <v>17</v>
      </c>
    </row>
    <row r="251" spans="1:29" ht="15.75" customHeight="1" x14ac:dyDescent="0.25">
      <c r="A251" s="238" t="s">
        <v>4678</v>
      </c>
      <c r="B251" s="1070">
        <v>146</v>
      </c>
      <c r="C251" s="1070"/>
      <c r="D251" s="496" t="s">
        <v>13</v>
      </c>
      <c r="E251" s="200" t="s">
        <v>37</v>
      </c>
      <c r="F251" s="201">
        <v>45362</v>
      </c>
      <c r="G251" s="201">
        <v>45414</v>
      </c>
      <c r="H251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1" s="587" t="str">
        <f>CONCATENATE(Таблица47[[#This Row],[№ заявки в 1С]],Таблица47[[#This Row],[Наименование            ]])</f>
        <v>146[85087] 1706-96, 3,0м, АД31 Т1,  БА</v>
      </c>
      <c r="J251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1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1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1" s="1062"/>
      <c r="N251" s="1117">
        <f>305+305+301</f>
        <v>911</v>
      </c>
      <c r="O251" s="1013" t="str">
        <f>IFERROR(Таблица47[[#This Row],[Количество хлыстов]]-Таблица47[[#This Row],[Обработано в 1С]]-Таблица47[[#This Row],[Корректировка]],"")</f>
        <v/>
      </c>
      <c r="P251" s="638" t="str">
        <f>IFERROR((((Таблица47[[#This Row],[Осталось сделать, хлыст]]*Таблица47[[#This Row],[длина]])*Таблица47[[#This Row],[Периметр]])/28),"")</f>
        <v/>
      </c>
      <c r="Q251" s="200"/>
      <c r="R251" s="1099">
        <f>IFERROR(Таблица47[[#This Row],[Коли-
чество м.п.]]/Таблица47[[#This Row],[Количество хлыстов]],"")</f>
        <v>3</v>
      </c>
      <c r="S251" s="1043" t="s">
        <v>3949</v>
      </c>
      <c r="T251" s="1043">
        <v>2733</v>
      </c>
      <c r="U251" s="1042">
        <v>911</v>
      </c>
      <c r="V251" s="1043">
        <v>0.12659999999999999</v>
      </c>
      <c r="W251" s="1043">
        <v>0.30499999999999999</v>
      </c>
      <c r="X251" s="1043">
        <v>345.99779999999998</v>
      </c>
      <c r="Y251" s="1043">
        <v>833.56500000000005</v>
      </c>
      <c r="Z251" s="1043">
        <v>44.98</v>
      </c>
      <c r="AA251" s="1043">
        <v>51.91</v>
      </c>
      <c r="AB251" s="1043">
        <v>410</v>
      </c>
      <c r="AC251" s="1044">
        <v>141859.1</v>
      </c>
    </row>
    <row r="252" spans="1:29" ht="15.75" customHeight="1" x14ac:dyDescent="0.25">
      <c r="A252" s="427" t="s">
        <v>4678</v>
      </c>
      <c r="B252" s="309">
        <v>147</v>
      </c>
      <c r="C252" s="309"/>
      <c r="D252" s="1024" t="s">
        <v>13</v>
      </c>
      <c r="E252" s="303" t="s">
        <v>37</v>
      </c>
      <c r="F252" s="528">
        <v>45362</v>
      </c>
      <c r="G252" s="528">
        <v>45414</v>
      </c>
      <c r="H25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2" s="522" t="str">
        <f>CONCATENATE(Таблица47[[#This Row],[№ заявки в 1С]],Таблица47[[#This Row],[Наименование            ]])</f>
        <v>147[83660] 1706-98, 3,0м, Ад31 Т1, уп. Т5, БА</v>
      </c>
      <c r="J25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2" s="635"/>
      <c r="N252" s="1119">
        <v>650</v>
      </c>
      <c r="O252" s="1013" t="str">
        <f>IFERROR(Таблица47[[#This Row],[Количество хлыстов]]-Таблица47[[#This Row],[Обработано в 1С]]-Таблица47[[#This Row],[Корректировка]],"")</f>
        <v/>
      </c>
      <c r="P252" s="638" t="str">
        <f>IFERROR((((Таблица47[[#This Row],[Осталось сделать, хлыст]]*Таблица47[[#This Row],[длина]])*Таблица47[[#This Row],[Периметр]])/28),"")</f>
        <v/>
      </c>
      <c r="Q252" s="303"/>
      <c r="R252" s="1114">
        <f>IFERROR(Таблица47[[#This Row],[Коли-
чество м.п.]]/Таблица47[[#This Row],[Количество хлыстов]],"")</f>
        <v>3</v>
      </c>
      <c r="S252" s="639" t="s">
        <v>4298</v>
      </c>
      <c r="T252" s="639">
        <v>1950</v>
      </c>
      <c r="U252" s="640">
        <v>650</v>
      </c>
      <c r="V252" s="639">
        <v>0.15190000000000001</v>
      </c>
      <c r="W252" s="639">
        <v>0.377</v>
      </c>
      <c r="X252" s="639">
        <v>296.20499999999998</v>
      </c>
      <c r="Y252" s="639">
        <v>735.15</v>
      </c>
      <c r="Z252" s="639">
        <v>38.51</v>
      </c>
      <c r="AA252" s="639">
        <v>62.28</v>
      </c>
      <c r="AB252" s="639">
        <v>410</v>
      </c>
      <c r="AC252" s="641">
        <v>121444.05</v>
      </c>
    </row>
    <row r="253" spans="1:29" s="1021" customFormat="1" ht="15.75" customHeight="1" x14ac:dyDescent="0.25">
      <c r="A253" s="979" t="s">
        <v>4978</v>
      </c>
      <c r="B253" s="1067">
        <v>148</v>
      </c>
      <c r="C253" s="1067"/>
      <c r="D253" s="1105" t="s">
        <v>13</v>
      </c>
      <c r="E253" s="1068" t="s">
        <v>32</v>
      </c>
      <c r="F253" s="1069">
        <v>45362</v>
      </c>
      <c r="G253" s="1069"/>
      <c r="H25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3" s="612" t="str">
        <f>CONCATENATE(Таблица47[[#This Row],[№ заявки в 1С]],Таблица47[[#This Row],[Наименование            ]])</f>
        <v>148[78539] 1606-87, 6,1м,  6063 Т1 БА</v>
      </c>
      <c r="J25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3" s="1082"/>
      <c r="N253" s="1082">
        <v>663</v>
      </c>
      <c r="O253" s="1020" t="str">
        <f>IFERROR(Таблица47[[#This Row],[Количество хлыстов]]-Таблица47[[#This Row],[Обработано в 1С]]-Таблица47[[#This Row],[Корректировка]],"")</f>
        <v/>
      </c>
      <c r="P253" s="638" t="str">
        <f>IFERROR((((Таблица47[[#This Row],[Осталось сделать, хлыст]]*Таблица47[[#This Row],[длина]])*Таблица47[[#This Row],[Периметр]])/28),"")</f>
        <v/>
      </c>
      <c r="Q253" s="1068" t="s">
        <v>4731</v>
      </c>
      <c r="R253" s="1097">
        <f>IFERROR(Таблица47[[#This Row],[Коли-
чество м.п.]]/Таблица47[[#This Row],[Количество хлыстов]],"")</f>
        <v>6.1000000000000005</v>
      </c>
      <c r="S253" s="1083" t="s">
        <v>2964</v>
      </c>
      <c r="T253" s="1083">
        <v>4044.3</v>
      </c>
      <c r="U253" s="1084">
        <v>663</v>
      </c>
      <c r="V253" s="1083">
        <v>8.4900000000000003E-2</v>
      </c>
      <c r="W253" s="1083">
        <v>0.13700000000000001</v>
      </c>
      <c r="X253" s="1083">
        <v>343.36110000000002</v>
      </c>
      <c r="Y253" s="1083">
        <v>554.06910000000005</v>
      </c>
      <c r="Z253" s="1083">
        <v>44.64</v>
      </c>
      <c r="AA253" s="1083">
        <v>25.98</v>
      </c>
      <c r="AB253" s="1083">
        <v>306</v>
      </c>
      <c r="AC253" s="1085">
        <v>105068.49</v>
      </c>
    </row>
    <row r="254" spans="1:29" s="1021" customFormat="1" ht="15.75" customHeight="1" x14ac:dyDescent="0.25">
      <c r="A254" s="1106" t="s">
        <v>4979</v>
      </c>
      <c r="B254" s="1067">
        <v>149</v>
      </c>
      <c r="C254" s="1067"/>
      <c r="D254" s="1105" t="s">
        <v>13</v>
      </c>
      <c r="E254" s="1068" t="s">
        <v>32</v>
      </c>
      <c r="F254" s="1069">
        <v>45362</v>
      </c>
      <c r="G254" s="1069"/>
      <c r="H25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4" s="620" t="str">
        <f>CONCATENATE(Таблица47[[#This Row],[№ заявки в 1С]],Таблица47[[#This Row],[Наименование            ]])</f>
        <v>149[88734] 1606-37, 5,05 м,  Ад 31 под покраску</v>
      </c>
      <c r="J25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4" s="1082"/>
      <c r="N254" s="1120">
        <v>451</v>
      </c>
      <c r="O254" s="1020" t="str">
        <f>IFERROR(Таблица47[[#This Row],[Количество хлыстов]]-Таблица47[[#This Row],[Обработано в 1С]]-Таблица47[[#This Row],[Корректировка]],"")</f>
        <v/>
      </c>
      <c r="P254" s="638" t="str">
        <f>IFERROR((((Таблица47[[#This Row],[Осталось сделать, хлыст]]*Таблица47[[#This Row],[длина]])*Таблица47[[#This Row],[Периметр]])/28),"")</f>
        <v/>
      </c>
      <c r="Q254" s="1068"/>
      <c r="R254" s="1097">
        <f>IFERROR(Таблица47[[#This Row],[Коли-
чество м.п.]]/Таблица47[[#This Row],[Количество хлыстов]],"")</f>
        <v>5.0500000000000007</v>
      </c>
      <c r="S254" s="1083" t="s">
        <v>4855</v>
      </c>
      <c r="T254" s="1083">
        <v>2277.5500000000002</v>
      </c>
      <c r="U254" s="1084">
        <v>451</v>
      </c>
      <c r="V254" s="1083">
        <v>0.2651</v>
      </c>
      <c r="W254" s="1083">
        <v>0.82099999999999995</v>
      </c>
      <c r="X254" s="1083">
        <v>603.77850000000001</v>
      </c>
      <c r="Y254" s="1083">
        <v>1869.8686</v>
      </c>
      <c r="Z254" s="1083">
        <v>78.489999999999995</v>
      </c>
      <c r="AA254" s="1083">
        <v>85.36</v>
      </c>
      <c r="AB254" s="1083">
        <v>322</v>
      </c>
      <c r="AC254" s="1085">
        <v>194416.68</v>
      </c>
    </row>
    <row r="255" spans="1:29" s="1021" customFormat="1" ht="15.75" customHeight="1" x14ac:dyDescent="0.25">
      <c r="A255" s="1106" t="s">
        <v>4979</v>
      </c>
      <c r="B255" s="1067">
        <v>149</v>
      </c>
      <c r="C255" s="1067"/>
      <c r="D255" s="1105" t="s">
        <v>13</v>
      </c>
      <c r="E255" s="1068" t="s">
        <v>32</v>
      </c>
      <c r="F255" s="1069">
        <v>45362</v>
      </c>
      <c r="G255" s="1069"/>
      <c r="H255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5" s="620" t="str">
        <f>CONCATENATE(Таблица47[[#This Row],[№ заявки в 1С]],Таблица47[[#This Row],[Наименование            ]])</f>
        <v>149[88976] 1606-39 (197.04) 4,85 м, сплав Ад31 под покраску</v>
      </c>
      <c r="J25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5" s="1082">
        <v>1</v>
      </c>
      <c r="N255" s="1120">
        <v>890</v>
      </c>
      <c r="O255" s="1020" t="str">
        <f>IFERROR(Таблица47[[#This Row],[Количество хлыстов]]-Таблица47[[#This Row],[Обработано в 1С]]-Таблица47[[#This Row],[Корректировка]],"")</f>
        <v/>
      </c>
      <c r="P255" s="638" t="str">
        <f>IFERROR((((Таблица47[[#This Row],[Осталось сделать, хлыст]]*Таблица47[[#This Row],[длина]])*Таблица47[[#This Row],[Периметр]])/28),"")</f>
        <v/>
      </c>
      <c r="Q255" s="1068" t="s">
        <v>559</v>
      </c>
      <c r="R255" s="1097">
        <f>IFERROR(Таблица47[[#This Row],[Коли-
чество м.п.]]/Таблица47[[#This Row],[Количество хлыстов]],"")</f>
        <v>4.8500000000000005</v>
      </c>
      <c r="S255" s="1083" t="s">
        <v>4774</v>
      </c>
      <c r="T255" s="1083">
        <v>4321.3500000000004</v>
      </c>
      <c r="U255" s="1084">
        <v>891</v>
      </c>
      <c r="V255" s="1083">
        <v>9.5600000000000004E-2</v>
      </c>
      <c r="W255" s="1083">
        <v>0.16</v>
      </c>
      <c r="X255" s="1083">
        <v>413.12110000000001</v>
      </c>
      <c r="Y255" s="1083">
        <v>691.41600000000005</v>
      </c>
      <c r="Z255" s="1083">
        <v>53.71</v>
      </c>
      <c r="AA255" s="1083">
        <v>29.25</v>
      </c>
      <c r="AB255" s="1083">
        <v>306</v>
      </c>
      <c r="AC255" s="1085">
        <v>126415.03999999999</v>
      </c>
    </row>
    <row r="256" spans="1:29" ht="15.75" customHeight="1" x14ac:dyDescent="0.25">
      <c r="A256" s="427" t="s">
        <v>4678</v>
      </c>
      <c r="B256" s="1107">
        <v>151</v>
      </c>
      <c r="C256" s="1107"/>
      <c r="D256" s="1108" t="s">
        <v>13</v>
      </c>
      <c r="E256" s="1108" t="s">
        <v>295</v>
      </c>
      <c r="F256" s="1109">
        <v>45362</v>
      </c>
      <c r="G256" s="1109">
        <v>45397</v>
      </c>
      <c r="H25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56" s="522" t="str">
        <f>CONCATENATE(Таблица47[[#This Row],[№ заявки в 1С]],Таблица47[[#This Row],[Наименование            ]])</f>
        <v>151[89691] полоса 12х2мм Д, длина 3,0м, сплав 6063</v>
      </c>
      <c r="J25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6" s="635"/>
      <c r="N256" s="1119">
        <v>240</v>
      </c>
      <c r="O256" s="1013" t="str">
        <f>IFERROR(Таблица47[[#This Row],[Количество хлыстов]]-Таблица47[[#This Row],[Обработано в 1С]]-Таблица47[[#This Row],[Корректировка]],"")</f>
        <v/>
      </c>
      <c r="P256" s="638" t="str">
        <f>IFERROR((((Таблица47[[#This Row],[Осталось сделать, хлыст]]*Таблица47[[#This Row],[длина]])*Таблица47[[#This Row],[Периметр]])/28),"")</f>
        <v/>
      </c>
      <c r="Q256" s="303"/>
      <c r="R256" s="1114">
        <f>IFERROR(Таблица47[[#This Row],[Коли-
чество м.п.]]/Таблица47[[#This Row],[Количество хлыстов]],"")</f>
        <v>3</v>
      </c>
      <c r="S256" s="639" t="s">
        <v>4955</v>
      </c>
      <c r="T256" s="639">
        <v>720</v>
      </c>
      <c r="U256" s="640">
        <v>240</v>
      </c>
      <c r="V256" s="639">
        <v>2.8000000000000001E-2</v>
      </c>
      <c r="W256" s="639">
        <v>7.0000000000000007E-2</v>
      </c>
      <c r="X256" s="639">
        <v>20.16</v>
      </c>
      <c r="Y256" s="639">
        <v>50.4</v>
      </c>
      <c r="Z256" s="639">
        <v>2.62</v>
      </c>
      <c r="AA256" s="639">
        <v>30.36</v>
      </c>
      <c r="AB256" s="639">
        <v>1084.33</v>
      </c>
      <c r="AC256" s="641">
        <v>21860</v>
      </c>
    </row>
    <row r="257" spans="1:29" ht="15.75" customHeight="1" x14ac:dyDescent="0.25">
      <c r="A257" s="427" t="s">
        <v>4678</v>
      </c>
      <c r="B257" s="309">
        <v>152</v>
      </c>
      <c r="C257" s="309" t="s">
        <v>4753</v>
      </c>
      <c r="D257" s="303" t="s">
        <v>13</v>
      </c>
      <c r="E257" s="303" t="s">
        <v>799</v>
      </c>
      <c r="F257" s="528">
        <v>45362</v>
      </c>
      <c r="G257" s="528">
        <v>45421</v>
      </c>
      <c r="H257" s="574" t="s">
        <v>23</v>
      </c>
      <c r="I257" s="522" t="str">
        <f>CONCATENATE(Таблица47[[#This Row],[№ заявки в 1С]],Таблица47[[#This Row],[Наименование            ]])</f>
        <v>152[89680] Y.3040(7) Д 5,1 м, сплав 6063</v>
      </c>
      <c r="J25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7" s="635"/>
      <c r="N257" s="1119"/>
      <c r="O257" s="1013" t="str">
        <f>IFERROR(Таблица47[[#This Row],[Количество хлыстов]]-Таблица47[[#This Row],[Обработано в 1С]]-Таблица47[[#This Row],[Корректировка]],"")</f>
        <v/>
      </c>
      <c r="P257" s="638" t="str">
        <f>IFERROR((((Таблица47[[#This Row],[Осталось сделать, хлыст]]*Таблица47[[#This Row],[длина]])*Таблица47[[#This Row],[Периметр]])/28),"")</f>
        <v/>
      </c>
      <c r="Q257" s="303" t="s">
        <v>5088</v>
      </c>
      <c r="R257" s="1114">
        <f>IFERROR(Таблица47[[#This Row],[Коли-
чество м.п.]]/Таблица47[[#This Row],[Количество хлыстов]],"")</f>
        <v>4.7803418803418802</v>
      </c>
      <c r="S257" s="639" t="s">
        <v>4956</v>
      </c>
      <c r="T257" s="639">
        <v>1677.9</v>
      </c>
      <c r="U257" s="640">
        <v>351</v>
      </c>
      <c r="V257" s="639">
        <v>0.11799999999999999</v>
      </c>
      <c r="W257" s="639">
        <v>0.308</v>
      </c>
      <c r="X257" s="639">
        <v>197.9922</v>
      </c>
      <c r="Y257" s="639">
        <v>516.79319999999996</v>
      </c>
      <c r="Z257" s="639">
        <v>25.74</v>
      </c>
      <c r="AA257" s="639">
        <v>71.02</v>
      </c>
      <c r="AB257" s="639">
        <v>601.87</v>
      </c>
      <c r="AC257" s="641">
        <v>119166</v>
      </c>
    </row>
    <row r="258" spans="1:29" customFormat="1" ht="15.75" customHeight="1" x14ac:dyDescent="0.25">
      <c r="A258" s="147" t="s">
        <v>4678</v>
      </c>
      <c r="B258" s="521">
        <v>138</v>
      </c>
      <c r="C258" s="521" t="s">
        <v>4753</v>
      </c>
      <c r="D258" s="145" t="s">
        <v>4858</v>
      </c>
      <c r="E258" s="145" t="s">
        <v>4946</v>
      </c>
      <c r="F258" s="148">
        <v>45357</v>
      </c>
      <c r="G258" s="148"/>
      <c r="H258" s="145" t="s">
        <v>677</v>
      </c>
      <c r="I258" s="645" t="str">
        <f>CONCATENATE(Таблица47[[#This Row],[№ заявки в 1С]],Таблица47[[#This Row],[Наименование            ]])</f>
        <v>138КУДР.676621.015.01-04 (1703мм)Анод без дроби 15 мкм (Д)</v>
      </c>
      <c r="J258" s="64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8" s="64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8" s="64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8" s="645"/>
      <c r="N258" s="394"/>
      <c r="O258" s="1001" t="str">
        <f>IFERROR(Таблица47[[#This Row],[Количество хлыстов]]-Таблица47[[#This Row],[Обработано в 1С]]-Таблица47[[#This Row],[Корректировка]],"")</f>
        <v/>
      </c>
      <c r="P258" s="638" t="str">
        <f>IFERROR((((Таблица47[[#This Row],[Осталось сделать, хлыст]]*Таблица47[[#This Row],[длина]])*Таблица47[[#This Row],[Периметр]])/28),"")</f>
        <v/>
      </c>
      <c r="Q258" s="145"/>
      <c r="R258" s="280">
        <f>IFERROR(Таблица47[[#This Row],[Коли-
чество м.п.]]/Таблица47[[#This Row],[Количество хлыстов]],"")</f>
        <v>1.7066666666666668</v>
      </c>
      <c r="S258" s="678" t="s">
        <v>4947</v>
      </c>
      <c r="T258" s="280">
        <v>256</v>
      </c>
      <c r="U258" s="322">
        <v>150</v>
      </c>
      <c r="V258" s="280">
        <v>4.1000000000000002E-2</v>
      </c>
      <c r="W258" s="280">
        <v>9.5000000000000001E-2</v>
      </c>
      <c r="X258" s="280">
        <v>11</v>
      </c>
      <c r="Y258" s="280"/>
      <c r="Z258" s="280"/>
      <c r="AA258" s="280"/>
      <c r="AB258" s="280"/>
      <c r="AC258" s="397">
        <v>24600</v>
      </c>
    </row>
    <row r="259" spans="1:29" ht="15.75" customHeight="1" x14ac:dyDescent="0.25">
      <c r="A259" s="427" t="s">
        <v>4678</v>
      </c>
      <c r="B259" s="309">
        <v>143</v>
      </c>
      <c r="C259" s="309" t="s">
        <v>4753</v>
      </c>
      <c r="D259" s="304" t="s">
        <v>13</v>
      </c>
      <c r="E259" s="304" t="s">
        <v>4951</v>
      </c>
      <c r="F259" s="310">
        <v>45358</v>
      </c>
      <c r="G259" s="310"/>
      <c r="H259" s="574" t="s">
        <v>23</v>
      </c>
      <c r="I259" s="645" t="str">
        <f>CONCATENATE(Таблица47[[#This Row],[№ заявки в 1С]],Таблица47[[#This Row],[Наименование            ]])</f>
        <v>143АКП-3148_Д, 4,0м, анод 15мкм, без дроби</v>
      </c>
      <c r="J259" s="110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59" s="110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59" s="110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59" s="1102"/>
      <c r="N259" s="1103">
        <v>15</v>
      </c>
      <c r="O259" s="1013" t="str">
        <f>IFERROR(Таблица47[[#This Row],[Количество хлыстов]]-Таблица47[[#This Row],[Обработано в 1С]]-Таблица47[[#This Row],[Корректировка]],"")</f>
        <v/>
      </c>
      <c r="P259" s="638" t="str">
        <f>IFERROR((((Таблица47[[#This Row],[Осталось сделать, хлыст]]*Таблица47[[#This Row],[длина]])*Таблица47[[#This Row],[Периметр]])/28),"")</f>
        <v/>
      </c>
      <c r="Q259" s="304"/>
      <c r="R259" s="991" t="str">
        <f>IFERROR(Таблица47[[#This Row],[Коли-
чество м.п.]]/Таблица47[[#This Row],[Количество хлыстов]],"")</f>
        <v/>
      </c>
      <c r="S259" s="991" t="s">
        <v>4952</v>
      </c>
      <c r="T259" s="991">
        <v>60</v>
      </c>
      <c r="U259" s="1018"/>
      <c r="V259" s="991"/>
      <c r="W259" s="991"/>
      <c r="X259" s="991"/>
      <c r="Y259" s="991"/>
      <c r="Z259" s="991"/>
      <c r="AA259" s="991"/>
      <c r="AB259" s="991"/>
      <c r="AC259" s="1019">
        <v>26100</v>
      </c>
    </row>
    <row r="260" spans="1:29" ht="15.75" customHeight="1" x14ac:dyDescent="0.25">
      <c r="A260" s="427" t="s">
        <v>4678</v>
      </c>
      <c r="B260" s="309">
        <v>153</v>
      </c>
      <c r="C260" s="309"/>
      <c r="D260" s="303" t="s">
        <v>34</v>
      </c>
      <c r="E260" s="303" t="s">
        <v>3404</v>
      </c>
      <c r="F260" s="528">
        <v>45362</v>
      </c>
      <c r="G260" s="528"/>
      <c r="H26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0" s="522" t="str">
        <f>CONCATENATE(Таблица47[[#This Row],[№ заявки в 1С]],Таблица47[[#This Row],[Наименование            ]])</f>
        <v>153[89435] 2606-56, 6,0м, 6063 Т6, уп.Т5, БА</v>
      </c>
      <c r="J26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0" s="635"/>
      <c r="N260" s="1119">
        <v>4</v>
      </c>
      <c r="O260" s="1013" t="str">
        <f>IFERROR(Таблица47[[#This Row],[Количество хлыстов]]-Таблица47[[#This Row],[Обработано в 1С]]-Таблица47[[#This Row],[Корректировка]],"")</f>
        <v/>
      </c>
      <c r="P260" s="638" t="str">
        <f>IFERROR((((Таблица47[[#This Row],[Осталось сделать, хлыст]]*Таблица47[[#This Row],[длина]])*Таблица47[[#This Row],[Периметр]])/28),"")</f>
        <v/>
      </c>
      <c r="Q260" s="303"/>
      <c r="R260" s="991">
        <f>IFERROR(Таблица47[[#This Row],[Коли-
чество м.п.]]/Таблица47[[#This Row],[Количество хлыстов]],"")</f>
        <v>6</v>
      </c>
      <c r="S260" s="639" t="s">
        <v>4998</v>
      </c>
      <c r="T260" s="639">
        <v>24</v>
      </c>
      <c r="U260" s="640">
        <v>4</v>
      </c>
      <c r="V260" s="639">
        <v>0.3075</v>
      </c>
      <c r="W260" s="639">
        <v>0.85</v>
      </c>
      <c r="X260" s="639">
        <v>7.38</v>
      </c>
      <c r="Y260" s="639">
        <v>20.399999999999999</v>
      </c>
      <c r="Z260" s="639">
        <v>0.96</v>
      </c>
      <c r="AA260" s="639">
        <v>113.78</v>
      </c>
      <c r="AB260" s="639">
        <v>370</v>
      </c>
      <c r="AC260" s="641">
        <v>2730.6</v>
      </c>
    </row>
    <row r="261" spans="1:29" ht="15.75" customHeight="1" x14ac:dyDescent="0.25">
      <c r="A261" s="427" t="s">
        <v>4678</v>
      </c>
      <c r="B261" s="309">
        <v>153</v>
      </c>
      <c r="C261" s="309"/>
      <c r="D261" s="304" t="s">
        <v>34</v>
      </c>
      <c r="E261" s="304" t="s">
        <v>3404</v>
      </c>
      <c r="F261" s="310">
        <v>45362</v>
      </c>
      <c r="G261" s="310"/>
      <c r="H261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1" s="645" t="str">
        <f>CONCATENATE(Таблица47[[#This Row],[№ заявки в 1С]],Таблица47[[#This Row],[Наименование            ]])</f>
        <v>153[89520] 2606-58, 6,0м, 6063 Т6, уп.Т5, БА</v>
      </c>
      <c r="J261" s="110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1" s="110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1" s="110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1" s="1102"/>
      <c r="N261" s="1103">
        <v>10</v>
      </c>
      <c r="O261" s="1013" t="str">
        <f>IFERROR(Таблица47[[#This Row],[Количество хлыстов]]-Таблица47[[#This Row],[Обработано в 1С]]-Таблица47[[#This Row],[Корректировка]],"")</f>
        <v/>
      </c>
      <c r="P261" s="638" t="str">
        <f>IFERROR((((Таблица47[[#This Row],[Осталось сделать, хлыст]]*Таблица47[[#This Row],[длина]])*Таблица47[[#This Row],[Периметр]])/28),"")</f>
        <v/>
      </c>
      <c r="Q261" s="304"/>
      <c r="R261" s="991">
        <f>IFERROR(Таблица47[[#This Row],[Коли-
чество м.п.]]/Таблица47[[#This Row],[Количество хлыстов]],"")</f>
        <v>6</v>
      </c>
      <c r="S261" s="991" t="s">
        <v>5290</v>
      </c>
      <c r="T261" s="991">
        <v>60</v>
      </c>
      <c r="U261" s="1018">
        <v>10</v>
      </c>
      <c r="V261" s="991">
        <v>0.1883</v>
      </c>
      <c r="W261" s="991">
        <v>0.318</v>
      </c>
      <c r="X261" s="991">
        <v>11.298</v>
      </c>
      <c r="Y261" s="991">
        <v>19.079999999999998</v>
      </c>
      <c r="Z261" s="991">
        <v>1.47</v>
      </c>
      <c r="AA261" s="991">
        <v>113.78</v>
      </c>
      <c r="AB261" s="991">
        <v>370</v>
      </c>
      <c r="AC261" s="1019">
        <v>6826.5</v>
      </c>
    </row>
    <row r="262" spans="1:29" ht="15.75" customHeight="1" x14ac:dyDescent="0.25">
      <c r="A262" s="427" t="s">
        <v>4678</v>
      </c>
      <c r="B262" s="309">
        <v>155</v>
      </c>
      <c r="C262" s="309"/>
      <c r="D262" s="303" t="s">
        <v>34</v>
      </c>
      <c r="E262" s="303" t="s">
        <v>201</v>
      </c>
      <c r="F262" s="528">
        <v>45363</v>
      </c>
      <c r="G262" s="528"/>
      <c r="H262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2" s="522" t="str">
        <f>CONCATENATE(Таблица47[[#This Row],[№ заявки в 1С]],Таблица47[[#This Row],[Наименование            ]])</f>
        <v>155[34252] 0906-64, 6,0м, 6063 Т1, упаковка Т-5, БА (4000 пресс)</v>
      </c>
      <c r="J26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2" s="635">
        <v>7</v>
      </c>
      <c r="N262" s="1119">
        <v>142</v>
      </c>
      <c r="O262" s="1013" t="str">
        <f>IFERROR(Таблица47[[#This Row],[Количество хлыстов]]-Таблица47[[#This Row],[Обработано в 1С]]-Таблица47[[#This Row],[Корректировка]],"")</f>
        <v/>
      </c>
      <c r="P262" s="638" t="str">
        <f>IFERROR((((Таблица47[[#This Row],[Осталось сделать, хлыст]]*Таблица47[[#This Row],[длина]])*Таблица47[[#This Row],[Периметр]])/28),"")</f>
        <v/>
      </c>
      <c r="Q262" s="303" t="s">
        <v>4970</v>
      </c>
      <c r="R262" s="991">
        <f>IFERROR(Таблица47[[#This Row],[Коли-
чество м.п.]]/Таблица47[[#This Row],[Количество хлыстов]],"")</f>
        <v>6</v>
      </c>
      <c r="S262" s="639" t="s">
        <v>2561</v>
      </c>
      <c r="T262" s="639">
        <v>894</v>
      </c>
      <c r="U262" s="640">
        <v>149</v>
      </c>
      <c r="V262" s="639">
        <v>0.31109999999999999</v>
      </c>
      <c r="W262" s="639">
        <v>1.7769999999999999</v>
      </c>
      <c r="X262" s="639">
        <v>278.1234</v>
      </c>
      <c r="Y262" s="639">
        <v>1588.6379999999999</v>
      </c>
      <c r="Z262" s="639">
        <v>36.159999999999997</v>
      </c>
      <c r="AA262" s="639">
        <v>135.33000000000001</v>
      </c>
      <c r="AB262" s="639">
        <v>435</v>
      </c>
      <c r="AC262" s="641">
        <v>120983.67999999999</v>
      </c>
    </row>
    <row r="263" spans="1:29" ht="15.75" customHeight="1" x14ac:dyDescent="0.25">
      <c r="A263" s="427" t="s">
        <v>4678</v>
      </c>
      <c r="B263" s="309" t="s">
        <v>4958</v>
      </c>
      <c r="C263" s="309"/>
      <c r="D263" s="303" t="s">
        <v>34</v>
      </c>
      <c r="E263" s="303" t="s">
        <v>16</v>
      </c>
      <c r="F263" s="528">
        <v>45363</v>
      </c>
      <c r="G263" s="528"/>
      <c r="H26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3" s="522" t="str">
        <f>CONCATENATE(Таблица47[[#This Row],[№ заявки в 1С]],Таблица47[[#This Row],[Наименование            ]])</f>
        <v>OPT000252[11564] 0106-235, 6,0м, 6063 Т6, упаковка Т-5, под анод тип 2, БА (прессовать на плюсовом допуске)</v>
      </c>
      <c r="J26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3" s="635">
        <v>5</v>
      </c>
      <c r="N263" s="1119">
        <v>183</v>
      </c>
      <c r="O263" s="1013" t="str">
        <f>IFERROR(Таблица47[[#This Row],[Количество хлыстов]]-Таблица47[[#This Row],[Обработано в 1С]]-Таблица47[[#This Row],[Корректировка]],"")</f>
        <v/>
      </c>
      <c r="P263" s="638" t="str">
        <f>IFERROR((((Таблица47[[#This Row],[Осталось сделать, хлыст]]*Таблица47[[#This Row],[длина]])*Таблица47[[#This Row],[Периметр]])/28),"")</f>
        <v/>
      </c>
      <c r="Q263" s="303" t="s">
        <v>3116</v>
      </c>
      <c r="R263" s="991">
        <f>IFERROR(Таблица47[[#This Row],[Коли-
чество м.п.]]/Таблица47[[#This Row],[Количество хлыстов]],"")</f>
        <v>6</v>
      </c>
      <c r="S263" s="639" t="s">
        <v>2581</v>
      </c>
      <c r="T263" s="639">
        <v>1128</v>
      </c>
      <c r="U263" s="640">
        <v>188</v>
      </c>
      <c r="V263" s="639">
        <v>0.56989999999999996</v>
      </c>
      <c r="W263" s="639">
        <v>1.304</v>
      </c>
      <c r="X263" s="639">
        <v>642.84720000000004</v>
      </c>
      <c r="Y263" s="639">
        <v>1470.912</v>
      </c>
      <c r="Z263" s="639">
        <v>83.57</v>
      </c>
      <c r="AA263" s="639">
        <v>324.83999999999997</v>
      </c>
      <c r="AB263" s="639">
        <v>570</v>
      </c>
      <c r="AC263" s="641">
        <v>366422.9</v>
      </c>
    </row>
    <row r="264" spans="1:29" ht="15.75" customHeight="1" x14ac:dyDescent="0.25">
      <c r="A264" s="427" t="s">
        <v>4678</v>
      </c>
      <c r="B264" s="309" t="s">
        <v>4959</v>
      </c>
      <c r="C264" s="309"/>
      <c r="D264" s="303" t="s">
        <v>34</v>
      </c>
      <c r="E264" s="303" t="s">
        <v>16</v>
      </c>
      <c r="F264" s="528">
        <v>45363</v>
      </c>
      <c r="G264" s="528"/>
      <c r="H26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4" s="522" t="str">
        <f>CONCATENATE(Таблица47[[#This Row],[№ заявки в 1С]],Таблица47[[#This Row],[Наименование            ]])</f>
        <v>OPT000253[13620] 0106-290 (6158), 6,0м, 6063 Т1, тип 1, упаковка Т-5, БА</v>
      </c>
      <c r="J26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4" s="635"/>
      <c r="N264" s="1119">
        <v>32</v>
      </c>
      <c r="O264" s="1013" t="str">
        <f>IFERROR(Таблица47[[#This Row],[Количество хлыстов]]-Таблица47[[#This Row],[Обработано в 1С]]-Таблица47[[#This Row],[Корректировка]],"")</f>
        <v/>
      </c>
      <c r="P264" s="638" t="str">
        <f>IFERROR((((Таблица47[[#This Row],[Осталось сделать, хлыст]]*Таблица47[[#This Row],[длина]])*Таблица47[[#This Row],[Периметр]])/28),"")</f>
        <v/>
      </c>
      <c r="Q264" s="303"/>
      <c r="R264" s="991">
        <f>IFERROR(Таблица47[[#This Row],[Коли-
чество м.п.]]/Таблица47[[#This Row],[Количество хлыстов]],"")</f>
        <v>6</v>
      </c>
      <c r="S264" s="639" t="s">
        <v>5693</v>
      </c>
      <c r="T264" s="639">
        <v>192</v>
      </c>
      <c r="U264" s="640">
        <v>32</v>
      </c>
      <c r="V264" s="639">
        <v>0.29970000000000002</v>
      </c>
      <c r="W264" s="639">
        <v>1.6739999999999999</v>
      </c>
      <c r="X264" s="639">
        <v>57.542400000000001</v>
      </c>
      <c r="Y264" s="639">
        <v>321.40800000000002</v>
      </c>
      <c r="Z264" s="639">
        <v>7.48</v>
      </c>
      <c r="AA264" s="639">
        <v>130.37</v>
      </c>
      <c r="AB264" s="639">
        <v>435</v>
      </c>
      <c r="AC264" s="641">
        <v>25030.94</v>
      </c>
    </row>
    <row r="265" spans="1:29" s="1021" customFormat="1" ht="15.75" customHeight="1" x14ac:dyDescent="0.25">
      <c r="A265" s="979" t="s">
        <v>4978</v>
      </c>
      <c r="B265" s="1067">
        <v>157</v>
      </c>
      <c r="C265" s="1067"/>
      <c r="D265" s="1105" t="s">
        <v>34</v>
      </c>
      <c r="E265" s="1068" t="s">
        <v>643</v>
      </c>
      <c r="F265" s="1069">
        <v>45363</v>
      </c>
      <c r="G265" s="1069"/>
      <c r="H26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5" s="620" t="str">
        <f>CONCATENATE(Таблица47[[#This Row],[№ заявки в 1С]],Таблица47[[#This Row],[Наименование            ]])</f>
        <v>157[75756] 0106-206, 4,8м, БЦ (5мкм без дроби под покраску)</v>
      </c>
      <c r="J26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5" s="1082"/>
      <c r="N265" s="1120">
        <v>60</v>
      </c>
      <c r="O265" s="1020" t="str">
        <f>IFERROR(Таблица47[[#This Row],[Количество хлыстов]]-Таблица47[[#This Row],[Обработано в 1С]]-Таблица47[[#This Row],[Корректировка]],"")</f>
        <v/>
      </c>
      <c r="P265" s="638" t="str">
        <f>IFERROR((((Таблица47[[#This Row],[Осталось сделать, хлыст]]*Таблица47[[#This Row],[длина]])*Таблица47[[#This Row],[Периметр]])/28),"")</f>
        <v/>
      </c>
      <c r="Q265" s="1068"/>
      <c r="R265" s="1097">
        <f>IFERROR(Таблица47[[#This Row],[Коли-
чество м.п.]]/Таблица47[[#This Row],[Количество хлыстов]],"")</f>
        <v>4.8</v>
      </c>
      <c r="S265" s="1083" t="s">
        <v>4763</v>
      </c>
      <c r="T265" s="1083">
        <v>288</v>
      </c>
      <c r="U265" s="1084">
        <v>60</v>
      </c>
      <c r="V265" s="1083">
        <v>0.22650000000000001</v>
      </c>
      <c r="W265" s="1083">
        <v>0.52700000000000002</v>
      </c>
      <c r="X265" s="1083">
        <v>65.231999999999999</v>
      </c>
      <c r="Y265" s="1083">
        <v>151.77600000000001</v>
      </c>
      <c r="Z265" s="1083">
        <v>8.48</v>
      </c>
      <c r="AA265" s="1083">
        <v>74.459999999999994</v>
      </c>
      <c r="AB265" s="1083">
        <v>328.75</v>
      </c>
      <c r="AC265" s="1085">
        <v>21445.02</v>
      </c>
    </row>
    <row r="266" spans="1:29" s="1021" customFormat="1" ht="15.75" customHeight="1" x14ac:dyDescent="0.25">
      <c r="A266" s="979" t="s">
        <v>4978</v>
      </c>
      <c r="B266" s="1067">
        <v>157</v>
      </c>
      <c r="C266" s="1067"/>
      <c r="D266" s="1105" t="s">
        <v>34</v>
      </c>
      <c r="E266" s="1068" t="s">
        <v>643</v>
      </c>
      <c r="F266" s="1069">
        <v>45363</v>
      </c>
      <c r="G266" s="1069"/>
      <c r="H26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6" s="620" t="str">
        <f>CONCATENATE(Таблица47[[#This Row],[№ заявки в 1С]],Таблица47[[#This Row],[Наименование            ]])</f>
        <v>157[75754] 0106-206, 4,2м, БЦ (5мкм без дроби под покраску)</v>
      </c>
      <c r="J26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6" s="1082"/>
      <c r="N266" s="1120">
        <v>97</v>
      </c>
      <c r="O266" s="1020" t="str">
        <f>IFERROR(Таблица47[[#This Row],[Количество хлыстов]]-Таблица47[[#This Row],[Обработано в 1С]]-Таблица47[[#This Row],[Корректировка]],"")</f>
        <v/>
      </c>
      <c r="P266" s="638" t="str">
        <f>IFERROR((((Таблица47[[#This Row],[Осталось сделать, хлыст]]*Таблица47[[#This Row],[длина]])*Таблица47[[#This Row],[Периметр]])/28),"")</f>
        <v/>
      </c>
      <c r="Q266" s="1068"/>
      <c r="R266" s="1097">
        <f>IFERROR(Таблица47[[#This Row],[Коли-
чество м.п.]]/Таблица47[[#This Row],[Количество хлыстов]],"")</f>
        <v>4.2</v>
      </c>
      <c r="S266" s="1083" t="s">
        <v>4764</v>
      </c>
      <c r="T266" s="1083">
        <v>407.4</v>
      </c>
      <c r="U266" s="1084">
        <v>97</v>
      </c>
      <c r="V266" s="1083">
        <v>0.22650000000000001</v>
      </c>
      <c r="W266" s="1083">
        <v>0.52700000000000002</v>
      </c>
      <c r="X266" s="1083">
        <v>92.2761</v>
      </c>
      <c r="Y266" s="1083">
        <v>214.69980000000001</v>
      </c>
      <c r="Z266" s="1083">
        <v>12</v>
      </c>
      <c r="AA266" s="1083">
        <v>74.459999999999994</v>
      </c>
      <c r="AB266" s="1083">
        <v>328.75</v>
      </c>
      <c r="AC266" s="1085">
        <v>30335.77</v>
      </c>
    </row>
    <row r="267" spans="1:29" ht="15.75" customHeight="1" x14ac:dyDescent="0.25">
      <c r="A267" s="238" t="s">
        <v>4678</v>
      </c>
      <c r="B267" s="1070">
        <v>159</v>
      </c>
      <c r="C267" s="1070" t="s">
        <v>4753</v>
      </c>
      <c r="D267" s="200" t="s">
        <v>13</v>
      </c>
      <c r="E267" s="200" t="s">
        <v>292</v>
      </c>
      <c r="F267" s="201">
        <v>45365</v>
      </c>
      <c r="G267" s="201">
        <v>45414</v>
      </c>
      <c r="H267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7" s="587" t="str">
        <f>CONCATENATE(Таблица47[[#This Row],[№ заявки в 1С]],Таблица47[[#This Row],[Наименование            ]])</f>
        <v>159[89733] ПМ37 (Д), 5м, сплав 6063</v>
      </c>
      <c r="J267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7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7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7" s="1062"/>
      <c r="N267" s="1117">
        <v>1000</v>
      </c>
      <c r="O267" s="1013" t="str">
        <f>IFERROR(Таблица47[[#This Row],[Количество хлыстов]]-Таблица47[[#This Row],[Обработано в 1С]]-Таблица47[[#This Row],[Корректировка]],"")</f>
        <v/>
      </c>
      <c r="P267" s="638" t="str">
        <f>IFERROR((((Таблица47[[#This Row],[Осталось сделать, хлыст]]*Таблица47[[#This Row],[длина]])*Таблица47[[#This Row],[Периметр]])/28),"")</f>
        <v/>
      </c>
      <c r="Q267" s="200"/>
      <c r="R267" s="1059">
        <f>IFERROR(Таблица47[[#This Row],[Коли-
чество м.п.]]/Таблица47[[#This Row],[Количество хлыстов]],"")</f>
        <v>5</v>
      </c>
      <c r="S267" s="1043" t="s">
        <v>4973</v>
      </c>
      <c r="T267" s="1043">
        <v>5000</v>
      </c>
      <c r="U267" s="1042">
        <v>1000</v>
      </c>
      <c r="V267" s="1043">
        <v>5.3999999999999999E-2</v>
      </c>
      <c r="W267" s="1043">
        <v>1.2999999999999999E-2</v>
      </c>
      <c r="X267" s="1043">
        <v>270</v>
      </c>
      <c r="Y267" s="1043">
        <v>65</v>
      </c>
      <c r="Z267" s="1043">
        <v>35.1</v>
      </c>
      <c r="AA267" s="1043">
        <v>55.36</v>
      </c>
      <c r="AB267" s="1043">
        <v>1025.19</v>
      </c>
      <c r="AC267" s="1044">
        <v>276800</v>
      </c>
    </row>
    <row r="268" spans="1:29" ht="15.75" customHeight="1" x14ac:dyDescent="0.25">
      <c r="A268" s="427" t="s">
        <v>4678</v>
      </c>
      <c r="B268" s="309">
        <v>160</v>
      </c>
      <c r="C268" s="309" t="s">
        <v>4753</v>
      </c>
      <c r="D268" s="303" t="s">
        <v>13</v>
      </c>
      <c r="E268" s="303" t="s">
        <v>5093</v>
      </c>
      <c r="F268" s="528">
        <v>45406</v>
      </c>
      <c r="G268" s="528">
        <v>45453</v>
      </c>
      <c r="H26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8" s="522" t="str">
        <f>CONCATENATE(Таблица47[[#This Row],[№ заявки в 1С]],Таблица47[[#This Row],[Наименование            ]])</f>
        <v>160[89736] 209247 Д, 3,75м, сплав 6063</v>
      </c>
      <c r="J26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8" s="635">
        <v>2</v>
      </c>
      <c r="N268" s="1119">
        <v>340</v>
      </c>
      <c r="O268" s="1013" t="str">
        <f>IFERROR(Таблица47[[#This Row],[Количество хлыстов]]-Таблица47[[#This Row],[Обработано в 1С]]-Таблица47[[#This Row],[Корректировка]],"")</f>
        <v/>
      </c>
      <c r="P268" s="638" t="str">
        <f>IFERROR((((Таблица47[[#This Row],[Осталось сделать, хлыст]]*Таблица47[[#This Row],[длина]])*Таблица47[[#This Row],[Периметр]])/28),"")</f>
        <v/>
      </c>
      <c r="Q268" s="303" t="s">
        <v>4809</v>
      </c>
      <c r="R268" s="991">
        <f>IFERROR(Таблица47[[#This Row],[Коли-
чество м.п.]]/Таблица47[[#This Row],[Количество хлыстов]],"")</f>
        <v>3.75</v>
      </c>
      <c r="S268" s="639" t="s">
        <v>5092</v>
      </c>
      <c r="T268" s="639">
        <v>1282.5</v>
      </c>
      <c r="U268" s="640">
        <v>342</v>
      </c>
      <c r="V268" s="639">
        <v>0.23039999999999999</v>
      </c>
      <c r="W268" s="639">
        <v>0.77900000000000003</v>
      </c>
      <c r="X268" s="639">
        <v>295.488</v>
      </c>
      <c r="Y268" s="639">
        <v>999.0675</v>
      </c>
      <c r="Z268" s="639">
        <v>38.409999999999997</v>
      </c>
      <c r="AA268" s="639">
        <v>193.57</v>
      </c>
      <c r="AB268" s="639">
        <v>840.15</v>
      </c>
      <c r="AC268" s="641">
        <v>248254</v>
      </c>
    </row>
    <row r="269" spans="1:29" s="1021" customFormat="1" ht="15.75" customHeight="1" x14ac:dyDescent="0.25">
      <c r="A269" s="979" t="s">
        <v>4978</v>
      </c>
      <c r="B269" s="980">
        <v>163</v>
      </c>
      <c r="C269" s="980"/>
      <c r="D269" s="509" t="s">
        <v>34</v>
      </c>
      <c r="E269" s="509" t="s">
        <v>4807</v>
      </c>
      <c r="F269" s="510">
        <v>45376</v>
      </c>
      <c r="G269" s="510"/>
      <c r="H269" s="98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69" s="681" t="str">
        <f>CONCATENATE(Таблица47[[#This Row],[№ заявки в 1С]],Таблица47[[#This Row],[Наименование            ]])</f>
        <v>163[50071] 216004, рама, 5,3 м, сплав АД 31 Т1 , упаковка А3</v>
      </c>
      <c r="J269" s="981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69" s="981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69" s="981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69" s="981"/>
      <c r="N269" s="982">
        <v>634</v>
      </c>
      <c r="O269" s="1020" t="str">
        <f>IFERROR(Таблица47[[#This Row],[Количество хлыстов]]-Таблица47[[#This Row],[Обработано в 1С]]-Таблица47[[#This Row],[Корректировка]],"")</f>
        <v/>
      </c>
      <c r="P269" s="638" t="str">
        <f>IFERROR((((Таблица47[[#This Row],[Осталось сделать, хлыст]]*Таблица47[[#This Row],[длина]])*Таблица47[[#This Row],[Периметр]])/28),"")</f>
        <v/>
      </c>
      <c r="Q269" s="983"/>
      <c r="R269" s="993">
        <f>IFERROR(Таблица47[[#This Row],[Коли-
чество м.п.]]/Таблица47[[#This Row],[Количество хлыстов]],"")</f>
        <v>5.3</v>
      </c>
      <c r="S269" s="509" t="s">
        <v>4806</v>
      </c>
      <c r="T269" s="984">
        <v>3360.2</v>
      </c>
      <c r="U269" s="985">
        <v>634</v>
      </c>
      <c r="V269" s="984">
        <v>0.22270000000000001</v>
      </c>
      <c r="W269" s="984">
        <v>0.52700000000000002</v>
      </c>
      <c r="X269" s="984">
        <v>748.31650000000002</v>
      </c>
      <c r="Y269" s="984">
        <v>1770.8253999999999</v>
      </c>
      <c r="Z269" s="984">
        <v>97.28</v>
      </c>
      <c r="AA269" s="984">
        <v>73.209999999999994</v>
      </c>
      <c r="AB269" s="984">
        <v>328.75</v>
      </c>
      <c r="AC269" s="986">
        <v>246009.06</v>
      </c>
    </row>
    <row r="270" spans="1:29" ht="15.75" customHeight="1" x14ac:dyDescent="0.25">
      <c r="A270" s="238" t="s">
        <v>4939</v>
      </c>
      <c r="B270" s="1070">
        <v>165</v>
      </c>
      <c r="C270" s="1070"/>
      <c r="D270" s="200" t="s">
        <v>13</v>
      </c>
      <c r="E270" s="200" t="s">
        <v>32</v>
      </c>
      <c r="F270" s="201">
        <v>45370</v>
      </c>
      <c r="G270" s="201">
        <v>45390</v>
      </c>
      <c r="H270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0" s="587" t="str">
        <f>CONCATENATE(Таблица47[[#This Row],[№ заявки в 1С]],Таблица47[[#This Row],[Наименование            ]])</f>
        <v>165[76552] 1606-38  5,15 м, сплав 6063 КР Т6</v>
      </c>
      <c r="J270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0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0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0" s="1062"/>
      <c r="N270" s="1117">
        <v>31</v>
      </c>
      <c r="O270" s="1013" t="str">
        <f>IFERROR(Таблица47[[#This Row],[Количество хлыстов]]-Таблица47[[#This Row],[Обработано в 1С]]-Таблица47[[#This Row],[Корректировка]],"")</f>
        <v/>
      </c>
      <c r="P270" s="638" t="str">
        <f>IFERROR((((Таблица47[[#This Row],[Осталось сделать, хлыст]]*Таблица47[[#This Row],[длина]])*Таблица47[[#This Row],[Периметр]])/28),"")</f>
        <v/>
      </c>
      <c r="Q270" s="200" t="s">
        <v>4997</v>
      </c>
      <c r="R270" s="1059">
        <f>IFERROR(Таблица47[[#This Row],[Коли-
чество м.п.]]/Таблица47[[#This Row],[Количество хлыстов]],"")</f>
        <v>5.15</v>
      </c>
      <c r="S270" s="1043" t="s">
        <v>5026</v>
      </c>
      <c r="T270" s="1043">
        <v>159.65</v>
      </c>
      <c r="U270" s="1042">
        <v>31</v>
      </c>
      <c r="V270" s="1043">
        <v>0.15790000000000001</v>
      </c>
      <c r="W270" s="1043">
        <v>0.309</v>
      </c>
      <c r="X270" s="1043">
        <v>25.2087</v>
      </c>
      <c r="Y270" s="1043">
        <v>49.331899999999997</v>
      </c>
      <c r="Z270" s="1043">
        <v>3.28</v>
      </c>
      <c r="AA270" s="1043">
        <v>102.64</v>
      </c>
      <c r="AB270" s="1043">
        <v>650</v>
      </c>
      <c r="AC270" s="1044">
        <v>16385.68</v>
      </c>
    </row>
    <row r="271" spans="1:29" ht="15.75" customHeight="1" x14ac:dyDescent="0.25">
      <c r="A271" s="427" t="s">
        <v>4678</v>
      </c>
      <c r="B271" s="309" t="s">
        <v>4977</v>
      </c>
      <c r="C271" s="309"/>
      <c r="D271" s="303" t="s">
        <v>34</v>
      </c>
      <c r="E271" s="303" t="s">
        <v>16</v>
      </c>
      <c r="F271" s="528">
        <v>45376</v>
      </c>
      <c r="G271" s="528"/>
      <c r="H2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1" s="522" t="str">
        <f>CONCATENATE(Таблица47[[#This Row],[№ заявки в 1С]],Таблица47[[#This Row],[Наименование            ]])</f>
        <v>OPT000285[38435] 0506-20, 6,0м, 6063 Т1, упаковка Т-5, под анод тип 1, БА</v>
      </c>
      <c r="J27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1" s="635"/>
      <c r="N271" s="636">
        <f>70+86</f>
        <v>156</v>
      </c>
      <c r="O271" s="1013" t="str">
        <f>IFERROR(Таблица47[[#This Row],[Количество хлыстов]]-Таблица47[[#This Row],[Обработано в 1С]]-Таблица47[[#This Row],[Корректировка]],"")</f>
        <v/>
      </c>
      <c r="P271" s="638" t="str">
        <f>IFERROR((((Таблица47[[#This Row],[Осталось сделать, хлыст]]*Таблица47[[#This Row],[длина]])*Таблица47[[#This Row],[Периметр]])/28),"")</f>
        <v/>
      </c>
      <c r="Q271" s="303"/>
      <c r="R271" s="639">
        <f>IFERROR(Таблица47[[#This Row],[Коли-
чество м.п.]]/Таблица47[[#This Row],[Количество хлыстов]],"")</f>
        <v>6</v>
      </c>
      <c r="S271" s="303" t="s">
        <v>2730</v>
      </c>
      <c r="T271" s="639">
        <v>936</v>
      </c>
      <c r="U271" s="640">
        <v>156</v>
      </c>
      <c r="V271" s="639">
        <v>0.3498</v>
      </c>
      <c r="W271" s="639">
        <v>1.425</v>
      </c>
      <c r="X271" s="639">
        <v>327.4128</v>
      </c>
      <c r="Y271" s="639">
        <v>1333.8</v>
      </c>
      <c r="Z271" s="639">
        <v>42.56</v>
      </c>
      <c r="AA271" s="639">
        <v>152.16</v>
      </c>
      <c r="AB271" s="639">
        <v>435</v>
      </c>
      <c r="AC271" s="641">
        <v>142424.57</v>
      </c>
    </row>
    <row r="272" spans="1:29" ht="15.75" customHeight="1" x14ac:dyDescent="0.25">
      <c r="A272" s="427" t="s">
        <v>4678</v>
      </c>
      <c r="B272" s="309" t="s">
        <v>4976</v>
      </c>
      <c r="C272" s="309"/>
      <c r="D272" s="303" t="s">
        <v>34</v>
      </c>
      <c r="E272" s="303" t="s">
        <v>16</v>
      </c>
      <c r="F272" s="528">
        <v>45376</v>
      </c>
      <c r="G272" s="528"/>
      <c r="H27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2" s="522" t="str">
        <f>CONCATENATE(Таблица47[[#This Row],[№ заявки в 1С]],Таблица47[[#This Row],[Наименование            ]])</f>
        <v>OPT000287[38436] 0506-21, 6,0м, 6063 Т1, тип 1, упаковка Т-5, БА</v>
      </c>
      <c r="J27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2" s="635"/>
      <c r="N272" s="636">
        <f>28+2+26+28+28</f>
        <v>112</v>
      </c>
      <c r="O272" s="1013" t="str">
        <f>IFERROR(Таблица47[[#This Row],[Количество хлыстов]]-Таблица47[[#This Row],[Обработано в 1С]]-Таблица47[[#This Row],[Корректировка]],"")</f>
        <v/>
      </c>
      <c r="P272" s="638" t="str">
        <f>IFERROR((((Таблица47[[#This Row],[Осталось сделать, хлыст]]*Таблица47[[#This Row],[длина]])*Таблица47[[#This Row],[Периметр]])/28),"")</f>
        <v/>
      </c>
      <c r="Q272" s="303"/>
      <c r="R272" s="639">
        <f>IFERROR(Таблица47[[#This Row],[Коли-
чество м.п.]]/Таблица47[[#This Row],[Количество хлыстов]],"")</f>
        <v>6</v>
      </c>
      <c r="S272" s="303" t="s">
        <v>2469</v>
      </c>
      <c r="T272" s="639">
        <v>672</v>
      </c>
      <c r="U272" s="640">
        <v>112</v>
      </c>
      <c r="V272" s="639">
        <v>0.70820000000000005</v>
      </c>
      <c r="W272" s="639">
        <v>3.4609999999999999</v>
      </c>
      <c r="X272" s="639">
        <v>475.91039999999998</v>
      </c>
      <c r="Y272" s="639">
        <v>2325.7919999999999</v>
      </c>
      <c r="Z272" s="639">
        <v>61.87</v>
      </c>
      <c r="AA272" s="639">
        <v>308.07</v>
      </c>
      <c r="AB272" s="639">
        <v>435</v>
      </c>
      <c r="AC272" s="641">
        <v>207021.02</v>
      </c>
    </row>
    <row r="273" spans="1:29" s="1021" customFormat="1" ht="15.75" customHeight="1" x14ac:dyDescent="0.25">
      <c r="A273" s="1106" t="s">
        <v>4979</v>
      </c>
      <c r="B273" s="1067">
        <v>167</v>
      </c>
      <c r="C273" s="1067"/>
      <c r="D273" s="1105" t="s">
        <v>34</v>
      </c>
      <c r="E273" s="1068" t="s">
        <v>4981</v>
      </c>
      <c r="F273" s="1069">
        <v>45370</v>
      </c>
      <c r="G273" s="1069"/>
      <c r="H27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3" s="612" t="str">
        <f>CONCATENATE(Таблица47[[#This Row],[№ заявки в 1С]],Таблица47[[#This Row],[Наименование            ]])</f>
        <v>167[32437] D22/20 (0906-25, НЧП 612-1), 6,0м, с перфорацией, БА</v>
      </c>
      <c r="J27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3" s="1082"/>
      <c r="N273" s="1120">
        <v>30</v>
      </c>
      <c r="O273" s="1020" t="str">
        <f>IFERROR(Таблица47[[#This Row],[Количество хлыстов]]-Таблица47[[#This Row],[Обработано в 1С]]-Таблица47[[#This Row],[Корректировка]],"")</f>
        <v/>
      </c>
      <c r="P273" s="638" t="str">
        <f>IFERROR((((Таблица47[[#This Row],[Осталось сделать, хлыст]]*Таблица47[[#This Row],[длина]])*Таблица47[[#This Row],[Периметр]])/28),"")</f>
        <v/>
      </c>
      <c r="Q273" s="1068"/>
      <c r="R273" s="1097">
        <f>IFERROR(Таблица47[[#This Row],[Коли-
чество м.п.]]/Таблица47[[#This Row],[Количество хлыстов]],"")</f>
        <v>6</v>
      </c>
      <c r="S273" s="1083" t="s">
        <v>4980</v>
      </c>
      <c r="T273" s="1083">
        <v>180</v>
      </c>
      <c r="U273" s="1084">
        <v>30</v>
      </c>
      <c r="V273" s="1083">
        <v>0.2631</v>
      </c>
      <c r="W273" s="1083">
        <v>0.48099999999999998</v>
      </c>
      <c r="X273" s="1083">
        <v>47.357999999999997</v>
      </c>
      <c r="Y273" s="1083">
        <v>86.58</v>
      </c>
      <c r="Z273" s="1083">
        <v>6.16</v>
      </c>
      <c r="AA273" s="1083" t="s">
        <v>17</v>
      </c>
      <c r="AB273" s="1083" t="s">
        <v>17</v>
      </c>
      <c r="AC273" s="1085" t="s">
        <v>17</v>
      </c>
    </row>
    <row r="274" spans="1:29" s="1021" customFormat="1" ht="15.75" customHeight="1" x14ac:dyDescent="0.25">
      <c r="A274" s="1106" t="s">
        <v>4979</v>
      </c>
      <c r="B274" s="1067">
        <v>167</v>
      </c>
      <c r="C274" s="1067"/>
      <c r="D274" s="1105" t="s">
        <v>34</v>
      </c>
      <c r="E274" s="1068" t="s">
        <v>4981</v>
      </c>
      <c r="F274" s="1069">
        <v>45370</v>
      </c>
      <c r="G274" s="1069"/>
      <c r="H27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4" s="612" t="str">
        <f>CONCATENATE(Таблица47[[#This Row],[№ заявки в 1С]],Таблица47[[#This Row],[Наименование            ]])</f>
        <v>167[17167] F16 (0306-26), капельник, 6,0м, БА</v>
      </c>
      <c r="J27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4" s="1082"/>
      <c r="N274" s="1120">
        <v>60</v>
      </c>
      <c r="O274" s="1020" t="str">
        <f>IFERROR(Таблица47[[#This Row],[Количество хлыстов]]-Таблица47[[#This Row],[Обработано в 1С]]-Таблица47[[#This Row],[Корректировка]],"")</f>
        <v/>
      </c>
      <c r="P274" s="638" t="str">
        <f>IFERROR((((Таблица47[[#This Row],[Осталось сделать, хлыст]]*Таблица47[[#This Row],[длина]])*Таблица47[[#This Row],[Периметр]])/28),"")</f>
        <v/>
      </c>
      <c r="Q274" s="1068"/>
      <c r="R274" s="1097">
        <f>IFERROR(Таблица47[[#This Row],[Коли-
чество м.п.]]/Таблица47[[#This Row],[Количество хлыстов]],"")</f>
        <v>6</v>
      </c>
      <c r="S274" s="1083" t="s">
        <v>4982</v>
      </c>
      <c r="T274" s="1083">
        <v>360</v>
      </c>
      <c r="U274" s="1084">
        <v>60</v>
      </c>
      <c r="V274" s="1083">
        <v>0.1</v>
      </c>
      <c r="W274" s="1083">
        <v>0.13</v>
      </c>
      <c r="X274" s="1083">
        <v>36</v>
      </c>
      <c r="Y274" s="1083">
        <v>46.8</v>
      </c>
      <c r="Z274" s="1083">
        <v>4.68</v>
      </c>
      <c r="AA274" s="1083" t="s">
        <v>17</v>
      </c>
      <c r="AB274" s="1083" t="s">
        <v>17</v>
      </c>
      <c r="AC274" s="1085" t="s">
        <v>17</v>
      </c>
    </row>
    <row r="275" spans="1:29" s="1021" customFormat="1" ht="15.75" customHeight="1" x14ac:dyDescent="0.25">
      <c r="A275" s="1106" t="s">
        <v>4979</v>
      </c>
      <c r="B275" s="1067">
        <v>168</v>
      </c>
      <c r="C275" s="1067"/>
      <c r="D275" s="1105" t="s">
        <v>34</v>
      </c>
      <c r="E275" s="1068" t="s">
        <v>4981</v>
      </c>
      <c r="F275" s="1069">
        <v>45370</v>
      </c>
      <c r="G275" s="1069"/>
      <c r="H27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5" s="612" t="str">
        <f>CONCATENATE(Таблица47[[#This Row],[№ заявки в 1С]],Таблица47[[#This Row],[Наименование            ]])</f>
        <v>168[32437] D22/20 (0906-25, НЧП 612-1), 6,0м, с перфорацией, БА</v>
      </c>
      <c r="J27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5" s="1082"/>
      <c r="N275" s="1120">
        <v>30</v>
      </c>
      <c r="O275" s="1020" t="str">
        <f>IFERROR(Таблица47[[#This Row],[Количество хлыстов]]-Таблица47[[#This Row],[Обработано в 1С]]-Таблица47[[#This Row],[Корректировка]],"")</f>
        <v/>
      </c>
      <c r="P275" s="638" t="str">
        <f>IFERROR((((Таблица47[[#This Row],[Осталось сделать, хлыст]]*Таблица47[[#This Row],[длина]])*Таблица47[[#This Row],[Периметр]])/28),"")</f>
        <v/>
      </c>
      <c r="Q275" s="1068"/>
      <c r="R275" s="1097">
        <f>IFERROR(Таблица47[[#This Row],[Коли-
чество м.п.]]/Таблица47[[#This Row],[Количество хлыстов]],"")</f>
        <v>6</v>
      </c>
      <c r="S275" s="1083" t="s">
        <v>4980</v>
      </c>
      <c r="T275" s="1083">
        <v>180</v>
      </c>
      <c r="U275" s="1084">
        <v>30</v>
      </c>
      <c r="V275" s="1083">
        <v>0.2631</v>
      </c>
      <c r="W275" s="1083">
        <v>0.48099999999999998</v>
      </c>
      <c r="X275" s="1083">
        <v>47.357999999999997</v>
      </c>
      <c r="Y275" s="1083">
        <v>86.58</v>
      </c>
      <c r="Z275" s="1083">
        <v>6.16</v>
      </c>
      <c r="AA275" s="1083" t="s">
        <v>17</v>
      </c>
      <c r="AB275" s="1083" t="s">
        <v>17</v>
      </c>
      <c r="AC275" s="1085" t="s">
        <v>17</v>
      </c>
    </row>
    <row r="276" spans="1:29" s="1021" customFormat="1" ht="15.75" customHeight="1" x14ac:dyDescent="0.25">
      <c r="A276" s="1106" t="s">
        <v>4979</v>
      </c>
      <c r="B276" s="1067">
        <v>168</v>
      </c>
      <c r="C276" s="1067"/>
      <c r="D276" s="1105" t="s">
        <v>34</v>
      </c>
      <c r="E276" s="1068" t="s">
        <v>4981</v>
      </c>
      <c r="F276" s="1069">
        <v>45370</v>
      </c>
      <c r="G276" s="1069"/>
      <c r="H27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6" s="612" t="str">
        <f>CONCATENATE(Таблица47[[#This Row],[№ заявки в 1С]],Таблица47[[#This Row],[Наименование            ]])</f>
        <v>168[17167] F16 (0306-26), капельник, 6,0м, БА</v>
      </c>
      <c r="J27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6" s="1082"/>
      <c r="N276" s="1120">
        <v>60</v>
      </c>
      <c r="O276" s="1020" t="str">
        <f>IFERROR(Таблица47[[#This Row],[Количество хлыстов]]-Таблица47[[#This Row],[Обработано в 1С]]-Таблица47[[#This Row],[Корректировка]],"")</f>
        <v/>
      </c>
      <c r="P276" s="638" t="str">
        <f>IFERROR((((Таблица47[[#This Row],[Осталось сделать, хлыст]]*Таблица47[[#This Row],[длина]])*Таблица47[[#This Row],[Периметр]])/28),"")</f>
        <v/>
      </c>
      <c r="Q276" s="1068"/>
      <c r="R276" s="1097">
        <f>IFERROR(Таблица47[[#This Row],[Коли-
чество м.п.]]/Таблица47[[#This Row],[Количество хлыстов]],"")</f>
        <v>6</v>
      </c>
      <c r="S276" s="1083" t="s">
        <v>4982</v>
      </c>
      <c r="T276" s="1083">
        <v>360</v>
      </c>
      <c r="U276" s="1084">
        <v>60</v>
      </c>
      <c r="V276" s="1083">
        <v>0.1</v>
      </c>
      <c r="W276" s="1083">
        <v>0.13</v>
      </c>
      <c r="X276" s="1083">
        <v>36</v>
      </c>
      <c r="Y276" s="1083">
        <v>46.8</v>
      </c>
      <c r="Z276" s="1083">
        <v>4.68</v>
      </c>
      <c r="AA276" s="1083" t="s">
        <v>17</v>
      </c>
      <c r="AB276" s="1083" t="s">
        <v>17</v>
      </c>
      <c r="AC276" s="1085" t="s">
        <v>17</v>
      </c>
    </row>
    <row r="277" spans="1:29" s="1021" customFormat="1" ht="15.75" customHeight="1" x14ac:dyDescent="0.25">
      <c r="A277" s="1106" t="s">
        <v>4979</v>
      </c>
      <c r="B277" s="1067">
        <v>169</v>
      </c>
      <c r="C277" s="1067"/>
      <c r="D277" s="1105" t="s">
        <v>34</v>
      </c>
      <c r="E277" s="1068" t="s">
        <v>4981</v>
      </c>
      <c r="F277" s="1069">
        <v>45370</v>
      </c>
      <c r="G277" s="1069"/>
      <c r="H27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7" s="612" t="str">
        <f>CONCATENATE(Таблица47[[#This Row],[№ заявки в 1С]],Таблица47[[#This Row],[Наименование            ]])</f>
        <v>169[32437] D22/20 (0906-25, НЧП 612-1), 6,0м, с перфорацией, БА</v>
      </c>
      <c r="J27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7" s="1082"/>
      <c r="N277" s="1120">
        <v>20</v>
      </c>
      <c r="O277" s="1020" t="str">
        <f>IFERROR(Таблица47[[#This Row],[Количество хлыстов]]-Таблица47[[#This Row],[Обработано в 1С]]-Таблица47[[#This Row],[Корректировка]],"")</f>
        <v/>
      </c>
      <c r="P277" s="638" t="str">
        <f>IFERROR((((Таблица47[[#This Row],[Осталось сделать, хлыст]]*Таблица47[[#This Row],[длина]])*Таблица47[[#This Row],[Периметр]])/28),"")</f>
        <v/>
      </c>
      <c r="Q277" s="1068"/>
      <c r="R277" s="1097">
        <f>IFERROR(Таблица47[[#This Row],[Коли-
чество м.п.]]/Таблица47[[#This Row],[Количество хлыстов]],"")</f>
        <v>6</v>
      </c>
      <c r="S277" s="1083" t="s">
        <v>4980</v>
      </c>
      <c r="T277" s="1083">
        <v>120</v>
      </c>
      <c r="U277" s="1084">
        <v>20</v>
      </c>
      <c r="V277" s="1083">
        <v>0.2631</v>
      </c>
      <c r="W277" s="1083">
        <v>0.48099999999999998</v>
      </c>
      <c r="X277" s="1083">
        <v>31.571999999999999</v>
      </c>
      <c r="Y277" s="1083">
        <v>57.72</v>
      </c>
      <c r="Z277" s="1083">
        <v>4.0999999999999996</v>
      </c>
      <c r="AA277" s="1083" t="s">
        <v>17</v>
      </c>
      <c r="AB277" s="1083" t="s">
        <v>17</v>
      </c>
      <c r="AC277" s="1085" t="s">
        <v>17</v>
      </c>
    </row>
    <row r="278" spans="1:29" s="1021" customFormat="1" ht="16.5" customHeight="1" x14ac:dyDescent="0.25">
      <c r="A278" s="1106" t="s">
        <v>4979</v>
      </c>
      <c r="B278" s="1067">
        <v>169</v>
      </c>
      <c r="C278" s="1067"/>
      <c r="D278" s="1105" t="s">
        <v>34</v>
      </c>
      <c r="E278" s="1068" t="s">
        <v>4981</v>
      </c>
      <c r="F278" s="1069">
        <v>45370</v>
      </c>
      <c r="G278" s="1069"/>
      <c r="H27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8" s="612" t="str">
        <f>CONCATENATE(Таблица47[[#This Row],[№ заявки в 1С]],Таблица47[[#This Row],[Наименование            ]])</f>
        <v>169[17167] F16 (0306-26), капельник, 6,0м, БА</v>
      </c>
      <c r="J27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8" s="1082"/>
      <c r="N278" s="1120">
        <v>90</v>
      </c>
      <c r="O278" s="1020" t="str">
        <f>IFERROR(Таблица47[[#This Row],[Количество хлыстов]]-Таблица47[[#This Row],[Обработано в 1С]]-Таблица47[[#This Row],[Корректировка]],"")</f>
        <v/>
      </c>
      <c r="P278" s="638" t="str">
        <f>IFERROR((((Таблица47[[#This Row],[Осталось сделать, хлыст]]*Таблица47[[#This Row],[длина]])*Таблица47[[#This Row],[Периметр]])/28),"")</f>
        <v/>
      </c>
      <c r="Q278" s="1068"/>
      <c r="R278" s="1097">
        <f>IFERROR(Таблица47[[#This Row],[Коли-
чество м.п.]]/Таблица47[[#This Row],[Количество хлыстов]],"")</f>
        <v>6</v>
      </c>
      <c r="S278" s="1083" t="s">
        <v>4982</v>
      </c>
      <c r="T278" s="1083">
        <v>540</v>
      </c>
      <c r="U278" s="1084">
        <v>90</v>
      </c>
      <c r="V278" s="1083">
        <v>0.1</v>
      </c>
      <c r="W278" s="1083">
        <v>0.13</v>
      </c>
      <c r="X278" s="1083">
        <v>54</v>
      </c>
      <c r="Y278" s="1083">
        <v>70.2</v>
      </c>
      <c r="Z278" s="1083">
        <v>7.02</v>
      </c>
      <c r="AA278" s="1083" t="s">
        <v>17</v>
      </c>
      <c r="AB278" s="1083" t="s">
        <v>17</v>
      </c>
      <c r="AC278" s="1085" t="s">
        <v>17</v>
      </c>
    </row>
    <row r="279" spans="1:29" ht="15.75" customHeight="1" x14ac:dyDescent="0.25">
      <c r="A279" s="427" t="s">
        <v>4678</v>
      </c>
      <c r="B279" s="309" t="s">
        <v>5001</v>
      </c>
      <c r="C279" s="309"/>
      <c r="D279" s="303" t="s">
        <v>34</v>
      </c>
      <c r="E279" s="303" t="s">
        <v>16</v>
      </c>
      <c r="F279" s="528">
        <v>45370</v>
      </c>
      <c r="G279" s="528"/>
      <c r="H27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79" s="522" t="str">
        <f>CONCATENATE(Таблица47[[#This Row],[№ заявки в 1С]],Таблица47[[#This Row],[Наименование            ]])</f>
        <v>OPT000288[13620] 0106-290 (6158), 6,0м, 6063 Т1, тип 1, упаковка Т-5, БА</v>
      </c>
      <c r="J27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7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7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79" s="635">
        <v>97</v>
      </c>
      <c r="N279" s="1119">
        <v>39</v>
      </c>
      <c r="O279" s="1013" t="str">
        <f>IFERROR(Таблица47[[#This Row],[Количество хлыстов]]-Таблица47[[#This Row],[Обработано в 1С]]-Таблица47[[#This Row],[Корректировка]],"")</f>
        <v/>
      </c>
      <c r="P279" s="638" t="str">
        <f>IFERROR((((Таблица47[[#This Row],[Осталось сделать, хлыст]]*Таблица47[[#This Row],[длина]])*Таблица47[[#This Row],[Периметр]])/28),"")</f>
        <v/>
      </c>
      <c r="Q279" s="303" t="s">
        <v>5002</v>
      </c>
      <c r="R279" s="1114">
        <f>IFERROR(Таблица47[[#This Row],[Коли-
чество м.п.]]/Таблица47[[#This Row],[Количество хлыстов]],"")</f>
        <v>6</v>
      </c>
      <c r="S279" s="639" t="s">
        <v>5693</v>
      </c>
      <c r="T279" s="639">
        <v>816</v>
      </c>
      <c r="U279" s="640">
        <v>136</v>
      </c>
      <c r="V279" s="639">
        <v>0.29970000000000002</v>
      </c>
      <c r="W279" s="639">
        <v>1.6739999999999999</v>
      </c>
      <c r="X279" s="639">
        <v>244.55520000000001</v>
      </c>
      <c r="Y279" s="639">
        <v>1365.9839999999999</v>
      </c>
      <c r="Z279" s="639">
        <v>31.79</v>
      </c>
      <c r="AA279" s="639">
        <v>170.83</v>
      </c>
      <c r="AB279" s="639">
        <v>570</v>
      </c>
      <c r="AC279" s="641">
        <v>139396.46</v>
      </c>
    </row>
    <row r="280" spans="1:29" ht="15.75" customHeight="1" x14ac:dyDescent="0.25">
      <c r="A280" s="427" t="s">
        <v>4678</v>
      </c>
      <c r="B280" s="309" t="s">
        <v>4985</v>
      </c>
      <c r="C280" s="309"/>
      <c r="D280" s="303" t="s">
        <v>34</v>
      </c>
      <c r="E280" s="303" t="s">
        <v>5326</v>
      </c>
      <c r="F280" s="528">
        <v>45371</v>
      </c>
      <c r="G280" s="528"/>
      <c r="H28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0" s="522" t="str">
        <f>CONCATENATE(Таблица47[[#This Row],[№ заявки в 1С]],Таблица47[[#This Row],[Наименование            ]])</f>
        <v>OPT000293[87164] Профиль порога AD77 29/16 (17).Y (1806-44) 6,5м,  Б/А</v>
      </c>
      <c r="J28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0" s="635">
        <v>1</v>
      </c>
      <c r="N280" s="1119">
        <v>140</v>
      </c>
      <c r="O280" s="1013" t="str">
        <f>IFERROR(Таблица47[[#This Row],[Количество хлыстов]]-Таблица47[[#This Row],[Обработано в 1С]]-Таблица47[[#This Row],[Корректировка]],"")</f>
        <v/>
      </c>
      <c r="P280" s="638" t="str">
        <f>IFERROR((((Таблица47[[#This Row],[Осталось сделать, хлыст]]*Таблица47[[#This Row],[длина]])*Таблица47[[#This Row],[Периметр]])/28),"")</f>
        <v/>
      </c>
      <c r="Q280" s="303" t="s">
        <v>5071</v>
      </c>
      <c r="R280" s="991">
        <f>IFERROR(Таблица47[[#This Row],[Коли-
чество м.п.]]/Таблица47[[#This Row],[Количество хлыстов]],"")</f>
        <v>6.5</v>
      </c>
      <c r="S280" s="639" t="s">
        <v>4512</v>
      </c>
      <c r="T280" s="639">
        <v>916.5</v>
      </c>
      <c r="U280" s="640">
        <v>141</v>
      </c>
      <c r="V280" s="639">
        <v>0.13950000000000001</v>
      </c>
      <c r="W280" s="639">
        <v>0.47399999999999998</v>
      </c>
      <c r="X280" s="639">
        <v>127.8518</v>
      </c>
      <c r="Y280" s="639">
        <v>434.42099999999999</v>
      </c>
      <c r="Z280" s="639">
        <v>16.62</v>
      </c>
      <c r="AA280" s="639">
        <v>201.76</v>
      </c>
      <c r="AB280" s="639">
        <v>1446.29</v>
      </c>
      <c r="AC280" s="641">
        <v>184910.28</v>
      </c>
    </row>
    <row r="281" spans="1:29" ht="15.75" customHeight="1" x14ac:dyDescent="0.25">
      <c r="A281" s="427" t="s">
        <v>4678</v>
      </c>
      <c r="B281" s="309" t="s">
        <v>4985</v>
      </c>
      <c r="C281" s="309"/>
      <c r="D281" s="303" t="s">
        <v>34</v>
      </c>
      <c r="E281" s="303" t="s">
        <v>5326</v>
      </c>
      <c r="F281" s="528">
        <v>45371</v>
      </c>
      <c r="G281" s="528"/>
      <c r="H28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1" s="522" t="str">
        <f>CONCATENATE(Таблица47[[#This Row],[№ заявки в 1С]],Таблица47[[#This Row],[Наименование            ]])</f>
        <v>OPT000293[87165] Профиль порога AD77 31/16 (17).X (1806-45) 6,5м,  Б/А</v>
      </c>
      <c r="J28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1" s="635"/>
      <c r="N281" s="1119">
        <v>224</v>
      </c>
      <c r="O281" s="1013" t="str">
        <f>IFERROR(Таблица47[[#This Row],[Количество хлыстов]]-Таблица47[[#This Row],[Обработано в 1С]]-Таблица47[[#This Row],[Корректировка]],"")</f>
        <v/>
      </c>
      <c r="P281" s="638" t="str">
        <f>IFERROR((((Таблица47[[#This Row],[Осталось сделать, хлыст]]*Таблица47[[#This Row],[длина]])*Таблица47[[#This Row],[Периметр]])/28),"")</f>
        <v/>
      </c>
      <c r="Q281" s="303"/>
      <c r="R281" s="991">
        <f>IFERROR(Таблица47[[#This Row],[Коли-
чество м.п.]]/Таблица47[[#This Row],[Количество хлыстов]],"")</f>
        <v>6.5</v>
      </c>
      <c r="S281" s="639" t="s">
        <v>4513</v>
      </c>
      <c r="T281" s="639">
        <v>1456</v>
      </c>
      <c r="U281" s="640">
        <v>224</v>
      </c>
      <c r="V281" s="639">
        <v>0.1454</v>
      </c>
      <c r="W281" s="639">
        <v>0.65100000000000002</v>
      </c>
      <c r="X281" s="639">
        <v>211.70240000000001</v>
      </c>
      <c r="Y281" s="639">
        <v>947.85599999999999</v>
      </c>
      <c r="Z281" s="639">
        <v>27.52</v>
      </c>
      <c r="AA281" s="639">
        <v>192.4</v>
      </c>
      <c r="AB281" s="639">
        <v>1323.27</v>
      </c>
      <c r="AC281" s="641">
        <v>280140.12</v>
      </c>
    </row>
    <row r="282" spans="1:29" ht="15.75" customHeight="1" x14ac:dyDescent="0.25">
      <c r="A282" s="427" t="s">
        <v>4678</v>
      </c>
      <c r="B282" s="1070">
        <v>172</v>
      </c>
      <c r="C282" s="1070" t="s">
        <v>4753</v>
      </c>
      <c r="D282" s="200" t="s">
        <v>13</v>
      </c>
      <c r="E282" s="200" t="s">
        <v>4021</v>
      </c>
      <c r="F282" s="201">
        <v>45372</v>
      </c>
      <c r="G282" s="201">
        <v>45404</v>
      </c>
      <c r="H28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2" s="522" t="str">
        <f>CONCATENATE(Таблица47[[#This Row],[№ заявки в 1С]],Таблица47[[#This Row],[Наименование            ]])</f>
        <v>172[89918] Труба АД31Т 25х1х6000 (Д),</v>
      </c>
      <c r="J28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2" s="635"/>
      <c r="N282" s="1119">
        <v>40</v>
      </c>
      <c r="O282" s="1013" t="str">
        <f>IFERROR(Таблица47[[#This Row],[Количество хлыстов]]-Таблица47[[#This Row],[Обработано в 1С]]-Таблица47[[#This Row],[Корректировка]],"")</f>
        <v/>
      </c>
      <c r="P282" s="638" t="str">
        <f>IFERROR((((Таблица47[[#This Row],[Осталось сделать, хлыст]]*Таблица47[[#This Row],[длина]])*Таблица47[[#This Row],[Периметр]])/28),"")</f>
        <v/>
      </c>
      <c r="Q282" s="303"/>
      <c r="R282" s="991">
        <f>IFERROR(Таблица47[[#This Row],[Коли-
чество м.п.]]/Таблица47[[#This Row],[Количество хлыстов]],"")</f>
        <v>6</v>
      </c>
      <c r="S282" s="639" t="s">
        <v>4984</v>
      </c>
      <c r="T282" s="639">
        <v>240</v>
      </c>
      <c r="U282" s="640">
        <v>40</v>
      </c>
      <c r="V282" s="639">
        <v>7.9000000000000001E-2</v>
      </c>
      <c r="W282" s="639">
        <v>0.20300000000000001</v>
      </c>
      <c r="X282" s="639">
        <v>18.96</v>
      </c>
      <c r="Y282" s="639">
        <v>48.72</v>
      </c>
      <c r="Z282" s="639">
        <v>2.46</v>
      </c>
      <c r="AA282" s="639">
        <v>90</v>
      </c>
      <c r="AB282" s="639">
        <v>1139.24</v>
      </c>
      <c r="AC282" s="641">
        <v>21600</v>
      </c>
    </row>
    <row r="283" spans="1:29" ht="15.75" customHeight="1" x14ac:dyDescent="0.25">
      <c r="A283" s="427" t="s">
        <v>4678</v>
      </c>
      <c r="B283" s="309">
        <v>174</v>
      </c>
      <c r="C283" s="309"/>
      <c r="D283" s="303" t="s">
        <v>13</v>
      </c>
      <c r="E283" s="303" t="s">
        <v>4986</v>
      </c>
      <c r="F283" s="528">
        <v>45372</v>
      </c>
      <c r="G283" s="528"/>
      <c r="H2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3" s="522" t="str">
        <f>CONCATENATE(Таблица47[[#This Row],[№ заявки в 1С]],Таблица47[[#This Row],[Наименование            ]])</f>
        <v>174[89023] 2606-54 6,05м 6063 Т6</v>
      </c>
      <c r="J28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3" s="635"/>
      <c r="N283" s="1119">
        <v>5</v>
      </c>
      <c r="O283" s="1013" t="str">
        <f>IFERROR(Таблица47[[#This Row],[Количество хлыстов]]-Таблица47[[#This Row],[Обработано в 1С]]-Таблица47[[#This Row],[Корректировка]],"")</f>
        <v/>
      </c>
      <c r="P283" s="638" t="str">
        <f>IFERROR((((Таблица47[[#This Row],[Осталось сделать, хлыст]]*Таблица47[[#This Row],[длина]])*Таблица47[[#This Row],[Периметр]])/28),"")</f>
        <v/>
      </c>
      <c r="Q283" s="303"/>
      <c r="R283" s="991">
        <f>IFERROR(Таблица47[[#This Row],[Коли-
чество м.п.]]/Таблица47[[#This Row],[Количество хлыстов]],"")</f>
        <v>6.05</v>
      </c>
      <c r="S283" s="639" t="s">
        <v>4987</v>
      </c>
      <c r="T283" s="639">
        <v>30.25</v>
      </c>
      <c r="U283" s="640">
        <v>5</v>
      </c>
      <c r="V283" s="639">
        <v>0.23899999999999999</v>
      </c>
      <c r="W283" s="639">
        <v>0.65400000000000003</v>
      </c>
      <c r="X283" s="639">
        <v>7.2298</v>
      </c>
      <c r="Y283" s="639">
        <v>19.7835</v>
      </c>
      <c r="Z283" s="639">
        <v>0.94</v>
      </c>
      <c r="AA283" s="639">
        <v>97.99</v>
      </c>
      <c r="AB283" s="639">
        <v>410</v>
      </c>
      <c r="AC283" s="641">
        <v>2964.2</v>
      </c>
    </row>
    <row r="284" spans="1:29" s="1021" customFormat="1" ht="15.75" customHeight="1" x14ac:dyDescent="0.25">
      <c r="A284" s="979" t="s">
        <v>4978</v>
      </c>
      <c r="B284" s="1067">
        <v>176</v>
      </c>
      <c r="C284" s="1067"/>
      <c r="D284" s="1068" t="s">
        <v>34</v>
      </c>
      <c r="E284" s="1068" t="s">
        <v>4807</v>
      </c>
      <c r="F284" s="1069">
        <v>45397</v>
      </c>
      <c r="G284" s="1069"/>
      <c r="H28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4" s="612" t="str">
        <f>CONCATENATE(Таблица47[[#This Row],[№ заявки в 1С]],Таблица47[[#This Row],[Наименование            ]])</f>
        <v>176[41109] 216073, НИЖНЯЯ БАЛКА, 5,75 м, сплав АД31Т1, БА</v>
      </c>
      <c r="J28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4" s="1082"/>
      <c r="N284" s="1120">
        <v>128</v>
      </c>
      <c r="O284" s="1020" t="str">
        <f>IFERROR(Таблица47[[#This Row],[Количество хлыстов]]-Таблица47[[#This Row],[Обработано в 1С]]-Таблица47[[#This Row],[Корректировка]],"")</f>
        <v/>
      </c>
      <c r="P284" s="638" t="str">
        <f>IFERROR((((Таблица47[[#This Row],[Осталось сделать, хлыст]]*Таблица47[[#This Row],[длина]])*Таблица47[[#This Row],[Периметр]])/28),"")</f>
        <v/>
      </c>
      <c r="Q284" s="1068" t="s">
        <v>559</v>
      </c>
      <c r="R284" s="1089">
        <f>IFERROR(Таблица47[[#This Row],[Коли-
чество м.п.]]/Таблица47[[#This Row],[Количество хлыстов]],"")</f>
        <v>5.75</v>
      </c>
      <c r="S284" s="1083" t="s">
        <v>4989</v>
      </c>
      <c r="T284" s="1083">
        <v>736</v>
      </c>
      <c r="U284" s="1084">
        <v>128</v>
      </c>
      <c r="V284" s="1083">
        <v>0.32119999999999999</v>
      </c>
      <c r="W284" s="1083">
        <v>0.622</v>
      </c>
      <c r="X284" s="1083">
        <v>236.4032</v>
      </c>
      <c r="Y284" s="1083">
        <v>457.79199999999997</v>
      </c>
      <c r="Z284" s="1083">
        <v>30.73</v>
      </c>
      <c r="AA284" s="1083">
        <v>105.59</v>
      </c>
      <c r="AB284" s="1083">
        <v>328.75</v>
      </c>
      <c r="AC284" s="1085">
        <v>77717.55</v>
      </c>
    </row>
    <row r="285" spans="1:29" s="1021" customFormat="1" ht="15.75" customHeight="1" x14ac:dyDescent="0.25">
      <c r="A285" s="979" t="s">
        <v>4978</v>
      </c>
      <c r="B285" s="1067">
        <v>176</v>
      </c>
      <c r="C285" s="1067"/>
      <c r="D285" s="1068" t="s">
        <v>34</v>
      </c>
      <c r="E285" s="1068" t="s">
        <v>4807</v>
      </c>
      <c r="F285" s="1069">
        <v>45397</v>
      </c>
      <c r="G285" s="1069"/>
      <c r="H28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5" s="612" t="str">
        <f>CONCATENATE(Таблица47[[#This Row],[№ заявки в 1С]],Таблица47[[#This Row],[Наименование            ]])</f>
        <v>176[64905] 216033, БОК, 6,0 м, сплав АД31Т1, БА</v>
      </c>
      <c r="J28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5" s="1082"/>
      <c r="N285" s="1120">
        <v>158</v>
      </c>
      <c r="O285" s="1020" t="str">
        <f>IFERROR(Таблица47[[#This Row],[Количество хлыстов]]-Таблица47[[#This Row],[Обработано в 1С]]-Таблица47[[#This Row],[Корректировка]],"")</f>
        <v/>
      </c>
      <c r="P285" s="638" t="str">
        <f>IFERROR((((Таблица47[[#This Row],[Осталось сделать, хлыст]]*Таблица47[[#This Row],[длина]])*Таблица47[[#This Row],[Периметр]])/28),"")</f>
        <v/>
      </c>
      <c r="Q285" s="1068"/>
      <c r="R285" s="1089">
        <f>IFERROR(Таблица47[[#This Row],[Коли-
чество м.п.]]/Таблица47[[#This Row],[Количество хлыстов]],"")</f>
        <v>6</v>
      </c>
      <c r="S285" s="1083" t="s">
        <v>4804</v>
      </c>
      <c r="T285" s="1083">
        <v>948</v>
      </c>
      <c r="U285" s="1084">
        <v>158</v>
      </c>
      <c r="V285" s="1083">
        <v>0.27610000000000001</v>
      </c>
      <c r="W285" s="1083">
        <v>0.93400000000000005</v>
      </c>
      <c r="X285" s="1083">
        <v>261.74279999999999</v>
      </c>
      <c r="Y285" s="1083">
        <v>885.43200000000002</v>
      </c>
      <c r="Z285" s="1083">
        <v>34.03</v>
      </c>
      <c r="AA285" s="1083">
        <v>90.77</v>
      </c>
      <c r="AB285" s="1083">
        <v>328.75</v>
      </c>
      <c r="AC285" s="1085">
        <v>86047.95</v>
      </c>
    </row>
    <row r="286" spans="1:29" s="1021" customFormat="1" ht="15.75" customHeight="1" x14ac:dyDescent="0.25">
      <c r="A286" s="979" t="s">
        <v>4978</v>
      </c>
      <c r="B286" s="1067">
        <v>176</v>
      </c>
      <c r="C286" s="1067"/>
      <c r="D286" s="1068" t="s">
        <v>34</v>
      </c>
      <c r="E286" s="1068" t="s">
        <v>4807</v>
      </c>
      <c r="F286" s="1069">
        <v>45397</v>
      </c>
      <c r="G286" s="1069"/>
      <c r="H28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6" s="612" t="str">
        <f>CONCATENATE(Таблица47[[#This Row],[№ заявки в 1С]],Таблица47[[#This Row],[Наименование            ]])</f>
        <v>176[41108] 216074, ВЕРХНЯЯ БАЛКА, 5,95 м, сплав АД31Т1, БА</v>
      </c>
      <c r="J28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6" s="1082"/>
      <c r="N286" s="1120">
        <v>60</v>
      </c>
      <c r="O286" s="1020" t="str">
        <f>IFERROR(Таблица47[[#This Row],[Количество хлыстов]]-Таблица47[[#This Row],[Обработано в 1С]]-Таблица47[[#This Row],[Корректировка]],"")</f>
        <v/>
      </c>
      <c r="P286" s="638" t="str">
        <f>IFERROR((((Таблица47[[#This Row],[Осталось сделать, хлыст]]*Таблица47[[#This Row],[длина]])*Таблица47[[#This Row],[Периметр]])/28),"")</f>
        <v/>
      </c>
      <c r="Q286" s="1068"/>
      <c r="R286" s="1089">
        <f>IFERROR(Таблица47[[#This Row],[Коли-
чество м.п.]]/Таблица47[[#This Row],[Количество хлыстов]],"")</f>
        <v>5.95</v>
      </c>
      <c r="S286" s="1083" t="s">
        <v>4805</v>
      </c>
      <c r="T286" s="1083">
        <v>357</v>
      </c>
      <c r="U286" s="1084">
        <v>60</v>
      </c>
      <c r="V286" s="1083">
        <v>0.58020000000000005</v>
      </c>
      <c r="W286" s="1083">
        <v>1.306</v>
      </c>
      <c r="X286" s="1083">
        <v>207.13140000000001</v>
      </c>
      <c r="Y286" s="1083">
        <v>466.24200000000002</v>
      </c>
      <c r="Z286" s="1083">
        <v>26.93</v>
      </c>
      <c r="AA286" s="1083">
        <v>190.74</v>
      </c>
      <c r="AB286" s="1083">
        <v>328.75</v>
      </c>
      <c r="AC286" s="1085">
        <v>68094.45</v>
      </c>
    </row>
    <row r="287" spans="1:29" s="1021" customFormat="1" ht="15.75" customHeight="1" x14ac:dyDescent="0.25">
      <c r="A287" s="979" t="s">
        <v>4978</v>
      </c>
      <c r="B287" s="1067">
        <v>176</v>
      </c>
      <c r="C287" s="1067"/>
      <c r="D287" s="1068" t="s">
        <v>34</v>
      </c>
      <c r="E287" s="1068" t="s">
        <v>4807</v>
      </c>
      <c r="F287" s="1069">
        <v>45397</v>
      </c>
      <c r="G287" s="1069"/>
      <c r="H28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7" s="612" t="str">
        <f>CONCATENATE(Таблица47[[#This Row],[№ заявки в 1С]],Таблица47[[#This Row],[Наименование            ]])</f>
        <v>176[75789] 215234, рама-ручка R10/R8, 5.6 м, сплав 6060 Т66, БА</v>
      </c>
      <c r="J28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7" s="1082"/>
      <c r="N287" s="1120">
        <v>257</v>
      </c>
      <c r="O287" s="1020" t="str">
        <f>IFERROR(Таблица47[[#This Row],[Количество хлыстов]]-Таблица47[[#This Row],[Обработано в 1С]]-Таблица47[[#This Row],[Корректировка]],"")</f>
        <v/>
      </c>
      <c r="P287" s="638" t="str">
        <f>IFERROR((((Таблица47[[#This Row],[Осталось сделать, хлыст]]*Таблица47[[#This Row],[длина]])*Таблица47[[#This Row],[Периметр]])/28),"")</f>
        <v/>
      </c>
      <c r="Q287" s="1068"/>
      <c r="R287" s="1089">
        <f>IFERROR(Таблица47[[#This Row],[Коли-
чество м.п.]]/Таблица47[[#This Row],[Количество хлыстов]],"")</f>
        <v>5.6000000000000005</v>
      </c>
      <c r="S287" s="1083" t="s">
        <v>4898</v>
      </c>
      <c r="T287" s="1083">
        <v>1439.2</v>
      </c>
      <c r="U287" s="1084">
        <v>257</v>
      </c>
      <c r="V287" s="1083">
        <v>0.1734</v>
      </c>
      <c r="W287" s="1083">
        <v>0.38200000000000001</v>
      </c>
      <c r="X287" s="1083">
        <v>249.5573</v>
      </c>
      <c r="Y287" s="1083">
        <v>549.77440000000001</v>
      </c>
      <c r="Z287" s="1083">
        <v>32.44</v>
      </c>
      <c r="AA287" s="1083">
        <v>57.01</v>
      </c>
      <c r="AB287" s="1083">
        <v>328.75</v>
      </c>
      <c r="AC287" s="1085">
        <v>82041.960000000006</v>
      </c>
    </row>
    <row r="288" spans="1:29" ht="15.75" customHeight="1" x14ac:dyDescent="0.25">
      <c r="A288" s="427" t="s">
        <v>4678</v>
      </c>
      <c r="B288" s="309">
        <v>177</v>
      </c>
      <c r="C288" s="309"/>
      <c r="D288" s="303" t="s">
        <v>13</v>
      </c>
      <c r="E288" s="303" t="s">
        <v>4990</v>
      </c>
      <c r="F288" s="528">
        <v>45373</v>
      </c>
      <c r="G288" s="528">
        <v>45414</v>
      </c>
      <c r="H288" s="112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8" s="522" t="str">
        <f>CONCATENATE(Таблица47[[#This Row],[№ заявки в 1С]],Таблица47[[#This Row],[Наименование            ]])</f>
        <v>177[85087] 1706-96, 3,0м, АД31 Т1,  БА</v>
      </c>
      <c r="J28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8" s="635">
        <v>1</v>
      </c>
      <c r="N288" s="1119">
        <v>322</v>
      </c>
      <c r="O288" s="1013" t="str">
        <f>IFERROR(Таблица47[[#This Row],[Количество хлыстов]]-Таблица47[[#This Row],[Обработано в 1С]]-Таблица47[[#This Row],[Корректировка]],"")</f>
        <v/>
      </c>
      <c r="P288" s="638" t="str">
        <f>IFERROR((((Таблица47[[#This Row],[Осталось сделать, хлыст]]*Таблица47[[#This Row],[длина]])*Таблица47[[#This Row],[Периметр]])/28),"")</f>
        <v/>
      </c>
      <c r="Q288" s="303" t="s">
        <v>4937</v>
      </c>
      <c r="R288" s="991">
        <f>IFERROR(Таблица47[[#This Row],[Коли-
чество м.п.]]/Таблица47[[#This Row],[Количество хлыстов]],"")</f>
        <v>3</v>
      </c>
      <c r="S288" s="639" t="s">
        <v>3949</v>
      </c>
      <c r="T288" s="639">
        <v>969</v>
      </c>
      <c r="U288" s="640">
        <v>323</v>
      </c>
      <c r="V288" s="639">
        <v>0.12659999999999999</v>
      </c>
      <c r="W288" s="639">
        <v>0.30499999999999999</v>
      </c>
      <c r="X288" s="639">
        <v>122.6754</v>
      </c>
      <c r="Y288" s="639">
        <v>295.54500000000002</v>
      </c>
      <c r="Z288" s="639">
        <v>15.95</v>
      </c>
      <c r="AA288" s="639">
        <v>51.91</v>
      </c>
      <c r="AB288" s="639">
        <v>390</v>
      </c>
      <c r="AC288" s="641">
        <f>Таблица47[[#This Row],[Цена м2
руб]]*Таблица47[[#This Row],[Площадь общая, м2]]</f>
        <v>47843.405999999995</v>
      </c>
    </row>
    <row r="289" spans="1:29" ht="15.75" customHeight="1" x14ac:dyDescent="0.25">
      <c r="A289" s="427" t="s">
        <v>4678</v>
      </c>
      <c r="B289" s="309">
        <v>178</v>
      </c>
      <c r="C289" s="309"/>
      <c r="D289" s="303" t="s">
        <v>13</v>
      </c>
      <c r="E289" s="303" t="s">
        <v>4990</v>
      </c>
      <c r="F289" s="528">
        <v>45373</v>
      </c>
      <c r="G289" s="528">
        <v>45414</v>
      </c>
      <c r="H28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89" s="522" t="str">
        <f>CONCATENATE(Таблица47[[#This Row],[№ заявки в 1С]],Таблица47[[#This Row],[Наименование            ]])</f>
        <v>178[83660] 1706-98, 3,0м, Ад31 Т1, уп. Т5, БА</v>
      </c>
      <c r="J28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8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8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89" s="635">
        <v>1</v>
      </c>
      <c r="N289" s="1119">
        <v>311</v>
      </c>
      <c r="O289" s="1013" t="str">
        <f>IFERROR(Таблица47[[#This Row],[Количество хлыстов]]-Таблица47[[#This Row],[Обработано в 1С]]-Таблица47[[#This Row],[Корректировка]],"")</f>
        <v/>
      </c>
      <c r="P289" s="638" t="str">
        <f>IFERROR((((Таблица47[[#This Row],[Осталось сделать, хлыст]]*Таблица47[[#This Row],[длина]])*Таблица47[[#This Row],[Периметр]])/28),"")</f>
        <v/>
      </c>
      <c r="Q289" s="303" t="s">
        <v>4937</v>
      </c>
      <c r="R289" s="991">
        <f>IFERROR(Таблица47[[#This Row],[Коли-
чество м.п.]]/Таблица47[[#This Row],[Количество хлыстов]],"")</f>
        <v>3</v>
      </c>
      <c r="S289" s="639" t="s">
        <v>4298</v>
      </c>
      <c r="T289" s="639">
        <v>936</v>
      </c>
      <c r="U289" s="640">
        <v>312</v>
      </c>
      <c r="V289" s="639">
        <v>0.15190000000000001</v>
      </c>
      <c r="W289" s="639">
        <v>0.377</v>
      </c>
      <c r="X289" s="639">
        <v>142.17840000000001</v>
      </c>
      <c r="Y289" s="639">
        <v>352.87200000000001</v>
      </c>
      <c r="Z289" s="639">
        <v>18.48</v>
      </c>
      <c r="AA289" s="639">
        <v>62.28</v>
      </c>
      <c r="AB289" s="639">
        <v>390</v>
      </c>
      <c r="AC289" s="641">
        <f>Таблица47[[#This Row],[Цена м2
руб]]*Таблица47[[#This Row],[Площадь общая, м2]]</f>
        <v>55449.576000000001</v>
      </c>
    </row>
    <row r="290" spans="1:29" ht="15.75" customHeight="1" x14ac:dyDescent="0.25">
      <c r="A290" s="427" t="s">
        <v>4678</v>
      </c>
      <c r="B290" s="309">
        <v>179</v>
      </c>
      <c r="C290" s="309"/>
      <c r="D290" s="303" t="s">
        <v>13</v>
      </c>
      <c r="E290" s="303" t="s">
        <v>657</v>
      </c>
      <c r="F290" s="528">
        <v>45373</v>
      </c>
      <c r="G290" s="528">
        <v>45386</v>
      </c>
      <c r="H29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0" s="522" t="str">
        <f>CONCATENATE(Таблица47[[#This Row],[№ заявки в 1С]],Таблица47[[#This Row],[Наименование            ]])</f>
        <v>179[68773] 0906-71, 5,8 м, сплав 6063 КР Т1</v>
      </c>
      <c r="J29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0" s="635"/>
      <c r="N290" s="1119">
        <v>333</v>
      </c>
      <c r="O290" s="1013" t="str">
        <f>IFERROR(Таблица47[[#This Row],[Количество хлыстов]]-Таблица47[[#This Row],[Обработано в 1С]]-Таблица47[[#This Row],[Корректировка]],"")</f>
        <v/>
      </c>
      <c r="P290" s="638" t="str">
        <f>IFERROR((((Таблица47[[#This Row],[Осталось сделать, хлыст]]*Таблица47[[#This Row],[длина]])*Таблица47[[#This Row],[Периметр]])/28),"")</f>
        <v/>
      </c>
      <c r="Q290" s="303"/>
      <c r="R290" s="991">
        <f>IFERROR(Таблица47[[#This Row],[Коли-
чество м.п.]]/Таблица47[[#This Row],[Количество хлыстов]],"")</f>
        <v>5.8000000000000007</v>
      </c>
      <c r="S290" s="639" t="s">
        <v>2963</v>
      </c>
      <c r="T290" s="639">
        <v>1931.4</v>
      </c>
      <c r="U290" s="640">
        <v>333</v>
      </c>
      <c r="V290" s="639">
        <v>0.1724</v>
      </c>
      <c r="W290" s="639">
        <v>0.41499999999999998</v>
      </c>
      <c r="X290" s="639">
        <v>332.97340000000003</v>
      </c>
      <c r="Y290" s="639">
        <v>801.53099999999995</v>
      </c>
      <c r="Z290" s="639">
        <v>43.29</v>
      </c>
      <c r="AA290" s="639">
        <v>74.989999999999995</v>
      </c>
      <c r="AB290" s="639">
        <v>435</v>
      </c>
      <c r="AC290" s="641">
        <v>144835.69</v>
      </c>
    </row>
    <row r="291" spans="1:29" ht="15.75" customHeight="1" x14ac:dyDescent="0.25">
      <c r="A291" s="427" t="s">
        <v>4678</v>
      </c>
      <c r="B291" s="309">
        <v>180</v>
      </c>
      <c r="C291" s="309"/>
      <c r="D291" s="303" t="s">
        <v>13</v>
      </c>
      <c r="E291" s="303" t="s">
        <v>489</v>
      </c>
      <c r="F291" s="528">
        <v>45373</v>
      </c>
      <c r="G291" s="528">
        <v>45384</v>
      </c>
      <c r="H29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1" s="522" t="str">
        <f>CONCATENATE(Таблица47[[#This Row],[№ заявки в 1С]],Таблица47[[#This Row],[Наименование            ]])</f>
        <v>180[75791] 0506-93 (АТ-6458), 3,0м, БА сплав 6063 Т1</v>
      </c>
      <c r="J29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1" s="635">
        <v>21</v>
      </c>
      <c r="N291" s="1119">
        <v>155</v>
      </c>
      <c r="O291" s="1013" t="str">
        <f>IFERROR(Таблица47[[#This Row],[Количество хлыстов]]-Таблица47[[#This Row],[Обработано в 1С]]-Таблица47[[#This Row],[Корректировка]],"")</f>
        <v/>
      </c>
      <c r="P291" s="638" t="str">
        <f>IFERROR((((Таблица47[[#This Row],[Осталось сделать, хлыст]]*Таблица47[[#This Row],[длина]])*Таблица47[[#This Row],[Периметр]])/28),"")</f>
        <v/>
      </c>
      <c r="Q291" s="303"/>
      <c r="R291" s="991">
        <f>IFERROR(Таблица47[[#This Row],[Коли-
чество м.п.]]/Таблица47[[#This Row],[Количество хлыстов]],"")</f>
        <v>3</v>
      </c>
      <c r="S291" s="639" t="s">
        <v>783</v>
      </c>
      <c r="T291" s="639">
        <v>528</v>
      </c>
      <c r="U291" s="640">
        <v>176</v>
      </c>
      <c r="V291" s="639">
        <v>0.15310000000000001</v>
      </c>
      <c r="W291" s="639">
        <v>1.1000000000000001</v>
      </c>
      <c r="X291" s="639">
        <v>80.836799999999997</v>
      </c>
      <c r="Y291" s="639">
        <v>580.79999999999995</v>
      </c>
      <c r="Z291" s="639">
        <v>10.51</v>
      </c>
      <c r="AA291" s="639">
        <v>61.24</v>
      </c>
      <c r="AB291" s="639">
        <v>400</v>
      </c>
      <c r="AC291" s="641">
        <v>32334.720000000001</v>
      </c>
    </row>
    <row r="292" spans="1:29" ht="15.75" customHeight="1" x14ac:dyDescent="0.25">
      <c r="A292" s="427" t="s">
        <v>4678</v>
      </c>
      <c r="B292" s="1070">
        <v>181</v>
      </c>
      <c r="C292" s="1070"/>
      <c r="D292" s="200" t="s">
        <v>13</v>
      </c>
      <c r="E292" s="200" t="s">
        <v>37</v>
      </c>
      <c r="F292" s="201">
        <v>45376</v>
      </c>
      <c r="G292" s="201">
        <v>45434</v>
      </c>
      <c r="H29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2" s="522" t="str">
        <f>CONCATENATE(Таблица47[[#This Row],[№ заявки в 1С]],Таблица47[[#This Row],[Наименование            ]])</f>
        <v>181[83659] 1706-97, 3,0м, Ад31 Т1, уп. Т5, БА</v>
      </c>
      <c r="J29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2" s="635"/>
      <c r="N292" s="1119">
        <v>982</v>
      </c>
      <c r="O292" s="1013" t="str">
        <f>IFERROR(Таблица47[[#This Row],[Количество хлыстов]]-Таблица47[[#This Row],[Обработано в 1С]]-Таблица47[[#This Row],[Корректировка]],"")</f>
        <v/>
      </c>
      <c r="P292" s="638" t="str">
        <f>IFERROR((((Таблица47[[#This Row],[Осталось сделать, хлыст]]*Таблица47[[#This Row],[длина]])*Таблица47[[#This Row],[Периметр]])/28),"")</f>
        <v/>
      </c>
      <c r="Q292" s="303"/>
      <c r="R292" s="991">
        <f>IFERROR(Таблица47[[#This Row],[Коли-
чество м.п.]]/Таблица47[[#This Row],[Количество хлыстов]],"")</f>
        <v>3</v>
      </c>
      <c r="S292" s="639" t="s">
        <v>4297</v>
      </c>
      <c r="T292" s="639">
        <v>2946</v>
      </c>
      <c r="U292" s="640">
        <v>982</v>
      </c>
      <c r="V292" s="639">
        <v>0.1439</v>
      </c>
      <c r="W292" s="639">
        <v>0.33900000000000002</v>
      </c>
      <c r="X292" s="639">
        <v>423.92939999999999</v>
      </c>
      <c r="Y292" s="639">
        <v>998.69399999999996</v>
      </c>
      <c r="Z292" s="639">
        <v>55.11</v>
      </c>
      <c r="AA292" s="639">
        <v>56.12</v>
      </c>
      <c r="AB292" s="639">
        <v>390</v>
      </c>
      <c r="AC292" s="641">
        <v>165332.47</v>
      </c>
    </row>
    <row r="293" spans="1:29" s="1021" customFormat="1" ht="15.75" customHeight="1" x14ac:dyDescent="0.25">
      <c r="A293" s="1106" t="s">
        <v>4979</v>
      </c>
      <c r="B293" s="1067">
        <v>182</v>
      </c>
      <c r="C293" s="1067"/>
      <c r="D293" s="1068" t="s">
        <v>13</v>
      </c>
      <c r="E293" s="1068" t="s">
        <v>892</v>
      </c>
      <c r="F293" s="1069">
        <v>45376</v>
      </c>
      <c r="G293" s="1069"/>
      <c r="H293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3" s="612" t="str">
        <f>CONCATENATE(Таблица47[[#This Row],[№ заявки в 1С]],Таблица47[[#This Row],[Наименование            ]])</f>
        <v>182[88975] 1606-38 (197.05) 5,15 м, сплав Ад31 под покраску</v>
      </c>
      <c r="J29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3" s="1082">
        <v>3</v>
      </c>
      <c r="N293" s="1120">
        <f>88+339</f>
        <v>427</v>
      </c>
      <c r="O293" s="1020" t="str">
        <f>IFERROR(Таблица47[[#This Row],[Количество хлыстов]]-Таблица47[[#This Row],[Обработано в 1С]]-Таблица47[[#This Row],[Корректировка]],"")</f>
        <v/>
      </c>
      <c r="P293" s="638" t="str">
        <f>IFERROR((((Таблица47[[#This Row],[Осталось сделать, хлыст]]*Таблица47[[#This Row],[длина]])*Таблица47[[#This Row],[Периметр]])/28),"")</f>
        <v/>
      </c>
      <c r="Q293" s="1068" t="s">
        <v>4731</v>
      </c>
      <c r="R293" s="1089">
        <f>IFERROR(Таблица47[[#This Row],[Коли-
чество м.п.]]/Таблица47[[#This Row],[Количество хлыстов]],"")</f>
        <v>5.15</v>
      </c>
      <c r="S293" s="1083" t="s">
        <v>4773</v>
      </c>
      <c r="T293" s="1083">
        <v>2214.5</v>
      </c>
      <c r="U293" s="1084">
        <v>430</v>
      </c>
      <c r="V293" s="1083">
        <v>0.15790000000000001</v>
      </c>
      <c r="W293" s="1083">
        <v>0.309</v>
      </c>
      <c r="X293" s="1083">
        <v>349.6696</v>
      </c>
      <c r="Y293" s="1083">
        <v>684.28049999999996</v>
      </c>
      <c r="Z293" s="1083">
        <v>45.46</v>
      </c>
      <c r="AA293" s="1083" t="s">
        <v>17</v>
      </c>
      <c r="AB293" s="1083" t="s">
        <v>17</v>
      </c>
      <c r="AC293" s="1085" t="s">
        <v>17</v>
      </c>
    </row>
    <row r="294" spans="1:29" ht="15.75" customHeight="1" x14ac:dyDescent="0.25">
      <c r="A294" s="427" t="s">
        <v>4678</v>
      </c>
      <c r="B294" s="309">
        <v>183</v>
      </c>
      <c r="C294" s="309"/>
      <c r="D294" s="303" t="s">
        <v>13</v>
      </c>
      <c r="E294" s="303" t="s">
        <v>32</v>
      </c>
      <c r="F294" s="528">
        <v>45376</v>
      </c>
      <c r="G294" s="528">
        <v>45420</v>
      </c>
      <c r="H294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4" s="522" t="str">
        <f>CONCATENATE(Таблица47[[#This Row],[№ заявки в 1С]],Таблица47[[#This Row],[Наименование            ]])</f>
        <v>183[81357] 1606-37 (АВА-7227), 4,45 м, сплав 6063 КР Т6, упаковка Т-5</v>
      </c>
      <c r="J29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4" s="635">
        <v>7</v>
      </c>
      <c r="N294" s="1119">
        <v>801</v>
      </c>
      <c r="O294" s="1013" t="str">
        <f>IFERROR(Таблица47[[#This Row],[Количество хлыстов]]-Таблица47[[#This Row],[Обработано в 1С]]-Таблица47[[#This Row],[Корректировка]],"")</f>
        <v/>
      </c>
      <c r="P294" s="638" t="str">
        <f>IFERROR((((Таблица47[[#This Row],[Осталось сделать, хлыст]]*Таблица47[[#This Row],[длина]])*Таблица47[[#This Row],[Периметр]])/28),"")</f>
        <v/>
      </c>
      <c r="Q294" s="303" t="s">
        <v>5105</v>
      </c>
      <c r="R294" s="991">
        <f>IFERROR(Таблица47[[#This Row],[Коли-
чество м.п.]]/Таблица47[[#This Row],[Количество хлыстов]],"")</f>
        <v>4.45</v>
      </c>
      <c r="S294" s="639" t="s">
        <v>4276</v>
      </c>
      <c r="T294" s="639">
        <v>3595.6</v>
      </c>
      <c r="U294" s="640">
        <v>808</v>
      </c>
      <c r="V294" s="639">
        <v>0.2651</v>
      </c>
      <c r="W294" s="639">
        <v>0.82099999999999995</v>
      </c>
      <c r="X294" s="639">
        <v>953.19359999999995</v>
      </c>
      <c r="Y294" s="639">
        <v>2951.9875999999999</v>
      </c>
      <c r="Z294" s="639">
        <v>123.92</v>
      </c>
      <c r="AA294" s="639">
        <v>107.37</v>
      </c>
      <c r="AB294" s="639">
        <v>405</v>
      </c>
      <c r="AC294" s="641">
        <v>386043.39</v>
      </c>
    </row>
    <row r="295" spans="1:29" ht="15.75" customHeight="1" x14ac:dyDescent="0.25">
      <c r="A295" s="427" t="s">
        <v>4678</v>
      </c>
      <c r="B295" s="309">
        <v>183</v>
      </c>
      <c r="C295" s="309"/>
      <c r="D295" s="303" t="s">
        <v>13</v>
      </c>
      <c r="E295" s="303" t="s">
        <v>32</v>
      </c>
      <c r="F295" s="528">
        <v>45376</v>
      </c>
      <c r="G295" s="528">
        <v>45409</v>
      </c>
      <c r="H295" s="112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5" s="522" t="str">
        <f>CONCATENATE(Таблица47[[#This Row],[№ заявки в 1С]],Таблица47[[#This Row],[Наименование            ]])</f>
        <v>183[81356] 1606-37 (АВА-7227), 5,05 м, сплав 6063 КР Т6, упаковка Т-5</v>
      </c>
      <c r="J29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5" s="635">
        <v>15</v>
      </c>
      <c r="N295" s="1119">
        <v>167</v>
      </c>
      <c r="O295" s="1013" t="str">
        <f>IFERROR(Таблица47[[#This Row],[Количество хлыстов]]-Таблица47[[#This Row],[Обработано в 1С]]-Таблица47[[#This Row],[Корректировка]],"")</f>
        <v/>
      </c>
      <c r="P295" s="638" t="str">
        <f>IFERROR((((Таблица47[[#This Row],[Осталось сделать, хлыст]]*Таблица47[[#This Row],[длина]])*Таблица47[[#This Row],[Периметр]])/28),"")</f>
        <v/>
      </c>
      <c r="Q295" s="303" t="s">
        <v>5087</v>
      </c>
      <c r="R295" s="991">
        <f>IFERROR(Таблица47[[#This Row],[Коли-
чество м.п.]]/Таблица47[[#This Row],[Количество хлыстов]],"")</f>
        <v>5.05</v>
      </c>
      <c r="S295" s="639" t="s">
        <v>4275</v>
      </c>
      <c r="T295" s="639">
        <v>919.1</v>
      </c>
      <c r="U295" s="640">
        <v>182</v>
      </c>
      <c r="V295" s="639">
        <v>0.2651</v>
      </c>
      <c r="W295" s="639">
        <v>0.82099999999999995</v>
      </c>
      <c r="X295" s="639">
        <v>243.6534</v>
      </c>
      <c r="Y295" s="639">
        <v>754.58109999999999</v>
      </c>
      <c r="Z295" s="639">
        <v>31.67</v>
      </c>
      <c r="AA295" s="639">
        <v>107.37</v>
      </c>
      <c r="AB295" s="639">
        <v>405</v>
      </c>
      <c r="AC295" s="641">
        <v>98679.63</v>
      </c>
    </row>
    <row r="296" spans="1:29" s="1021" customFormat="1" ht="15.75" customHeight="1" x14ac:dyDescent="0.25">
      <c r="A296" s="1106" t="s">
        <v>4979</v>
      </c>
      <c r="B296" s="1067">
        <v>184</v>
      </c>
      <c r="C296" s="1067"/>
      <c r="D296" s="1068" t="s">
        <v>13</v>
      </c>
      <c r="E296" s="1068" t="s">
        <v>32</v>
      </c>
      <c r="F296" s="1069">
        <v>45376</v>
      </c>
      <c r="G296" s="1069"/>
      <c r="H296" s="57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6" s="612" t="str">
        <f>CONCATENATE(Таблица47[[#This Row],[№ заявки в 1С]],Таблица47[[#This Row],[Наименование            ]])</f>
        <v>184[88733] 1606-37, 4,45 м,  Ад31 под покраску</v>
      </c>
      <c r="J29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6" s="1082">
        <v>1</v>
      </c>
      <c r="N296" s="1082">
        <v>223</v>
      </c>
      <c r="O296" s="1020" t="str">
        <f>IFERROR(Таблица47[[#This Row],[Количество хлыстов]]-Таблица47[[#This Row],[Обработано в 1С]]-Таблица47[[#This Row],[Корректировка]],"")</f>
        <v/>
      </c>
      <c r="P296" s="638" t="str">
        <f>IFERROR((((Таблица47[[#This Row],[Осталось сделать, хлыст]]*Таблица47[[#This Row],[длина]])*Таблица47[[#This Row],[Периметр]])/28),"")</f>
        <v/>
      </c>
      <c r="Q296" s="1068"/>
      <c r="R296" s="1089">
        <f>IFERROR(Таблица47[[#This Row],[Коли-
чество м.п.]]/Таблица47[[#This Row],[Количество хлыстов]],"")</f>
        <v>4.45</v>
      </c>
      <c r="S296" s="1083" t="s">
        <v>4772</v>
      </c>
      <c r="T296" s="1083">
        <v>996.8</v>
      </c>
      <c r="U296" s="1084">
        <v>224</v>
      </c>
      <c r="V296" s="1083">
        <v>0.2651</v>
      </c>
      <c r="W296" s="1083">
        <v>0.82099999999999995</v>
      </c>
      <c r="X296" s="1083">
        <v>264.25170000000003</v>
      </c>
      <c r="Y296" s="1083">
        <v>818.37279999999998</v>
      </c>
      <c r="Z296" s="1083">
        <v>34.35</v>
      </c>
      <c r="AA296" s="1083">
        <v>100.74</v>
      </c>
      <c r="AB296" s="1083">
        <v>380</v>
      </c>
      <c r="AC296" s="1085">
        <v>100415.64</v>
      </c>
    </row>
    <row r="297" spans="1:29" s="1021" customFormat="1" ht="15.75" customHeight="1" x14ac:dyDescent="0.25">
      <c r="A297" s="1106" t="s">
        <v>4979</v>
      </c>
      <c r="B297" s="1067">
        <v>184</v>
      </c>
      <c r="C297" s="1067"/>
      <c r="D297" s="1068" t="s">
        <v>13</v>
      </c>
      <c r="E297" s="1068" t="s">
        <v>32</v>
      </c>
      <c r="F297" s="1069">
        <v>45376</v>
      </c>
      <c r="G297" s="1069"/>
      <c r="H29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7" s="612" t="str">
        <f>CONCATENATE(Таблица47[[#This Row],[№ заявки в 1С]],Таблица47[[#This Row],[Наименование            ]])</f>
        <v>184[88734] 1606-37, 5,05 м,  Ад 31 под покраску</v>
      </c>
      <c r="J29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7" s="1082"/>
      <c r="N297" s="1082">
        <v>96</v>
      </c>
      <c r="O297" s="1020" t="str">
        <f>IFERROR(Таблица47[[#This Row],[Количество хлыстов]]-Таблица47[[#This Row],[Обработано в 1С]]-Таблица47[[#This Row],[Корректировка]],"")</f>
        <v/>
      </c>
      <c r="P297" s="638" t="str">
        <f>IFERROR((((Таблица47[[#This Row],[Осталось сделать, хлыст]]*Таблица47[[#This Row],[длина]])*Таблица47[[#This Row],[Периметр]])/28),"")</f>
        <v/>
      </c>
      <c r="Q297" s="1068"/>
      <c r="R297" s="1089">
        <f>IFERROR(Таблица47[[#This Row],[Коли-
чество м.п.]]/Таблица47[[#This Row],[Количество хлыстов]],"")</f>
        <v>5.05</v>
      </c>
      <c r="S297" s="1083" t="s">
        <v>4855</v>
      </c>
      <c r="T297" s="1083">
        <v>484.8</v>
      </c>
      <c r="U297" s="1084">
        <v>96</v>
      </c>
      <c r="V297" s="1083">
        <v>0.2651</v>
      </c>
      <c r="W297" s="1083">
        <v>0.82099999999999995</v>
      </c>
      <c r="X297" s="1083">
        <v>128.5205</v>
      </c>
      <c r="Y297" s="1083">
        <v>398.02080000000001</v>
      </c>
      <c r="Z297" s="1083">
        <v>16.71</v>
      </c>
      <c r="AA297" s="1083">
        <v>100.74</v>
      </c>
      <c r="AB297" s="1083">
        <v>380</v>
      </c>
      <c r="AC297" s="1085">
        <v>48837.78</v>
      </c>
    </row>
    <row r="298" spans="1:29" ht="15.75" customHeight="1" x14ac:dyDescent="0.25">
      <c r="A298" s="427" t="s">
        <v>4678</v>
      </c>
      <c r="B298" s="309" t="s">
        <v>4993</v>
      </c>
      <c r="C298" s="309"/>
      <c r="D298" s="303" t="s">
        <v>34</v>
      </c>
      <c r="E298" s="303" t="s">
        <v>16</v>
      </c>
      <c r="F298" s="528">
        <v>45376</v>
      </c>
      <c r="G298" s="528"/>
      <c r="H29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8" s="522" t="str">
        <f>CONCATENATE(Таблица47[[#This Row],[№ заявки в 1С]],Таблица47[[#This Row],[Наименование            ]])</f>
        <v>OPT000302[13620] 0106-290 (6158), 6,0м, 6063 Т1, тип 1, упаковка Т-5, БА</v>
      </c>
      <c r="J29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8" s="635">
        <v>10</v>
      </c>
      <c r="N298" s="1119">
        <v>250</v>
      </c>
      <c r="O298" s="1013" t="str">
        <f>IFERROR(Таблица47[[#This Row],[Количество хлыстов]]-Таблица47[[#This Row],[Обработано в 1С]]-Таблица47[[#This Row],[Корректировка]],"")</f>
        <v/>
      </c>
      <c r="P298" s="638" t="str">
        <f>IFERROR((((Таблица47[[#This Row],[Осталось сделать, хлыст]]*Таблица47[[#This Row],[длина]])*Таблица47[[#This Row],[Периметр]])/28),"")</f>
        <v/>
      </c>
      <c r="Q298" s="303" t="s">
        <v>5008</v>
      </c>
      <c r="R298" s="991">
        <f>IFERROR(Таблица47[[#This Row],[Коли-
чество м.п.]]/Таблица47[[#This Row],[Количество хлыстов]],"")</f>
        <v>6</v>
      </c>
      <c r="S298" s="639" t="s">
        <v>5693</v>
      </c>
      <c r="T298" s="639">
        <v>1560</v>
      </c>
      <c r="U298" s="640">
        <v>260</v>
      </c>
      <c r="V298" s="639">
        <v>0.29970000000000002</v>
      </c>
      <c r="W298" s="639">
        <v>1.6739999999999999</v>
      </c>
      <c r="X298" s="639">
        <v>467.53199999999998</v>
      </c>
      <c r="Y298" s="639">
        <v>2611.44</v>
      </c>
      <c r="Z298" s="639">
        <v>60.78</v>
      </c>
      <c r="AA298" s="639">
        <v>130.37</v>
      </c>
      <c r="AB298" s="639">
        <v>435</v>
      </c>
      <c r="AC298" s="641">
        <v>203377.2</v>
      </c>
    </row>
    <row r="299" spans="1:29" ht="15.75" customHeight="1" x14ac:dyDescent="0.25">
      <c r="A299" s="427" t="s">
        <v>4678</v>
      </c>
      <c r="B299" s="309">
        <v>185</v>
      </c>
      <c r="C299" s="309"/>
      <c r="D299" s="303" t="s">
        <v>34</v>
      </c>
      <c r="E299" s="303" t="s">
        <v>3404</v>
      </c>
      <c r="F299" s="528">
        <v>45376</v>
      </c>
      <c r="G299" s="528"/>
      <c r="H29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299" s="522" t="str">
        <f>CONCATENATE(Таблица47[[#This Row],[№ заявки в 1С]],Таблица47[[#This Row],[Наименование            ]])</f>
        <v>185[81579] 1706-69, 6,0м, 6063 Т6, упаковка Т-5, БА</v>
      </c>
      <c r="J29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29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29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299" s="635"/>
      <c r="N299" s="1119">
        <v>239</v>
      </c>
      <c r="O299" s="1013" t="str">
        <f>IFERROR(Таблица47[[#This Row],[Количество хлыстов]]-Таблица47[[#This Row],[Обработано в 1С]]-Таблица47[[#This Row],[Корректировка]],"")</f>
        <v/>
      </c>
      <c r="P299" s="638" t="str">
        <f>IFERROR((((Таблица47[[#This Row],[Осталось сделать, хлыст]]*Таблица47[[#This Row],[длина]])*Таблица47[[#This Row],[Периметр]])/28),"")</f>
        <v/>
      </c>
      <c r="Q299" s="303"/>
      <c r="R299" s="991">
        <f>IFERROR(Таблица47[[#This Row],[Коли-
чество м.п.]]/Таблица47[[#This Row],[Количество хлыстов]],"")</f>
        <v>6</v>
      </c>
      <c r="S299" s="639" t="s">
        <v>4994</v>
      </c>
      <c r="T299" s="639">
        <v>1434</v>
      </c>
      <c r="U299" s="640">
        <v>239</v>
      </c>
      <c r="V299" s="639">
        <v>0.21959999999999999</v>
      </c>
      <c r="W299" s="639">
        <v>0.35</v>
      </c>
      <c r="X299" s="639">
        <v>314.90640000000002</v>
      </c>
      <c r="Y299" s="639">
        <v>501.9</v>
      </c>
      <c r="Z299" s="639">
        <v>40.94</v>
      </c>
      <c r="AA299" s="639">
        <v>81.25</v>
      </c>
      <c r="AB299" s="639">
        <v>370</v>
      </c>
      <c r="AC299" s="641">
        <v>116515.37</v>
      </c>
    </row>
    <row r="300" spans="1:29" ht="15.75" customHeight="1" x14ac:dyDescent="0.25">
      <c r="A300" s="427" t="s">
        <v>4678</v>
      </c>
      <c r="B300" s="309">
        <v>186</v>
      </c>
      <c r="C300" s="309"/>
      <c r="D300" s="303" t="s">
        <v>34</v>
      </c>
      <c r="E300" s="303" t="s">
        <v>3404</v>
      </c>
      <c r="F300" s="528">
        <v>45377</v>
      </c>
      <c r="G300" s="528"/>
      <c r="H3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0" s="522" t="str">
        <f>CONCATENATE(Таблица47[[#This Row],[№ заявки в 1С]],Таблица47[[#This Row],[Наименование            ]])</f>
        <v>186[89435] 2606-56, 6,0м, 6063 Т6, уп.Т5, БА</v>
      </c>
      <c r="J30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0" s="635"/>
      <c r="N300" s="1119">
        <v>18</v>
      </c>
      <c r="O300" s="1013" t="str">
        <f>IFERROR(Таблица47[[#This Row],[Количество хлыстов]]-Таблица47[[#This Row],[Обработано в 1С]]-Таблица47[[#This Row],[Корректировка]],"")</f>
        <v/>
      </c>
      <c r="P300" s="638" t="str">
        <f>IFERROR((((Таблица47[[#This Row],[Осталось сделать, хлыст]]*Таблица47[[#This Row],[длина]])*Таблица47[[#This Row],[Периметр]])/28),"")</f>
        <v/>
      </c>
      <c r="Q300" s="303"/>
      <c r="R300" s="991">
        <f>IFERROR(Таблица47[[#This Row],[Коли-
чество м.п.]]/Таблица47[[#This Row],[Количество хлыстов]],"")</f>
        <v>6</v>
      </c>
      <c r="S300" s="639" t="s">
        <v>4998</v>
      </c>
      <c r="T300" s="639">
        <v>108</v>
      </c>
      <c r="U300" s="640">
        <v>18</v>
      </c>
      <c r="V300" s="639">
        <v>0.3075</v>
      </c>
      <c r="W300" s="639">
        <v>0.85</v>
      </c>
      <c r="X300" s="639">
        <v>33.21</v>
      </c>
      <c r="Y300" s="639">
        <v>91.8</v>
      </c>
      <c r="Z300" s="639">
        <v>4.32</v>
      </c>
      <c r="AA300" s="639">
        <v>113.78</v>
      </c>
      <c r="AB300" s="639">
        <v>370</v>
      </c>
      <c r="AC300" s="641">
        <v>12287.7</v>
      </c>
    </row>
    <row r="301" spans="1:29" ht="15.75" customHeight="1" x14ac:dyDescent="0.25">
      <c r="A301" s="427" t="s">
        <v>4678</v>
      </c>
      <c r="B301" s="309">
        <v>186</v>
      </c>
      <c r="C301" s="309"/>
      <c r="D301" s="303" t="s">
        <v>34</v>
      </c>
      <c r="E301" s="303" t="s">
        <v>3404</v>
      </c>
      <c r="F301" s="528">
        <v>45377</v>
      </c>
      <c r="G301" s="528"/>
      <c r="H30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1" s="522" t="str">
        <f>CONCATENATE(Таблица47[[#This Row],[№ заявки в 1С]],Таблица47[[#This Row],[Наименование            ]])</f>
        <v>186[89520] 2606-58, 6,0м, 6063 Т6, уп.Т5, БА</v>
      </c>
      <c r="J30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1" s="635"/>
      <c r="N301" s="1119">
        <v>10</v>
      </c>
      <c r="O301" s="1013" t="str">
        <f>IFERROR(Таблица47[[#This Row],[Количество хлыстов]]-Таблица47[[#This Row],[Обработано в 1С]]-Таблица47[[#This Row],[Корректировка]],"")</f>
        <v/>
      </c>
      <c r="P301" s="638" t="str">
        <f>IFERROR((((Таблица47[[#This Row],[Осталось сделать, хлыст]]*Таблица47[[#This Row],[длина]])*Таблица47[[#This Row],[Периметр]])/28),"")</f>
        <v/>
      </c>
      <c r="Q301" s="303" t="s">
        <v>5015</v>
      </c>
      <c r="R301" s="991">
        <f>IFERROR(Таблица47[[#This Row],[Коли-
чество м.п.]]/Таблица47[[#This Row],[Количество хлыстов]],"")</f>
        <v>6</v>
      </c>
      <c r="S301" s="639" t="s">
        <v>5290</v>
      </c>
      <c r="T301" s="639">
        <v>60</v>
      </c>
      <c r="U301" s="640">
        <v>10</v>
      </c>
      <c r="V301" s="639">
        <v>0.1883</v>
      </c>
      <c r="W301" s="639">
        <v>0.318</v>
      </c>
      <c r="X301" s="639">
        <v>11.298</v>
      </c>
      <c r="Y301" s="639">
        <v>19.079999999999998</v>
      </c>
      <c r="Z301" s="639">
        <v>1.47</v>
      </c>
      <c r="AA301" s="639">
        <v>69.67</v>
      </c>
      <c r="AB301" s="639">
        <v>370</v>
      </c>
      <c r="AC301" s="641">
        <v>4180.26</v>
      </c>
    </row>
    <row r="302" spans="1:29" ht="15.75" customHeight="1" x14ac:dyDescent="0.25">
      <c r="A302" s="427" t="s">
        <v>4678</v>
      </c>
      <c r="B302" s="309">
        <v>187</v>
      </c>
      <c r="C302" s="309"/>
      <c r="D302" s="303" t="s">
        <v>13</v>
      </c>
      <c r="E302" s="303" t="s">
        <v>4734</v>
      </c>
      <c r="F302" s="528">
        <v>45377</v>
      </c>
      <c r="G302" s="528"/>
      <c r="H30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2" s="522" t="str">
        <f>CONCATENATE(Таблица47[[#This Row],[№ заявки в 1С]],Таблица47[[#This Row],[Наименование            ]])</f>
        <v>187[56993] автоуголок 90*60*2мм (0506-17, 97083)6,0м 6063 Т6</v>
      </c>
      <c r="J30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2" s="635"/>
      <c r="N302" s="1119">
        <v>16</v>
      </c>
      <c r="O302" s="1013" t="str">
        <f>IFERROR(Таблица47[[#This Row],[Количество хлыстов]]-Таблица47[[#This Row],[Обработано в 1С]]-Таблица47[[#This Row],[Корректировка]],"")</f>
        <v/>
      </c>
      <c r="P302" s="638" t="str">
        <f>IFERROR((((Таблица47[[#This Row],[Осталось сделать, хлыст]]*Таблица47[[#This Row],[длина]])*Таблица47[[#This Row],[Периметр]])/28),"")</f>
        <v/>
      </c>
      <c r="Q302" s="303"/>
      <c r="R302" s="991">
        <f>IFERROR(Таблица47[[#This Row],[Коли-
чество м.п.]]/Таблица47[[#This Row],[Количество хлыстов]],"")</f>
        <v>6</v>
      </c>
      <c r="S302" s="639" t="s">
        <v>4567</v>
      </c>
      <c r="T302" s="639">
        <v>96</v>
      </c>
      <c r="U302" s="640">
        <v>16</v>
      </c>
      <c r="V302" s="639">
        <v>0.29759999999999998</v>
      </c>
      <c r="W302" s="639">
        <v>0.67600000000000005</v>
      </c>
      <c r="X302" s="639">
        <v>28.569600000000001</v>
      </c>
      <c r="Y302" s="639">
        <v>64.896000000000001</v>
      </c>
      <c r="Z302" s="639">
        <v>3.71</v>
      </c>
      <c r="AA302" s="639">
        <v>120.53</v>
      </c>
      <c r="AB302" s="639">
        <v>405</v>
      </c>
      <c r="AC302" s="641">
        <v>11570.88</v>
      </c>
    </row>
    <row r="303" spans="1:29" s="1021" customFormat="1" ht="15.75" customHeight="1" x14ac:dyDescent="0.25">
      <c r="A303" s="1106" t="s">
        <v>4979</v>
      </c>
      <c r="B303" s="1067">
        <v>193</v>
      </c>
      <c r="C303" s="1067" t="s">
        <v>4753</v>
      </c>
      <c r="D303" s="1068" t="s">
        <v>13</v>
      </c>
      <c r="E303" s="1068" t="s">
        <v>32</v>
      </c>
      <c r="F303" s="1069">
        <v>45379</v>
      </c>
      <c r="G303" s="1069"/>
      <c r="H30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3" s="522" t="str">
        <f>CONCATENATE(Таблица47[[#This Row],[№ заявки в 1С]],Таблица47[[#This Row],[Наименование            ]])</f>
        <v>193[89750] Стойка АД-3ПФ(Д) (аналог 1606-37) 5,3м, анод без дроби</v>
      </c>
      <c r="J30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3" s="1082"/>
      <c r="N303" s="1120">
        <v>1088</v>
      </c>
      <c r="O303" s="1020" t="str">
        <f>IFERROR(Таблица47[[#This Row],[Количество хлыстов]]-Таблица47[[#This Row],[Обработано в 1С]]-Таблица47[[#This Row],[Корректировка]],"")</f>
        <v/>
      </c>
      <c r="P303" s="638" t="str">
        <f>IFERROR((((Таблица47[[#This Row],[Осталось сделать, хлыст]]*Таблица47[[#This Row],[длина]])*Таблица47[[#This Row],[Периметр]])/28),"")</f>
        <v/>
      </c>
      <c r="Q303" s="1068"/>
      <c r="R303" s="1089">
        <f>IFERROR(Таблица47[[#This Row],[Коли-
чество м.п.]]/Таблица47[[#This Row],[Количество хлыстов]],"")</f>
        <v>5.3</v>
      </c>
      <c r="S303" s="1083" t="s">
        <v>4988</v>
      </c>
      <c r="T303" s="1083">
        <v>5766.4</v>
      </c>
      <c r="U303" s="1084">
        <v>1088</v>
      </c>
      <c r="V303" s="1083">
        <v>0.255</v>
      </c>
      <c r="W303" s="1083">
        <v>0.80400000000000005</v>
      </c>
      <c r="X303" s="1083">
        <v>1470.432</v>
      </c>
      <c r="Y303" s="1083">
        <v>4636.1855999999998</v>
      </c>
      <c r="Z303" s="1083">
        <v>191.16</v>
      </c>
      <c r="AA303" s="1083">
        <v>91.8</v>
      </c>
      <c r="AB303" s="1083">
        <v>360</v>
      </c>
      <c r="AC303" s="1085">
        <v>529355.52000000002</v>
      </c>
    </row>
    <row r="304" spans="1:29" ht="15.75" customHeight="1" x14ac:dyDescent="0.25">
      <c r="A304" s="427" t="s">
        <v>4678</v>
      </c>
      <c r="B304" s="309">
        <v>199</v>
      </c>
      <c r="C304" s="309"/>
      <c r="D304" s="303" t="s">
        <v>34</v>
      </c>
      <c r="E304" s="303" t="s">
        <v>3404</v>
      </c>
      <c r="F304" s="528">
        <v>45383</v>
      </c>
      <c r="G304" s="528"/>
      <c r="H30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4" s="522" t="str">
        <f>CONCATENATE(Таблица47[[#This Row],[№ заявки в 1С]],Таблица47[[#This Row],[Наименование            ]])</f>
        <v>199[89968] 2606-57, 6,0м, 6063 Т6, уп.Т5, БА</v>
      </c>
      <c r="J30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4" s="635"/>
      <c r="N304" s="1119">
        <v>8</v>
      </c>
      <c r="O304" s="1013" t="str">
        <f>IFERROR(Таблица47[[#This Row],[Количество хлыстов]]-Таблица47[[#This Row],[Обработано в 1С]]-Таблица47[[#This Row],[Корректировка]],"")</f>
        <v/>
      </c>
      <c r="P304" s="638" t="str">
        <f>IFERROR((((Таблица47[[#This Row],[Осталось сделать, хлыст]]*Таблица47[[#This Row],[длина]])*Таблица47[[#This Row],[Периметр]])/28),"")</f>
        <v/>
      </c>
      <c r="Q304" s="303"/>
      <c r="R304" s="991">
        <f>IFERROR(Таблица47[[#This Row],[Коли-
чество м.п.]]/Таблица47[[#This Row],[Количество хлыстов]],"")</f>
        <v>6</v>
      </c>
      <c r="S304" s="639" t="s">
        <v>5003</v>
      </c>
      <c r="T304" s="639">
        <v>48</v>
      </c>
      <c r="U304" s="640">
        <v>8</v>
      </c>
      <c r="V304" s="639">
        <v>0.27439999999999998</v>
      </c>
      <c r="W304" s="639">
        <v>0.56100000000000005</v>
      </c>
      <c r="X304" s="639">
        <v>13.171200000000001</v>
      </c>
      <c r="Y304" s="639">
        <v>26.928000000000001</v>
      </c>
      <c r="Z304" s="639">
        <v>1.71</v>
      </c>
      <c r="AA304" s="639">
        <v>113.78</v>
      </c>
      <c r="AB304" s="639">
        <v>370</v>
      </c>
      <c r="AC304" s="641">
        <v>5461.44</v>
      </c>
    </row>
    <row r="305" spans="1:29" ht="15.75" customHeight="1" x14ac:dyDescent="0.25">
      <c r="A305" s="427" t="s">
        <v>4678</v>
      </c>
      <c r="B305" s="309">
        <v>199</v>
      </c>
      <c r="C305" s="309"/>
      <c r="D305" s="303" t="s">
        <v>34</v>
      </c>
      <c r="E305" s="303" t="s">
        <v>3404</v>
      </c>
      <c r="F305" s="528">
        <v>45383</v>
      </c>
      <c r="G305" s="528"/>
      <c r="H30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5" s="522" t="str">
        <f>CONCATENATE(Таблица47[[#This Row],[№ заявки в 1С]],Таблица47[[#This Row],[Наименование            ]])</f>
        <v>199[89761] 2606-58, 6,0м, сплав 6063 Т5 (под гибку), упак. Т5</v>
      </c>
      <c r="J30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5" s="635"/>
      <c r="N305" s="1119">
        <v>10</v>
      </c>
      <c r="O305" s="1013" t="str">
        <f>IFERROR(Таблица47[[#This Row],[Количество хлыстов]]-Таблица47[[#This Row],[Обработано в 1С]]-Таблица47[[#This Row],[Корректировка]],"")</f>
        <v/>
      </c>
      <c r="P305" s="638" t="str">
        <f>IFERROR((((Таблица47[[#This Row],[Осталось сделать, хлыст]]*Таблица47[[#This Row],[длина]])*Таблица47[[#This Row],[Периметр]])/28),"")</f>
        <v/>
      </c>
      <c r="Q305" s="303"/>
      <c r="R305" s="991">
        <f>IFERROR(Таблица47[[#This Row],[Коли-
чество м.п.]]/Таблица47[[#This Row],[Количество хлыстов]],"")</f>
        <v>6</v>
      </c>
      <c r="S305" s="639" t="s">
        <v>5091</v>
      </c>
      <c r="T305" s="639">
        <v>60</v>
      </c>
      <c r="U305" s="640">
        <v>10</v>
      </c>
      <c r="V305" s="639">
        <v>0.1883</v>
      </c>
      <c r="W305" s="639">
        <v>0.318</v>
      </c>
      <c r="X305" s="639">
        <v>11.298</v>
      </c>
      <c r="Y305" s="639">
        <v>19.079999999999998</v>
      </c>
      <c r="Z305" s="639">
        <v>1.47</v>
      </c>
      <c r="AA305" s="639">
        <v>69.67</v>
      </c>
      <c r="AB305" s="639">
        <v>370</v>
      </c>
      <c r="AC305" s="641">
        <v>4180.26</v>
      </c>
    </row>
    <row r="306" spans="1:29" ht="15.75" customHeight="1" x14ac:dyDescent="0.25">
      <c r="A306" s="427" t="s">
        <v>4678</v>
      </c>
      <c r="B306" s="309">
        <v>200</v>
      </c>
      <c r="C306" s="309"/>
      <c r="D306" s="303" t="s">
        <v>34</v>
      </c>
      <c r="E306" s="303" t="s">
        <v>328</v>
      </c>
      <c r="F306" s="528">
        <v>45383</v>
      </c>
      <c r="G306" s="528"/>
      <c r="H30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6" s="522" t="str">
        <f>CONCATENATE(Таблица47[[#This Row],[№ заявки в 1С]],Таблица47[[#This Row],[Наименование            ]])</f>
        <v>200[70484] 1506-77 (АА-2050-85), 6,0м, 6063 Т6, упаковка Т-5, без покрытия</v>
      </c>
      <c r="J30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6" s="635"/>
      <c r="N306" s="1119">
        <v>20</v>
      </c>
      <c r="O306" s="1013" t="str">
        <f>IFERROR(Таблица47[[#This Row],[Количество хлыстов]]-Таблица47[[#This Row],[Обработано в 1С]]-Таблица47[[#This Row],[Корректировка]],"")</f>
        <v/>
      </c>
      <c r="P306" s="638" t="str">
        <f>IFERROR((((Таблица47[[#This Row],[Осталось сделать, хлыст]]*Таблица47[[#This Row],[длина]])*Таблица47[[#This Row],[Периметр]])/28),"")</f>
        <v/>
      </c>
      <c r="Q306" s="303"/>
      <c r="R306" s="991">
        <f>IFERROR(Таблица47[[#This Row],[Коли-
чество м.п.]]/Таблица47[[#This Row],[Количество хлыстов]],"")</f>
        <v>6</v>
      </c>
      <c r="S306" s="639" t="s">
        <v>4813</v>
      </c>
      <c r="T306" s="639">
        <v>120</v>
      </c>
      <c r="U306" s="640">
        <v>20</v>
      </c>
      <c r="V306" s="639">
        <v>0.30919999999999997</v>
      </c>
      <c r="W306" s="639">
        <v>1.101</v>
      </c>
      <c r="X306" s="639">
        <v>37.103999999999999</v>
      </c>
      <c r="Y306" s="639">
        <v>132.12</v>
      </c>
      <c r="Z306" s="639">
        <v>4.82</v>
      </c>
      <c r="AA306" s="639">
        <v>134.5</v>
      </c>
      <c r="AB306" s="639">
        <v>435</v>
      </c>
      <c r="AC306" s="641">
        <v>16140.24</v>
      </c>
    </row>
    <row r="307" spans="1:29" ht="15.75" customHeight="1" x14ac:dyDescent="0.25">
      <c r="A307" s="427" t="s">
        <v>4678</v>
      </c>
      <c r="B307" s="309">
        <v>202</v>
      </c>
      <c r="C307" s="309"/>
      <c r="D307" s="303" t="s">
        <v>34</v>
      </c>
      <c r="E307" s="303" t="s">
        <v>3404</v>
      </c>
      <c r="F307" s="528">
        <v>45383</v>
      </c>
      <c r="G307" s="528"/>
      <c r="H30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7" s="522" t="str">
        <f>CONCATENATE(Таблица47[[#This Row],[№ заявки в 1С]],Таблица47[[#This Row],[Наименование            ]])</f>
        <v>202[89435] 2606-56, 6,0м, 6063 Т6, уп.Т5, БА</v>
      </c>
      <c r="J30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7" s="635"/>
      <c r="N307" s="1119">
        <v>130</v>
      </c>
      <c r="O307" s="1013" t="str">
        <f>IFERROR(Таблица47[[#This Row],[Количество хлыстов]]-Таблица47[[#This Row],[Обработано в 1С]]-Таблица47[[#This Row],[Корректировка]],"")</f>
        <v/>
      </c>
      <c r="P307" s="638" t="str">
        <f>IFERROR((((Таблица47[[#This Row],[Осталось сделать, хлыст]]*Таблица47[[#This Row],[длина]])*Таблица47[[#This Row],[Периметр]])/28),"")</f>
        <v/>
      </c>
      <c r="Q307" s="303"/>
      <c r="R307" s="991">
        <f>IFERROR(Таблица47[[#This Row],[Коли-
чество м.п.]]/Таблица47[[#This Row],[Количество хлыстов]],"")</f>
        <v>6</v>
      </c>
      <c r="S307" s="639" t="s">
        <v>4998</v>
      </c>
      <c r="T307" s="639">
        <v>780</v>
      </c>
      <c r="U307" s="640">
        <v>130</v>
      </c>
      <c r="V307" s="639">
        <v>0.3075</v>
      </c>
      <c r="W307" s="639">
        <v>0.85</v>
      </c>
      <c r="X307" s="639">
        <v>239.85</v>
      </c>
      <c r="Y307" s="639">
        <v>663</v>
      </c>
      <c r="Z307" s="639">
        <v>31.18</v>
      </c>
      <c r="AA307" s="639">
        <v>81.25</v>
      </c>
      <c r="AB307" s="639">
        <v>370</v>
      </c>
      <c r="AC307" s="641">
        <v>63375</v>
      </c>
    </row>
    <row r="308" spans="1:29" ht="15.75" customHeight="1" x14ac:dyDescent="0.25">
      <c r="A308" s="427" t="s">
        <v>4678</v>
      </c>
      <c r="B308" s="309" t="s">
        <v>5004</v>
      </c>
      <c r="C308" s="309"/>
      <c r="D308" s="303" t="s">
        <v>34</v>
      </c>
      <c r="E308" s="303" t="s">
        <v>16</v>
      </c>
      <c r="F308" s="528">
        <v>45383</v>
      </c>
      <c r="G308" s="528"/>
      <c r="H30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8" s="522" t="str">
        <f>CONCATENATE(Таблица47[[#This Row],[№ заявки в 1С]],Таблица47[[#This Row],[Наименование            ]])</f>
        <v>OPT000330[13620] 0106-290 (6158), 6,0м, 6063 Т1, тип 1, упаковка Т-5, БА</v>
      </c>
      <c r="J30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8" s="635">
        <v>5</v>
      </c>
      <c r="N308" s="1119">
        <v>162</v>
      </c>
      <c r="O308" s="1013" t="str">
        <f>IFERROR(Таблица47[[#This Row],[Количество хлыстов]]-Таблица47[[#This Row],[Обработано в 1С]]-Таблица47[[#This Row],[Корректировка]],"")</f>
        <v/>
      </c>
      <c r="P308" s="638" t="str">
        <f>IFERROR((((Таблица47[[#This Row],[Осталось сделать, хлыст]]*Таблица47[[#This Row],[длина]])*Таблица47[[#This Row],[Периметр]])/28),"")</f>
        <v/>
      </c>
      <c r="Q308" s="303" t="s">
        <v>5095</v>
      </c>
      <c r="R308" s="991">
        <f>IFERROR(Таблица47[[#This Row],[Коли-
чество м.п.]]/Таблица47[[#This Row],[Количество хлыстов]],"")</f>
        <v>6</v>
      </c>
      <c r="S308" s="639" t="s">
        <v>5693</v>
      </c>
      <c r="T308" s="639">
        <v>1002</v>
      </c>
      <c r="U308" s="640">
        <v>167</v>
      </c>
      <c r="V308" s="639">
        <v>0.29970000000000002</v>
      </c>
      <c r="W308" s="639">
        <v>1.6739999999999999</v>
      </c>
      <c r="X308" s="639">
        <v>300.29939999999999</v>
      </c>
      <c r="Y308" s="639">
        <v>1677.348</v>
      </c>
      <c r="Z308" s="639">
        <v>39.04</v>
      </c>
      <c r="AA308" s="639">
        <v>130.37</v>
      </c>
      <c r="AB308" s="639">
        <v>435</v>
      </c>
      <c r="AC308" s="641">
        <v>130630.24</v>
      </c>
    </row>
    <row r="309" spans="1:29" ht="15.75" customHeight="1" x14ac:dyDescent="0.25">
      <c r="A309" s="427" t="s">
        <v>4678</v>
      </c>
      <c r="B309" s="309" t="s">
        <v>5005</v>
      </c>
      <c r="C309" s="309"/>
      <c r="D309" s="303" t="s">
        <v>34</v>
      </c>
      <c r="E309" s="303" t="s">
        <v>16</v>
      </c>
      <c r="F309" s="528">
        <v>45383</v>
      </c>
      <c r="G309" s="528"/>
      <c r="H30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09" s="928" t="str">
        <f>CONCATENATE(Таблица47[[#This Row],[№ заявки в 1С]],Таблица47[[#This Row],[Наименование            ]])</f>
        <v>OPT000331[38436] 0506-21, 6,0м, 6063 Т1, тип 1, упаковка Т-5, БА</v>
      </c>
      <c r="J30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0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0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09" s="635"/>
      <c r="N309" s="1119">
        <v>135</v>
      </c>
      <c r="O309" s="1013" t="str">
        <f>IFERROR(Таблица47[[#This Row],[Количество хлыстов]]-Таблица47[[#This Row],[Обработано в 1С]]-Таблица47[[#This Row],[Корректировка]],"")</f>
        <v/>
      </c>
      <c r="P309" s="638" t="str">
        <f>IFERROR((((Таблица47[[#This Row],[Осталось сделать, хлыст]]*Таблица47[[#This Row],[длина]])*Таблица47[[#This Row],[Периметр]])/28),"")</f>
        <v/>
      </c>
      <c r="Q309" s="303"/>
      <c r="R309" s="991">
        <f>IFERROR(Таблица47[[#This Row],[Коли-
чество м.п.]]/Таблица47[[#This Row],[Количество хлыстов]],"")</f>
        <v>6</v>
      </c>
      <c r="S309" s="639" t="s">
        <v>2469</v>
      </c>
      <c r="T309" s="639">
        <v>810</v>
      </c>
      <c r="U309" s="640">
        <v>135</v>
      </c>
      <c r="V309" s="639">
        <v>0.70820000000000005</v>
      </c>
      <c r="W309" s="639">
        <v>3.4609999999999999</v>
      </c>
      <c r="X309" s="639">
        <v>573.64200000000005</v>
      </c>
      <c r="Y309" s="639">
        <v>2803.41</v>
      </c>
      <c r="Z309" s="639">
        <v>74.569999999999993</v>
      </c>
      <c r="AA309" s="639">
        <v>308.07</v>
      </c>
      <c r="AB309" s="639">
        <v>435</v>
      </c>
      <c r="AC309" s="641">
        <v>249536.7</v>
      </c>
    </row>
    <row r="310" spans="1:29" s="1021" customFormat="1" ht="15.75" customHeight="1" x14ac:dyDescent="0.25">
      <c r="A310" s="1106" t="s">
        <v>4978</v>
      </c>
      <c r="B310" s="1067">
        <v>203</v>
      </c>
      <c r="C310" s="1067"/>
      <c r="D310" s="1068" t="s">
        <v>13</v>
      </c>
      <c r="E310" s="1068" t="s">
        <v>32</v>
      </c>
      <c r="F310" s="1069">
        <v>45383</v>
      </c>
      <c r="G310" s="1069"/>
      <c r="H31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0" s="620" t="str">
        <f>CONCATENATE(Таблица47[[#This Row],[№ заявки в 1С]],Таблица47[[#This Row],[Наименование            ]])</f>
        <v>203[86901] 2606-14 (замена 2606-06), 5,65 м,  6063 Т1, БА</v>
      </c>
      <c r="J31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0" s="1082"/>
      <c r="N310" s="1082">
        <v>130</v>
      </c>
      <c r="O310" s="1020" t="str">
        <f>IFERROR(Таблица47[[#This Row],[Количество хлыстов]]-Таблица47[[#This Row],[Обработано в 1С]]-Таблица47[[#This Row],[Корректировка]],"")</f>
        <v/>
      </c>
      <c r="P310" s="638" t="str">
        <f>IFERROR((((Таблица47[[#This Row],[Осталось сделать, хлыст]]*Таблица47[[#This Row],[длина]])*Таблица47[[#This Row],[Периметр]])/28),"")</f>
        <v/>
      </c>
      <c r="Q310" s="1068"/>
      <c r="R310" s="1089">
        <f>IFERROR(Таблица47[[#This Row],[Коли-
чество м.п.]]/Таблица47[[#This Row],[Количество хлыстов]],"")</f>
        <v>5.65</v>
      </c>
      <c r="S310" s="1083" t="s">
        <v>4446</v>
      </c>
      <c r="T310" s="1083">
        <v>734.5</v>
      </c>
      <c r="U310" s="1084">
        <v>130</v>
      </c>
      <c r="V310" s="1083">
        <v>0.1469</v>
      </c>
      <c r="W310" s="1083">
        <v>1.3859999999999999</v>
      </c>
      <c r="X310" s="1083">
        <v>107.8981</v>
      </c>
      <c r="Y310" s="1083">
        <v>1018.0170000000001</v>
      </c>
      <c r="Z310" s="1083">
        <v>14.03</v>
      </c>
      <c r="AA310" s="1083">
        <v>30.85</v>
      </c>
      <c r="AB310" s="1083">
        <v>210</v>
      </c>
      <c r="AC310" s="1085">
        <v>22658.59</v>
      </c>
    </row>
    <row r="311" spans="1:29" s="1021" customFormat="1" ht="15.75" customHeight="1" x14ac:dyDescent="0.25">
      <c r="A311" s="979" t="s">
        <v>4978</v>
      </c>
      <c r="B311" s="1067">
        <v>204</v>
      </c>
      <c r="C311" s="1067"/>
      <c r="D311" s="1068" t="s">
        <v>13</v>
      </c>
      <c r="E311" s="1068" t="s">
        <v>4725</v>
      </c>
      <c r="F311" s="1069">
        <v>45383</v>
      </c>
      <c r="G311" s="1069"/>
      <c r="H311" s="574" t="s">
        <v>23</v>
      </c>
      <c r="I311" s="612" t="str">
        <f>CONCATENATE(Таблица47[[#This Row],[№ заявки в 1С]],Таблица47[[#This Row],[Наименование            ]])</f>
        <v>204[866] автоуголок 150*55*3мм (0106-153 ) 6,0м АД31 Т1 уп. Т5</v>
      </c>
      <c r="J31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1" s="1082"/>
      <c r="N311" s="1120"/>
      <c r="O311" s="1020" t="str">
        <f>IFERROR(Таблица47[[#This Row],[Количество хлыстов]]-Таблица47[[#This Row],[Обработано в 1С]]-Таблица47[[#This Row],[Корректировка]],"")</f>
        <v/>
      </c>
      <c r="P311" s="638" t="str">
        <f>IFERROR((((Таблица47[[#This Row],[Осталось сделать, хлыст]]*Таблица47[[#This Row],[длина]])*Таблица47[[#This Row],[Периметр]])/28),"")</f>
        <v/>
      </c>
      <c r="Q311" s="1068"/>
      <c r="R311" s="1089">
        <f>IFERROR(Таблица47[[#This Row],[Коли-
чество м.п.]]/Таблица47[[#This Row],[Количество хлыстов]],"")</f>
        <v>6</v>
      </c>
      <c r="S311" s="1083" t="s">
        <v>4834</v>
      </c>
      <c r="T311" s="1083">
        <v>456</v>
      </c>
      <c r="U311" s="1084">
        <v>76</v>
      </c>
      <c r="V311" s="1083">
        <v>0.42199999999999999</v>
      </c>
      <c r="W311" s="1083">
        <v>1.389</v>
      </c>
      <c r="X311" s="1083">
        <v>192.43199999999999</v>
      </c>
      <c r="Y311" s="1083">
        <v>633.38400000000001</v>
      </c>
      <c r="Z311" s="1083">
        <v>25.02</v>
      </c>
      <c r="AA311" s="1083">
        <v>99.17</v>
      </c>
      <c r="AB311" s="1083">
        <v>235</v>
      </c>
      <c r="AC311" s="1085">
        <v>45221.52</v>
      </c>
    </row>
    <row r="312" spans="1:29" ht="15.75" customHeight="1" x14ac:dyDescent="0.25">
      <c r="A312" s="427" t="s">
        <v>4678</v>
      </c>
      <c r="B312" s="309" t="s">
        <v>5006</v>
      </c>
      <c r="C312" s="309"/>
      <c r="D312" s="303" t="s">
        <v>34</v>
      </c>
      <c r="E312" s="303" t="s">
        <v>16</v>
      </c>
      <c r="F312" s="528">
        <v>45383</v>
      </c>
      <c r="G312" s="528"/>
      <c r="H31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2" s="522" t="str">
        <f>CONCATENATE(Таблица47[[#This Row],[№ заявки в 1С]],Таблица47[[#This Row],[Наименование            ]])</f>
        <v>OPT000338[11564] 0106-235, 6,0м, 6063 Т6, упаковка Т-5, под анод тип 2, БА (прессовать на плюсовом допуске)</v>
      </c>
      <c r="J31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2" s="635"/>
      <c r="N312" s="1119">
        <v>7</v>
      </c>
      <c r="O312" s="1013" t="str">
        <f>IFERROR(Таблица47[[#This Row],[Количество хлыстов]]-Таблица47[[#This Row],[Обработано в 1С]]-Таблица47[[#This Row],[Корректировка]],"")</f>
        <v/>
      </c>
      <c r="P312" s="638" t="str">
        <f>IFERROR((((Таблица47[[#This Row],[Осталось сделать, хлыст]]*Таблица47[[#This Row],[длина]])*Таблица47[[#This Row],[Периметр]])/28),"")</f>
        <v/>
      </c>
      <c r="Q312" s="303"/>
      <c r="R312" s="991">
        <f>IFERROR(Таблица47[[#This Row],[Коли-
чество м.п.]]/Таблица47[[#This Row],[Количество хлыстов]],"")</f>
        <v>6</v>
      </c>
      <c r="S312" s="639" t="s">
        <v>2581</v>
      </c>
      <c r="T312" s="639">
        <v>42</v>
      </c>
      <c r="U312" s="640">
        <v>7</v>
      </c>
      <c r="V312" s="639">
        <v>0.56989999999999996</v>
      </c>
      <c r="W312" s="639">
        <v>1.304</v>
      </c>
      <c r="X312" s="639">
        <v>23.9358</v>
      </c>
      <c r="Y312" s="639">
        <v>54.768000000000001</v>
      </c>
      <c r="Z312" s="639">
        <v>3.11</v>
      </c>
      <c r="AA312" s="639">
        <v>324.83999999999997</v>
      </c>
      <c r="AB312" s="639">
        <v>570</v>
      </c>
      <c r="AC312" s="641">
        <v>13643.28</v>
      </c>
    </row>
    <row r="313" spans="1:29" ht="15.75" customHeight="1" x14ac:dyDescent="0.25">
      <c r="A313" s="427" t="s">
        <v>4678</v>
      </c>
      <c r="B313" s="309" t="s">
        <v>5007</v>
      </c>
      <c r="C313" s="309"/>
      <c r="D313" s="303" t="s">
        <v>34</v>
      </c>
      <c r="E313" s="303" t="s">
        <v>16</v>
      </c>
      <c r="F313" s="528">
        <v>45383</v>
      </c>
      <c r="G313" s="528"/>
      <c r="H31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3" s="522" t="str">
        <f>CONCATENATE(Таблица47[[#This Row],[№ заявки в 1С]],Таблица47[[#This Row],[Наименование            ]])</f>
        <v>OPT000339[38436] 0506-21, 6,0м, 6063 Т1, тип 1, упаковка Т-5, БА</v>
      </c>
      <c r="J31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3" s="635"/>
      <c r="N313" s="1119">
        <f>28+34</f>
        <v>62</v>
      </c>
      <c r="O313" s="1013" t="str">
        <f>IFERROR(Таблица47[[#This Row],[Количество хлыстов]]-Таблица47[[#This Row],[Обработано в 1С]]-Таблица47[[#This Row],[Корректировка]],"")</f>
        <v/>
      </c>
      <c r="P313" s="638" t="str">
        <f>IFERROR((((Таблица47[[#This Row],[Осталось сделать, хлыст]]*Таблица47[[#This Row],[длина]])*Таблица47[[#This Row],[Периметр]])/28),"")</f>
        <v/>
      </c>
      <c r="Q313" s="303"/>
      <c r="R313" s="991">
        <f>IFERROR(Таблица47[[#This Row],[Коли-
чество м.п.]]/Таблица47[[#This Row],[Количество хлыстов]],"")</f>
        <v>6</v>
      </c>
      <c r="S313" s="639" t="s">
        <v>2469</v>
      </c>
      <c r="T313" s="639">
        <v>372</v>
      </c>
      <c r="U313" s="640">
        <v>62</v>
      </c>
      <c r="V313" s="639">
        <v>0.70820000000000005</v>
      </c>
      <c r="W313" s="639">
        <v>3.4609999999999999</v>
      </c>
      <c r="X313" s="639">
        <v>263.4504</v>
      </c>
      <c r="Y313" s="639">
        <v>1287.492</v>
      </c>
      <c r="Z313" s="639">
        <v>34.25</v>
      </c>
      <c r="AA313" s="639">
        <v>308.07</v>
      </c>
      <c r="AB313" s="639">
        <v>435</v>
      </c>
      <c r="AC313" s="641">
        <v>114602.04</v>
      </c>
    </row>
    <row r="314" spans="1:29" ht="15.75" customHeight="1" x14ac:dyDescent="0.25">
      <c r="A314" s="427" t="s">
        <v>4678</v>
      </c>
      <c r="B314" s="309">
        <v>189</v>
      </c>
      <c r="C314" s="309" t="s">
        <v>4753</v>
      </c>
      <c r="D314" s="303" t="s">
        <v>4858</v>
      </c>
      <c r="E314" s="303" t="s">
        <v>3918</v>
      </c>
      <c r="F314" s="528">
        <v>45383</v>
      </c>
      <c r="G314" s="528"/>
      <c r="H31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4" s="522" t="str">
        <f>CONCATENATE(Таблица47[[#This Row],[№ заявки в 1С]],Таблица47[[#This Row],[Наименование            ]])</f>
        <v>189[90078] 2577 полотно, Д, 6м</v>
      </c>
      <c r="J31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4" s="635"/>
      <c r="N314" s="1119">
        <v>26</v>
      </c>
      <c r="O314" s="1013" t="str">
        <f>IFERROR(Таблица47[[#This Row],[Количество хлыстов]]-Таблица47[[#This Row],[Обработано в 1С]]-Таблица47[[#This Row],[Корректировка]],"")</f>
        <v/>
      </c>
      <c r="P314" s="638" t="str">
        <f>IFERROR((((Таблица47[[#This Row],[Осталось сделать, хлыст]]*Таблица47[[#This Row],[длина]])*Таблица47[[#This Row],[Периметр]])/28),"")</f>
        <v/>
      </c>
      <c r="Q314" s="303"/>
      <c r="R314" s="991">
        <f>IFERROR(Таблица47[[#This Row],[Коли-
чество м.п.]]/Таблица47[[#This Row],[Количество хлыстов]],"")</f>
        <v>6</v>
      </c>
      <c r="S314" s="639" t="s">
        <v>5009</v>
      </c>
      <c r="T314" s="639">
        <v>156</v>
      </c>
      <c r="U314" s="640">
        <v>26</v>
      </c>
      <c r="V314" s="639">
        <v>0.29020000000000001</v>
      </c>
      <c r="W314" s="639">
        <v>1.17</v>
      </c>
      <c r="X314" s="639">
        <v>45.2712</v>
      </c>
      <c r="Y314" s="639">
        <v>182.52</v>
      </c>
      <c r="Z314" s="639">
        <v>5.89</v>
      </c>
      <c r="AA314" s="639">
        <v>292</v>
      </c>
      <c r="AB314" s="639">
        <v>1006.2</v>
      </c>
      <c r="AC314" s="641">
        <v>45552</v>
      </c>
    </row>
    <row r="315" spans="1:29" ht="15.75" customHeight="1" x14ac:dyDescent="0.25">
      <c r="A315" s="427" t="s">
        <v>4678</v>
      </c>
      <c r="B315" s="309">
        <v>189</v>
      </c>
      <c r="C315" s="309" t="s">
        <v>4753</v>
      </c>
      <c r="D315" s="303" t="s">
        <v>4858</v>
      </c>
      <c r="E315" s="303" t="s">
        <v>3918</v>
      </c>
      <c r="F315" s="528">
        <v>45383</v>
      </c>
      <c r="G315" s="528"/>
      <c r="H31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5" s="522" t="str">
        <f>CONCATENATE(Таблица47[[#This Row],[№ заявки в 1С]],Таблица47[[#This Row],[Наименование            ]])</f>
        <v>189[90028] 2575 коробка Д,6м</v>
      </c>
      <c r="J31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5" s="635"/>
      <c r="N315" s="1119">
        <v>18</v>
      </c>
      <c r="O315" s="1013" t="str">
        <f>IFERROR(Таблица47[[#This Row],[Количество хлыстов]]-Таблица47[[#This Row],[Обработано в 1С]]-Таблица47[[#This Row],[Корректировка]],"")</f>
        <v/>
      </c>
      <c r="P315" s="638" t="str">
        <f>IFERROR((((Таблица47[[#This Row],[Осталось сделать, хлыст]]*Таблица47[[#This Row],[длина]])*Таблица47[[#This Row],[Периметр]])/28),"")</f>
        <v/>
      </c>
      <c r="Q315" s="303"/>
      <c r="R315" s="991">
        <f>IFERROR(Таблица47[[#This Row],[Коли-
чество м.п.]]/Таблица47[[#This Row],[Количество хлыстов]],"")</f>
        <v>6</v>
      </c>
      <c r="S315" s="639" t="s">
        <v>5010</v>
      </c>
      <c r="T315" s="639">
        <v>108</v>
      </c>
      <c r="U315" s="640">
        <v>18</v>
      </c>
      <c r="V315" s="639">
        <v>0.56899999999999995</v>
      </c>
      <c r="W315" s="639">
        <v>1.2270000000000001</v>
      </c>
      <c r="X315" s="639">
        <v>61.451999999999998</v>
      </c>
      <c r="Y315" s="639">
        <v>132.51599999999999</v>
      </c>
      <c r="Z315" s="639">
        <v>7.99</v>
      </c>
      <c r="AA315" s="639">
        <v>270</v>
      </c>
      <c r="AB315" s="639">
        <v>474.52</v>
      </c>
      <c r="AC315" s="641">
        <v>29160</v>
      </c>
    </row>
    <row r="316" spans="1:29" customFormat="1" ht="15.75" customHeight="1" x14ac:dyDescent="0.25">
      <c r="A316" s="949" t="s">
        <v>4678</v>
      </c>
      <c r="B316" s="901">
        <v>189</v>
      </c>
      <c r="C316" s="901" t="s">
        <v>4753</v>
      </c>
      <c r="D316" s="524" t="s">
        <v>4858</v>
      </c>
      <c r="E316" s="524" t="s">
        <v>3918</v>
      </c>
      <c r="F316" s="943">
        <v>45383</v>
      </c>
      <c r="G316" s="148"/>
      <c r="H31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6" s="645" t="str">
        <f>CONCATENATE(Таблица47[[#This Row],[№ заявки в 1С]],Таблица47[[#This Row],[Наименование            ]])</f>
        <v>189[90075] 1250.31 коробка, Д, 6м</v>
      </c>
      <c r="J316" s="64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6" s="64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6" s="64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6" s="645">
        <v>5</v>
      </c>
      <c r="N316" s="394">
        <v>5</v>
      </c>
      <c r="O316" s="1001" t="str">
        <f>IFERROR(Таблица47[[#This Row],[Количество хлыстов]]-Таблица47[[#This Row],[Обработано в 1С]]-Таблица47[[#This Row],[Корректировка]],"")</f>
        <v/>
      </c>
      <c r="P316" s="638" t="str">
        <f>IFERROR((((Таблица47[[#This Row],[Осталось сделать, хлыст]]*Таблица47[[#This Row],[длина]])*Таблица47[[#This Row],[Периметр]])/28),"")</f>
        <v/>
      </c>
      <c r="Q316" s="145"/>
      <c r="R316" s="280">
        <f>IFERROR(Таблица47[[#This Row],[Коли-
чество м.п.]]/Таблица47[[#This Row],[Количество хлыстов]],"")</f>
        <v>6</v>
      </c>
      <c r="S316" s="280" t="s">
        <v>5011</v>
      </c>
      <c r="T316" s="280">
        <v>60</v>
      </c>
      <c r="U316" s="322">
        <v>10</v>
      </c>
      <c r="V316" s="280">
        <v>0.247</v>
      </c>
      <c r="W316" s="280">
        <v>1.6439999999999999</v>
      </c>
      <c r="X316" s="280">
        <v>14.82</v>
      </c>
      <c r="Y316" s="280">
        <v>98.64</v>
      </c>
      <c r="Z316" s="280">
        <v>1.93</v>
      </c>
      <c r="AA316" s="280">
        <v>268</v>
      </c>
      <c r="AB316" s="280">
        <v>1085.02</v>
      </c>
      <c r="AC316" s="397">
        <v>16080</v>
      </c>
    </row>
    <row r="317" spans="1:29" customFormat="1" ht="15.75" customHeight="1" x14ac:dyDescent="0.25">
      <c r="A317" s="949" t="s">
        <v>4678</v>
      </c>
      <c r="B317" s="901">
        <v>189</v>
      </c>
      <c r="C317" s="901" t="s">
        <v>4753</v>
      </c>
      <c r="D317" s="524" t="s">
        <v>4858</v>
      </c>
      <c r="E317" s="524" t="s">
        <v>3918</v>
      </c>
      <c r="F317" s="943">
        <v>45383</v>
      </c>
      <c r="G317" s="148"/>
      <c r="H317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/>
      </c>
      <c r="I317" s="645" t="str">
        <f>CONCATENATE(Таблица47[[#This Row],[№ заявки в 1С]],Таблица47[[#This Row],[Наименование            ]])</f>
        <v>189[90080] 1250.25 полотно двустворчатое, Д, 6м</v>
      </c>
      <c r="J317" s="64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7" s="64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7" s="64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7" s="645">
        <v>4</v>
      </c>
      <c r="N317" s="394"/>
      <c r="O317" s="1001" t="str">
        <f>IFERROR(Таблица47[[#This Row],[Количество хлыстов]]-Таблица47[[#This Row],[Обработано в 1С]]-Таблица47[[#This Row],[Корректировка]],"")</f>
        <v/>
      </c>
      <c r="P317" s="638" t="str">
        <f>IFERROR((((Таблица47[[#This Row],[Осталось сделать, хлыст]]*Таблица47[[#This Row],[длина]])*Таблица47[[#This Row],[Периметр]])/28),"")</f>
        <v/>
      </c>
      <c r="Q317" s="145"/>
      <c r="R317" s="280">
        <f>IFERROR(Таблица47[[#This Row],[Коли-
чество м.п.]]/Таблица47[[#This Row],[Количество хлыстов]],"")</f>
        <v>6</v>
      </c>
      <c r="S317" s="280" t="s">
        <v>5012</v>
      </c>
      <c r="T317" s="280">
        <v>24</v>
      </c>
      <c r="U317" s="322">
        <v>4</v>
      </c>
      <c r="V317" s="280">
        <v>0.31</v>
      </c>
      <c r="W317" s="280">
        <v>1.23</v>
      </c>
      <c r="X317" s="280">
        <v>7.44</v>
      </c>
      <c r="Y317" s="280">
        <v>29.52</v>
      </c>
      <c r="Z317" s="280">
        <v>0.97</v>
      </c>
      <c r="AA317" s="280">
        <v>342</v>
      </c>
      <c r="AB317" s="280">
        <v>1103.23</v>
      </c>
      <c r="AC317" s="397">
        <v>8208</v>
      </c>
    </row>
    <row r="318" spans="1:29" ht="15.75" customHeight="1" x14ac:dyDescent="0.25">
      <c r="A318" s="427" t="s">
        <v>4678</v>
      </c>
      <c r="B318" s="309">
        <v>189</v>
      </c>
      <c r="C318" s="309" t="s">
        <v>4753</v>
      </c>
      <c r="D318" s="303" t="s">
        <v>4858</v>
      </c>
      <c r="E318" s="303" t="s">
        <v>3918</v>
      </c>
      <c r="F318" s="528">
        <v>45383</v>
      </c>
      <c r="G318" s="528"/>
      <c r="H31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18" s="522" t="str">
        <f>CONCATENATE(Таблица47[[#This Row],[№ заявки в 1С]],Таблица47[[#This Row],[Наименование            ]])</f>
        <v>189[90082] 1250.20 торцевая, Д, 3м</v>
      </c>
      <c r="J31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8" s="635"/>
      <c r="N318" s="1119">
        <v>3</v>
      </c>
      <c r="O318" s="1013" t="str">
        <f>IFERROR(Таблица47[[#This Row],[Количество хлыстов]]-Таблица47[[#This Row],[Обработано в 1С]]-Таблица47[[#This Row],[Корректировка]],"")</f>
        <v/>
      </c>
      <c r="P318" s="638" t="str">
        <f>IFERROR((((Таблица47[[#This Row],[Осталось сделать, хлыст]]*Таблица47[[#This Row],[длина]])*Таблица47[[#This Row],[Периметр]])/28),"")</f>
        <v/>
      </c>
      <c r="Q318" s="303"/>
      <c r="R318" s="991">
        <f>IFERROR(Таблица47[[#This Row],[Коли-
чество м.п.]]/Таблица47[[#This Row],[Количество хлыстов]],"")</f>
        <v>3</v>
      </c>
      <c r="S318" s="639" t="s">
        <v>5013</v>
      </c>
      <c r="T318" s="639">
        <v>9</v>
      </c>
      <c r="U318" s="640">
        <v>3</v>
      </c>
      <c r="V318" s="639">
        <v>0.13400000000000001</v>
      </c>
      <c r="W318" s="639">
        <v>0.52</v>
      </c>
      <c r="X318" s="639">
        <v>1.206</v>
      </c>
      <c r="Y318" s="639">
        <v>4.68</v>
      </c>
      <c r="Z318" s="639">
        <v>0.16</v>
      </c>
      <c r="AA318" s="639">
        <v>202</v>
      </c>
      <c r="AB318" s="639">
        <v>1507.46</v>
      </c>
      <c r="AC318" s="641">
        <v>1818</v>
      </c>
    </row>
    <row r="319" spans="1:29" ht="15.75" customHeight="1" x14ac:dyDescent="0.25">
      <c r="A319" s="238" t="s">
        <v>4939</v>
      </c>
      <c r="B319" s="1070">
        <v>206</v>
      </c>
      <c r="C319" s="1070"/>
      <c r="D319" s="200" t="s">
        <v>13</v>
      </c>
      <c r="E319" s="200" t="s">
        <v>5014</v>
      </c>
      <c r="F319" s="201">
        <v>45383</v>
      </c>
      <c r="G319" s="201">
        <v>45390</v>
      </c>
      <c r="H319" s="574" t="s">
        <v>23</v>
      </c>
      <c r="I319" s="587" t="str">
        <f>CONCATENATE(Таблица47[[#This Row],[№ заявки в 1С]],Таблица47[[#This Row],[Наименование            ]])</f>
        <v>206[76223] АВА-3665 бортовой боковой 6,5м сплав 6063 Т6</v>
      </c>
      <c r="J319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19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19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19" s="1062"/>
      <c r="N319" s="1117">
        <v>65</v>
      </c>
      <c r="O319" s="1013" t="str">
        <f>IFERROR(Таблица47[[#This Row],[Количество хлыстов]]-Таблица47[[#This Row],[Обработано в 1С]]-Таблица47[[#This Row],[Корректировка]],"")</f>
        <v/>
      </c>
      <c r="P319" s="638" t="str">
        <f>IFERROR((((Таблица47[[#This Row],[Осталось сделать, хлыст]]*Таблица47[[#This Row],[длина]])*Таблица47[[#This Row],[Периметр]])/28),"")</f>
        <v/>
      </c>
      <c r="Q319" s="200"/>
      <c r="R319" s="1059">
        <f>IFERROR(Таблица47[[#This Row],[Коли-
чество м.п.]]/Таблица47[[#This Row],[Количество хлыстов]],"")</f>
        <v>6.5</v>
      </c>
      <c r="S319" s="1043" t="s">
        <v>5025</v>
      </c>
      <c r="T319" s="1043">
        <v>455</v>
      </c>
      <c r="U319" s="1042">
        <v>70</v>
      </c>
      <c r="V319" s="1043">
        <v>0.31</v>
      </c>
      <c r="W319" s="1043">
        <v>1.2010000000000001</v>
      </c>
      <c r="X319" s="1043">
        <v>141.05000000000001</v>
      </c>
      <c r="Y319" s="1043">
        <v>546.45500000000004</v>
      </c>
      <c r="Z319" s="1043">
        <v>18.34</v>
      </c>
      <c r="AA319" s="1043">
        <v>99.2</v>
      </c>
      <c r="AB319" s="1043">
        <v>320</v>
      </c>
      <c r="AC319" s="1044">
        <v>45136</v>
      </c>
    </row>
    <row r="320" spans="1:29" s="1021" customFormat="1" ht="15.75" customHeight="1" x14ac:dyDescent="0.25">
      <c r="A320" s="979" t="s">
        <v>4979</v>
      </c>
      <c r="B320" s="1067">
        <v>208</v>
      </c>
      <c r="C320" s="1067"/>
      <c r="D320" s="1105" t="s">
        <v>34</v>
      </c>
      <c r="E320" s="1068" t="s">
        <v>643</v>
      </c>
      <c r="F320" s="1069">
        <v>45384</v>
      </c>
      <c r="G320" s="1069"/>
      <c r="H32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0" s="620" t="str">
        <f>CONCATENATE(Таблица47[[#This Row],[№ заявки в 1С]],Таблица47[[#This Row],[Наименование            ]])</f>
        <v>208[11558] 0106-206, 4,2м, АД31 Т1, упаковка Т-4, БА</v>
      </c>
      <c r="J32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0" s="1082"/>
      <c r="N320" s="1120">
        <v>223</v>
      </c>
      <c r="O320" s="1020" t="str">
        <f>IFERROR(Таблица47[[#This Row],[Количество хлыстов]]-Таблица47[[#This Row],[Обработано в 1С]]-Таблица47[[#This Row],[Корректировка]],"")</f>
        <v/>
      </c>
      <c r="P320" s="638" t="str">
        <f>IFERROR((((Таблица47[[#This Row],[Осталось сделать, хлыст]]*Таблица47[[#This Row],[длина]])*Таблица47[[#This Row],[Периметр]])/28),"")</f>
        <v/>
      </c>
      <c r="Q320" s="1083" t="s">
        <v>3080</v>
      </c>
      <c r="R320" s="1083">
        <f>IFERROR(Таблица47[[#This Row],[Коли-
чество м.п.]]/Таблица47[[#This Row],[Количество хлыстов]],"")</f>
        <v>4.2</v>
      </c>
      <c r="S320" s="1084" t="s">
        <v>888</v>
      </c>
      <c r="T320" s="1083">
        <v>936.6</v>
      </c>
      <c r="U320" s="1083">
        <v>223</v>
      </c>
      <c r="V320" s="1083">
        <v>0.22650000000000001</v>
      </c>
      <c r="W320" s="1083">
        <v>0.52700000000000002</v>
      </c>
      <c r="X320" s="1083">
        <v>212.13990000000001</v>
      </c>
      <c r="Y320" s="1083">
        <v>493.58819999999997</v>
      </c>
      <c r="Z320" s="1083">
        <v>27.58</v>
      </c>
      <c r="AA320" s="1085" t="s">
        <v>17</v>
      </c>
      <c r="AB320" s="1124" t="s">
        <v>17</v>
      </c>
      <c r="AC320" s="1124" t="s">
        <v>17</v>
      </c>
    </row>
    <row r="321" spans="1:29" s="1021" customFormat="1" ht="15.75" customHeight="1" x14ac:dyDescent="0.25">
      <c r="A321" s="979" t="s">
        <v>4979</v>
      </c>
      <c r="B321" s="1067">
        <v>208</v>
      </c>
      <c r="C321" s="1067"/>
      <c r="D321" s="1105" t="s">
        <v>34</v>
      </c>
      <c r="E321" s="1068" t="s">
        <v>643</v>
      </c>
      <c r="F321" s="1069">
        <v>45384</v>
      </c>
      <c r="G321" s="1069"/>
      <c r="H32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1" s="620" t="str">
        <f>CONCATENATE(Таблица47[[#This Row],[№ заявки в 1С]],Таблица47[[#This Row],[Наименование            ]])</f>
        <v>208[23954] 0106-206, 4,8м, АД31 Т1, уп.Т4, БА</v>
      </c>
      <c r="J32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1" s="1082"/>
      <c r="N321" s="1120">
        <v>420</v>
      </c>
      <c r="O321" s="1020" t="str">
        <f>IFERROR(Таблица47[[#This Row],[Количество хлыстов]]-Таблица47[[#This Row],[Обработано в 1С]]-Таблица47[[#This Row],[Корректировка]],"")</f>
        <v/>
      </c>
      <c r="P321" s="638" t="str">
        <f>IFERROR((((Таблица47[[#This Row],[Осталось сделать, хлыст]]*Таблица47[[#This Row],[длина]])*Таблица47[[#This Row],[Периметр]])/28),"")</f>
        <v/>
      </c>
      <c r="Q321" s="1084" t="s">
        <v>3080</v>
      </c>
      <c r="R321" s="1083">
        <f>IFERROR(Таблица47[[#This Row],[Коли-
чество м.п.]]/Таблица47[[#This Row],[Количество хлыстов]],"")</f>
        <v>4.8</v>
      </c>
      <c r="S321" s="1083" t="s">
        <v>3476</v>
      </c>
      <c r="T321" s="1083">
        <v>2016</v>
      </c>
      <c r="U321" s="1083">
        <v>420</v>
      </c>
      <c r="V321" s="1083">
        <v>0.22650000000000001</v>
      </c>
      <c r="W321" s="1083">
        <v>0.52700000000000002</v>
      </c>
      <c r="X321" s="1083">
        <v>456.62400000000002</v>
      </c>
      <c r="Y321" s="1085">
        <v>1062.432</v>
      </c>
      <c r="Z321" s="1124">
        <v>59.36</v>
      </c>
      <c r="AA321" s="1124" t="s">
        <v>17</v>
      </c>
      <c r="AB321" s="1124" t="s">
        <v>17</v>
      </c>
      <c r="AC321" s="1124" t="s">
        <v>17</v>
      </c>
    </row>
    <row r="322" spans="1:29" s="1021" customFormat="1" ht="15.75" customHeight="1" x14ac:dyDescent="0.25">
      <c r="A322" s="1106" t="s">
        <v>4979</v>
      </c>
      <c r="B322" s="1067">
        <v>195</v>
      </c>
      <c r="C322" s="1067"/>
      <c r="D322" s="1068" t="s">
        <v>34</v>
      </c>
      <c r="E322" s="1068" t="s">
        <v>5016</v>
      </c>
      <c r="F322" s="1069">
        <v>45384</v>
      </c>
      <c r="G322" s="1069"/>
      <c r="H32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2" s="612" t="str">
        <f>CONCATENATE(Таблица47[[#This Row],[№ заявки в 1С]],Таблица47[[#This Row],[Наименование            ]])</f>
        <v>195[13150] N22/34 (0106-142), 6,0м, с перфорацией, БА</v>
      </c>
      <c r="J32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2" s="1082"/>
      <c r="N322" s="1120">
        <v>25</v>
      </c>
      <c r="O322" s="1020" t="str">
        <f>IFERROR(Таблица47[[#This Row],[Количество хлыстов]]-Таблица47[[#This Row],[Обработано в 1С]]-Таблица47[[#This Row],[Корректировка]],"")</f>
        <v/>
      </c>
      <c r="P322" s="638" t="str">
        <f>IFERROR((((Таблица47[[#This Row],[Осталось сделать, хлыст]]*Таблица47[[#This Row],[длина]])*Таблица47[[#This Row],[Периметр]])/28),"")</f>
        <v/>
      </c>
      <c r="Q322" s="1068"/>
      <c r="R322" s="1089">
        <f>IFERROR(Таблица47[[#This Row],[Коли-
чество м.п.]]/Таблица47[[#This Row],[Количество хлыстов]],"")</f>
        <v>6</v>
      </c>
      <c r="S322" s="1083" t="s">
        <v>5017</v>
      </c>
      <c r="T322" s="1083">
        <v>150</v>
      </c>
      <c r="U322" s="1084">
        <v>25</v>
      </c>
      <c r="V322" s="1083">
        <v>0.2591</v>
      </c>
      <c r="W322" s="1083">
        <v>0.47899999999999998</v>
      </c>
      <c r="X322" s="1083">
        <v>38.865000000000002</v>
      </c>
      <c r="Y322" s="1083">
        <v>71.849999999999994</v>
      </c>
      <c r="Z322" s="1083">
        <v>5.05</v>
      </c>
      <c r="AA322" s="1083" t="s">
        <v>17</v>
      </c>
      <c r="AB322" s="1083" t="s">
        <v>17</v>
      </c>
      <c r="AC322" s="1085" t="s">
        <v>17</v>
      </c>
    </row>
    <row r="323" spans="1:29" s="1021" customFormat="1" ht="15.75" customHeight="1" x14ac:dyDescent="0.25">
      <c r="A323" s="1106" t="s">
        <v>4979</v>
      </c>
      <c r="B323" s="1067">
        <v>196</v>
      </c>
      <c r="C323" s="1067"/>
      <c r="D323" s="1068" t="s">
        <v>34</v>
      </c>
      <c r="E323" s="1068" t="s">
        <v>5016</v>
      </c>
      <c r="F323" s="1069">
        <v>45384</v>
      </c>
      <c r="G323" s="1069"/>
      <c r="H32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3" s="612" t="str">
        <f>CONCATENATE(Таблица47[[#This Row],[№ заявки в 1С]],Таблица47[[#This Row],[Наименование            ]])</f>
        <v>196[13150] N22/34 (0106-142), 6,0м, с перфорацией, БА</v>
      </c>
      <c r="J32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3" s="1082"/>
      <c r="N323" s="1120">
        <v>25</v>
      </c>
      <c r="O323" s="1020" t="str">
        <f>IFERROR(Таблица47[[#This Row],[Количество хлыстов]]-Таблица47[[#This Row],[Обработано в 1С]]-Таблица47[[#This Row],[Корректировка]],"")</f>
        <v/>
      </c>
      <c r="P323" s="638" t="str">
        <f>IFERROR((((Таблица47[[#This Row],[Осталось сделать, хлыст]]*Таблица47[[#This Row],[длина]])*Таблица47[[#This Row],[Периметр]])/28),"")</f>
        <v/>
      </c>
      <c r="Q323" s="1068"/>
      <c r="R323" s="1089">
        <f>IFERROR(Таблица47[[#This Row],[Коли-
чество м.п.]]/Таблица47[[#This Row],[Количество хлыстов]],"")</f>
        <v>6</v>
      </c>
      <c r="S323" s="1083" t="s">
        <v>5017</v>
      </c>
      <c r="T323" s="1083">
        <v>150</v>
      </c>
      <c r="U323" s="1084">
        <v>25</v>
      </c>
      <c r="V323" s="1083">
        <v>0.2591</v>
      </c>
      <c r="W323" s="1083">
        <v>0.47899999999999998</v>
      </c>
      <c r="X323" s="1083">
        <v>38.865000000000002</v>
      </c>
      <c r="Y323" s="1083">
        <v>71.849999999999994</v>
      </c>
      <c r="Z323" s="1083">
        <v>5.05</v>
      </c>
      <c r="AA323" s="1083" t="s">
        <v>17</v>
      </c>
      <c r="AB323" s="1083" t="s">
        <v>17</v>
      </c>
      <c r="AC323" s="1085" t="s">
        <v>17</v>
      </c>
    </row>
    <row r="324" spans="1:29" ht="15.75" customHeight="1" x14ac:dyDescent="0.25">
      <c r="A324" s="427" t="s">
        <v>4678</v>
      </c>
      <c r="B324" s="309">
        <v>210</v>
      </c>
      <c r="C324" s="309" t="s">
        <v>4753</v>
      </c>
      <c r="D324" s="303" t="s">
        <v>13</v>
      </c>
      <c r="E324" s="303" t="s">
        <v>30</v>
      </c>
      <c r="F324" s="528">
        <v>45386</v>
      </c>
      <c r="G324" s="528">
        <v>45446</v>
      </c>
      <c r="H32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4" s="522" t="str">
        <f>CONCATENATE(Таблица47[[#This Row],[№ заявки в 1С]],Таблица47[[#This Row],[Наименование            ]])</f>
        <v>210[89650] Полоса Амг5 3000*100*1 Д</v>
      </c>
      <c r="J32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4" s="635"/>
      <c r="N324" s="1119">
        <v>652</v>
      </c>
      <c r="O324" s="1013" t="str">
        <f>IFERROR(Таблица47[[#This Row],[Количество хлыстов]]-Таблица47[[#This Row],[Обработано в 1С]]-Таблица47[[#This Row],[Корректировка]],"")</f>
        <v/>
      </c>
      <c r="P324" s="638" t="str">
        <f>IFERROR((((Таблица47[[#This Row],[Осталось сделать, хлыст]]*Таблица47[[#This Row],[длина]])*Таблица47[[#This Row],[Периметр]])/28),"")</f>
        <v/>
      </c>
      <c r="Q324" s="303"/>
      <c r="R324" s="991">
        <f>IFERROR(Таблица47[[#This Row],[Коли-
чество м.п.]]/Таблица47[[#This Row],[Количество хлыстов]],"")</f>
        <v>1</v>
      </c>
      <c r="S324" s="639" t="s">
        <v>5059</v>
      </c>
      <c r="T324" s="639">
        <v>652</v>
      </c>
      <c r="U324" s="640">
        <v>652</v>
      </c>
      <c r="V324" s="639">
        <v>0.60599999999999998</v>
      </c>
      <c r="W324" s="639">
        <v>0.8</v>
      </c>
      <c r="X324" s="639">
        <v>395.11200000000002</v>
      </c>
      <c r="Y324" s="639">
        <v>521.6</v>
      </c>
      <c r="Z324" s="639">
        <v>51.36</v>
      </c>
      <c r="AA324" s="639">
        <v>521.16999999999996</v>
      </c>
      <c r="AB324" s="639">
        <v>860.01</v>
      </c>
      <c r="AC324" s="641">
        <v>339800</v>
      </c>
    </row>
    <row r="325" spans="1:29" ht="15.75" customHeight="1" x14ac:dyDescent="0.25">
      <c r="A325" s="427" t="s">
        <v>4678</v>
      </c>
      <c r="B325" s="309">
        <v>212</v>
      </c>
      <c r="C325" s="309" t="s">
        <v>4753</v>
      </c>
      <c r="D325" s="303" t="s">
        <v>13</v>
      </c>
      <c r="E325" s="303" t="s">
        <v>30</v>
      </c>
      <c r="F325" s="528">
        <v>45386</v>
      </c>
      <c r="G325" s="528"/>
      <c r="H32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5" s="522" t="str">
        <f>CONCATENATE(Таблица47[[#This Row],[№ заявки в 1С]],Таблица47[[#This Row],[Наименование            ]])</f>
        <v>212[90179] Полоса Амг3 2360*907*1,5 Д</v>
      </c>
      <c r="J32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5" s="635"/>
      <c r="N325" s="1119">
        <v>28</v>
      </c>
      <c r="O325" s="1013" t="str">
        <f>IFERROR(Таблица47[[#This Row],[Количество хлыстов]]-Таблица47[[#This Row],[Обработано в 1С]]-Таблица47[[#This Row],[Корректировка]],"")</f>
        <v/>
      </c>
      <c r="P325" s="638" t="str">
        <f>IFERROR((((Таблица47[[#This Row],[Осталось сделать, хлыст]]*Таблица47[[#This Row],[длина]])*Таблица47[[#This Row],[Периметр]])/28),"")</f>
        <v/>
      </c>
      <c r="Q325" s="303"/>
      <c r="R325" s="991">
        <f>IFERROR(Таблица47[[#This Row],[Коли-
чество м.п.]]/Таблица47[[#This Row],[Количество хлыстов]],"")</f>
        <v>1</v>
      </c>
      <c r="S325" s="639" t="s">
        <v>5066</v>
      </c>
      <c r="T325" s="639">
        <v>28</v>
      </c>
      <c r="U325" s="640">
        <v>28</v>
      </c>
      <c r="V325" s="639">
        <v>4.2809999999999997</v>
      </c>
      <c r="W325" s="639">
        <v>8.5730000000000004</v>
      </c>
      <c r="X325" s="639">
        <v>119.86799999999999</v>
      </c>
      <c r="Y325" s="639">
        <v>240.04400000000001</v>
      </c>
      <c r="Z325" s="639">
        <v>15.58</v>
      </c>
      <c r="AA325" s="639">
        <v>2919.14</v>
      </c>
      <c r="AB325" s="639" t="s">
        <v>17</v>
      </c>
      <c r="AC325" s="641">
        <v>81736</v>
      </c>
    </row>
    <row r="326" spans="1:29" ht="15.75" customHeight="1" x14ac:dyDescent="0.25">
      <c r="A326" s="427" t="s">
        <v>4678</v>
      </c>
      <c r="B326" s="309">
        <v>212</v>
      </c>
      <c r="C326" s="309" t="s">
        <v>4753</v>
      </c>
      <c r="D326" s="303" t="s">
        <v>13</v>
      </c>
      <c r="E326" s="303" t="s">
        <v>30</v>
      </c>
      <c r="F326" s="528">
        <v>45386</v>
      </c>
      <c r="G326" s="528"/>
      <c r="H32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6" s="522" t="str">
        <f>CONCATENATE(Таблица47[[#This Row],[№ заявки в 1С]],Таблица47[[#This Row],[Наименование            ]])</f>
        <v>212[90184] Полоса Амг3 2124,5*1149,5*1,5 Д</v>
      </c>
      <c r="J32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6" s="635"/>
      <c r="N326" s="1119">
        <v>28</v>
      </c>
      <c r="O326" s="1013" t="str">
        <f>IFERROR(Таблица47[[#This Row],[Количество хлыстов]]-Таблица47[[#This Row],[Обработано в 1С]]-Таблица47[[#This Row],[Корректировка]],"")</f>
        <v/>
      </c>
      <c r="P326" s="638" t="str">
        <f>IFERROR((((Таблица47[[#This Row],[Осталось сделать, хлыст]]*Таблица47[[#This Row],[длина]])*Таблица47[[#This Row],[Периметр]])/28),"")</f>
        <v/>
      </c>
      <c r="Q326" s="303"/>
      <c r="R326" s="991">
        <f>IFERROR(Таблица47[[#This Row],[Коли-
чество м.п.]]/Таблица47[[#This Row],[Количество хлыстов]],"")</f>
        <v>1</v>
      </c>
      <c r="S326" s="639" t="s">
        <v>5067</v>
      </c>
      <c r="T326" s="639">
        <v>28</v>
      </c>
      <c r="U326" s="640">
        <v>28</v>
      </c>
      <c r="V326" s="639">
        <v>4.8841999999999999</v>
      </c>
      <c r="W326" s="639">
        <v>9.7810000000000006</v>
      </c>
      <c r="X326" s="639">
        <v>136.7576</v>
      </c>
      <c r="Y326" s="639">
        <v>273.86799999999999</v>
      </c>
      <c r="Z326" s="639">
        <v>17.78</v>
      </c>
      <c r="AA326" s="639">
        <v>2919.14</v>
      </c>
      <c r="AB326" s="639" t="s">
        <v>17</v>
      </c>
      <c r="AC326" s="641">
        <v>81736</v>
      </c>
    </row>
    <row r="327" spans="1:29" ht="15.75" customHeight="1" x14ac:dyDescent="0.25">
      <c r="A327" s="427" t="s">
        <v>4678</v>
      </c>
      <c r="B327" s="309">
        <v>212</v>
      </c>
      <c r="C327" s="309" t="s">
        <v>4753</v>
      </c>
      <c r="D327" s="303" t="s">
        <v>13</v>
      </c>
      <c r="E327" s="303" t="s">
        <v>30</v>
      </c>
      <c r="F327" s="528">
        <v>45386</v>
      </c>
      <c r="G327" s="528"/>
      <c r="H32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7" s="522" t="str">
        <f>CONCATENATE(Таблица47[[#This Row],[№ заявки в 1С]],Таблица47[[#This Row],[Наименование            ]])</f>
        <v>212[90186] Полоса Амг3 1385,5*1147*1,5 Д</v>
      </c>
      <c r="J32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7" s="635"/>
      <c r="N327" s="1119">
        <v>28</v>
      </c>
      <c r="O327" s="1013" t="str">
        <f>IFERROR(Таблица47[[#This Row],[Количество хлыстов]]-Таблица47[[#This Row],[Обработано в 1С]]-Таблица47[[#This Row],[Корректировка]],"")</f>
        <v/>
      </c>
      <c r="P327" s="638" t="str">
        <f>IFERROR((((Таблица47[[#This Row],[Осталось сделать, хлыст]]*Таблица47[[#This Row],[длина]])*Таблица47[[#This Row],[Периметр]])/28),"")</f>
        <v/>
      </c>
      <c r="Q327" s="303"/>
      <c r="R327" s="991">
        <f>IFERROR(Таблица47[[#This Row],[Коли-
чество м.п.]]/Таблица47[[#This Row],[Количество хлыстов]],"")</f>
        <v>1</v>
      </c>
      <c r="S327" s="639" t="s">
        <v>5068</v>
      </c>
      <c r="T327" s="639">
        <v>28</v>
      </c>
      <c r="U327" s="640">
        <v>28</v>
      </c>
      <c r="V327" s="639">
        <v>3.1783000000000001</v>
      </c>
      <c r="W327" s="639">
        <v>6.3650000000000002</v>
      </c>
      <c r="X327" s="639">
        <v>88.992400000000004</v>
      </c>
      <c r="Y327" s="639">
        <v>178.22</v>
      </c>
      <c r="Z327" s="639">
        <v>11.57</v>
      </c>
      <c r="AA327" s="639">
        <v>2919.14</v>
      </c>
      <c r="AB327" s="639" t="s">
        <v>17</v>
      </c>
      <c r="AC327" s="641">
        <v>81736</v>
      </c>
    </row>
    <row r="328" spans="1:29" ht="15.75" customHeight="1" x14ac:dyDescent="0.25">
      <c r="A328" s="427" t="s">
        <v>4678</v>
      </c>
      <c r="B328" s="309">
        <v>212</v>
      </c>
      <c r="C328" s="309" t="s">
        <v>4753</v>
      </c>
      <c r="D328" s="303" t="s">
        <v>13</v>
      </c>
      <c r="E328" s="303" t="s">
        <v>30</v>
      </c>
      <c r="F328" s="528">
        <v>45386</v>
      </c>
      <c r="G328" s="528"/>
      <c r="H32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8" s="522" t="str">
        <f>CONCATENATE(Таблица47[[#This Row],[№ заявки в 1С]],Таблица47[[#This Row],[Наименование            ]])</f>
        <v>212[90188] Полоса Амг3 1144*907*1,5 Д</v>
      </c>
      <c r="J32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8" s="635"/>
      <c r="N328" s="1119">
        <v>28</v>
      </c>
      <c r="O328" s="1013" t="str">
        <f>IFERROR(Таблица47[[#This Row],[Количество хлыстов]]-Таблица47[[#This Row],[Обработано в 1С]]-Таблица47[[#This Row],[Корректировка]],"")</f>
        <v/>
      </c>
      <c r="P328" s="638" t="str">
        <f>IFERROR((((Таблица47[[#This Row],[Осталось сделать, хлыст]]*Таблица47[[#This Row],[длина]])*Таблица47[[#This Row],[Периметр]])/28),"")</f>
        <v/>
      </c>
      <c r="Q328" s="303"/>
      <c r="R328" s="991">
        <f>IFERROR(Таблица47[[#This Row],[Коли-
чество м.п.]]/Таблица47[[#This Row],[Количество хлыстов]],"")</f>
        <v>1</v>
      </c>
      <c r="S328" s="639" t="s">
        <v>5069</v>
      </c>
      <c r="T328" s="639">
        <v>28</v>
      </c>
      <c r="U328" s="640">
        <v>28</v>
      </c>
      <c r="V328" s="639">
        <v>2.0752000000000002</v>
      </c>
      <c r="W328" s="639">
        <v>4.1559999999999997</v>
      </c>
      <c r="X328" s="639">
        <v>58.105600000000003</v>
      </c>
      <c r="Y328" s="639">
        <v>116.36799999999999</v>
      </c>
      <c r="Z328" s="639">
        <v>7.55</v>
      </c>
      <c r="AA328" s="639">
        <v>2919.14</v>
      </c>
      <c r="AB328" s="639" t="s">
        <v>17</v>
      </c>
      <c r="AC328" s="641">
        <v>81736</v>
      </c>
    </row>
    <row r="329" spans="1:29" ht="15.75" customHeight="1" x14ac:dyDescent="0.25">
      <c r="A329" s="427" t="s">
        <v>4678</v>
      </c>
      <c r="B329" s="309">
        <v>212</v>
      </c>
      <c r="C329" s="309" t="s">
        <v>4753</v>
      </c>
      <c r="D329" s="303" t="s">
        <v>13</v>
      </c>
      <c r="E329" s="303" t="s">
        <v>30</v>
      </c>
      <c r="F329" s="528">
        <v>45386</v>
      </c>
      <c r="G329" s="528"/>
      <c r="H32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29" s="522" t="str">
        <f>CONCATENATE(Таблица47[[#This Row],[№ заявки в 1С]],Таблица47[[#This Row],[Наименование            ]])</f>
        <v>212[90190] Полоса Амг3 1051*613,5*1,5 Д</v>
      </c>
      <c r="J32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2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2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29" s="635"/>
      <c r="N329" s="1119">
        <v>28</v>
      </c>
      <c r="O329" s="1013" t="str">
        <f>IFERROR(Таблица47[[#This Row],[Количество хлыстов]]-Таблица47[[#This Row],[Обработано в 1С]]-Таблица47[[#This Row],[Корректировка]],"")</f>
        <v/>
      </c>
      <c r="P329" s="638" t="str">
        <f>IFERROR((((Таблица47[[#This Row],[Осталось сделать, хлыст]]*Таблица47[[#This Row],[длина]])*Таблица47[[#This Row],[Периметр]])/28),"")</f>
        <v/>
      </c>
      <c r="Q329" s="303"/>
      <c r="R329" s="991">
        <f>IFERROR(Таблица47[[#This Row],[Коли-
чество м.п.]]/Таблица47[[#This Row],[Количество хлыстов]],"")</f>
        <v>1</v>
      </c>
      <c r="S329" s="639" t="s">
        <v>5070</v>
      </c>
      <c r="T329" s="639">
        <v>28</v>
      </c>
      <c r="U329" s="640">
        <v>28</v>
      </c>
      <c r="V329" s="639">
        <v>1.2896000000000001</v>
      </c>
      <c r="W329" s="639">
        <v>2.5819999999999999</v>
      </c>
      <c r="X329" s="639">
        <v>36.108800000000002</v>
      </c>
      <c r="Y329" s="639">
        <v>72.296000000000006</v>
      </c>
      <c r="Z329" s="639">
        <v>4.6900000000000004</v>
      </c>
      <c r="AA329" s="639">
        <v>2919.14</v>
      </c>
      <c r="AB329" s="639" t="s">
        <v>17</v>
      </c>
      <c r="AC329" s="641">
        <v>81736</v>
      </c>
    </row>
    <row r="330" spans="1:29" ht="15.75" customHeight="1" x14ac:dyDescent="0.25">
      <c r="A330" s="427" t="s">
        <v>4678</v>
      </c>
      <c r="B330" s="309">
        <v>213</v>
      </c>
      <c r="C330" s="309" t="s">
        <v>4753</v>
      </c>
      <c r="D330" s="303" t="s">
        <v>13</v>
      </c>
      <c r="E330" s="303" t="s">
        <v>30</v>
      </c>
      <c r="F330" s="528">
        <v>45386</v>
      </c>
      <c r="G330" s="528"/>
      <c r="H33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0" s="522" t="str">
        <f>CONCATENATE(Таблица47[[#This Row],[№ заявки в 1С]],Таблица47[[#This Row],[Наименование            ]])</f>
        <v>213[89956] ПКФ (177 5050 Д L=1100 АД31Т1</v>
      </c>
      <c r="J33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0" s="635"/>
      <c r="N330" s="1119">
        <v>62</v>
      </c>
      <c r="O330" s="1013" t="str">
        <f>IFERROR(Таблица47[[#This Row],[Количество хлыстов]]-Таблица47[[#This Row],[Обработано в 1С]]-Таблица47[[#This Row],[Корректировка]],"")</f>
        <v/>
      </c>
      <c r="P330" s="638" t="str">
        <f>IFERROR((((Таблица47[[#This Row],[Осталось сделать, хлыст]]*Таблица47[[#This Row],[длина]])*Таблица47[[#This Row],[Периметр]])/28),"")</f>
        <v/>
      </c>
      <c r="Q330" s="303"/>
      <c r="R330" s="991">
        <f>IFERROR(Таблица47[[#This Row],[Коли-
чество м.п.]]/Таблица47[[#This Row],[Количество хлыстов]],"")</f>
        <v>1</v>
      </c>
      <c r="S330" s="639" t="s">
        <v>5140</v>
      </c>
      <c r="T330" s="639">
        <v>62</v>
      </c>
      <c r="U330" s="640">
        <v>62</v>
      </c>
      <c r="V330" s="639">
        <v>0.17249999999999999</v>
      </c>
      <c r="W330" s="639">
        <v>0.81499999999999995</v>
      </c>
      <c r="X330" s="639">
        <v>10.695</v>
      </c>
      <c r="Y330" s="639">
        <v>50.53</v>
      </c>
      <c r="Z330" s="639">
        <v>1.39</v>
      </c>
      <c r="AA330" s="639">
        <v>170</v>
      </c>
      <c r="AB330" s="639" t="s">
        <v>17</v>
      </c>
      <c r="AC330" s="641">
        <v>10540</v>
      </c>
    </row>
    <row r="331" spans="1:29" ht="15.75" customHeight="1" x14ac:dyDescent="0.25">
      <c r="A331" s="427" t="s">
        <v>4678</v>
      </c>
      <c r="B331" s="309">
        <v>213</v>
      </c>
      <c r="C331" s="309" t="s">
        <v>4753</v>
      </c>
      <c r="D331" s="303" t="s">
        <v>13</v>
      </c>
      <c r="E331" s="303" t="s">
        <v>30</v>
      </c>
      <c r="F331" s="528">
        <v>45386</v>
      </c>
      <c r="G331" s="528"/>
      <c r="H33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1" s="522" t="str">
        <f>CONCATENATE(Таблица47[[#This Row],[№ заявки в 1С]],Таблица47[[#This Row],[Наименование            ]])</f>
        <v>213[89957] ПКФ (176) 5033 Д L=1100 АД31Т1</v>
      </c>
      <c r="J33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1" s="635"/>
      <c r="N331" s="1119">
        <v>62</v>
      </c>
      <c r="O331" s="1013" t="str">
        <f>IFERROR(Таблица47[[#This Row],[Количество хлыстов]]-Таблица47[[#This Row],[Обработано в 1С]]-Таблица47[[#This Row],[Корректировка]],"")</f>
        <v/>
      </c>
      <c r="P331" s="638" t="str">
        <f>IFERROR((((Таблица47[[#This Row],[Осталось сделать, хлыст]]*Таблица47[[#This Row],[длина]])*Таблица47[[#This Row],[Периметр]])/28),"")</f>
        <v/>
      </c>
      <c r="Q331" s="303"/>
      <c r="R331" s="991">
        <f>IFERROR(Таблица47[[#This Row],[Коли-
чество м.п.]]/Таблица47[[#This Row],[Количество хлыстов]],"")</f>
        <v>1</v>
      </c>
      <c r="S331" s="639" t="s">
        <v>5141</v>
      </c>
      <c r="T331" s="639">
        <v>62</v>
      </c>
      <c r="U331" s="640">
        <v>62</v>
      </c>
      <c r="V331" s="639">
        <v>0.17249999999999999</v>
      </c>
      <c r="W331" s="639">
        <v>0.81499999999999995</v>
      </c>
      <c r="X331" s="639">
        <v>10.695</v>
      </c>
      <c r="Y331" s="639">
        <v>50.53</v>
      </c>
      <c r="Z331" s="639">
        <v>1.39</v>
      </c>
      <c r="AA331" s="639">
        <v>170</v>
      </c>
      <c r="AB331" s="639" t="s">
        <v>17</v>
      </c>
      <c r="AC331" s="641">
        <v>10540</v>
      </c>
    </row>
    <row r="332" spans="1:29" ht="15.75" customHeight="1" x14ac:dyDescent="0.25">
      <c r="A332" s="427" t="s">
        <v>4678</v>
      </c>
      <c r="B332" s="309">
        <v>213</v>
      </c>
      <c r="C332" s="309" t="s">
        <v>4753</v>
      </c>
      <c r="D332" s="303" t="s">
        <v>13</v>
      </c>
      <c r="E332" s="303" t="s">
        <v>30</v>
      </c>
      <c r="F332" s="528">
        <v>45386</v>
      </c>
      <c r="G332" s="528"/>
      <c r="H33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2" s="522" t="str">
        <f>CONCATENATE(Таблица47[[#This Row],[№ заявки в 1С]],Таблица47[[#This Row],[Наименование            ]])</f>
        <v>213[89958] ПКФ (177) 5050 Д L=1250 АД31Т1</v>
      </c>
      <c r="J33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2" s="635"/>
      <c r="N332" s="1119">
        <v>14</v>
      </c>
      <c r="O332" s="1013" t="str">
        <f>IFERROR(Таблица47[[#This Row],[Количество хлыстов]]-Таблица47[[#This Row],[Обработано в 1С]]-Таблица47[[#This Row],[Корректировка]],"")</f>
        <v/>
      </c>
      <c r="P332" s="638" t="str">
        <f>IFERROR((((Таблица47[[#This Row],[Осталось сделать, хлыст]]*Таблица47[[#This Row],[длина]])*Таблица47[[#This Row],[Периметр]])/28),"")</f>
        <v/>
      </c>
      <c r="Q332" s="303"/>
      <c r="R332" s="991">
        <f>IFERROR(Таблица47[[#This Row],[Коли-
чество м.п.]]/Таблица47[[#This Row],[Количество хлыстов]],"")</f>
        <v>1</v>
      </c>
      <c r="S332" s="639" t="s">
        <v>5142</v>
      </c>
      <c r="T332" s="639">
        <v>14</v>
      </c>
      <c r="U332" s="640">
        <v>14</v>
      </c>
      <c r="V332" s="639">
        <v>0.17249999999999999</v>
      </c>
      <c r="W332" s="639">
        <v>0.81499999999999995</v>
      </c>
      <c r="X332" s="639">
        <v>2.415</v>
      </c>
      <c r="Y332" s="639">
        <v>11.41</v>
      </c>
      <c r="Z332" s="639">
        <v>0.31</v>
      </c>
      <c r="AA332" s="639">
        <v>678.71</v>
      </c>
      <c r="AB332" s="639" t="s">
        <v>17</v>
      </c>
      <c r="AC332" s="641">
        <v>9502</v>
      </c>
    </row>
    <row r="333" spans="1:29" ht="15.75" customHeight="1" x14ac:dyDescent="0.25">
      <c r="A333" s="427" t="s">
        <v>4678</v>
      </c>
      <c r="B333" s="309">
        <v>213</v>
      </c>
      <c r="C333" s="309" t="s">
        <v>4753</v>
      </c>
      <c r="D333" s="303" t="s">
        <v>13</v>
      </c>
      <c r="E333" s="303" t="s">
        <v>30</v>
      </c>
      <c r="F333" s="528">
        <v>45386</v>
      </c>
      <c r="G333" s="528"/>
      <c r="H33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3" s="522" t="str">
        <f>CONCATENATE(Таблица47[[#This Row],[№ заявки в 1С]],Таблица47[[#This Row],[Наименование            ]])</f>
        <v>213[89959] ПКФ (176) 5033 Д L=1250 АД31Т1</v>
      </c>
      <c r="J33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3" s="635"/>
      <c r="N333" s="1119">
        <v>14</v>
      </c>
      <c r="O333" s="1013" t="str">
        <f>IFERROR(Таблица47[[#This Row],[Количество хлыстов]]-Таблица47[[#This Row],[Обработано в 1С]]-Таблица47[[#This Row],[Корректировка]],"")</f>
        <v/>
      </c>
      <c r="P333" s="638" t="str">
        <f>IFERROR((((Таблица47[[#This Row],[Осталось сделать, хлыст]]*Таблица47[[#This Row],[длина]])*Таблица47[[#This Row],[Периметр]])/28),"")</f>
        <v/>
      </c>
      <c r="Q333" s="303"/>
      <c r="R333" s="991">
        <f>IFERROR(Таблица47[[#This Row],[Коли-
чество м.п.]]/Таблица47[[#This Row],[Количество хлыстов]],"")</f>
        <v>1</v>
      </c>
      <c r="S333" s="639" t="s">
        <v>5143</v>
      </c>
      <c r="T333" s="639">
        <v>14</v>
      </c>
      <c r="U333" s="640">
        <v>14</v>
      </c>
      <c r="V333" s="639">
        <v>0.17249999999999999</v>
      </c>
      <c r="W333" s="639">
        <v>0.81499999999999995</v>
      </c>
      <c r="X333" s="639">
        <v>2.415</v>
      </c>
      <c r="Y333" s="639">
        <v>11.41</v>
      </c>
      <c r="Z333" s="639">
        <v>0.31</v>
      </c>
      <c r="AA333" s="639">
        <v>678.71</v>
      </c>
      <c r="AB333" s="639" t="s">
        <v>17</v>
      </c>
      <c r="AC333" s="641">
        <v>9502</v>
      </c>
    </row>
    <row r="334" spans="1:29" ht="15.75" customHeight="1" x14ac:dyDescent="0.25">
      <c r="A334" s="427" t="s">
        <v>4678</v>
      </c>
      <c r="B334" s="309">
        <v>213</v>
      </c>
      <c r="C334" s="309" t="s">
        <v>4753</v>
      </c>
      <c r="D334" s="303" t="s">
        <v>13</v>
      </c>
      <c r="E334" s="303" t="s">
        <v>30</v>
      </c>
      <c r="F334" s="528">
        <v>45386</v>
      </c>
      <c r="G334" s="528"/>
      <c r="H33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4" s="522" t="str">
        <f>CONCATENATE(Таблица47[[#This Row],[№ заявки в 1С]],Таблица47[[#This Row],[Наименование            ]])</f>
        <v>213[89960] ПКФ (177) 5050 Д L=1560 АД31Т1</v>
      </c>
      <c r="J33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4" s="635"/>
      <c r="N334" s="1119">
        <v>152</v>
      </c>
      <c r="O334" s="1013" t="str">
        <f>IFERROR(Таблица47[[#This Row],[Количество хлыстов]]-Таблица47[[#This Row],[Обработано в 1С]]-Таблица47[[#This Row],[Корректировка]],"")</f>
        <v/>
      </c>
      <c r="P334" s="638" t="str">
        <f>IFERROR((((Таблица47[[#This Row],[Осталось сделать, хлыст]]*Таблица47[[#This Row],[длина]])*Таблица47[[#This Row],[Периметр]])/28),"")</f>
        <v/>
      </c>
      <c r="Q334" s="303"/>
      <c r="R334" s="991">
        <f>IFERROR(Таблица47[[#This Row],[Коли-
чество м.п.]]/Таблица47[[#This Row],[Количество хлыстов]],"")</f>
        <v>1</v>
      </c>
      <c r="S334" s="639" t="s">
        <v>5144</v>
      </c>
      <c r="T334" s="639">
        <v>152</v>
      </c>
      <c r="U334" s="640">
        <v>152</v>
      </c>
      <c r="V334" s="639">
        <v>0.17249999999999999</v>
      </c>
      <c r="W334" s="639">
        <v>0.81499999999999995</v>
      </c>
      <c r="X334" s="639">
        <v>26.22</v>
      </c>
      <c r="Y334" s="639">
        <v>123.88</v>
      </c>
      <c r="Z334" s="639">
        <v>3.41</v>
      </c>
      <c r="AA334" s="639">
        <v>218.42</v>
      </c>
      <c r="AB334" s="639" t="s">
        <v>17</v>
      </c>
      <c r="AC334" s="641">
        <v>33200</v>
      </c>
    </row>
    <row r="335" spans="1:29" ht="15.75" customHeight="1" x14ac:dyDescent="0.25">
      <c r="A335" s="427" t="s">
        <v>4678</v>
      </c>
      <c r="B335" s="309">
        <v>213</v>
      </c>
      <c r="C335" s="309" t="s">
        <v>4753</v>
      </c>
      <c r="D335" s="303" t="s">
        <v>13</v>
      </c>
      <c r="E335" s="303" t="s">
        <v>30</v>
      </c>
      <c r="F335" s="528">
        <v>45386</v>
      </c>
      <c r="G335" s="528"/>
      <c r="H33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5" s="522" t="str">
        <f>CONCATENATE(Таблица47[[#This Row],[№ заявки в 1С]],Таблица47[[#This Row],[Наименование            ]])</f>
        <v>213[89961] ПКФ (176) 5033 Д L=1560 АД31Т1</v>
      </c>
      <c r="J33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5" s="635"/>
      <c r="N335" s="1119">
        <v>152</v>
      </c>
      <c r="O335" s="1013" t="str">
        <f>IFERROR(Таблица47[[#This Row],[Количество хлыстов]]-Таблица47[[#This Row],[Обработано в 1С]]-Таблица47[[#This Row],[Корректировка]],"")</f>
        <v/>
      </c>
      <c r="P335" s="638" t="str">
        <f>IFERROR((((Таблица47[[#This Row],[Осталось сделать, хлыст]]*Таблица47[[#This Row],[длина]])*Таблица47[[#This Row],[Периметр]])/28),"")</f>
        <v/>
      </c>
      <c r="Q335" s="303"/>
      <c r="R335" s="991">
        <f>IFERROR(Таблица47[[#This Row],[Коли-
чество м.п.]]/Таблица47[[#This Row],[Количество хлыстов]],"")</f>
        <v>1</v>
      </c>
      <c r="S335" s="639" t="s">
        <v>5145</v>
      </c>
      <c r="T335" s="639">
        <v>152</v>
      </c>
      <c r="U335" s="640">
        <v>152</v>
      </c>
      <c r="V335" s="639">
        <v>0.17249999999999999</v>
      </c>
      <c r="W335" s="639">
        <v>0.81499999999999995</v>
      </c>
      <c r="X335" s="639">
        <v>26.22</v>
      </c>
      <c r="Y335" s="639">
        <v>123.88</v>
      </c>
      <c r="Z335" s="639">
        <v>3.41</v>
      </c>
      <c r="AA335" s="639">
        <v>218.42</v>
      </c>
      <c r="AB335" s="639" t="s">
        <v>17</v>
      </c>
      <c r="AC335" s="641">
        <v>33200</v>
      </c>
    </row>
    <row r="336" spans="1:29" ht="15.75" customHeight="1" x14ac:dyDescent="0.25">
      <c r="A336" s="427" t="s">
        <v>4678</v>
      </c>
      <c r="B336" s="309">
        <v>214</v>
      </c>
      <c r="C336" s="309" t="s">
        <v>4753</v>
      </c>
      <c r="D336" s="303" t="s">
        <v>4858</v>
      </c>
      <c r="E336" s="303" t="s">
        <v>2399</v>
      </c>
      <c r="F336" s="528">
        <v>45387</v>
      </c>
      <c r="G336" s="528"/>
      <c r="H33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6" s="522" t="str">
        <f>CONCATENATE(Таблица47[[#This Row],[№ заявки в 1С]],Таблица47[[#This Row],[Наименование            ]])</f>
        <v>214[90172] Корпус_КУДР.676621.017.01-02 (1660мм) (Д) сплав 6063</v>
      </c>
      <c r="J33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6" s="635"/>
      <c r="N336" s="1119">
        <v>130</v>
      </c>
      <c r="O336" s="1013" t="str">
        <f>IFERROR(Таблица47[[#This Row],[Количество хлыстов]]-Таблица47[[#This Row],[Обработано в 1С]]-Таблица47[[#This Row],[Корректировка]],"")</f>
        <v/>
      </c>
      <c r="P336" s="638" t="str">
        <f>IFERROR((((Таблица47[[#This Row],[Осталось сделать, хлыст]]*Таблица47[[#This Row],[длина]])*Таблица47[[#This Row],[Периметр]])/28),"")</f>
        <v/>
      </c>
      <c r="Q336" s="303"/>
      <c r="R336" s="991">
        <f>IFERROR(Таблица47[[#This Row],[Коли-
чество м.п.]]/Таблица47[[#This Row],[Количество хлыстов]],"")</f>
        <v>1.6600000000000001</v>
      </c>
      <c r="S336" s="639" t="s">
        <v>5029</v>
      </c>
      <c r="T336" s="639">
        <v>215.8</v>
      </c>
      <c r="U336" s="640">
        <v>130</v>
      </c>
      <c r="V336" s="639">
        <v>0.05</v>
      </c>
      <c r="W336" s="639">
        <v>8.4000000000000005E-2</v>
      </c>
      <c r="X336" s="639">
        <v>10.79</v>
      </c>
      <c r="Y336" s="639">
        <v>18.127199999999998</v>
      </c>
      <c r="Z336" s="639">
        <v>1.4</v>
      </c>
      <c r="AA336" s="639">
        <v>127.62</v>
      </c>
      <c r="AB336" s="639">
        <v>2552.4</v>
      </c>
      <c r="AC336" s="641">
        <v>27540.400000000001</v>
      </c>
    </row>
    <row r="337" spans="1:29" ht="15.75" customHeight="1" x14ac:dyDescent="0.25">
      <c r="A337" s="427" t="s">
        <v>4678</v>
      </c>
      <c r="B337" s="309">
        <v>215</v>
      </c>
      <c r="C337" s="309"/>
      <c r="D337" s="303" t="s">
        <v>13</v>
      </c>
      <c r="E337" s="303" t="s">
        <v>557</v>
      </c>
      <c r="F337" s="528">
        <v>45387</v>
      </c>
      <c r="G337" s="528"/>
      <c r="H33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7" s="522" t="str">
        <f>CONCATENATE(Таблица47[[#This Row],[№ заявки в 1С]],Таблица47[[#This Row],[Наименование            ]])</f>
        <v>215[77197] 1606-41 (L профиль) 3,0 м, сплав 6063 КР Т6</v>
      </c>
      <c r="J33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7" s="635">
        <v>2</v>
      </c>
      <c r="N337" s="1119">
        <v>698</v>
      </c>
      <c r="O337" s="1013" t="str">
        <f>IFERROR(Таблица47[[#This Row],[Количество хлыстов]]-Таблица47[[#This Row],[Обработано в 1С]]-Таблица47[[#This Row],[Корректировка]],"")</f>
        <v/>
      </c>
      <c r="P337" s="638" t="str">
        <f>IFERROR((((Таблица47[[#This Row],[Осталось сделать, хлыст]]*Таблица47[[#This Row],[длина]])*Таблица47[[#This Row],[Периметр]])/28),"")</f>
        <v/>
      </c>
      <c r="Q337" s="303"/>
      <c r="R337" s="991">
        <f>IFERROR(Таблица47[[#This Row],[Коли-
чество м.п.]]/Таблица47[[#This Row],[Количество хлыстов]],"")</f>
        <v>3</v>
      </c>
      <c r="S337" s="639" t="s">
        <v>1686</v>
      </c>
      <c r="T337" s="639">
        <v>2100</v>
      </c>
      <c r="U337" s="640">
        <v>700</v>
      </c>
      <c r="V337" s="639">
        <v>0.1018</v>
      </c>
      <c r="W337" s="639">
        <v>0.26600000000000001</v>
      </c>
      <c r="X337" s="639">
        <v>213.78</v>
      </c>
      <c r="Y337" s="639">
        <v>558.6</v>
      </c>
      <c r="Z337" s="639">
        <v>27.79</v>
      </c>
      <c r="AA337" s="639">
        <v>35.630000000000003</v>
      </c>
      <c r="AB337" s="639">
        <v>350</v>
      </c>
      <c r="AC337" s="641">
        <v>74823</v>
      </c>
    </row>
    <row r="338" spans="1:29" s="1021" customFormat="1" ht="15.75" customHeight="1" x14ac:dyDescent="0.25">
      <c r="A338" s="1106" t="s">
        <v>5031</v>
      </c>
      <c r="B338" s="1122">
        <v>216</v>
      </c>
      <c r="C338" s="1067"/>
      <c r="D338" s="1068" t="s">
        <v>13</v>
      </c>
      <c r="E338" s="1068" t="s">
        <v>32</v>
      </c>
      <c r="F338" s="1069">
        <v>45390</v>
      </c>
      <c r="G338" s="1069"/>
      <c r="H33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8" s="620" t="str">
        <f>CONCATENATE(Таблица47[[#This Row],[№ заявки в 1С]],Таблица47[[#This Row],[Наименование            ]])</f>
        <v>216[90033] 1606-89, 6,1 м,  Ад 31 Т1</v>
      </c>
      <c r="J33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8" s="1082"/>
      <c r="N338" s="1082">
        <v>900</v>
      </c>
      <c r="O338" s="1020" t="str">
        <f>IFERROR(Таблица47[[#This Row],[Количество хлыстов]]-Таблица47[[#This Row],[Обработано в 1С]]-Таблица47[[#This Row],[Корректировка]],"")</f>
        <v/>
      </c>
      <c r="P338" s="638" t="str">
        <f>IFERROR((((Таблица47[[#This Row],[Осталось сделать, хлыст]]*Таблица47[[#This Row],[длина]])*Таблица47[[#This Row],[Периметр]])/28),"")</f>
        <v/>
      </c>
      <c r="Q338" s="1068"/>
      <c r="R338" s="1089">
        <f>IFERROR(Таблица47[[#This Row],[Коли-
чество м.п.]]/Таблица47[[#This Row],[Количество хлыстов]],"")</f>
        <v>6.1</v>
      </c>
      <c r="S338" s="1083" t="s">
        <v>5032</v>
      </c>
      <c r="T338" s="1083">
        <v>5490</v>
      </c>
      <c r="U338" s="1084">
        <v>900</v>
      </c>
      <c r="V338" s="1083">
        <v>5.7599999999999998E-2</v>
      </c>
      <c r="W338" s="1083">
        <v>8.7999999999999995E-2</v>
      </c>
      <c r="X338" s="1083">
        <v>316.22399999999999</v>
      </c>
      <c r="Y338" s="1083">
        <v>483.12</v>
      </c>
      <c r="Z338" s="1083">
        <v>41.11</v>
      </c>
      <c r="AA338" s="1083">
        <v>22.18</v>
      </c>
      <c r="AB338" s="1083">
        <v>385</v>
      </c>
      <c r="AC338" s="1085">
        <v>121746.24000000001</v>
      </c>
    </row>
    <row r="339" spans="1:29" ht="15.75" customHeight="1" x14ac:dyDescent="0.25">
      <c r="A339" s="238" t="s">
        <v>4678</v>
      </c>
      <c r="B339" s="1070">
        <v>217</v>
      </c>
      <c r="C339" s="1070"/>
      <c r="D339" s="200" t="s">
        <v>13</v>
      </c>
      <c r="E339" s="200" t="s">
        <v>657</v>
      </c>
      <c r="F339" s="201">
        <v>45390</v>
      </c>
      <c r="G339" s="201">
        <v>45415</v>
      </c>
      <c r="H339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39" s="587" t="str">
        <f>CONCATENATE(Таблица47[[#This Row],[№ заявки в 1С]],Таблица47[[#This Row],[Наименование            ]])</f>
        <v>217[68773] 0906-71, 5,8 м, сплав 6063 КР Т1</v>
      </c>
      <c r="J339" s="106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39" s="106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39" s="106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39" s="1062"/>
      <c r="N339" s="1117">
        <v>328</v>
      </c>
      <c r="O339" s="1013" t="str">
        <f>IFERROR(Таблица47[[#This Row],[Количество хлыстов]]-Таблица47[[#This Row],[Обработано в 1С]]-Таблица47[[#This Row],[Корректировка]],"")</f>
        <v/>
      </c>
      <c r="P339" s="638" t="str">
        <f>IFERROR((((Таблица47[[#This Row],[Осталось сделать, хлыст]]*Таблица47[[#This Row],[длина]])*Таблица47[[#This Row],[Периметр]])/28),"")</f>
        <v/>
      </c>
      <c r="Q339" s="200"/>
      <c r="R339" s="1059">
        <f>IFERROR(Таблица47[[#This Row],[Коли-
чество м.п.]]/Таблица47[[#This Row],[Количество хлыстов]],"")</f>
        <v>5.8000000000000007</v>
      </c>
      <c r="S339" s="1043" t="s">
        <v>2963</v>
      </c>
      <c r="T339" s="1043">
        <v>1902.4</v>
      </c>
      <c r="U339" s="1042">
        <v>328</v>
      </c>
      <c r="V339" s="1043">
        <v>0.1724</v>
      </c>
      <c r="W339" s="1043">
        <v>0.41499999999999998</v>
      </c>
      <c r="X339" s="1043">
        <v>327.97379999999998</v>
      </c>
      <c r="Y339" s="1043">
        <v>789.49599999999998</v>
      </c>
      <c r="Z339" s="1043">
        <v>42.64</v>
      </c>
      <c r="AA339" s="1043">
        <v>74.989999999999995</v>
      </c>
      <c r="AB339" s="1043">
        <v>435</v>
      </c>
      <c r="AC339" s="1044">
        <v>142668.59</v>
      </c>
    </row>
    <row r="340" spans="1:29" ht="15.75" customHeight="1" x14ac:dyDescent="0.25">
      <c r="A340" s="427" t="s">
        <v>4678</v>
      </c>
      <c r="B340" s="309">
        <v>218</v>
      </c>
      <c r="C340" s="309"/>
      <c r="D340" s="303" t="s">
        <v>34</v>
      </c>
      <c r="E340" s="303" t="s">
        <v>3404</v>
      </c>
      <c r="F340" s="528">
        <v>45390</v>
      </c>
      <c r="G340" s="528"/>
      <c r="H3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0" s="522" t="str">
        <f>CONCATENATE(Таблица47[[#This Row],[№ заявки в 1С]],Таблица47[[#This Row],[Наименование            ]])</f>
        <v>218[89435] 2606-56, 6,0м, 6063 Т6, уп.Т5, БА</v>
      </c>
      <c r="J34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0" s="635"/>
      <c r="N340" s="1119">
        <v>187</v>
      </c>
      <c r="O340" s="1013" t="str">
        <f>IFERROR(Таблица47[[#This Row],[Количество хлыстов]]-Таблица47[[#This Row],[Обработано в 1С]]-Таблица47[[#This Row],[Корректировка]],"")</f>
        <v/>
      </c>
      <c r="P340" s="638" t="str">
        <f>IFERROR((((Таблица47[[#This Row],[Осталось сделать, хлыст]]*Таблица47[[#This Row],[длина]])*Таблица47[[#This Row],[Периметр]])/28),"")</f>
        <v/>
      </c>
      <c r="Q340" s="303"/>
      <c r="R340" s="991">
        <f>IFERROR(Таблица47[[#This Row],[Коли-
чество м.п.]]/Таблица47[[#This Row],[Количество хлыстов]],"")</f>
        <v>6</v>
      </c>
      <c r="S340" s="639" t="s">
        <v>4998</v>
      </c>
      <c r="T340" s="639">
        <v>1122</v>
      </c>
      <c r="U340" s="640">
        <v>187</v>
      </c>
      <c r="V340" s="639">
        <v>0.3075</v>
      </c>
      <c r="W340" s="639">
        <v>0.85</v>
      </c>
      <c r="X340" s="639">
        <v>345.01499999999999</v>
      </c>
      <c r="Y340" s="639">
        <v>953.7</v>
      </c>
      <c r="Z340" s="639">
        <v>44.85</v>
      </c>
      <c r="AA340" s="639">
        <v>113.78</v>
      </c>
      <c r="AB340" s="639">
        <v>370</v>
      </c>
      <c r="AC340" s="641">
        <v>127655.55</v>
      </c>
    </row>
    <row r="341" spans="1:29" ht="15.75" customHeight="1" x14ac:dyDescent="0.25">
      <c r="A341" s="427" t="s">
        <v>4678</v>
      </c>
      <c r="B341" s="309">
        <v>219</v>
      </c>
      <c r="C341" s="309"/>
      <c r="D341" s="303" t="s">
        <v>13</v>
      </c>
      <c r="E341" s="303" t="s">
        <v>80</v>
      </c>
      <c r="F341" s="528">
        <v>45390</v>
      </c>
      <c r="G341" s="528">
        <v>45422</v>
      </c>
      <c r="H34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1" s="522" t="str">
        <f>CONCATENATE(Таблица47[[#This Row],[№ заявки в 1С]],Таблица47[[#This Row],[Наименование            ]])</f>
        <v>219[69152] АТ-6485, 4,5 м, cплав 6063</v>
      </c>
      <c r="J34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1" s="635"/>
      <c r="N341" s="1119">
        <v>252</v>
      </c>
      <c r="O341" s="1013" t="str">
        <f>IFERROR(Таблица47[[#This Row],[Количество хлыстов]]-Таблица47[[#This Row],[Обработано в 1С]]-Таблица47[[#This Row],[Корректировка]],"")</f>
        <v/>
      </c>
      <c r="P341" s="638" t="str">
        <f>IFERROR((((Таблица47[[#This Row],[Осталось сделать, хлыст]]*Таблица47[[#This Row],[длина]])*Таблица47[[#This Row],[Периметр]])/28),"")</f>
        <v/>
      </c>
      <c r="Q341" s="303"/>
      <c r="R341" s="991">
        <f>IFERROR(Таблица47[[#This Row],[Коли-
чество м.п.]]/Таблица47[[#This Row],[Количество хлыстов]],"")</f>
        <v>4.5</v>
      </c>
      <c r="S341" s="639" t="s">
        <v>85</v>
      </c>
      <c r="T341" s="639">
        <v>1134</v>
      </c>
      <c r="U341" s="640">
        <v>252</v>
      </c>
      <c r="V341" s="639">
        <v>0.30480000000000002</v>
      </c>
      <c r="W341" s="639">
        <v>1.4590000000000001</v>
      </c>
      <c r="X341" s="639">
        <v>345.64319999999998</v>
      </c>
      <c r="Y341" s="639">
        <v>1654.5060000000001</v>
      </c>
      <c r="Z341" s="639">
        <v>44.93</v>
      </c>
      <c r="AA341" s="639">
        <v>120.4</v>
      </c>
      <c r="AB341" s="639">
        <v>395</v>
      </c>
      <c r="AC341" s="641">
        <v>136529.06</v>
      </c>
    </row>
    <row r="342" spans="1:29" ht="15.75" customHeight="1" x14ac:dyDescent="0.25">
      <c r="A342" s="427" t="s">
        <v>4678</v>
      </c>
      <c r="B342" s="309">
        <v>219</v>
      </c>
      <c r="C342" s="309"/>
      <c r="D342" s="303" t="s">
        <v>13</v>
      </c>
      <c r="E342" s="303" t="s">
        <v>80</v>
      </c>
      <c r="F342" s="528">
        <v>45390</v>
      </c>
      <c r="G342" s="528"/>
      <c r="H34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2" s="522" t="str">
        <f>CONCATENATE(Таблица47[[#This Row],[№ заявки в 1С]],Таблица47[[#This Row],[Наименование            ]])</f>
        <v>219[80497] АТ-6485, 3,65 м, cплав 6063</v>
      </c>
      <c r="J34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2" s="635">
        <v>2</v>
      </c>
      <c r="N342" s="1119">
        <v>168</v>
      </c>
      <c r="O342" s="1013" t="str">
        <f>IFERROR(Таблица47[[#This Row],[Количество хлыстов]]-Таблица47[[#This Row],[Обработано в 1С]]-Таблица47[[#This Row],[Корректировка]],"")</f>
        <v/>
      </c>
      <c r="P342" s="638" t="str">
        <f>IFERROR((((Таблица47[[#This Row],[Осталось сделать, хлыст]]*Таблица47[[#This Row],[длина]])*Таблица47[[#This Row],[Периметр]])/28),"")</f>
        <v/>
      </c>
      <c r="Q342" s="303" t="s">
        <v>4809</v>
      </c>
      <c r="R342" s="991">
        <f>IFERROR(Таблица47[[#This Row],[Коли-
чество м.п.]]/Таблица47[[#This Row],[Количество хлыстов]],"")</f>
        <v>3.65</v>
      </c>
      <c r="S342" s="639" t="s">
        <v>3121</v>
      </c>
      <c r="T342" s="639">
        <v>620.5</v>
      </c>
      <c r="U342" s="640">
        <v>170</v>
      </c>
      <c r="V342" s="639">
        <v>0.30480000000000002</v>
      </c>
      <c r="W342" s="639">
        <v>1.4590000000000001</v>
      </c>
      <c r="X342" s="639">
        <v>189.1284</v>
      </c>
      <c r="Y342" s="639">
        <v>905.30949999999996</v>
      </c>
      <c r="Z342" s="639">
        <v>24.59</v>
      </c>
      <c r="AA342" s="639">
        <v>120.4</v>
      </c>
      <c r="AB342" s="639">
        <v>395</v>
      </c>
      <c r="AC342" s="641">
        <v>74705.72</v>
      </c>
    </row>
    <row r="343" spans="1:29" ht="15.75" customHeight="1" x14ac:dyDescent="0.25">
      <c r="A343" s="427" t="s">
        <v>4678</v>
      </c>
      <c r="B343" s="309">
        <v>220</v>
      </c>
      <c r="C343" s="309" t="s">
        <v>4753</v>
      </c>
      <c r="D343" s="303" t="s">
        <v>4858</v>
      </c>
      <c r="E343" s="303" t="s">
        <v>5035</v>
      </c>
      <c r="F343" s="528">
        <v>45391</v>
      </c>
      <c r="G343" s="528"/>
      <c r="H34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3" s="522" t="str">
        <f>CONCATENATE(Таблица47[[#This Row],[№ заявки в 1С]],Таблица47[[#This Row],[Наименование            ]])</f>
        <v>220[89443] Корпус_КУДР.676621.015.01-04 (1703мм) Д сплав 6063</v>
      </c>
      <c r="J34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3" s="635"/>
      <c r="N343" s="1119">
        <v>900</v>
      </c>
      <c r="O343" s="1013" t="str">
        <f>IFERROR(Таблица47[[#This Row],[Количество хлыстов]]-Таблица47[[#This Row],[Обработано в 1С]]-Таблица47[[#This Row],[Корректировка]],"")</f>
        <v/>
      </c>
      <c r="P343" s="638" t="str">
        <f>IFERROR((((Таблица47[[#This Row],[Осталось сделать, хлыст]]*Таблица47[[#This Row],[длина]])*Таблица47[[#This Row],[Периметр]])/28),"")</f>
        <v/>
      </c>
      <c r="Q343" s="303"/>
      <c r="R343" s="991">
        <f>IFERROR(Таблица47[[#This Row],[Коли-
чество м.п.]]/Таблица47[[#This Row],[Количество хлыстов]],"")</f>
        <v>1.7030000000000001</v>
      </c>
      <c r="S343" s="639" t="s">
        <v>4867</v>
      </c>
      <c r="T343" s="639">
        <v>1532.7</v>
      </c>
      <c r="U343" s="640">
        <v>900</v>
      </c>
      <c r="V343" s="639">
        <v>8.3500000000000005E-2</v>
      </c>
      <c r="W343" s="639">
        <v>0.14000000000000001</v>
      </c>
      <c r="X343" s="639">
        <v>127.98050000000001</v>
      </c>
      <c r="Y343" s="639">
        <v>214.578</v>
      </c>
      <c r="Z343" s="639">
        <v>16.64</v>
      </c>
      <c r="AA343" s="639">
        <v>89.78</v>
      </c>
      <c r="AB343" s="639">
        <v>1075.1600000000001</v>
      </c>
      <c r="AC343" s="641">
        <v>137600</v>
      </c>
    </row>
    <row r="344" spans="1:29" s="1021" customFormat="1" ht="15.75" customHeight="1" x14ac:dyDescent="0.25">
      <c r="A344" s="1106" t="s">
        <v>4978</v>
      </c>
      <c r="B344" s="1122">
        <v>221</v>
      </c>
      <c r="C344" s="1067"/>
      <c r="D344" s="1068" t="s">
        <v>13</v>
      </c>
      <c r="E344" s="1068" t="s">
        <v>5089</v>
      </c>
      <c r="F344" s="1069">
        <v>45408</v>
      </c>
      <c r="G344" s="1069"/>
      <c r="H34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4" s="620" t="str">
        <f>CONCATENATE(Таблица47[[#This Row],[№ заявки в 1С]],Таблица47[[#This Row],[Наименование            ]])</f>
        <v>221[79126] 0406-34 4,25м, БА сплав АД 31 Т1</v>
      </c>
      <c r="J34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4" s="1082"/>
      <c r="N344" s="1082">
        <v>535</v>
      </c>
      <c r="O344" s="1020" t="str">
        <f>IFERROR(Таблица47[[#This Row],[Количество хлыстов]]-Таблица47[[#This Row],[Обработано в 1С]]-Таблица47[[#This Row],[Корректировка]],"")</f>
        <v/>
      </c>
      <c r="P344" s="638" t="str">
        <f>IFERROR((((Таблица47[[#This Row],[Осталось сделать, хлыст]]*Таблица47[[#This Row],[длина]])*Таблица47[[#This Row],[Периметр]])/28),"")</f>
        <v/>
      </c>
      <c r="Q344" s="1068"/>
      <c r="R344" s="1089">
        <f>IFERROR(Таблица47[[#This Row],[Коли-
чество м.п.]]/Таблица47[[#This Row],[Количество хлыстов]],"")</f>
        <v>4.25</v>
      </c>
      <c r="S344" s="1083" t="s">
        <v>5090</v>
      </c>
      <c r="T344" s="1083">
        <v>2273.75</v>
      </c>
      <c r="U344" s="1084">
        <v>535</v>
      </c>
      <c r="V344" s="1083">
        <v>0.21099999999999999</v>
      </c>
      <c r="W344" s="1083">
        <v>0.57699999999999996</v>
      </c>
      <c r="X344" s="1083">
        <v>479.76130000000001</v>
      </c>
      <c r="Y344" s="1083">
        <v>1311.9538</v>
      </c>
      <c r="Z344" s="1083">
        <v>62.37</v>
      </c>
      <c r="AA344" s="1083">
        <v>63.3</v>
      </c>
      <c r="AB344" s="1083">
        <v>300</v>
      </c>
      <c r="AC344" s="1085">
        <v>143928.38</v>
      </c>
    </row>
    <row r="345" spans="1:29" ht="15.75" customHeight="1" x14ac:dyDescent="0.25">
      <c r="A345" s="427" t="s">
        <v>4678</v>
      </c>
      <c r="B345" s="309">
        <v>222</v>
      </c>
      <c r="C345" s="1107"/>
      <c r="D345" s="1108" t="s">
        <v>13</v>
      </c>
      <c r="E345" s="1108" t="s">
        <v>4725</v>
      </c>
      <c r="F345" s="1109">
        <v>45391</v>
      </c>
      <c r="G345" s="1109"/>
      <c r="H345" s="112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5" s="522" t="str">
        <f>CONCATENATE(Таблица47[[#This Row],[№ заявки в 1С]],Таблица47[[#This Row],[Наименование            ]])</f>
        <v>222[81550] автоуголок 250*40мм ДУБЛЬ! (1706-75) 6,0м, сплав 6063 Т6 + уп А5</v>
      </c>
      <c r="J34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5" s="635"/>
      <c r="N345" s="1119">
        <v>21</v>
      </c>
      <c r="O345" s="1013" t="str">
        <f>IFERROR(Таблица47[[#This Row],[Количество хлыстов]]-Таблица47[[#This Row],[Обработано в 1С]]-Таблица47[[#This Row],[Корректировка]],"")</f>
        <v/>
      </c>
      <c r="P345" s="638" t="str">
        <f>IFERROR((((Таблица47[[#This Row],[Осталось сделать, хлыст]]*Таблица47[[#This Row],[длина]])*Таблица47[[#This Row],[Периметр]])/28),"")</f>
        <v/>
      </c>
      <c r="Q345" s="303"/>
      <c r="R345" s="991">
        <f>IFERROR(Таблица47[[#This Row],[Коли-
чество м.п.]]/Таблица47[[#This Row],[Количество хлыстов]],"")</f>
        <v>6</v>
      </c>
      <c r="S345" s="639" t="s">
        <v>5036</v>
      </c>
      <c r="T345" s="639">
        <v>126</v>
      </c>
      <c r="U345" s="640">
        <v>21</v>
      </c>
      <c r="V345" s="639">
        <v>0.59919999999999995</v>
      </c>
      <c r="W345" s="639">
        <v>2.5859999999999999</v>
      </c>
      <c r="X345" s="639">
        <v>75.499200000000002</v>
      </c>
      <c r="Y345" s="639">
        <v>325.83600000000001</v>
      </c>
      <c r="Z345" s="639">
        <v>9.81</v>
      </c>
      <c r="AA345" s="639">
        <v>260.64999999999998</v>
      </c>
      <c r="AB345" s="639">
        <v>435</v>
      </c>
      <c r="AC345" s="641">
        <v>32842.15</v>
      </c>
    </row>
    <row r="346" spans="1:29" s="1021" customFormat="1" ht="15.75" customHeight="1" x14ac:dyDescent="0.25">
      <c r="A346" s="1106" t="s">
        <v>4979</v>
      </c>
      <c r="B346" s="1067">
        <v>223</v>
      </c>
      <c r="C346" s="1067"/>
      <c r="D346" s="1068" t="s">
        <v>13</v>
      </c>
      <c r="E346" s="1068" t="s">
        <v>892</v>
      </c>
      <c r="F346" s="1069">
        <v>45393</v>
      </c>
      <c r="G346" s="1069"/>
      <c r="H34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6" s="620" t="str">
        <f>CONCATENATE(Таблица47[[#This Row],[№ заявки в 1С]],Таблица47[[#This Row],[Наименование            ]])</f>
        <v>223[88976] 1606-39 (197.04) 4,85 м, сплав Ад31 под покраску</v>
      </c>
      <c r="J34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6" s="1082">
        <v>2</v>
      </c>
      <c r="N346" s="1082">
        <v>616</v>
      </c>
      <c r="O346" s="1020" t="str">
        <f>IFERROR(Таблица47[[#This Row],[Количество хлыстов]]-Таблица47[[#This Row],[Обработано в 1С]]-Таблица47[[#This Row],[Корректировка]],"")</f>
        <v/>
      </c>
      <c r="P346" s="638" t="str">
        <f>IFERROR((((Таблица47[[#This Row],[Осталось сделать, хлыст]]*Таблица47[[#This Row],[длина]])*Таблица47[[#This Row],[Периметр]])/28),"")</f>
        <v/>
      </c>
      <c r="Q346" s="1068"/>
      <c r="R346" s="1089">
        <f>IFERROR(Таблица47[[#This Row],[Коли-
чество м.п.]]/Таблица47[[#This Row],[Количество хлыстов]],"")</f>
        <v>4.8500000000000005</v>
      </c>
      <c r="S346" s="1083" t="s">
        <v>4774</v>
      </c>
      <c r="T346" s="1083">
        <v>2997.3</v>
      </c>
      <c r="U346" s="1084">
        <v>618</v>
      </c>
      <c r="V346" s="1083">
        <v>9.5600000000000004E-2</v>
      </c>
      <c r="W346" s="1083">
        <v>0.16</v>
      </c>
      <c r="X346" s="1083">
        <v>286.5419</v>
      </c>
      <c r="Y346" s="1083">
        <v>479.56799999999998</v>
      </c>
      <c r="Z346" s="1083">
        <v>37.25</v>
      </c>
      <c r="AA346" s="1083">
        <v>36.81</v>
      </c>
      <c r="AB346" s="1083">
        <v>385</v>
      </c>
      <c r="AC346" s="1085">
        <v>110318.62</v>
      </c>
    </row>
    <row r="347" spans="1:29" s="1021" customFormat="1" ht="15.75" customHeight="1" x14ac:dyDescent="0.25">
      <c r="A347" s="1106" t="s">
        <v>4978</v>
      </c>
      <c r="B347" s="1067">
        <v>227</v>
      </c>
      <c r="C347" s="1067"/>
      <c r="D347" s="1068" t="s">
        <v>13</v>
      </c>
      <c r="E347" s="1068" t="s">
        <v>892</v>
      </c>
      <c r="F347" s="1069">
        <v>45393</v>
      </c>
      <c r="G347" s="1069"/>
      <c r="H34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47" s="620" t="str">
        <f>CONCATENATE(Таблица47[[#This Row],[№ заявки в 1С]],Таблица47[[#This Row],[Наименование            ]])</f>
        <v>227[88734] 1606-37, 5,05 м,  Ад 31 под покраску</v>
      </c>
      <c r="J34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7" s="1082">
        <v>2</v>
      </c>
      <c r="N347" s="1082">
        <v>42</v>
      </c>
      <c r="O347" s="1020" t="str">
        <f>IFERROR(Таблица47[[#This Row],[Количество хлыстов]]-Таблица47[[#This Row],[Обработано в 1С]]-Таблица47[[#This Row],[Корректировка]],"")</f>
        <v/>
      </c>
      <c r="P347" s="638" t="str">
        <f>IFERROR((((Таблица47[[#This Row],[Осталось сделать, хлыст]]*Таблица47[[#This Row],[длина]])*Таблица47[[#This Row],[Периметр]])/28),"")</f>
        <v/>
      </c>
      <c r="Q347" s="1068" t="s">
        <v>4809</v>
      </c>
      <c r="R347" s="1089">
        <f>IFERROR(Таблица47[[#This Row],[Коли-
чество м.п.]]/Таблица47[[#This Row],[Количество хлыстов]],"")</f>
        <v>5.05</v>
      </c>
      <c r="S347" s="1083" t="s">
        <v>4855</v>
      </c>
      <c r="T347" s="1083">
        <v>222.2</v>
      </c>
      <c r="U347" s="1084">
        <v>44</v>
      </c>
      <c r="V347" s="1083">
        <v>0.2651</v>
      </c>
      <c r="W347" s="1083">
        <v>0.82099999999999995</v>
      </c>
      <c r="X347" s="1083">
        <v>58.905200000000001</v>
      </c>
      <c r="Y347" s="1083">
        <v>182.42619999999999</v>
      </c>
      <c r="Z347" s="1083">
        <v>7.66</v>
      </c>
      <c r="AA347" s="1083">
        <v>85.89</v>
      </c>
      <c r="AB347" s="1083">
        <v>324</v>
      </c>
      <c r="AC347" s="1085">
        <v>19085.29</v>
      </c>
    </row>
    <row r="348" spans="1:29" ht="15.75" customHeight="1" x14ac:dyDescent="0.25">
      <c r="A348" s="427" t="s">
        <v>4678</v>
      </c>
      <c r="B348" s="309">
        <v>228</v>
      </c>
      <c r="C348" s="309"/>
      <c r="D348" s="303" t="s">
        <v>13</v>
      </c>
      <c r="E348" s="303" t="s">
        <v>5014</v>
      </c>
      <c r="F348" s="528">
        <v>45393</v>
      </c>
      <c r="G348" s="528"/>
      <c r="H348" s="574" t="s">
        <v>23</v>
      </c>
      <c r="I348" s="522" t="str">
        <f>CONCATENATE(Таблица47[[#This Row],[№ заявки в 1С]],Таблица47[[#This Row],[Наименование            ]])</f>
        <v>228[76223] 220650 (1606-52, АВА-3665) бортовой боковой 6,5м сплав 6063 Т6</v>
      </c>
      <c r="J34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8" s="635"/>
      <c r="N348" s="1119"/>
      <c r="O348" s="1013" t="str">
        <f>IFERROR(Таблица47[[#This Row],[Количество хлыстов]]-Таблица47[[#This Row],[Обработано в 1С]]-Таблица47[[#This Row],[Корректировка]],"")</f>
        <v/>
      </c>
      <c r="P348" s="638" t="str">
        <f>IFERROR((((Таблица47[[#This Row],[Осталось сделать, хлыст]]*Таблица47[[#This Row],[длина]])*Таблица47[[#This Row],[Периметр]])/28),"")</f>
        <v/>
      </c>
      <c r="Q348" s="303"/>
      <c r="R348" s="991">
        <f>IFERROR(Таблица47[[#This Row],[Коли-
чество м.п.]]/Таблица47[[#This Row],[Количество хлыстов]],"")</f>
        <v>6.5</v>
      </c>
      <c r="S348" s="639" t="s">
        <v>4730</v>
      </c>
      <c r="T348" s="639">
        <v>58.5</v>
      </c>
      <c r="U348" s="640">
        <v>9</v>
      </c>
      <c r="V348" s="639">
        <v>0.31</v>
      </c>
      <c r="W348" s="639">
        <v>1.2010000000000001</v>
      </c>
      <c r="X348" s="639">
        <v>18.135000000000002</v>
      </c>
      <c r="Y348" s="639">
        <v>70.258499999999998</v>
      </c>
      <c r="Z348" s="639">
        <v>2.36</v>
      </c>
      <c r="AA348" s="639">
        <v>191.45</v>
      </c>
      <c r="AB348" s="639">
        <v>617.59</v>
      </c>
      <c r="AC348" s="641">
        <v>11200</v>
      </c>
    </row>
    <row r="349" spans="1:29" customFormat="1" ht="15.75" customHeight="1" x14ac:dyDescent="0.25">
      <c r="A349" s="949" t="s">
        <v>4678</v>
      </c>
      <c r="B349" s="901">
        <v>229</v>
      </c>
      <c r="C349" s="901"/>
      <c r="D349" s="524" t="s">
        <v>13</v>
      </c>
      <c r="E349" s="524" t="s">
        <v>3863</v>
      </c>
      <c r="F349" s="943">
        <v>45394</v>
      </c>
      <c r="G349" s="143"/>
      <c r="H349" s="142" t="s">
        <v>677</v>
      </c>
      <c r="I349" s="522" t="str">
        <f>CONCATENATE(Таблица47[[#This Row],[№ заявки в 1С]],Таблица47[[#This Row],[Наименование            ]])</f>
        <v>229[41589] А 14 (0072-09) Прогон бесполочный, 5,0м, 6063 КР</v>
      </c>
      <c r="J349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49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49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49" s="522"/>
      <c r="N349" s="393"/>
      <c r="O349" s="1001" t="str">
        <f>IFERROR(Таблица47[[#This Row],[Количество хлыстов]]-Таблица47[[#This Row],[Обработано в 1С]]-Таблица47[[#This Row],[Корректировка]],"")</f>
        <v/>
      </c>
      <c r="P349" s="638" t="str">
        <f>IFERROR((((Таблица47[[#This Row],[Осталось сделать, хлыст]]*Таблица47[[#This Row],[длина]])*Таблица47[[#This Row],[Периметр]])/28),"")</f>
        <v/>
      </c>
      <c r="Q349" s="142"/>
      <c r="R349" s="280">
        <f>IFERROR(Таблица47[[#This Row],[Коли-
чество м.п.]]/Таблица47[[#This Row],[Количество хлыстов]],"")</f>
        <v>5</v>
      </c>
      <c r="S349" s="525" t="s">
        <v>117</v>
      </c>
      <c r="T349" s="525">
        <v>700</v>
      </c>
      <c r="U349" s="526">
        <v>140</v>
      </c>
      <c r="V349" s="525">
        <v>0.1734</v>
      </c>
      <c r="W349" s="525">
        <v>0.35099999999999998</v>
      </c>
      <c r="X349" s="525">
        <v>173.4</v>
      </c>
      <c r="Y349" s="525">
        <v>351</v>
      </c>
      <c r="Z349" s="525">
        <v>22.54</v>
      </c>
      <c r="AA349" s="525">
        <v>75.430000000000007</v>
      </c>
      <c r="AB349" s="525">
        <v>435</v>
      </c>
      <c r="AC349" s="527">
        <v>75429</v>
      </c>
    </row>
    <row r="350" spans="1:29" ht="15.75" customHeight="1" x14ac:dyDescent="0.25">
      <c r="A350" s="427" t="s">
        <v>4678</v>
      </c>
      <c r="B350" s="309">
        <v>234</v>
      </c>
      <c r="C350" s="309"/>
      <c r="D350" s="303" t="s">
        <v>34</v>
      </c>
      <c r="E350" s="303" t="s">
        <v>328</v>
      </c>
      <c r="F350" s="528">
        <v>45394</v>
      </c>
      <c r="G350" s="528"/>
      <c r="H35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0" s="522" t="str">
        <f>CONCATENATE(Таблица47[[#This Row],[№ заявки в 1С]],Таблица47[[#This Row],[Наименование            ]])</f>
        <v>234[70484] 1506-77 (АА-2050-85), 6,0м, 6063 Т6, упаковка Т-5, без покрытия</v>
      </c>
      <c r="J35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0" s="635">
        <v>3</v>
      </c>
      <c r="N350" s="1119">
        <v>152</v>
      </c>
      <c r="O350" s="1013" t="str">
        <f>IFERROR(Таблица47[[#This Row],[Количество хлыстов]]-Таблица47[[#This Row],[Обработано в 1С]]-Таблица47[[#This Row],[Корректировка]],"")</f>
        <v/>
      </c>
      <c r="P350" s="638" t="str">
        <f>IFERROR((((Таблица47[[#This Row],[Осталось сделать, хлыст]]*Таблица47[[#This Row],[длина]])*Таблица47[[#This Row],[Периметр]])/28),"")</f>
        <v/>
      </c>
      <c r="Q350" s="303" t="s">
        <v>2657</v>
      </c>
      <c r="R350" s="991">
        <f>IFERROR(Таблица47[[#This Row],[Коли-
чество м.п.]]/Таблица47[[#This Row],[Количество хлыстов]],"")</f>
        <v>6</v>
      </c>
      <c r="S350" s="639" t="s">
        <v>4813</v>
      </c>
      <c r="T350" s="639">
        <v>930</v>
      </c>
      <c r="U350" s="640">
        <v>155</v>
      </c>
      <c r="V350" s="639">
        <v>0.30919999999999997</v>
      </c>
      <c r="W350" s="639">
        <v>1.101</v>
      </c>
      <c r="X350" s="639">
        <v>287.55599999999998</v>
      </c>
      <c r="Y350" s="639">
        <v>1023.93</v>
      </c>
      <c r="Z350" s="639">
        <v>37.380000000000003</v>
      </c>
      <c r="AA350" s="639">
        <v>134.5</v>
      </c>
      <c r="AB350" s="639">
        <v>435</v>
      </c>
      <c r="AC350" s="641">
        <v>125086.86</v>
      </c>
    </row>
    <row r="351" spans="1:29" ht="15.75" customHeight="1" x14ac:dyDescent="0.25">
      <c r="A351" s="427" t="s">
        <v>4678</v>
      </c>
      <c r="B351" s="309">
        <v>236</v>
      </c>
      <c r="C351" s="309" t="s">
        <v>4753</v>
      </c>
      <c r="D351" s="303" t="s">
        <v>13</v>
      </c>
      <c r="E351" s="303" t="s">
        <v>480</v>
      </c>
      <c r="F351" s="528">
        <v>45397</v>
      </c>
      <c r="G351" s="528">
        <v>45421</v>
      </c>
      <c r="H35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1" s="522" t="str">
        <f>CONCATENATE(Таблица47[[#This Row],[№ заявки в 1С]],Таблица47[[#This Row],[Наименование            ]])</f>
        <v>236[90361] Профиль 253.02 (45*45) (Д) 6м , 6063 Т6</v>
      </c>
      <c r="J35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1" s="635"/>
      <c r="N351" s="1119">
        <v>40</v>
      </c>
      <c r="O351" s="1013" t="str">
        <f>IFERROR(Таблица47[[#This Row],[Количество хлыстов]]-Таблица47[[#This Row],[Обработано в 1С]]-Таблица47[[#This Row],[Корректировка]],"")</f>
        <v/>
      </c>
      <c r="P351" s="638" t="str">
        <f>IFERROR((((Таблица47[[#This Row],[Осталось сделать, хлыст]]*Таблица47[[#This Row],[длина]])*Таблица47[[#This Row],[Периметр]])/28),"")</f>
        <v/>
      </c>
      <c r="Q351" s="303"/>
      <c r="R351" s="991">
        <f>IFERROR(Таблица47[[#This Row],[Коли-
чество м.п.]]/Таблица47[[#This Row],[Количество хлыстов]],"")</f>
        <v>6</v>
      </c>
      <c r="S351" s="639" t="s">
        <v>5430</v>
      </c>
      <c r="T351" s="639">
        <v>240</v>
      </c>
      <c r="U351" s="640">
        <v>40</v>
      </c>
      <c r="V351" s="639">
        <v>0.18</v>
      </c>
      <c r="W351" s="639">
        <v>0.48</v>
      </c>
      <c r="X351" s="639">
        <v>43.2</v>
      </c>
      <c r="Y351" s="639">
        <v>115.2</v>
      </c>
      <c r="Z351" s="639">
        <v>5.62</v>
      </c>
      <c r="AA351" s="639">
        <v>164.17</v>
      </c>
      <c r="AB351" s="639">
        <v>912.04</v>
      </c>
      <c r="AC351" s="641">
        <v>39400</v>
      </c>
    </row>
    <row r="352" spans="1:29" s="1021" customFormat="1" ht="15.75" customHeight="1" x14ac:dyDescent="0.25">
      <c r="A352" s="1106" t="s">
        <v>4978</v>
      </c>
      <c r="B352" s="1067">
        <v>237</v>
      </c>
      <c r="C352" s="1067"/>
      <c r="D352" s="1068" t="s">
        <v>34</v>
      </c>
      <c r="E352" s="1068" t="s">
        <v>4718</v>
      </c>
      <c r="F352" s="1069">
        <v>45397</v>
      </c>
      <c r="G352" s="1069"/>
      <c r="H35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2" s="620" t="str">
        <f>CONCATENATE(Таблица47[[#This Row],[№ заявки в 1С]],Таблица47[[#This Row],[Наименование            ]])</f>
        <v>237[75893] 220450, 2,0м, АД31 Т1, БА, уп в мини-пачки</v>
      </c>
      <c r="J35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2" s="1082">
        <v>11</v>
      </c>
      <c r="N352" s="1120">
        <v>1596</v>
      </c>
      <c r="O352" s="1020" t="str">
        <f>IFERROR(Таблица47[[#This Row],[Количество хлыстов]]-Таблица47[[#This Row],[Обработано в 1С]]-Таблица47[[#This Row],[Корректировка]],"")</f>
        <v/>
      </c>
      <c r="P352" s="638" t="str">
        <f>IFERROR((((Таблица47[[#This Row],[Осталось сделать, хлыст]]*Таблица47[[#This Row],[длина]])*Таблица47[[#This Row],[Периметр]])/28),"")</f>
        <v/>
      </c>
      <c r="Q352" s="1068" t="s">
        <v>5094</v>
      </c>
      <c r="R352" s="1089">
        <f>IFERROR(Таблица47[[#This Row],[Коли-
чество м.п.]]/Таблица47[[#This Row],[Количество хлыстов]],"")</f>
        <v>2</v>
      </c>
      <c r="S352" s="1083" t="s">
        <v>4717</v>
      </c>
      <c r="T352" s="1083">
        <v>3214</v>
      </c>
      <c r="U352" s="1084">
        <v>1607</v>
      </c>
      <c r="V352" s="1083">
        <v>0.13039999999999999</v>
      </c>
      <c r="W352" s="1083">
        <v>0.19400000000000001</v>
      </c>
      <c r="X352" s="1083">
        <v>419.10559999999998</v>
      </c>
      <c r="Y352" s="1083">
        <v>623.51599999999996</v>
      </c>
      <c r="Z352" s="1083">
        <v>54.48</v>
      </c>
      <c r="AA352" s="1083">
        <v>39.869999999999997</v>
      </c>
      <c r="AB352" s="1083">
        <v>305.75</v>
      </c>
      <c r="AC352" s="1085">
        <v>128141.54</v>
      </c>
    </row>
    <row r="353" spans="1:29" ht="15.75" customHeight="1" x14ac:dyDescent="0.25">
      <c r="A353" s="427" t="s">
        <v>4678</v>
      </c>
      <c r="B353" s="1070">
        <v>238</v>
      </c>
      <c r="C353" s="1070" t="s">
        <v>4753</v>
      </c>
      <c r="D353" s="200" t="s">
        <v>13</v>
      </c>
      <c r="E353" s="200" t="s">
        <v>30</v>
      </c>
      <c r="F353" s="201">
        <v>45397</v>
      </c>
      <c r="G353" s="528">
        <v>45404</v>
      </c>
      <c r="H35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3" s="522" t="str">
        <f>CONCATENATE(Таблица47[[#This Row],[№ заявки в 1С]],Таблица47[[#This Row],[Наименование            ]])</f>
        <v>238[89648] балка Ад-35 Д, L=300</v>
      </c>
      <c r="J35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3" s="635"/>
      <c r="N353" s="1119">
        <v>246</v>
      </c>
      <c r="O353" s="1013" t="str">
        <f>IFERROR(Таблица47[[#This Row],[Количество хлыстов]]-Таблица47[[#This Row],[Обработано в 1С]]-Таблица47[[#This Row],[Корректировка]],"")</f>
        <v/>
      </c>
      <c r="P353" s="638" t="str">
        <f>IFERROR((((Таблица47[[#This Row],[Осталось сделать, хлыст]]*Таблица47[[#This Row],[длина]])*Таблица47[[#This Row],[Периметр]])/28),"")</f>
        <v/>
      </c>
      <c r="Q353" s="303"/>
      <c r="R353" s="991">
        <f>IFERROR(Таблица47[[#This Row],[Коли-
чество м.п.]]/Таблица47[[#This Row],[Количество хлыстов]],"")</f>
        <v>1</v>
      </c>
      <c r="S353" s="639" t="s">
        <v>5044</v>
      </c>
      <c r="T353" s="639">
        <v>246</v>
      </c>
      <c r="U353" s="640">
        <v>246</v>
      </c>
      <c r="V353" s="639">
        <v>0.317</v>
      </c>
      <c r="W353" s="639">
        <v>4.1079999999999997</v>
      </c>
      <c r="X353" s="639">
        <v>77.981999999999999</v>
      </c>
      <c r="Y353" s="639">
        <v>1010.568</v>
      </c>
      <c r="Z353" s="639">
        <v>10.14</v>
      </c>
      <c r="AA353" s="639">
        <v>349</v>
      </c>
      <c r="AB353" s="639">
        <v>1100.95</v>
      </c>
      <c r="AC353" s="641">
        <v>85854</v>
      </c>
    </row>
    <row r="354" spans="1:29" ht="15.75" customHeight="1" x14ac:dyDescent="0.25">
      <c r="A354" s="427" t="s">
        <v>4678</v>
      </c>
      <c r="B354" s="1107">
        <v>238</v>
      </c>
      <c r="C354" s="1107" t="s">
        <v>4753</v>
      </c>
      <c r="D354" s="1108" t="s">
        <v>13</v>
      </c>
      <c r="E354" s="1108" t="s">
        <v>30</v>
      </c>
      <c r="F354" s="1109">
        <v>45397</v>
      </c>
      <c r="G354" s="528">
        <v>45404</v>
      </c>
      <c r="H35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4" s="522" t="str">
        <f>CONCATENATE(Таблица47[[#This Row],[№ заявки в 1С]],Таблица47[[#This Row],[Наименование            ]])</f>
        <v>238[90220] балка Ад-35 Д, L=700</v>
      </c>
      <c r="J35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4" s="635"/>
      <c r="N354" s="1119">
        <v>15</v>
      </c>
      <c r="O354" s="1013" t="str">
        <f>IFERROR(Таблица47[[#This Row],[Количество хлыстов]]-Таблица47[[#This Row],[Обработано в 1С]]-Таблица47[[#This Row],[Корректировка]],"")</f>
        <v/>
      </c>
      <c r="P354" s="638" t="str">
        <f>IFERROR((((Таблица47[[#This Row],[Осталось сделать, хлыст]]*Таблица47[[#This Row],[длина]])*Таблица47[[#This Row],[Периметр]])/28),"")</f>
        <v/>
      </c>
      <c r="Q354" s="303"/>
      <c r="R354" s="991">
        <f>IFERROR(Таблица47[[#This Row],[Коли-
чество м.п.]]/Таблица47[[#This Row],[Количество хлыстов]],"")</f>
        <v>1</v>
      </c>
      <c r="S354" s="639" t="s">
        <v>5045</v>
      </c>
      <c r="T354" s="639">
        <v>15</v>
      </c>
      <c r="U354" s="640">
        <v>15</v>
      </c>
      <c r="V354" s="639">
        <v>0.317</v>
      </c>
      <c r="W354" s="639">
        <v>4.1079999999999997</v>
      </c>
      <c r="X354" s="639">
        <v>4.7549999999999999</v>
      </c>
      <c r="Y354" s="639">
        <v>61.62</v>
      </c>
      <c r="Z354" s="639">
        <v>0.62</v>
      </c>
      <c r="AA354" s="639">
        <v>484</v>
      </c>
      <c r="AB354" s="639">
        <v>1526.81</v>
      </c>
      <c r="AC354" s="641">
        <v>7260</v>
      </c>
    </row>
    <row r="355" spans="1:29" ht="15.75" customHeight="1" x14ac:dyDescent="0.25">
      <c r="A355" s="427" t="s">
        <v>4678</v>
      </c>
      <c r="B355" s="1070">
        <v>238</v>
      </c>
      <c r="C355" s="1070" t="s">
        <v>4753</v>
      </c>
      <c r="D355" s="200" t="s">
        <v>13</v>
      </c>
      <c r="E355" s="200" t="s">
        <v>30</v>
      </c>
      <c r="F355" s="201">
        <v>45397</v>
      </c>
      <c r="G355" s="528">
        <v>45404</v>
      </c>
      <c r="H35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5" s="522" t="str">
        <f>CONCATENATE(Таблица47[[#This Row],[№ заявки в 1С]],Таблица47[[#This Row],[Наименование            ]])</f>
        <v>238[90217] балка Ад-35 Д, L=1030</v>
      </c>
      <c r="J35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5" s="635"/>
      <c r="N355" s="1119">
        <v>2</v>
      </c>
      <c r="O355" s="1013" t="str">
        <f>IFERROR(Таблица47[[#This Row],[Количество хлыстов]]-Таблица47[[#This Row],[Обработано в 1С]]-Таблица47[[#This Row],[Корректировка]],"")</f>
        <v/>
      </c>
      <c r="P355" s="638" t="str">
        <f>IFERROR((((Таблица47[[#This Row],[Осталось сделать, хлыст]]*Таблица47[[#This Row],[длина]])*Таблица47[[#This Row],[Периметр]])/28),"")</f>
        <v/>
      </c>
      <c r="Q355" s="303"/>
      <c r="R355" s="991">
        <f>IFERROR(Таблица47[[#This Row],[Коли-
чество м.п.]]/Таблица47[[#This Row],[Количество хлыстов]],"")</f>
        <v>1</v>
      </c>
      <c r="S355" s="639" t="s">
        <v>5046</v>
      </c>
      <c r="T355" s="639">
        <v>2</v>
      </c>
      <c r="U355" s="640">
        <v>2</v>
      </c>
      <c r="V355" s="639">
        <v>0.317</v>
      </c>
      <c r="W355" s="639">
        <v>4.1079999999999997</v>
      </c>
      <c r="X355" s="639">
        <v>0.63400000000000001</v>
      </c>
      <c r="Y355" s="639">
        <v>8.2159999999999993</v>
      </c>
      <c r="Z355" s="639">
        <v>0.08</v>
      </c>
      <c r="AA355" s="639">
        <v>700</v>
      </c>
      <c r="AB355" s="639">
        <v>2208.1999999999998</v>
      </c>
      <c r="AC355" s="641">
        <v>1400</v>
      </c>
    </row>
    <row r="356" spans="1:29" ht="15.75" customHeight="1" x14ac:dyDescent="0.25">
      <c r="A356" s="427" t="s">
        <v>4678</v>
      </c>
      <c r="B356" s="1107">
        <v>238</v>
      </c>
      <c r="C356" s="1107" t="s">
        <v>4753</v>
      </c>
      <c r="D356" s="1108" t="s">
        <v>13</v>
      </c>
      <c r="E356" s="1108" t="s">
        <v>30</v>
      </c>
      <c r="F356" s="1109">
        <v>45397</v>
      </c>
      <c r="G356" s="528">
        <v>45404</v>
      </c>
      <c r="H35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6" s="522" t="str">
        <f>CONCATENATE(Таблица47[[#This Row],[№ заявки в 1С]],Таблица47[[#This Row],[Наименование            ]])</f>
        <v>238[89644] балка Ад-35 Д, L=1070</v>
      </c>
      <c r="J35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6" s="635"/>
      <c r="N356" s="1119">
        <v>23</v>
      </c>
      <c r="O356" s="1013" t="str">
        <f>IFERROR(Таблица47[[#This Row],[Количество хлыстов]]-Таблица47[[#This Row],[Обработано в 1С]]-Таблица47[[#This Row],[Корректировка]],"")</f>
        <v/>
      </c>
      <c r="P356" s="638" t="str">
        <f>IFERROR((((Таблица47[[#This Row],[Осталось сделать, хлыст]]*Таблица47[[#This Row],[длина]])*Таблица47[[#This Row],[Периметр]])/28),"")</f>
        <v/>
      </c>
      <c r="Q356" s="303"/>
      <c r="R356" s="991">
        <f>IFERROR(Таблица47[[#This Row],[Коли-
чество м.п.]]/Таблица47[[#This Row],[Количество хлыстов]],"")</f>
        <v>1</v>
      </c>
      <c r="S356" s="639" t="s">
        <v>5047</v>
      </c>
      <c r="T356" s="639">
        <v>23</v>
      </c>
      <c r="U356" s="640">
        <v>23</v>
      </c>
      <c r="V356" s="639">
        <v>0.317</v>
      </c>
      <c r="W356" s="639">
        <v>4.1079999999999997</v>
      </c>
      <c r="X356" s="639">
        <v>7.2910000000000004</v>
      </c>
      <c r="Y356" s="639">
        <v>94.483999999999995</v>
      </c>
      <c r="Z356" s="639">
        <v>0.95</v>
      </c>
      <c r="AA356" s="639">
        <v>700</v>
      </c>
      <c r="AB356" s="639">
        <v>2208.1999999999998</v>
      </c>
      <c r="AC356" s="641">
        <v>16100</v>
      </c>
    </row>
    <row r="357" spans="1:29" ht="15.75" customHeight="1" x14ac:dyDescent="0.25">
      <c r="A357" s="427" t="s">
        <v>4678</v>
      </c>
      <c r="B357" s="1070">
        <v>238</v>
      </c>
      <c r="C357" s="1070" t="s">
        <v>4753</v>
      </c>
      <c r="D357" s="200" t="s">
        <v>13</v>
      </c>
      <c r="E357" s="200" t="s">
        <v>30</v>
      </c>
      <c r="F357" s="201">
        <v>45397</v>
      </c>
      <c r="G357" s="528">
        <v>45404</v>
      </c>
      <c r="H35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7" s="522" t="str">
        <f>CONCATENATE(Таблица47[[#This Row],[№ заявки в 1С]],Таблица47[[#This Row],[Наименование            ]])</f>
        <v>238[90216] балка Ад-35 Д, L=1361</v>
      </c>
      <c r="J35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7" s="635"/>
      <c r="N357" s="1119">
        <v>5</v>
      </c>
      <c r="O357" s="1013" t="str">
        <f>IFERROR(Таблица47[[#This Row],[Количество хлыстов]]-Таблица47[[#This Row],[Обработано в 1С]]-Таблица47[[#This Row],[Корректировка]],"")</f>
        <v/>
      </c>
      <c r="P357" s="638" t="str">
        <f>IFERROR((((Таблица47[[#This Row],[Осталось сделать, хлыст]]*Таблица47[[#This Row],[длина]])*Таблица47[[#This Row],[Периметр]])/28),"")</f>
        <v/>
      </c>
      <c r="Q357" s="303"/>
      <c r="R357" s="991">
        <f>IFERROR(Таблица47[[#This Row],[Коли-
чество м.п.]]/Таблица47[[#This Row],[Количество хлыстов]],"")</f>
        <v>1</v>
      </c>
      <c r="S357" s="639" t="s">
        <v>5048</v>
      </c>
      <c r="T357" s="639">
        <v>5</v>
      </c>
      <c r="U357" s="640">
        <v>5</v>
      </c>
      <c r="V357" s="639">
        <v>0.317</v>
      </c>
      <c r="W357" s="639">
        <v>4.1079999999999997</v>
      </c>
      <c r="X357" s="639">
        <v>1.585</v>
      </c>
      <c r="Y357" s="639">
        <v>20.54</v>
      </c>
      <c r="Z357" s="639">
        <v>0.21</v>
      </c>
      <c r="AA357" s="639">
        <v>800</v>
      </c>
      <c r="AB357" s="639">
        <v>2523.66</v>
      </c>
      <c r="AC357" s="641">
        <v>4000</v>
      </c>
    </row>
    <row r="358" spans="1:29" ht="15.75" customHeight="1" x14ac:dyDescent="0.25">
      <c r="A358" s="427" t="s">
        <v>4678</v>
      </c>
      <c r="B358" s="1107">
        <v>238</v>
      </c>
      <c r="C358" s="1107" t="s">
        <v>4753</v>
      </c>
      <c r="D358" s="1108" t="s">
        <v>13</v>
      </c>
      <c r="E358" s="1108" t="s">
        <v>30</v>
      </c>
      <c r="F358" s="1109">
        <v>45397</v>
      </c>
      <c r="G358" s="1109">
        <v>45404</v>
      </c>
      <c r="H35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8" s="522" t="str">
        <f>CONCATENATE(Таблица47[[#This Row],[№ заявки в 1С]],Таблица47[[#This Row],[Наименование            ]])</f>
        <v>238[89646] балка Ад-35 Д, L=1370</v>
      </c>
      <c r="J35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8" s="635"/>
      <c r="N358" s="1119">
        <v>60</v>
      </c>
      <c r="O358" s="1013" t="str">
        <f>IFERROR(Таблица47[[#This Row],[Количество хлыстов]]-Таблица47[[#This Row],[Обработано в 1С]]-Таблица47[[#This Row],[Корректировка]],"")</f>
        <v/>
      </c>
      <c r="P358" s="638" t="str">
        <f>IFERROR((((Таблица47[[#This Row],[Осталось сделать, хлыст]]*Таблица47[[#This Row],[длина]])*Таблица47[[#This Row],[Периметр]])/28),"")</f>
        <v/>
      </c>
      <c r="Q358" s="303"/>
      <c r="R358" s="991">
        <f>IFERROR(Таблица47[[#This Row],[Коли-
чество м.п.]]/Таблица47[[#This Row],[Количество хлыстов]],"")</f>
        <v>1</v>
      </c>
      <c r="S358" s="639" t="s">
        <v>5049</v>
      </c>
      <c r="T358" s="639">
        <v>60</v>
      </c>
      <c r="U358" s="640">
        <v>60</v>
      </c>
      <c r="V358" s="639">
        <v>0.317</v>
      </c>
      <c r="W358" s="639">
        <v>4.1079999999999997</v>
      </c>
      <c r="X358" s="639">
        <v>19.02</v>
      </c>
      <c r="Y358" s="639">
        <v>246.48</v>
      </c>
      <c r="Z358" s="639">
        <v>2.4700000000000002</v>
      </c>
      <c r="AA358" s="639">
        <v>900</v>
      </c>
      <c r="AB358" s="639">
        <v>2839.12</v>
      </c>
      <c r="AC358" s="641">
        <v>54000</v>
      </c>
    </row>
    <row r="359" spans="1:29" ht="15.75" customHeight="1" x14ac:dyDescent="0.25">
      <c r="A359" s="427" t="s">
        <v>4678</v>
      </c>
      <c r="B359" s="1070">
        <v>238</v>
      </c>
      <c r="C359" s="1070" t="s">
        <v>4753</v>
      </c>
      <c r="D359" s="200" t="s">
        <v>13</v>
      </c>
      <c r="E359" s="200" t="s">
        <v>30</v>
      </c>
      <c r="F359" s="201">
        <v>45397</v>
      </c>
      <c r="G359" s="528">
        <v>45404</v>
      </c>
      <c r="H35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59" s="522" t="str">
        <f>CONCATENATE(Таблица47[[#This Row],[№ заявки в 1С]],Таблица47[[#This Row],[Наименование            ]])</f>
        <v>238[90218] балка Ад-35 Д, L=2675</v>
      </c>
      <c r="J35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5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5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59" s="635"/>
      <c r="N359" s="1119">
        <v>2</v>
      </c>
      <c r="O359" s="1013" t="str">
        <f>IFERROR(Таблица47[[#This Row],[Количество хлыстов]]-Таблица47[[#This Row],[Обработано в 1С]]-Таблица47[[#This Row],[Корректировка]],"")</f>
        <v/>
      </c>
      <c r="P359" s="638" t="str">
        <f>IFERROR((((Таблица47[[#This Row],[Осталось сделать, хлыст]]*Таблица47[[#This Row],[длина]])*Таблица47[[#This Row],[Периметр]])/28),"")</f>
        <v/>
      </c>
      <c r="Q359" s="303"/>
      <c r="R359" s="991">
        <f>IFERROR(Таблица47[[#This Row],[Коли-
чество м.п.]]/Таблица47[[#This Row],[Количество хлыстов]],"")</f>
        <v>1</v>
      </c>
      <c r="S359" s="639" t="s">
        <v>5050</v>
      </c>
      <c r="T359" s="639">
        <v>2</v>
      </c>
      <c r="U359" s="640">
        <v>2</v>
      </c>
      <c r="V359" s="639">
        <v>0.317</v>
      </c>
      <c r="W359" s="639">
        <v>4.1079999999999997</v>
      </c>
      <c r="X359" s="639">
        <v>0.63400000000000001</v>
      </c>
      <c r="Y359" s="639">
        <v>8.2159999999999993</v>
      </c>
      <c r="Z359" s="639">
        <v>0.08</v>
      </c>
      <c r="AA359" s="639">
        <v>1600</v>
      </c>
      <c r="AB359" s="639">
        <v>5047.32</v>
      </c>
      <c r="AC359" s="641">
        <v>3200</v>
      </c>
    </row>
    <row r="360" spans="1:29" ht="15.75" customHeight="1" x14ac:dyDescent="0.25">
      <c r="A360" s="427" t="s">
        <v>4678</v>
      </c>
      <c r="B360" s="1107">
        <v>238</v>
      </c>
      <c r="C360" s="1107" t="s">
        <v>4753</v>
      </c>
      <c r="D360" s="1108" t="s">
        <v>13</v>
      </c>
      <c r="E360" s="1108" t="s">
        <v>30</v>
      </c>
      <c r="F360" s="1109">
        <v>45397</v>
      </c>
      <c r="G360" s="528">
        <v>45404</v>
      </c>
      <c r="H36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0" s="522" t="str">
        <f>CONCATENATE(Таблица47[[#This Row],[№ заявки в 1С]],Таблица47[[#This Row],[Наименование            ]])</f>
        <v>238[89933] балка Ад-35 Д, L=3085</v>
      </c>
      <c r="J36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0" s="635"/>
      <c r="N360" s="1119">
        <v>29</v>
      </c>
      <c r="O360" s="1013" t="str">
        <f>IFERROR(Таблица47[[#This Row],[Количество хлыстов]]-Таблица47[[#This Row],[Обработано в 1С]]-Таблица47[[#This Row],[Корректировка]],"")</f>
        <v/>
      </c>
      <c r="P360" s="638" t="str">
        <f>IFERROR((((Таблица47[[#This Row],[Осталось сделать, хлыст]]*Таблица47[[#This Row],[длина]])*Таблица47[[#This Row],[Периметр]])/28),"")</f>
        <v/>
      </c>
      <c r="Q360" s="303"/>
      <c r="R360" s="991">
        <f>IFERROR(Таблица47[[#This Row],[Коли-
чество м.п.]]/Таблица47[[#This Row],[Количество хлыстов]],"")</f>
        <v>1</v>
      </c>
      <c r="S360" s="639" t="s">
        <v>5051</v>
      </c>
      <c r="T360" s="639">
        <v>29</v>
      </c>
      <c r="U360" s="640">
        <v>29</v>
      </c>
      <c r="V360" s="639">
        <v>0.317</v>
      </c>
      <c r="W360" s="639">
        <v>4.1079999999999997</v>
      </c>
      <c r="X360" s="639">
        <v>9.1929999999999996</v>
      </c>
      <c r="Y360" s="639">
        <v>119.13200000000001</v>
      </c>
      <c r="Z360" s="639">
        <v>1.2</v>
      </c>
      <c r="AA360" s="639">
        <v>1800</v>
      </c>
      <c r="AB360" s="639">
        <v>5678.23</v>
      </c>
      <c r="AC360" s="641">
        <v>52200</v>
      </c>
    </row>
    <row r="361" spans="1:29" ht="15.75" customHeight="1" x14ac:dyDescent="0.25">
      <c r="A361" s="427" t="s">
        <v>4678</v>
      </c>
      <c r="B361" s="1070">
        <v>238</v>
      </c>
      <c r="C361" s="1070" t="s">
        <v>4753</v>
      </c>
      <c r="D361" s="200" t="s">
        <v>13</v>
      </c>
      <c r="E361" s="200" t="s">
        <v>30</v>
      </c>
      <c r="F361" s="201">
        <v>45397</v>
      </c>
      <c r="G361" s="528">
        <v>45404</v>
      </c>
      <c r="H36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1" s="522" t="str">
        <f>CONCATENATE(Таблица47[[#This Row],[№ заявки в 1С]],Таблица47[[#This Row],[Наименование            ]])</f>
        <v>238[90215] балка Ад-35 Д, L=3950</v>
      </c>
      <c r="J36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1" s="635"/>
      <c r="N361" s="1119">
        <v>5</v>
      </c>
      <c r="O361" s="1013" t="str">
        <f>IFERROR(Таблица47[[#This Row],[Количество хлыстов]]-Таблица47[[#This Row],[Обработано в 1С]]-Таблица47[[#This Row],[Корректировка]],"")</f>
        <v/>
      </c>
      <c r="P361" s="638" t="str">
        <f>IFERROR((((Таблица47[[#This Row],[Осталось сделать, хлыст]]*Таблица47[[#This Row],[длина]])*Таблица47[[#This Row],[Периметр]])/28),"")</f>
        <v/>
      </c>
      <c r="Q361" s="303"/>
      <c r="R361" s="991">
        <f>IFERROR(Таблица47[[#This Row],[Коли-
чество м.п.]]/Таблица47[[#This Row],[Количество хлыстов]],"")</f>
        <v>1</v>
      </c>
      <c r="S361" s="639" t="s">
        <v>5052</v>
      </c>
      <c r="T361" s="639">
        <v>5</v>
      </c>
      <c r="U361" s="640">
        <v>5</v>
      </c>
      <c r="V361" s="639">
        <v>0.317</v>
      </c>
      <c r="W361" s="639">
        <v>4.1079999999999997</v>
      </c>
      <c r="X361" s="639">
        <v>1.585</v>
      </c>
      <c r="Y361" s="639">
        <v>20.54</v>
      </c>
      <c r="Z361" s="639">
        <v>0.21</v>
      </c>
      <c r="AA361" s="639">
        <v>1900</v>
      </c>
      <c r="AB361" s="639">
        <v>5993.69</v>
      </c>
      <c r="AC361" s="641">
        <v>9500</v>
      </c>
    </row>
    <row r="362" spans="1:29" ht="15.75" customHeight="1" x14ac:dyDescent="0.25">
      <c r="A362" s="427" t="s">
        <v>4678</v>
      </c>
      <c r="B362" s="1107">
        <v>238</v>
      </c>
      <c r="C362" s="1107" t="s">
        <v>4753</v>
      </c>
      <c r="D362" s="1108" t="s">
        <v>13</v>
      </c>
      <c r="E362" s="1108" t="s">
        <v>30</v>
      </c>
      <c r="F362" s="1109">
        <v>45397</v>
      </c>
      <c r="G362" s="528">
        <v>45404</v>
      </c>
      <c r="H36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2" s="522" t="str">
        <f>CONCATENATE(Таблица47[[#This Row],[№ заявки в 1С]],Таблица47[[#This Row],[Наименование            ]])</f>
        <v>238[90214] балка Ад-35 Д, L=4200</v>
      </c>
      <c r="J36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2" s="635"/>
      <c r="N362" s="1119">
        <v>5</v>
      </c>
      <c r="O362" s="1013" t="str">
        <f>IFERROR(Таблица47[[#This Row],[Количество хлыстов]]-Таблица47[[#This Row],[Обработано в 1С]]-Таблица47[[#This Row],[Корректировка]],"")</f>
        <v/>
      </c>
      <c r="P362" s="638" t="str">
        <f>IFERROR((((Таблица47[[#This Row],[Осталось сделать, хлыст]]*Таблица47[[#This Row],[длина]])*Таблица47[[#This Row],[Периметр]])/28),"")</f>
        <v/>
      </c>
      <c r="Q362" s="303"/>
      <c r="R362" s="991">
        <f>IFERROR(Таблица47[[#This Row],[Коли-
чество м.п.]]/Таблица47[[#This Row],[Количество хлыстов]],"")</f>
        <v>1</v>
      </c>
      <c r="S362" s="639" t="s">
        <v>5053</v>
      </c>
      <c r="T362" s="639">
        <v>5</v>
      </c>
      <c r="U362" s="640">
        <v>5</v>
      </c>
      <c r="V362" s="639">
        <v>0.317</v>
      </c>
      <c r="W362" s="639">
        <v>4.1079999999999997</v>
      </c>
      <c r="X362" s="639">
        <v>1.585</v>
      </c>
      <c r="Y362" s="639">
        <v>20.54</v>
      </c>
      <c r="Z362" s="639">
        <v>0.21</v>
      </c>
      <c r="AA362" s="639">
        <v>2000</v>
      </c>
      <c r="AB362" s="639">
        <v>6309.15</v>
      </c>
      <c r="AC362" s="641">
        <v>10000</v>
      </c>
    </row>
    <row r="363" spans="1:29" ht="15.75" customHeight="1" x14ac:dyDescent="0.25">
      <c r="A363" s="427" t="s">
        <v>4678</v>
      </c>
      <c r="B363" s="1070">
        <v>238</v>
      </c>
      <c r="C363" s="1070" t="s">
        <v>4753</v>
      </c>
      <c r="D363" s="200" t="s">
        <v>13</v>
      </c>
      <c r="E363" s="200" t="s">
        <v>30</v>
      </c>
      <c r="F363" s="201">
        <v>45397</v>
      </c>
      <c r="G363" s="528">
        <v>45404</v>
      </c>
      <c r="H36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3" s="522" t="str">
        <f>CONCATENATE(Таблица47[[#This Row],[№ заявки в 1С]],Таблица47[[#This Row],[Наименование            ]])</f>
        <v>238[89935] балка Ад-35 Д, L=4570</v>
      </c>
      <c r="J36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3" s="635"/>
      <c r="N363" s="1119">
        <v>10</v>
      </c>
      <c r="O363" s="1013" t="str">
        <f>IFERROR(Таблица47[[#This Row],[Количество хлыстов]]-Таблица47[[#This Row],[Обработано в 1С]]-Таблица47[[#This Row],[Корректировка]],"")</f>
        <v/>
      </c>
      <c r="P363" s="638" t="str">
        <f>IFERROR((((Таблица47[[#This Row],[Осталось сделать, хлыст]]*Таблица47[[#This Row],[длина]])*Таблица47[[#This Row],[Периметр]])/28),"")</f>
        <v/>
      </c>
      <c r="Q363" s="303"/>
      <c r="R363" s="991">
        <f>IFERROR(Таблица47[[#This Row],[Коли-
чество м.п.]]/Таблица47[[#This Row],[Количество хлыстов]],"")</f>
        <v>1</v>
      </c>
      <c r="S363" s="639" t="s">
        <v>5054</v>
      </c>
      <c r="T363" s="639">
        <v>10</v>
      </c>
      <c r="U363" s="640">
        <v>10</v>
      </c>
      <c r="V363" s="639">
        <v>0.317</v>
      </c>
      <c r="W363" s="639">
        <v>4.1079999999999997</v>
      </c>
      <c r="X363" s="639">
        <v>3.17</v>
      </c>
      <c r="Y363" s="639">
        <v>41.08</v>
      </c>
      <c r="Z363" s="639">
        <v>0.41</v>
      </c>
      <c r="AA363" s="639">
        <v>2200</v>
      </c>
      <c r="AB363" s="639">
        <v>6940.06</v>
      </c>
      <c r="AC363" s="641">
        <v>22000</v>
      </c>
    </row>
    <row r="364" spans="1:29" ht="15.75" customHeight="1" x14ac:dyDescent="0.25">
      <c r="A364" s="427" t="s">
        <v>4678</v>
      </c>
      <c r="B364" s="1107">
        <v>238</v>
      </c>
      <c r="C364" s="1107" t="s">
        <v>4753</v>
      </c>
      <c r="D364" s="1108" t="s">
        <v>13</v>
      </c>
      <c r="E364" s="1108" t="s">
        <v>30</v>
      </c>
      <c r="F364" s="1109">
        <v>45397</v>
      </c>
      <c r="G364" s="528">
        <v>45404</v>
      </c>
      <c r="H36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4" s="522" t="str">
        <f>CONCATENATE(Таблица47[[#This Row],[№ заявки в 1С]],Таблица47[[#This Row],[Наименование            ]])</f>
        <v>238[89937] балка Ад-35 Д, L=4940</v>
      </c>
      <c r="J36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4" s="635"/>
      <c r="N364" s="1119">
        <v>9</v>
      </c>
      <c r="O364" s="1013" t="str">
        <f>IFERROR(Таблица47[[#This Row],[Количество хлыстов]]-Таблица47[[#This Row],[Обработано в 1С]]-Таблица47[[#This Row],[Корректировка]],"")</f>
        <v/>
      </c>
      <c r="P364" s="638" t="str">
        <f>IFERROR((((Таблица47[[#This Row],[Осталось сделать, хлыст]]*Таблица47[[#This Row],[длина]])*Таблица47[[#This Row],[Периметр]])/28),"")</f>
        <v/>
      </c>
      <c r="Q364" s="303"/>
      <c r="R364" s="991">
        <f>IFERROR(Таблица47[[#This Row],[Коли-
чество м.п.]]/Таблица47[[#This Row],[Количество хлыстов]],"")</f>
        <v>1</v>
      </c>
      <c r="S364" s="639" t="s">
        <v>5055</v>
      </c>
      <c r="T364" s="639">
        <v>9</v>
      </c>
      <c r="U364" s="640">
        <v>9</v>
      </c>
      <c r="V364" s="639">
        <v>0.317</v>
      </c>
      <c r="W364" s="639">
        <v>4.1079999999999997</v>
      </c>
      <c r="X364" s="639">
        <v>2.8530000000000002</v>
      </c>
      <c r="Y364" s="639">
        <v>36.972000000000001</v>
      </c>
      <c r="Z364" s="639">
        <v>0.37</v>
      </c>
      <c r="AA364" s="639">
        <v>2400</v>
      </c>
      <c r="AB364" s="639">
        <v>7570.98</v>
      </c>
      <c r="AC364" s="641">
        <v>21600</v>
      </c>
    </row>
    <row r="365" spans="1:29" ht="15.75" customHeight="1" x14ac:dyDescent="0.25">
      <c r="A365" s="427" t="s">
        <v>4678</v>
      </c>
      <c r="B365" s="1070">
        <v>238</v>
      </c>
      <c r="C365" s="1070" t="s">
        <v>4753</v>
      </c>
      <c r="D365" s="200" t="s">
        <v>13</v>
      </c>
      <c r="E365" s="200" t="s">
        <v>30</v>
      </c>
      <c r="F365" s="201">
        <v>45397</v>
      </c>
      <c r="G365" s="528">
        <v>45404</v>
      </c>
      <c r="H36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5" s="522" t="str">
        <f>CONCATENATE(Таблица47[[#This Row],[№ заявки в 1С]],Таблица47[[#This Row],[Наименование            ]])</f>
        <v>238[89938] балка Ад-35 Д, L=5005</v>
      </c>
      <c r="J36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5" s="635"/>
      <c r="N365" s="1119">
        <v>91</v>
      </c>
      <c r="O365" s="1013" t="str">
        <f>IFERROR(Таблица47[[#This Row],[Количество хлыстов]]-Таблица47[[#This Row],[Обработано в 1С]]-Таблица47[[#This Row],[Корректировка]],"")</f>
        <v/>
      </c>
      <c r="P365" s="638" t="str">
        <f>IFERROR((((Таблица47[[#This Row],[Осталось сделать, хлыст]]*Таблица47[[#This Row],[длина]])*Таблица47[[#This Row],[Периметр]])/28),"")</f>
        <v/>
      </c>
      <c r="Q365" s="303"/>
      <c r="R365" s="991">
        <f>IFERROR(Таблица47[[#This Row],[Коли-
чество м.п.]]/Таблица47[[#This Row],[Количество хлыстов]],"")</f>
        <v>1</v>
      </c>
      <c r="S365" s="639" t="s">
        <v>5056</v>
      </c>
      <c r="T365" s="639">
        <v>91</v>
      </c>
      <c r="U365" s="640">
        <v>91</v>
      </c>
      <c r="V365" s="639">
        <v>0.317</v>
      </c>
      <c r="W365" s="639">
        <v>4.1079999999999997</v>
      </c>
      <c r="X365" s="639">
        <v>28.847000000000001</v>
      </c>
      <c r="Y365" s="639">
        <v>373.82799999999997</v>
      </c>
      <c r="Z365" s="639">
        <v>3.75</v>
      </c>
      <c r="AA365" s="639">
        <v>2500</v>
      </c>
      <c r="AB365" s="639">
        <v>7886.44</v>
      </c>
      <c r="AC365" s="641">
        <v>227500</v>
      </c>
    </row>
    <row r="366" spans="1:29" ht="15.75" customHeight="1" x14ac:dyDescent="0.25">
      <c r="A366" s="427" t="s">
        <v>4678</v>
      </c>
      <c r="B366" s="1107">
        <v>238</v>
      </c>
      <c r="C366" s="1107" t="s">
        <v>4753</v>
      </c>
      <c r="D366" s="1108" t="s">
        <v>13</v>
      </c>
      <c r="E366" s="1108" t="s">
        <v>30</v>
      </c>
      <c r="F366" s="1109">
        <v>45397</v>
      </c>
      <c r="G366" s="528">
        <v>45404</v>
      </c>
      <c r="H36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6" s="522" t="str">
        <f>CONCATENATE(Таблица47[[#This Row],[№ заявки в 1С]],Таблица47[[#This Row],[Наименование            ]])</f>
        <v>238[90213] балка Ад-35 Д, L=5090</v>
      </c>
      <c r="J36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6" s="635"/>
      <c r="N366" s="1119">
        <v>5</v>
      </c>
      <c r="O366" s="1013" t="str">
        <f>IFERROR(Таблица47[[#This Row],[Количество хлыстов]]-Таблица47[[#This Row],[Обработано в 1С]]-Таблица47[[#This Row],[Корректировка]],"")</f>
        <v/>
      </c>
      <c r="P366" s="638" t="str">
        <f>IFERROR((((Таблица47[[#This Row],[Осталось сделать, хлыст]]*Таблица47[[#This Row],[длина]])*Таблица47[[#This Row],[Периметр]])/28),"")</f>
        <v/>
      </c>
      <c r="Q366" s="303"/>
      <c r="R366" s="991">
        <f>IFERROR(Таблица47[[#This Row],[Коли-
чество м.п.]]/Таблица47[[#This Row],[Количество хлыстов]],"")</f>
        <v>1</v>
      </c>
      <c r="S366" s="639" t="s">
        <v>5057</v>
      </c>
      <c r="T366" s="639">
        <v>5</v>
      </c>
      <c r="U366" s="640">
        <v>5</v>
      </c>
      <c r="V366" s="639">
        <v>0.317</v>
      </c>
      <c r="W366" s="639">
        <v>4.1079999999999997</v>
      </c>
      <c r="X366" s="639">
        <v>1.585</v>
      </c>
      <c r="Y366" s="639">
        <v>20.54</v>
      </c>
      <c r="Z366" s="639">
        <v>0.21</v>
      </c>
      <c r="AA366" s="639">
        <v>2600</v>
      </c>
      <c r="AB366" s="639">
        <v>8201.89</v>
      </c>
      <c r="AC366" s="641">
        <v>13000</v>
      </c>
    </row>
    <row r="367" spans="1:29" ht="15.75" customHeight="1" x14ac:dyDescent="0.25">
      <c r="A367" s="427" t="s">
        <v>4678</v>
      </c>
      <c r="B367" s="1070">
        <v>238</v>
      </c>
      <c r="C367" s="1070" t="s">
        <v>4753</v>
      </c>
      <c r="D367" s="200" t="s">
        <v>13</v>
      </c>
      <c r="E367" s="200" t="s">
        <v>30</v>
      </c>
      <c r="F367" s="201">
        <v>45397</v>
      </c>
      <c r="G367" s="528">
        <v>45404</v>
      </c>
      <c r="H36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7" s="522" t="str">
        <f>CONCATENATE(Таблица47[[#This Row],[№ заявки в 1С]],Таблица47[[#This Row],[Наименование            ]])</f>
        <v>238[89940] балка Ад-35 Д, L=5135</v>
      </c>
      <c r="J36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7" s="635"/>
      <c r="N367" s="1119">
        <v>72</v>
      </c>
      <c r="O367" s="1013" t="str">
        <f>IFERROR(Таблица47[[#This Row],[Количество хлыстов]]-Таблица47[[#This Row],[Обработано в 1С]]-Таблица47[[#This Row],[Корректировка]],"")</f>
        <v/>
      </c>
      <c r="P367" s="638" t="str">
        <f>IFERROR((((Таблица47[[#This Row],[Осталось сделать, хлыст]]*Таблица47[[#This Row],[длина]])*Таблица47[[#This Row],[Периметр]])/28),"")</f>
        <v/>
      </c>
      <c r="Q367" s="303"/>
      <c r="R367" s="991">
        <f>IFERROR(Таблица47[[#This Row],[Коли-
чество м.п.]]/Таблица47[[#This Row],[Количество хлыстов]],"")</f>
        <v>1</v>
      </c>
      <c r="S367" s="639" t="s">
        <v>5058</v>
      </c>
      <c r="T367" s="639">
        <v>72</v>
      </c>
      <c r="U367" s="640">
        <v>72</v>
      </c>
      <c r="V367" s="639">
        <v>0.317</v>
      </c>
      <c r="W367" s="639">
        <v>4.1079999999999997</v>
      </c>
      <c r="X367" s="639">
        <v>22.824000000000002</v>
      </c>
      <c r="Y367" s="639">
        <v>295.77600000000001</v>
      </c>
      <c r="Z367" s="639">
        <v>2.97</v>
      </c>
      <c r="AA367" s="639">
        <v>2700</v>
      </c>
      <c r="AB367" s="639">
        <v>8517.35</v>
      </c>
      <c r="AC367" s="641">
        <v>194400</v>
      </c>
    </row>
    <row r="368" spans="1:29" ht="45.75" customHeight="1" x14ac:dyDescent="0.25">
      <c r="A368" s="427" t="s">
        <v>4678</v>
      </c>
      <c r="B368" s="309">
        <v>239</v>
      </c>
      <c r="C368" s="309"/>
      <c r="D368" s="303" t="s">
        <v>34</v>
      </c>
      <c r="E368" s="303" t="s">
        <v>328</v>
      </c>
      <c r="F368" s="528">
        <v>45397</v>
      </c>
      <c r="G368" s="528"/>
      <c r="H36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8" s="522" t="str">
        <f>CONCATENATE(Таблица47[[#This Row],[№ заявки в 1С]],Таблица47[[#This Row],[Наименование            ]])</f>
        <v>239[70484] 1506-77 (АА-2050-85), 6,0м, 6063 Т6, упаковка Т-5, без покрытия</v>
      </c>
      <c r="J36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8" s="635">
        <v>5</v>
      </c>
      <c r="N368" s="1119">
        <v>102</v>
      </c>
      <c r="O368" s="1013" t="str">
        <f>IFERROR(Таблица47[[#This Row],[Количество хлыстов]]-Таблица47[[#This Row],[Обработано в 1С]]-Таблица47[[#This Row],[Корректировка]],"")</f>
        <v/>
      </c>
      <c r="P368" s="638" t="str">
        <f>IFERROR((((Таблица47[[#This Row],[Осталось сделать, хлыст]]*Таблица47[[#This Row],[длина]])*Таблица47[[#This Row],[Периметр]])/28),"")</f>
        <v/>
      </c>
      <c r="Q368" s="1081" t="s">
        <v>5074</v>
      </c>
      <c r="R368" s="991">
        <f>IFERROR(Таблица47[[#This Row],[Коли-
чество м.п.]]/Таблица47[[#This Row],[Количество хлыстов]],"")</f>
        <v>6</v>
      </c>
      <c r="S368" s="639" t="s">
        <v>4813</v>
      </c>
      <c r="T368" s="639">
        <v>642</v>
      </c>
      <c r="U368" s="640">
        <v>107</v>
      </c>
      <c r="V368" s="639">
        <v>0.30919999999999997</v>
      </c>
      <c r="W368" s="639">
        <v>1.101</v>
      </c>
      <c r="X368" s="639">
        <v>198.50640000000001</v>
      </c>
      <c r="Y368" s="639">
        <v>706.84199999999998</v>
      </c>
      <c r="Z368" s="639">
        <v>25.81</v>
      </c>
      <c r="AA368" s="639">
        <v>134.5</v>
      </c>
      <c r="AB368" s="639">
        <v>435</v>
      </c>
      <c r="AC368" s="641">
        <v>86350.28</v>
      </c>
    </row>
    <row r="369" spans="1:29" ht="15.75" customHeight="1" x14ac:dyDescent="0.25">
      <c r="A369" s="427" t="s">
        <v>4678</v>
      </c>
      <c r="B369" s="309">
        <v>240</v>
      </c>
      <c r="C369" s="309"/>
      <c r="D369" s="303" t="s">
        <v>34</v>
      </c>
      <c r="E369" s="303" t="s">
        <v>328</v>
      </c>
      <c r="F369" s="528">
        <v>45397</v>
      </c>
      <c r="G369" s="528"/>
      <c r="H36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69" s="522" t="str">
        <f>CONCATENATE(Таблица47[[#This Row],[№ заявки в 1С]],Таблица47[[#This Row],[Наименование            ]])</f>
        <v>240[69317] АП 2138 (2606-65), 6,0м, 6063 Т1, БА</v>
      </c>
      <c r="J36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6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6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69" s="635">
        <v>2</v>
      </c>
      <c r="N369" s="1119">
        <v>132</v>
      </c>
      <c r="O369" s="1013" t="str">
        <f>IFERROR(Таблица47[[#This Row],[Количество хлыстов]]-Таблица47[[#This Row],[Обработано в 1С]]-Таблица47[[#This Row],[Корректировка]],"")</f>
        <v/>
      </c>
      <c r="P369" s="638" t="str">
        <f>IFERROR((((Таблица47[[#This Row],[Осталось сделать, хлыст]]*Таблица47[[#This Row],[длина]])*Таблица47[[#This Row],[Периметр]])/28),"")</f>
        <v/>
      </c>
      <c r="Q369" s="303" t="s">
        <v>5081</v>
      </c>
      <c r="R369" s="991">
        <f>IFERROR(Таблица47[[#This Row],[Коли-
чество м.п.]]/Таблица47[[#This Row],[Количество хлыстов]],"")</f>
        <v>6</v>
      </c>
      <c r="S369" s="639" t="s">
        <v>5265</v>
      </c>
      <c r="T369" s="639">
        <v>804</v>
      </c>
      <c r="U369" s="640">
        <v>134</v>
      </c>
      <c r="V369" s="639">
        <v>0.252</v>
      </c>
      <c r="W369" s="639">
        <v>0.70599999999999996</v>
      </c>
      <c r="X369" s="639">
        <v>202.608</v>
      </c>
      <c r="Y369" s="639">
        <v>567.62400000000002</v>
      </c>
      <c r="Z369" s="639">
        <v>26.34</v>
      </c>
      <c r="AA369" s="639">
        <v>99.54</v>
      </c>
      <c r="AB369" s="639">
        <v>395</v>
      </c>
      <c r="AC369" s="641">
        <v>80030.16</v>
      </c>
    </row>
    <row r="370" spans="1:29" customFormat="1" ht="15.75" customHeight="1" x14ac:dyDescent="0.25">
      <c r="A370" s="949" t="s">
        <v>4678</v>
      </c>
      <c r="B370" s="946">
        <v>241</v>
      </c>
      <c r="C370" s="946"/>
      <c r="D370" s="947" t="s">
        <v>4858</v>
      </c>
      <c r="E370" s="942" t="s">
        <v>4734</v>
      </c>
      <c r="F370" s="948">
        <v>45398</v>
      </c>
      <c r="G370" s="168"/>
      <c r="H370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/>
      </c>
      <c r="I370" s="522" t="str">
        <f>CONCATENATE(Таблица47[[#This Row],[№ заявки в 1С]],Таблица47[[#This Row],[Наименование            ]])</f>
        <v>241[85300] ручка боковой защиты (221148) 6,0м сплав 6063 Т6</v>
      </c>
      <c r="J370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0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0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0" s="522">
        <v>33</v>
      </c>
      <c r="N370" s="393"/>
      <c r="O370" s="1001" t="str">
        <f>IFERROR(Таблица47[[#This Row],[Количество хлыстов]]-Таблица47[[#This Row],[Обработано в 1С]]-Таблица47[[#This Row],[Корректировка]],"")</f>
        <v/>
      </c>
      <c r="P370" s="638" t="str">
        <f>IFERROR((((Таблица47[[#This Row],[Осталось сделать, хлыст]]*Таблица47[[#This Row],[длина]])*Таблица47[[#This Row],[Периметр]])/28),"")</f>
        <v/>
      </c>
      <c r="Q370" s="142"/>
      <c r="R370" s="280">
        <f>IFERROR(Таблица47[[#This Row],[Коли-
чество м.п.]]/Таблица47[[#This Row],[Количество хлыстов]],"")</f>
        <v>6</v>
      </c>
      <c r="S370" s="525" t="s">
        <v>4732</v>
      </c>
      <c r="T370" s="525">
        <v>198</v>
      </c>
      <c r="U370" s="526">
        <v>33</v>
      </c>
      <c r="V370" s="525">
        <v>0.47549999999999998</v>
      </c>
      <c r="W370" s="525">
        <v>1.486</v>
      </c>
      <c r="X370" s="525">
        <v>94.149000000000001</v>
      </c>
      <c r="Y370" s="525">
        <v>294.22800000000001</v>
      </c>
      <c r="Z370" s="525">
        <v>12.24</v>
      </c>
      <c r="AA370" s="525">
        <v>175.94</v>
      </c>
      <c r="AB370" s="525">
        <v>370</v>
      </c>
      <c r="AC370" s="527">
        <v>34836.120000000003</v>
      </c>
    </row>
    <row r="371" spans="1:29" ht="15.75" customHeight="1" x14ac:dyDescent="0.25">
      <c r="A371" s="427" t="s">
        <v>4678</v>
      </c>
      <c r="B371" s="309">
        <v>243</v>
      </c>
      <c r="C371" s="309"/>
      <c r="D371" s="303" t="s">
        <v>13</v>
      </c>
      <c r="E371" s="303" t="s">
        <v>5072</v>
      </c>
      <c r="F371" s="528">
        <v>45399</v>
      </c>
      <c r="G371" s="528"/>
      <c r="H3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1" s="522" t="str">
        <f>CONCATENATE(Таблица47[[#This Row],[№ заявки в 1С]],Таблица47[[#This Row],[Наименование            ]])</f>
        <v>243[77780] автоуголок 250*40мм (1706-75, 97101) 6,0м, сплав 6063 Т6 +  упаковка А5</v>
      </c>
      <c r="J37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1" s="635"/>
      <c r="N371" s="1119">
        <v>145</v>
      </c>
      <c r="O371" s="1013" t="str">
        <f>IFERROR(Таблица47[[#This Row],[Количество хлыстов]]-Таблица47[[#This Row],[Обработано в 1С]]-Таблица47[[#This Row],[Корректировка]],"")</f>
        <v/>
      </c>
      <c r="P371" s="638" t="str">
        <f>IFERROR((((Таблица47[[#This Row],[Осталось сделать, хлыст]]*Таблица47[[#This Row],[длина]])*Таблица47[[#This Row],[Периметр]])/28),"")</f>
        <v/>
      </c>
      <c r="Q371" s="303"/>
      <c r="R371" s="991">
        <f>IFERROR(Таблица47[[#This Row],[Коли-
чество м.п.]]/Таблица47[[#This Row],[Количество хлыстов]],"")</f>
        <v>6</v>
      </c>
      <c r="S371" s="639" t="s">
        <v>5216</v>
      </c>
      <c r="T371" s="639">
        <v>870</v>
      </c>
      <c r="U371" s="640">
        <v>145</v>
      </c>
      <c r="V371" s="639">
        <v>0.60040000000000004</v>
      </c>
      <c r="W371" s="639">
        <v>2.5739999999999998</v>
      </c>
      <c r="X371" s="639">
        <v>522.34799999999996</v>
      </c>
      <c r="Y371" s="639">
        <v>2239.38</v>
      </c>
      <c r="Z371" s="639">
        <v>67.91</v>
      </c>
      <c r="AA371" s="639">
        <v>243.16</v>
      </c>
      <c r="AB371" s="639">
        <v>405</v>
      </c>
      <c r="AC371" s="641">
        <v>211550.94</v>
      </c>
    </row>
    <row r="372" spans="1:29" ht="15.75" customHeight="1" x14ac:dyDescent="0.25">
      <c r="A372" s="427" t="s">
        <v>4678</v>
      </c>
      <c r="B372" s="309">
        <v>243</v>
      </c>
      <c r="C372" s="309"/>
      <c r="D372" s="303" t="s">
        <v>13</v>
      </c>
      <c r="E372" s="303" t="s">
        <v>5072</v>
      </c>
      <c r="F372" s="528">
        <v>45399</v>
      </c>
      <c r="G372" s="528"/>
      <c r="H37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2" s="522" t="str">
        <f>CONCATENATE(Таблица47[[#This Row],[№ заявки в 1С]],Таблица47[[#This Row],[Наименование            ]])</f>
        <v>243[69916] автоуголок 50*50 мм (97082) 6,0м,  сплав 6063 Т6 + упаковка А5</v>
      </c>
      <c r="J37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2" s="635"/>
      <c r="N372" s="1119">
        <v>160</v>
      </c>
      <c r="O372" s="1013" t="str">
        <f>IFERROR(Таблица47[[#This Row],[Количество хлыстов]]-Таблица47[[#This Row],[Обработано в 1С]]-Таблица47[[#This Row],[Корректировка]],"")</f>
        <v/>
      </c>
      <c r="P372" s="638" t="str">
        <f>IFERROR((((Таблица47[[#This Row],[Осталось сделать, хлыст]]*Таблица47[[#This Row],[длина]])*Таблица47[[#This Row],[Периметр]])/28),"")</f>
        <v/>
      </c>
      <c r="Q372" s="303"/>
      <c r="R372" s="991">
        <f>IFERROR(Таблица47[[#This Row],[Коли-
чество м.п.]]/Таблица47[[#This Row],[Количество хлыстов]],"")</f>
        <v>6</v>
      </c>
      <c r="S372" s="639" t="s">
        <v>4727</v>
      </c>
      <c r="T372" s="639">
        <v>960</v>
      </c>
      <c r="U372" s="640">
        <v>160</v>
      </c>
      <c r="V372" s="639">
        <v>0.1938</v>
      </c>
      <c r="W372" s="639">
        <v>0.63600000000000001</v>
      </c>
      <c r="X372" s="639">
        <v>186.048</v>
      </c>
      <c r="Y372" s="639">
        <v>610.55999999999995</v>
      </c>
      <c r="Z372" s="639">
        <v>24.19</v>
      </c>
      <c r="AA372" s="639">
        <v>78.489999999999995</v>
      </c>
      <c r="AB372" s="639">
        <v>405</v>
      </c>
      <c r="AC372" s="641">
        <v>75349.440000000002</v>
      </c>
    </row>
    <row r="373" spans="1:29" ht="15.75" customHeight="1" x14ac:dyDescent="0.25">
      <c r="A373" s="427" t="s">
        <v>4678</v>
      </c>
      <c r="B373" s="309">
        <v>244</v>
      </c>
      <c r="C373" s="309"/>
      <c r="D373" s="303" t="s">
        <v>13</v>
      </c>
      <c r="E373" s="303" t="s">
        <v>32</v>
      </c>
      <c r="F373" s="528">
        <v>45399</v>
      </c>
      <c r="G373" s="528">
        <v>45420</v>
      </c>
      <c r="H37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3" s="522" t="str">
        <f>CONCATENATE(Таблица47[[#This Row],[№ заявки в 1С]],Таблица47[[#This Row],[Наименование            ]])</f>
        <v>244[81356] 1606-37 (АВА-7227), 5,05 м, сплав 6063 КР Т6, упаковка Т-5</v>
      </c>
      <c r="J37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3" s="635">
        <v>1</v>
      </c>
      <c r="N373" s="635">
        <f>60+63+63+63</f>
        <v>249</v>
      </c>
      <c r="O373" s="1013" t="str">
        <f>IFERROR(Таблица47[[#This Row],[Количество хлыстов]]-Таблица47[[#This Row],[Обработано в 1С]]-Таблица47[[#This Row],[Корректировка]],"")</f>
        <v/>
      </c>
      <c r="P373" s="638" t="str">
        <f>IFERROR((((Таблица47[[#This Row],[Осталось сделать, хлыст]]*Таблица47[[#This Row],[длина]])*Таблица47[[#This Row],[Периметр]])/28),"")</f>
        <v/>
      </c>
      <c r="Q373" s="303" t="s">
        <v>4937</v>
      </c>
      <c r="R373" s="991">
        <f>IFERROR(Таблица47[[#This Row],[Коли-
чество м.п.]]/Таблица47[[#This Row],[Количество хлыстов]],"")</f>
        <v>5.05</v>
      </c>
      <c r="S373" s="639" t="s">
        <v>4275</v>
      </c>
      <c r="T373" s="639">
        <v>1262.5</v>
      </c>
      <c r="U373" s="640">
        <v>250</v>
      </c>
      <c r="V373" s="639">
        <v>0.2651</v>
      </c>
      <c r="W373" s="639">
        <v>0.82099999999999995</v>
      </c>
      <c r="X373" s="639">
        <v>334.68880000000001</v>
      </c>
      <c r="Y373" s="639">
        <v>1036.5125</v>
      </c>
      <c r="Z373" s="639">
        <v>43.51</v>
      </c>
      <c r="AA373" s="639">
        <v>107.37</v>
      </c>
      <c r="AB373" s="639">
        <v>405</v>
      </c>
      <c r="AC373" s="641">
        <v>135548.94</v>
      </c>
    </row>
    <row r="374" spans="1:29" ht="15.75" customHeight="1" x14ac:dyDescent="0.25">
      <c r="A374" s="427" t="s">
        <v>4678</v>
      </c>
      <c r="B374" s="309">
        <v>244</v>
      </c>
      <c r="C374" s="309"/>
      <c r="D374" s="303" t="s">
        <v>13</v>
      </c>
      <c r="E374" s="303" t="s">
        <v>892</v>
      </c>
      <c r="F374" s="528">
        <v>45399</v>
      </c>
      <c r="G374" s="528">
        <v>45447</v>
      </c>
      <c r="H37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4" s="522" t="str">
        <f>CONCATENATE(Таблица47[[#This Row],[№ заявки в 1С]],Таблица47[[#This Row],[Наименование            ]])</f>
        <v>244[81357] 1606-37 (АВА-7227), 4,45 м, сплав 6063 КР Т6, упаковка Т-5</v>
      </c>
      <c r="J37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4" s="635">
        <v>91</v>
      </c>
      <c r="N374" s="1119">
        <f>378+91</f>
        <v>469</v>
      </c>
      <c r="O374" s="1013" t="str">
        <f>IFERROR(Таблица47[[#This Row],[Количество хлыстов]]-Таблица47[[#This Row],[Обработано в 1С]]-Таблица47[[#This Row],[Корректировка]],"")</f>
        <v/>
      </c>
      <c r="P374" s="638" t="str">
        <f>IFERROR((((Таблица47[[#This Row],[Осталось сделать, хлыст]]*Таблица47[[#This Row],[длина]])*Таблица47[[#This Row],[Периметр]])/28),"")</f>
        <v/>
      </c>
      <c r="Q374" s="303" t="s">
        <v>5151</v>
      </c>
      <c r="R374" s="991">
        <f>IFERROR(Таблица47[[#This Row],[Коли-
чество м.п.]]/Таблица47[[#This Row],[Количество хлыстов]],"")</f>
        <v>4.45</v>
      </c>
      <c r="S374" s="639" t="s">
        <v>4276</v>
      </c>
      <c r="T374" s="639">
        <v>2492</v>
      </c>
      <c r="U374" s="640">
        <v>560</v>
      </c>
      <c r="V374" s="639">
        <v>0.2651</v>
      </c>
      <c r="W374" s="639">
        <v>0.82099999999999995</v>
      </c>
      <c r="X374" s="639">
        <v>660.62919999999997</v>
      </c>
      <c r="Y374" s="639">
        <v>2045.932</v>
      </c>
      <c r="Z374" s="639">
        <v>85.88</v>
      </c>
      <c r="AA374" s="639">
        <v>107.37</v>
      </c>
      <c r="AB374" s="639">
        <v>405</v>
      </c>
      <c r="AC374" s="641">
        <v>267554.83</v>
      </c>
    </row>
    <row r="375" spans="1:29" ht="30.75" customHeight="1" x14ac:dyDescent="0.25">
      <c r="A375" s="427" t="s">
        <v>4678</v>
      </c>
      <c r="B375" s="309">
        <v>245</v>
      </c>
      <c r="C375" s="309"/>
      <c r="D375" s="303" t="s">
        <v>34</v>
      </c>
      <c r="E375" s="303" t="s">
        <v>3404</v>
      </c>
      <c r="F375" s="528">
        <v>45399</v>
      </c>
      <c r="G375" s="528"/>
      <c r="H37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5" s="522" t="str">
        <f>CONCATENATE(Таблица47[[#This Row],[№ заявки в 1С]],Таблица47[[#This Row],[Наименование            ]])</f>
        <v>245[81738] 1706-70, 6,0м, 6063 Т1, упаковка Т-5, БА</v>
      </c>
      <c r="J37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5" s="635">
        <v>2</v>
      </c>
      <c r="N375" s="1119">
        <v>143</v>
      </c>
      <c r="O375" s="1013" t="str">
        <f>IFERROR(Таблица47[[#This Row],[Количество хлыстов]]-Таблица47[[#This Row],[Обработано в 1С]]-Таблица47[[#This Row],[Корректировка]],"")</f>
        <v/>
      </c>
      <c r="P375" s="638" t="str">
        <f>IFERROR((((Таблица47[[#This Row],[Осталось сделать, хлыст]]*Таблица47[[#This Row],[длина]])*Таблица47[[#This Row],[Периметр]])/28),"")</f>
        <v/>
      </c>
      <c r="Q375" s="1081" t="s">
        <v>5096</v>
      </c>
      <c r="R375" s="991">
        <f>IFERROR(Таблица47[[#This Row],[Коли-
чество м.п.]]/Таблица47[[#This Row],[Количество хлыстов]],"")</f>
        <v>6</v>
      </c>
      <c r="S375" s="639" t="s">
        <v>4378</v>
      </c>
      <c r="T375" s="639">
        <v>870</v>
      </c>
      <c r="U375" s="640">
        <v>145</v>
      </c>
      <c r="V375" s="639">
        <v>0.25169999999999998</v>
      </c>
      <c r="W375" s="639">
        <v>0.56699999999999995</v>
      </c>
      <c r="X375" s="639">
        <v>218.97900000000001</v>
      </c>
      <c r="Y375" s="639">
        <v>493.29</v>
      </c>
      <c r="Z375" s="639">
        <v>28.47</v>
      </c>
      <c r="AA375" s="639">
        <v>101.94</v>
      </c>
      <c r="AB375" s="639">
        <v>405</v>
      </c>
      <c r="AC375" s="641">
        <v>88686.5</v>
      </c>
    </row>
    <row r="376" spans="1:29" ht="15.75" customHeight="1" x14ac:dyDescent="0.25">
      <c r="A376" s="427" t="s">
        <v>4678</v>
      </c>
      <c r="B376" s="309">
        <v>246</v>
      </c>
      <c r="C376" s="309"/>
      <c r="D376" s="303" t="s">
        <v>34</v>
      </c>
      <c r="E376" s="303" t="s">
        <v>328</v>
      </c>
      <c r="F376" s="528">
        <v>45399</v>
      </c>
      <c r="G376" s="528"/>
      <c r="H37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6" s="522" t="str">
        <f>CONCATENATE(Таблица47[[#This Row],[№ заявки в 1С]],Таблица47[[#This Row],[Наименование            ]])</f>
        <v>246[73880] 1506-77, 6,0м, БЦ анод с дробью+стрейч</v>
      </c>
      <c r="J37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6" s="635"/>
      <c r="N376" s="1119">
        <v>41</v>
      </c>
      <c r="O376" s="1013" t="str">
        <f>IFERROR(Таблица47[[#This Row],[Количество хлыстов]]-Таблица47[[#This Row],[Обработано в 1С]]-Таблица47[[#This Row],[Корректировка]],"")</f>
        <v/>
      </c>
      <c r="P376" s="638" t="str">
        <f>IFERROR((((Таблица47[[#This Row],[Осталось сделать, хлыст]]*Таблица47[[#This Row],[длина]])*Таблица47[[#This Row],[Периметр]])/28),"")</f>
        <v/>
      </c>
      <c r="Q376" s="303" t="s">
        <v>5079</v>
      </c>
      <c r="R376" s="991">
        <f>IFERROR(Таблица47[[#This Row],[Коли-
чество м.п.]]/Таблица47[[#This Row],[Количество хлыстов]],"")</f>
        <v>6</v>
      </c>
      <c r="S376" s="639" t="s">
        <v>4148</v>
      </c>
      <c r="T376" s="639">
        <v>246</v>
      </c>
      <c r="U376" s="640">
        <v>41</v>
      </c>
      <c r="V376" s="639">
        <v>0.30919999999999997</v>
      </c>
      <c r="W376" s="639">
        <v>1.1000000000000001</v>
      </c>
      <c r="X376" s="639">
        <v>76.063199999999995</v>
      </c>
      <c r="Y376" s="639">
        <v>270.60000000000002</v>
      </c>
      <c r="Z376" s="639">
        <v>9.89</v>
      </c>
      <c r="AA376" s="639">
        <v>176.24</v>
      </c>
      <c r="AB376" s="639">
        <v>570</v>
      </c>
      <c r="AC376" s="641">
        <v>43356.02</v>
      </c>
    </row>
    <row r="377" spans="1:29" ht="15.75" customHeight="1" x14ac:dyDescent="0.25">
      <c r="A377" s="427" t="s">
        <v>4678</v>
      </c>
      <c r="B377" s="309">
        <v>247</v>
      </c>
      <c r="C377" s="309"/>
      <c r="D377" s="303" t="s">
        <v>34</v>
      </c>
      <c r="E377" s="303" t="s">
        <v>3404</v>
      </c>
      <c r="F377" s="528">
        <v>45399</v>
      </c>
      <c r="G377" s="528"/>
      <c r="H37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7" s="522" t="str">
        <f>CONCATENATE(Таблица47[[#This Row],[№ заявки в 1С]],Таблица47[[#This Row],[Наименование            ]])</f>
        <v>247[86915] 1706-70, 6,0м, БЦ анод 5мкм (тех) без дроби, упак.стрейч</v>
      </c>
      <c r="J37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7" s="635"/>
      <c r="N377" s="1119">
        <v>47</v>
      </c>
      <c r="O377" s="1013" t="str">
        <f>IFERROR(Таблица47[[#This Row],[Количество хлыстов]]-Таблица47[[#This Row],[Обработано в 1С]]-Таблица47[[#This Row],[Корректировка]],"")</f>
        <v/>
      </c>
      <c r="P377" s="638" t="str">
        <f>IFERROR((((Таблица47[[#This Row],[Осталось сделать, хлыст]]*Таблица47[[#This Row],[длина]])*Таблица47[[#This Row],[Периметр]])/28),"")</f>
        <v/>
      </c>
      <c r="Q377" s="303" t="s">
        <v>5077</v>
      </c>
      <c r="R377" s="991">
        <f>IFERROR(Таблица47[[#This Row],[Коли-
чество м.п.]]/Таблица47[[#This Row],[Количество хлыстов]],"")</f>
        <v>6</v>
      </c>
      <c r="S377" s="639" t="s">
        <v>5076</v>
      </c>
      <c r="T377" s="639">
        <v>282</v>
      </c>
      <c r="U377" s="640">
        <v>47</v>
      </c>
      <c r="V377" s="639">
        <v>0.25169999999999998</v>
      </c>
      <c r="W377" s="639">
        <v>0.56699999999999995</v>
      </c>
      <c r="X377" s="639">
        <v>70.979399999999998</v>
      </c>
      <c r="Y377" s="639">
        <v>159.89400000000001</v>
      </c>
      <c r="Z377" s="639">
        <v>9.23</v>
      </c>
      <c r="AA377" s="639">
        <v>135.91999999999999</v>
      </c>
      <c r="AB377" s="639">
        <v>540</v>
      </c>
      <c r="AC377" s="641">
        <v>38328.879999999997</v>
      </c>
    </row>
    <row r="378" spans="1:29" ht="15.75" customHeight="1" x14ac:dyDescent="0.25">
      <c r="A378" s="427" t="s">
        <v>4678</v>
      </c>
      <c r="B378" s="309">
        <v>249</v>
      </c>
      <c r="C378" s="309"/>
      <c r="D378" s="303" t="s">
        <v>34</v>
      </c>
      <c r="E378" s="303" t="s">
        <v>19</v>
      </c>
      <c r="F378" s="528">
        <v>45399</v>
      </c>
      <c r="G378" s="528"/>
      <c r="H37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8" s="522" t="str">
        <f>CONCATENATE(Таблица47[[#This Row],[№ заявки в 1С]],Таблица47[[#This Row],[Наименование            ]])</f>
        <v>249[76859] 220658 АГС, (АТ-6270 (ВР-371)), 6063 Т6,  3,7м, БА</v>
      </c>
      <c r="J37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8" s="635"/>
      <c r="N378" s="1119">
        <v>82</v>
      </c>
      <c r="O378" s="1013" t="str">
        <f>IFERROR(Таблица47[[#This Row],[Количество хлыстов]]-Таблица47[[#This Row],[Обработано в 1С]]-Таблица47[[#This Row],[Корректировка]],"")</f>
        <v/>
      </c>
      <c r="P378" s="638" t="str">
        <f>IFERROR((((Таблица47[[#This Row],[Осталось сделать, хлыст]]*Таблица47[[#This Row],[длина]])*Таблица47[[#This Row],[Периметр]])/28),"")</f>
        <v/>
      </c>
      <c r="Q378" s="303" t="s">
        <v>5080</v>
      </c>
      <c r="R378" s="991">
        <f>IFERROR(Таблица47[[#This Row],[Коли-
чество м.п.]]/Таблица47[[#This Row],[Количество хлыстов]],"")</f>
        <v>3.6999999999999997</v>
      </c>
      <c r="S378" s="639" t="s">
        <v>1455</v>
      </c>
      <c r="T378" s="639">
        <v>303.39999999999998</v>
      </c>
      <c r="U378" s="640">
        <v>82</v>
      </c>
      <c r="V378" s="639">
        <v>0.17829999999999999</v>
      </c>
      <c r="W378" s="639">
        <v>0.47499999999999998</v>
      </c>
      <c r="X378" s="639">
        <v>54.096200000000003</v>
      </c>
      <c r="Y378" s="639">
        <v>144.11500000000001</v>
      </c>
      <c r="Z378" s="639">
        <v>7.03</v>
      </c>
      <c r="AA378" s="639">
        <v>105.51</v>
      </c>
      <c r="AB378" s="639">
        <v>591.75</v>
      </c>
      <c r="AC378" s="641">
        <v>32011.439999999999</v>
      </c>
    </row>
    <row r="379" spans="1:29" ht="15.75" customHeight="1" x14ac:dyDescent="0.25">
      <c r="A379" s="427" t="s">
        <v>4678</v>
      </c>
      <c r="B379" s="309">
        <v>256</v>
      </c>
      <c r="C379" s="309"/>
      <c r="D379" s="303" t="s">
        <v>34</v>
      </c>
      <c r="E379" s="303" t="s">
        <v>328</v>
      </c>
      <c r="F379" s="528">
        <v>45404</v>
      </c>
      <c r="G379" s="528"/>
      <c r="H37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79" s="522" t="str">
        <f>CONCATENATE(Таблица47[[#This Row],[№ заявки в 1С]],Таблица47[[#This Row],[Наименование            ]])</f>
        <v>256[70484] 1506-77 (АА-2050-85), 6,0м, 6063 Т6, упаковка Т-5, без покрытия</v>
      </c>
      <c r="J37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7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7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79" s="635">
        <v>11</v>
      </c>
      <c r="N379" s="1119">
        <v>335</v>
      </c>
      <c r="O379" s="1013" t="str">
        <f>IFERROR(Таблица47[[#This Row],[Количество хлыстов]]-Таблица47[[#This Row],[Обработано в 1С]]-Таблица47[[#This Row],[Корректировка]],"")</f>
        <v/>
      </c>
      <c r="P379" s="638" t="str">
        <f>IFERROR((((Таблица47[[#This Row],[Осталось сделать, хлыст]]*Таблица47[[#This Row],[длина]])*Таблица47[[#This Row],[Периметр]])/28),"")</f>
        <v/>
      </c>
      <c r="Q379" s="303" t="s">
        <v>5794</v>
      </c>
      <c r="R379" s="991">
        <f>IFERROR(Таблица47[[#This Row],[Коли-
чество м.п.]]/Таблица47[[#This Row],[Количество хлыстов]],"")</f>
        <v>6</v>
      </c>
      <c r="S379" s="639" t="s">
        <v>4813</v>
      </c>
      <c r="T379" s="639">
        <v>2076</v>
      </c>
      <c r="U379" s="640">
        <v>346</v>
      </c>
      <c r="V379" s="639">
        <v>0.30919999999999997</v>
      </c>
      <c r="W379" s="639">
        <v>1.101</v>
      </c>
      <c r="X379" s="639">
        <v>641.89919999999995</v>
      </c>
      <c r="Y379" s="639">
        <v>2285.6759999999999</v>
      </c>
      <c r="Z379" s="639">
        <v>83.45</v>
      </c>
      <c r="AA379" s="639">
        <v>134.5</v>
      </c>
      <c r="AB379" s="639">
        <v>435</v>
      </c>
      <c r="AC379" s="641">
        <v>279226.15000000002</v>
      </c>
    </row>
    <row r="380" spans="1:29" ht="15.75" customHeight="1" x14ac:dyDescent="0.25">
      <c r="A380" s="427" t="s">
        <v>4678</v>
      </c>
      <c r="B380" s="309">
        <v>257</v>
      </c>
      <c r="C380" s="309"/>
      <c r="D380" s="303" t="s">
        <v>34</v>
      </c>
      <c r="E380" s="303" t="s">
        <v>5082</v>
      </c>
      <c r="F380" s="528">
        <v>45404</v>
      </c>
      <c r="G380" s="528"/>
      <c r="H38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0" s="522" t="str">
        <f>CONCATENATE(Таблица47[[#This Row],[№ заявки в 1С]],Таблица47[[#This Row],[Наименование            ]])</f>
        <v>257[52379] 0906-65, 6,0м, БА сплав 6063КР Д</v>
      </c>
      <c r="J38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0" s="635"/>
      <c r="N380" s="1119">
        <v>340</v>
      </c>
      <c r="O380" s="1013" t="str">
        <f>IFERROR(Таблица47[[#This Row],[Количество хлыстов]]-Таблица47[[#This Row],[Обработано в 1С]]-Таблица47[[#This Row],[Корректировка]],"")</f>
        <v/>
      </c>
      <c r="P380" s="638" t="str">
        <f>IFERROR((((Таблица47[[#This Row],[Осталось сделать, хлыст]]*Таблица47[[#This Row],[длина]])*Таблица47[[#This Row],[Периметр]])/28),"")</f>
        <v/>
      </c>
      <c r="Q380" s="303"/>
      <c r="R380" s="991">
        <f>IFERROR(Таблица47[[#This Row],[Коли-
чество м.п.]]/Таблица47[[#This Row],[Количество хлыстов]],"")</f>
        <v>6</v>
      </c>
      <c r="S380" s="639" t="s">
        <v>3403</v>
      </c>
      <c r="T380" s="639">
        <v>2040</v>
      </c>
      <c r="U380" s="640">
        <v>340</v>
      </c>
      <c r="V380" s="639">
        <v>0.15909999999999999</v>
      </c>
      <c r="W380" s="639">
        <v>0.26100000000000001</v>
      </c>
      <c r="X380" s="639">
        <v>324.56400000000002</v>
      </c>
      <c r="Y380" s="639">
        <v>532.44000000000005</v>
      </c>
      <c r="Z380" s="639">
        <v>42.19</v>
      </c>
      <c r="AA380" s="639">
        <v>69.209999999999994</v>
      </c>
      <c r="AB380" s="639">
        <v>435</v>
      </c>
      <c r="AC380" s="641">
        <v>141185.34</v>
      </c>
    </row>
    <row r="381" spans="1:29" ht="15.75" customHeight="1" x14ac:dyDescent="0.25">
      <c r="A381" s="427" t="s">
        <v>4678</v>
      </c>
      <c r="B381" s="309">
        <v>258</v>
      </c>
      <c r="C381" s="309"/>
      <c r="D381" s="303" t="s">
        <v>34</v>
      </c>
      <c r="E381" s="303" t="s">
        <v>3404</v>
      </c>
      <c r="F381" s="528">
        <v>45404</v>
      </c>
      <c r="G381" s="528"/>
      <c r="H38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1" s="522" t="str">
        <f>CONCATENATE(Таблица47[[#This Row],[№ заявки в 1С]],Таблица47[[#This Row],[Наименование            ]])</f>
        <v>258[89435] 2606-56, 6,0м, 6063 Т6, уп.Т5, БА</v>
      </c>
      <c r="J38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1" s="635">
        <v>1</v>
      </c>
      <c r="N381" s="1119">
        <v>163</v>
      </c>
      <c r="O381" s="1013" t="str">
        <f>IFERROR(Таблица47[[#This Row],[Количество хлыстов]]-Таблица47[[#This Row],[Обработано в 1С]]-Таблица47[[#This Row],[Корректировка]],"")</f>
        <v/>
      </c>
      <c r="P381" s="638" t="str">
        <f>IFERROR((((Таблица47[[#This Row],[Осталось сделать, хлыст]]*Таблица47[[#This Row],[длина]])*Таблица47[[#This Row],[Периметр]])/28),"")</f>
        <v/>
      </c>
      <c r="Q381" s="303"/>
      <c r="R381" s="991">
        <f>IFERROR(Таблица47[[#This Row],[Коли-
чество м.п.]]/Таблица47[[#This Row],[Количество хлыстов]],"")</f>
        <v>6</v>
      </c>
      <c r="S381" s="639" t="s">
        <v>4998</v>
      </c>
      <c r="T381" s="639">
        <v>984</v>
      </c>
      <c r="U381" s="640">
        <v>164</v>
      </c>
      <c r="V381" s="639">
        <v>0.3075</v>
      </c>
      <c r="W381" s="639">
        <v>0.85</v>
      </c>
      <c r="X381" s="639">
        <v>302.58</v>
      </c>
      <c r="Y381" s="639">
        <v>836.4</v>
      </c>
      <c r="Z381" s="639">
        <v>39.340000000000003</v>
      </c>
      <c r="AA381" s="639">
        <v>113.78</v>
      </c>
      <c r="AB381" s="639">
        <v>370</v>
      </c>
      <c r="AC381" s="641">
        <v>111954.6</v>
      </c>
    </row>
    <row r="382" spans="1:29" ht="15.75" customHeight="1" x14ac:dyDescent="0.25">
      <c r="A382" s="427" t="s">
        <v>4678</v>
      </c>
      <c r="B382" s="309">
        <v>258</v>
      </c>
      <c r="C382" s="309"/>
      <c r="D382" s="303" t="s">
        <v>34</v>
      </c>
      <c r="E382" s="303" t="s">
        <v>3404</v>
      </c>
      <c r="F382" s="528">
        <v>45404</v>
      </c>
      <c r="G382" s="528"/>
      <c r="H38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2" s="522" t="str">
        <f>CONCATENATE(Таблица47[[#This Row],[№ заявки в 1С]],Таблица47[[#This Row],[Наименование            ]])</f>
        <v>258[89968] 2606-57, 6,0м, 6063 Т6, уп.Т5, БА</v>
      </c>
      <c r="J38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2" s="635">
        <v>1</v>
      </c>
      <c r="N382" s="1119">
        <v>199</v>
      </c>
      <c r="O382" s="1013" t="str">
        <f>IFERROR(Таблица47[[#This Row],[Количество хлыстов]]-Таблица47[[#This Row],[Обработано в 1С]]-Таблица47[[#This Row],[Корректировка]],"")</f>
        <v/>
      </c>
      <c r="P382" s="638" t="str">
        <f>IFERROR((((Таблица47[[#This Row],[Осталось сделать, хлыст]]*Таблица47[[#This Row],[длина]])*Таблица47[[#This Row],[Периметр]])/28),"")</f>
        <v/>
      </c>
      <c r="Q382" s="303"/>
      <c r="R382" s="991">
        <f>IFERROR(Таблица47[[#This Row],[Коли-
чество м.п.]]/Таблица47[[#This Row],[Количество хлыстов]],"")</f>
        <v>6</v>
      </c>
      <c r="S382" s="639" t="s">
        <v>5003</v>
      </c>
      <c r="T382" s="639">
        <v>1200</v>
      </c>
      <c r="U382" s="640">
        <v>200</v>
      </c>
      <c r="V382" s="639">
        <v>0.27439999999999998</v>
      </c>
      <c r="W382" s="639">
        <v>0.56100000000000005</v>
      </c>
      <c r="X382" s="639">
        <v>329.28</v>
      </c>
      <c r="Y382" s="639">
        <v>673.2</v>
      </c>
      <c r="Z382" s="639">
        <v>42.81</v>
      </c>
      <c r="AA382" s="639">
        <v>101.53</v>
      </c>
      <c r="AB382" s="639">
        <v>370</v>
      </c>
      <c r="AC382" s="641">
        <v>121833.60000000001</v>
      </c>
    </row>
    <row r="383" spans="1:29" ht="15.75" customHeight="1" x14ac:dyDescent="0.25">
      <c r="A383" s="427" t="s">
        <v>4678</v>
      </c>
      <c r="B383" s="309">
        <v>259</v>
      </c>
      <c r="C383" s="309"/>
      <c r="D383" s="303" t="s">
        <v>13</v>
      </c>
      <c r="E383" s="303" t="s">
        <v>591</v>
      </c>
      <c r="F383" s="528">
        <v>45405</v>
      </c>
      <c r="G383" s="528">
        <v>45427</v>
      </c>
      <c r="H3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3" s="522" t="str">
        <f>CONCATENATE(Таблица47[[#This Row],[№ заявки в 1С]],Таблица47[[#This Row],[Наименование            ]])</f>
        <v>259[25560] 0506-75, 3,0м, БА сплав 6063 Кр</v>
      </c>
      <c r="J38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3" s="635"/>
      <c r="N383" s="1119">
        <v>3247</v>
      </c>
      <c r="O383" s="1013" t="str">
        <f>IFERROR(Таблица47[[#This Row],[Количество хлыстов]]-Таблица47[[#This Row],[Обработано в 1С]]-Таблица47[[#This Row],[Корректировка]],"")</f>
        <v/>
      </c>
      <c r="P383" s="638" t="str">
        <f>IFERROR((((Таблица47[[#This Row],[Осталось сделать, хлыст]]*Таблица47[[#This Row],[длина]])*Таблица47[[#This Row],[Периметр]])/28),"")</f>
        <v/>
      </c>
      <c r="Q383" s="303"/>
      <c r="R383" s="991">
        <f>IFERROR(Таблица47[[#This Row],[Коли-
чество м.п.]]/Таблица47[[#This Row],[Количество хлыстов]],"")</f>
        <v>3</v>
      </c>
      <c r="S383" s="639" t="s">
        <v>38</v>
      </c>
      <c r="T383" s="639">
        <v>9741</v>
      </c>
      <c r="U383" s="640">
        <v>3247</v>
      </c>
      <c r="V383" s="639">
        <v>6.4500000000000002E-2</v>
      </c>
      <c r="W383" s="639">
        <v>8.5000000000000006E-2</v>
      </c>
      <c r="X383" s="639">
        <v>628.29449999999997</v>
      </c>
      <c r="Y383" s="639">
        <v>827.98500000000001</v>
      </c>
      <c r="Z383" s="639">
        <v>81.680000000000007</v>
      </c>
      <c r="AA383" s="639">
        <v>29.61</v>
      </c>
      <c r="AB383" s="639">
        <v>459</v>
      </c>
      <c r="AC383" s="641">
        <v>288387.18</v>
      </c>
    </row>
    <row r="384" spans="1:29" ht="15.75" customHeight="1" x14ac:dyDescent="0.25">
      <c r="A384" s="427" t="s">
        <v>4678</v>
      </c>
      <c r="B384" s="309">
        <v>250</v>
      </c>
      <c r="C384" s="309" t="s">
        <v>4753</v>
      </c>
      <c r="D384" s="303" t="s">
        <v>34</v>
      </c>
      <c r="E384" s="303" t="s">
        <v>861</v>
      </c>
      <c r="F384" s="528">
        <v>45406</v>
      </c>
      <c r="G384" s="528"/>
      <c r="H38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4" s="522" t="str">
        <f>CONCATENATE(Таблица47[[#This Row],[№ заявки в 1С]],Таблица47[[#This Row],[Наименование            ]])</f>
        <v>250[90467] Д Основания ТИС-Р-3 (профиль 1111-116), 475мм, БА</v>
      </c>
      <c r="J38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4" s="635"/>
      <c r="N384" s="1119">
        <v>201</v>
      </c>
      <c r="O384" s="1013" t="str">
        <f>IFERROR(Таблица47[[#This Row],[Количество хлыстов]]-Таблица47[[#This Row],[Обработано в 1С]]-Таблица47[[#This Row],[Корректировка]],"")</f>
        <v/>
      </c>
      <c r="P384" s="638" t="str">
        <f>IFERROR((((Таблица47[[#This Row],[Осталось сделать, хлыст]]*Таблица47[[#This Row],[длина]])*Таблица47[[#This Row],[Периметр]])/28),"")</f>
        <v/>
      </c>
      <c r="Q384" s="303"/>
      <c r="R384" s="991">
        <f>IFERROR(Таблица47[[#This Row],[Коли-
чество м.п.]]/Таблица47[[#This Row],[Количество хлыстов]],"")</f>
        <v>1</v>
      </c>
      <c r="S384" s="639" t="s">
        <v>5083</v>
      </c>
      <c r="T384" s="639">
        <v>201</v>
      </c>
      <c r="U384" s="640">
        <v>201</v>
      </c>
      <c r="V384" s="639">
        <v>0.66020000000000001</v>
      </c>
      <c r="W384" s="639">
        <v>2.6480000000000001</v>
      </c>
      <c r="X384" s="639">
        <v>132.7002</v>
      </c>
      <c r="Y384" s="639">
        <v>532.24800000000005</v>
      </c>
      <c r="Z384" s="639">
        <v>17.25</v>
      </c>
      <c r="AA384" s="639">
        <v>613.16</v>
      </c>
      <c r="AB384" s="639">
        <v>928.75</v>
      </c>
      <c r="AC384" s="641">
        <v>123245.16</v>
      </c>
    </row>
    <row r="385" spans="1:29" ht="15.75" customHeight="1" x14ac:dyDescent="0.25">
      <c r="A385" s="427" t="s">
        <v>4678</v>
      </c>
      <c r="B385" s="309">
        <v>250</v>
      </c>
      <c r="C385" s="309" t="s">
        <v>4753</v>
      </c>
      <c r="D385" s="303" t="s">
        <v>34</v>
      </c>
      <c r="E385" s="303" t="s">
        <v>861</v>
      </c>
      <c r="F385" s="528">
        <v>45406</v>
      </c>
      <c r="G385" s="528"/>
      <c r="H385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5" s="522" t="str">
        <f>CONCATENATE(Таблица47[[#This Row],[№ заявки в 1С]],Таблица47[[#This Row],[Наименование            ]])</f>
        <v>250[90466] Д Основания ТИС-Р-2А (профиль 1111-116), 320мм БА</v>
      </c>
      <c r="J38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5" s="635"/>
      <c r="N385" s="1119">
        <v>181</v>
      </c>
      <c r="O385" s="1013" t="str">
        <f>IFERROR(Таблица47[[#This Row],[Количество хлыстов]]-Таблица47[[#This Row],[Обработано в 1С]]-Таблица47[[#This Row],[Корректировка]],"")</f>
        <v/>
      </c>
      <c r="P385" s="638" t="str">
        <f>IFERROR((((Таблица47[[#This Row],[Осталось сделать, хлыст]]*Таблица47[[#This Row],[длина]])*Таблица47[[#This Row],[Периметр]])/28),"")</f>
        <v/>
      </c>
      <c r="Q385" s="303"/>
      <c r="R385" s="991">
        <f>IFERROR(Таблица47[[#This Row],[Коли-
чество м.п.]]/Таблица47[[#This Row],[Количество хлыстов]],"")</f>
        <v>1</v>
      </c>
      <c r="S385" s="639" t="s">
        <v>5084</v>
      </c>
      <c r="T385" s="639">
        <v>181</v>
      </c>
      <c r="U385" s="640">
        <v>181</v>
      </c>
      <c r="V385" s="639">
        <v>0.44479999999999997</v>
      </c>
      <c r="W385" s="639">
        <v>1.784</v>
      </c>
      <c r="X385" s="639">
        <v>80.508799999999994</v>
      </c>
      <c r="Y385" s="639">
        <v>322.904</v>
      </c>
      <c r="Z385" s="639">
        <v>10.47</v>
      </c>
      <c r="AA385" s="639">
        <v>413.4</v>
      </c>
      <c r="AB385" s="639">
        <v>929.41</v>
      </c>
      <c r="AC385" s="641">
        <v>74825.399999999994</v>
      </c>
    </row>
    <row r="386" spans="1:29" ht="15.75" customHeight="1" x14ac:dyDescent="0.25">
      <c r="A386" s="427" t="s">
        <v>4678</v>
      </c>
      <c r="B386" s="309">
        <v>261</v>
      </c>
      <c r="C386" s="309" t="s">
        <v>4753</v>
      </c>
      <c r="D386" s="303" t="s">
        <v>13</v>
      </c>
      <c r="E386" s="303" t="s">
        <v>480</v>
      </c>
      <c r="F386" s="528">
        <v>45406</v>
      </c>
      <c r="G386" s="528"/>
      <c r="H38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6" s="522" t="str">
        <f>CONCATENATE(Таблица47[[#This Row],[№ заявки в 1С]],Таблица47[[#This Row],[Наименование            ]])</f>
        <v>261[90549] Труба 50*1 (Д) 6м , ад31</v>
      </c>
      <c r="J38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6" s="635"/>
      <c r="N386" s="1119">
        <v>120</v>
      </c>
      <c r="O386" s="1013" t="str">
        <f>IFERROR(Таблица47[[#This Row],[Количество хлыстов]]-Таблица47[[#This Row],[Обработано в 1С]]-Таблица47[[#This Row],[Корректировка]],"")</f>
        <v/>
      </c>
      <c r="P386" s="638" t="str">
        <f>IFERROR((((Таблица47[[#This Row],[Осталось сделать, хлыст]]*Таблица47[[#This Row],[длина]])*Таблица47[[#This Row],[Периметр]])/28),"")</f>
        <v/>
      </c>
      <c r="Q386" s="303"/>
      <c r="R386" s="991">
        <f>IFERROR(Таблица47[[#This Row],[Коли-
чество м.п.]]/Таблица47[[#This Row],[Количество хлыстов]],"")</f>
        <v>6</v>
      </c>
      <c r="S386" s="639" t="s">
        <v>5085</v>
      </c>
      <c r="T386" s="639">
        <v>720</v>
      </c>
      <c r="U386" s="640">
        <v>120</v>
      </c>
      <c r="V386" s="639">
        <v>0.157</v>
      </c>
      <c r="W386" s="639">
        <v>0.42</v>
      </c>
      <c r="X386" s="639">
        <v>113.04</v>
      </c>
      <c r="Y386" s="639">
        <v>302.39999999999998</v>
      </c>
      <c r="Z386" s="639">
        <v>14.7</v>
      </c>
      <c r="AA386" s="639">
        <v>109.44</v>
      </c>
      <c r="AB386" s="639">
        <v>697.1</v>
      </c>
      <c r="AC386" s="641">
        <v>78800</v>
      </c>
    </row>
    <row r="387" spans="1:29" ht="15.75" customHeight="1" x14ac:dyDescent="0.25">
      <c r="A387" s="427" t="s">
        <v>4678</v>
      </c>
      <c r="B387" s="309">
        <v>262</v>
      </c>
      <c r="C387" s="309"/>
      <c r="D387" s="303" t="s">
        <v>13</v>
      </c>
      <c r="E387" s="303" t="s">
        <v>5103</v>
      </c>
      <c r="F387" s="528">
        <v>45408</v>
      </c>
      <c r="G387" s="528"/>
      <c r="H38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7" s="522" t="str">
        <f>CONCATENATE(Таблица47[[#This Row],[№ заявки в 1С]],Таблица47[[#This Row],[Наименование            ]])</f>
        <v>262[865] автополоса 155*4мм (0106-152)  6,0м  60631 Т6  уп Т5</v>
      </c>
      <c r="J38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7" s="635">
        <v>5</v>
      </c>
      <c r="N387" s="1119">
        <v>73</v>
      </c>
      <c r="O387" s="1013" t="str">
        <f>IFERROR(Таблица47[[#This Row],[Количество хлыстов]]-Таблица47[[#This Row],[Обработано в 1С]]-Таблица47[[#This Row],[Корректировка]],"")</f>
        <v/>
      </c>
      <c r="P387" s="638" t="str">
        <f>IFERROR((((Таблица47[[#This Row],[Осталось сделать, хлыст]]*Таблица47[[#This Row],[длина]])*Таблица47[[#This Row],[Периметр]])/28),"")</f>
        <v/>
      </c>
      <c r="Q387" s="303" t="s">
        <v>4761</v>
      </c>
      <c r="R387" s="991">
        <f>IFERROR(Таблица47[[#This Row],[Коли-
чество м.п.]]/Таблица47[[#This Row],[Количество хлыстов]],"")</f>
        <v>6</v>
      </c>
      <c r="S387" s="639" t="s">
        <v>4748</v>
      </c>
      <c r="T387" s="639">
        <v>468</v>
      </c>
      <c r="U387" s="640">
        <v>78</v>
      </c>
      <c r="V387" s="639">
        <v>0.33660000000000001</v>
      </c>
      <c r="W387" s="639">
        <v>1.2350000000000001</v>
      </c>
      <c r="X387" s="639">
        <v>157.52879999999999</v>
      </c>
      <c r="Y387" s="639">
        <v>577.98</v>
      </c>
      <c r="Z387" s="639">
        <v>20.48</v>
      </c>
      <c r="AA387" s="639">
        <v>136.32</v>
      </c>
      <c r="AB387" s="639">
        <v>405</v>
      </c>
      <c r="AC387" s="641">
        <v>63799.16</v>
      </c>
    </row>
    <row r="388" spans="1:29" s="1021" customFormat="1" ht="15.75" customHeight="1" x14ac:dyDescent="0.25">
      <c r="A388" s="1106" t="s">
        <v>4978</v>
      </c>
      <c r="B388" s="1067">
        <v>263</v>
      </c>
      <c r="C388" s="1067"/>
      <c r="D388" s="1068" t="s">
        <v>13</v>
      </c>
      <c r="E388" s="1068" t="s">
        <v>4725</v>
      </c>
      <c r="F388" s="1069">
        <v>45408</v>
      </c>
      <c r="G388" s="1069"/>
      <c r="H38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8" s="620" t="str">
        <f>CONCATENATE(Таблица47[[#This Row],[№ заявки в 1С]],Таблица47[[#This Row],[Наименование            ]])</f>
        <v>263[866] автоуголок 150*55*3мм (0106-153 ) 6,0м АД31 Т1 уп. Т5</v>
      </c>
      <c r="J38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8" s="1082"/>
      <c r="N388" s="1120">
        <v>72</v>
      </c>
      <c r="O388" s="1020" t="str">
        <f>IFERROR(Таблица47[[#This Row],[Количество хлыстов]]-Таблица47[[#This Row],[Обработано в 1С]]-Таблица47[[#This Row],[Корректировка]],"")</f>
        <v/>
      </c>
      <c r="P388" s="638" t="str">
        <f>IFERROR((((Таблица47[[#This Row],[Осталось сделать, хлыст]]*Таблица47[[#This Row],[длина]])*Таблица47[[#This Row],[Периметр]])/28),"")</f>
        <v/>
      </c>
      <c r="Q388" s="1068"/>
      <c r="R388" s="1089">
        <f>IFERROR(Таблица47[[#This Row],[Коли-
чество м.п.]]/Таблица47[[#This Row],[Количество хлыстов]],"")</f>
        <v>6</v>
      </c>
      <c r="S388" s="1083" t="s">
        <v>4834</v>
      </c>
      <c r="T388" s="1083">
        <v>432</v>
      </c>
      <c r="U388" s="1084">
        <v>72</v>
      </c>
      <c r="V388" s="1083">
        <v>0.42199999999999999</v>
      </c>
      <c r="W388" s="1083">
        <v>1.389</v>
      </c>
      <c r="X388" s="1083">
        <v>182.304</v>
      </c>
      <c r="Y388" s="1083">
        <v>600.048</v>
      </c>
      <c r="Z388" s="1083">
        <v>23.7</v>
      </c>
      <c r="AA388" s="1083">
        <v>99.17</v>
      </c>
      <c r="AB388" s="1083">
        <v>235</v>
      </c>
      <c r="AC388" s="1085">
        <v>42841.440000000002</v>
      </c>
    </row>
    <row r="389" spans="1:29" ht="15.75" customHeight="1" x14ac:dyDescent="0.25">
      <c r="A389" s="427" t="s">
        <v>4678</v>
      </c>
      <c r="B389" s="309">
        <v>264</v>
      </c>
      <c r="C389" s="309"/>
      <c r="D389" s="303" t="s">
        <v>34</v>
      </c>
      <c r="E389" s="303" t="s">
        <v>328</v>
      </c>
      <c r="F389" s="528">
        <v>45408</v>
      </c>
      <c r="G389" s="528"/>
      <c r="H38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89" s="522" t="str">
        <f>CONCATENATE(Таблица47[[#This Row],[№ заявки в 1С]],Таблица47[[#This Row],[Наименование            ]])</f>
        <v>264[70484] 1506-77 (АА-2050-85), 6,0м, 6063 Т6, упаковка Т-5, без покрытия</v>
      </c>
      <c r="J38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8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8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89" s="635">
        <v>3</v>
      </c>
      <c r="N389" s="1119">
        <v>284</v>
      </c>
      <c r="O389" s="1013" t="str">
        <f>IFERROR(Таблица47[[#This Row],[Количество хлыстов]]-Таблица47[[#This Row],[Обработано в 1С]]-Таблица47[[#This Row],[Корректировка]],"")</f>
        <v/>
      </c>
      <c r="P389" s="638" t="str">
        <f>IFERROR((((Таблица47[[#This Row],[Осталось сделать, хлыст]]*Таблица47[[#This Row],[длина]])*Таблица47[[#This Row],[Периметр]])/28),"")</f>
        <v/>
      </c>
      <c r="Q389" s="303" t="s">
        <v>5157</v>
      </c>
      <c r="R389" s="991">
        <f>IFERROR(Таблица47[[#This Row],[Коли-
чество м.п.]]/Таблица47[[#This Row],[Количество хлыстов]],"")</f>
        <v>6</v>
      </c>
      <c r="S389" s="639" t="s">
        <v>4813</v>
      </c>
      <c r="T389" s="639">
        <v>1722</v>
      </c>
      <c r="U389" s="640">
        <v>287</v>
      </c>
      <c r="V389" s="639">
        <v>0.30919999999999997</v>
      </c>
      <c r="W389" s="639">
        <v>1.101</v>
      </c>
      <c r="X389" s="639">
        <v>532.44240000000002</v>
      </c>
      <c r="Y389" s="639">
        <v>1895.922</v>
      </c>
      <c r="Z389" s="639">
        <v>69.22</v>
      </c>
      <c r="AA389" s="639">
        <v>134.5</v>
      </c>
      <c r="AB389" s="639">
        <v>435</v>
      </c>
      <c r="AC389" s="641">
        <v>231612.44</v>
      </c>
    </row>
    <row r="390" spans="1:29" ht="15.75" customHeight="1" x14ac:dyDescent="0.25">
      <c r="A390" s="427" t="s">
        <v>4678</v>
      </c>
      <c r="B390" s="309">
        <v>265</v>
      </c>
      <c r="C390" s="309"/>
      <c r="D390" s="303" t="s">
        <v>34</v>
      </c>
      <c r="E390" s="303" t="s">
        <v>3404</v>
      </c>
      <c r="F390" s="528">
        <v>45408</v>
      </c>
      <c r="G390" s="528"/>
      <c r="H39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0" s="522" t="str">
        <f>CONCATENATE(Таблица47[[#This Row],[№ заявки в 1С]],Таблица47[[#This Row],[Наименование            ]])</f>
        <v>265[89968] 2606-57, 6,0м, 6063 Т6, уп.Т5, БА</v>
      </c>
      <c r="J39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0" s="635"/>
      <c r="N390" s="1119">
        <v>190</v>
      </c>
      <c r="O390" s="1013" t="str">
        <f>IFERROR(Таблица47[[#This Row],[Количество хлыстов]]-Таблица47[[#This Row],[Обработано в 1С]]-Таблица47[[#This Row],[Корректировка]],"")</f>
        <v/>
      </c>
      <c r="P390" s="638" t="str">
        <f>IFERROR((((Таблица47[[#This Row],[Осталось сделать, хлыст]]*Таблица47[[#This Row],[длина]])*Таблица47[[#This Row],[Периметр]])/28),"")</f>
        <v/>
      </c>
      <c r="Q390" s="303"/>
      <c r="R390" s="991">
        <f>IFERROR(Таблица47[[#This Row],[Коли-
чество м.п.]]/Таблица47[[#This Row],[Количество хлыстов]],"")</f>
        <v>6</v>
      </c>
      <c r="S390" s="639" t="s">
        <v>5003</v>
      </c>
      <c r="T390" s="639">
        <v>1140</v>
      </c>
      <c r="U390" s="640">
        <v>190</v>
      </c>
      <c r="V390" s="639">
        <v>0.27439999999999998</v>
      </c>
      <c r="W390" s="639">
        <v>0.56100000000000005</v>
      </c>
      <c r="X390" s="639">
        <v>312.81599999999997</v>
      </c>
      <c r="Y390" s="639">
        <v>639.54</v>
      </c>
      <c r="Z390" s="639">
        <v>40.67</v>
      </c>
      <c r="AA390" s="639">
        <v>101.53</v>
      </c>
      <c r="AB390" s="639">
        <v>370</v>
      </c>
      <c r="AC390" s="641">
        <v>115741.92</v>
      </c>
    </row>
    <row r="391" spans="1:29" ht="30.75" customHeight="1" x14ac:dyDescent="0.25">
      <c r="A391" s="427" t="s">
        <v>4678</v>
      </c>
      <c r="B391" s="309">
        <v>265</v>
      </c>
      <c r="C391" s="309"/>
      <c r="D391" s="303" t="s">
        <v>34</v>
      </c>
      <c r="E391" s="303" t="s">
        <v>3404</v>
      </c>
      <c r="F391" s="528">
        <v>45408</v>
      </c>
      <c r="G391" s="528"/>
      <c r="H39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1" s="522" t="str">
        <f>CONCATENATE(Таблица47[[#This Row],[№ заявки в 1С]],Таблица47[[#This Row],[Наименование            ]])</f>
        <v>265[89761] 2606-58, 6,0м, сплав 6063 Т5 (под гибку), упак. Т5</v>
      </c>
      <c r="J39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1" s="635">
        <f>1+86</f>
        <v>87</v>
      </c>
      <c r="N391" s="1119">
        <v>280</v>
      </c>
      <c r="O391" s="1013" t="str">
        <f>IFERROR(Таблица47[[#This Row],[Количество хлыстов]]-Таблица47[[#This Row],[Обработано в 1С]]-Таблица47[[#This Row],[Корректировка]],"")</f>
        <v/>
      </c>
      <c r="P391" s="638" t="str">
        <f>IFERROR((((Таблица47[[#This Row],[Осталось сделать, хлыст]]*Таблица47[[#This Row],[длина]])*Таблица47[[#This Row],[Периметр]])/28),"")</f>
        <v/>
      </c>
      <c r="Q391" s="1081" t="s">
        <v>5795</v>
      </c>
      <c r="R391" s="991">
        <f>IFERROR(Таблица47[[#This Row],[Коли-
чество м.п.]]/Таблица47[[#This Row],[Количество хлыстов]],"")</f>
        <v>6</v>
      </c>
      <c r="S391" s="639" t="s">
        <v>5091</v>
      </c>
      <c r="T391" s="639">
        <v>2202</v>
      </c>
      <c r="U391" s="640">
        <v>367</v>
      </c>
      <c r="V391" s="639">
        <v>0.1883</v>
      </c>
      <c r="W391" s="639">
        <v>0.318</v>
      </c>
      <c r="X391" s="639">
        <v>414.63659999999999</v>
      </c>
      <c r="Y391" s="639">
        <v>700.23599999999999</v>
      </c>
      <c r="Z391" s="639">
        <v>53.9</v>
      </c>
      <c r="AA391" s="639">
        <v>69.67</v>
      </c>
      <c r="AB391" s="639">
        <v>370</v>
      </c>
      <c r="AC391" s="641">
        <v>153415.54</v>
      </c>
    </row>
    <row r="392" spans="1:29" ht="15.75" customHeight="1" x14ac:dyDescent="0.25">
      <c r="A392" s="427" t="s">
        <v>4678</v>
      </c>
      <c r="B392" s="309">
        <v>267</v>
      </c>
      <c r="C392" s="309" t="s">
        <v>4753</v>
      </c>
      <c r="D392" s="303" t="s">
        <v>13</v>
      </c>
      <c r="E392" s="303" t="s">
        <v>5093</v>
      </c>
      <c r="F392" s="528">
        <v>45408</v>
      </c>
      <c r="G392" s="528">
        <v>45453</v>
      </c>
      <c r="H39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2" s="522" t="str">
        <f>CONCATENATE(Таблица47[[#This Row],[№ заявки в 1С]],Таблица47[[#This Row],[Наименование            ]])</f>
        <v>267[89736] 209247 Д, 3,75м, сплав 6063</v>
      </c>
      <c r="J39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2" s="635"/>
      <c r="N392" s="635">
        <v>14</v>
      </c>
      <c r="O392" s="1013" t="str">
        <f>IFERROR(Таблица47[[#This Row],[Количество хлыстов]]-Таблица47[[#This Row],[Обработано в 1С]]-Таблица47[[#This Row],[Корректировка]],"")</f>
        <v/>
      </c>
      <c r="P392" s="638" t="str">
        <f>IFERROR((((Таблица47[[#This Row],[Осталось сделать, хлыст]]*Таблица47[[#This Row],[длина]])*Таблица47[[#This Row],[Периметр]])/28),"")</f>
        <v/>
      </c>
      <c r="Q392" s="303"/>
      <c r="R392" s="991">
        <f>IFERROR(Таблица47[[#This Row],[Коли-
чество м.п.]]/Таблица47[[#This Row],[Количество хлыстов]],"")</f>
        <v>3.75</v>
      </c>
      <c r="S392" s="639" t="s">
        <v>5092</v>
      </c>
      <c r="T392" s="639">
        <v>52.5</v>
      </c>
      <c r="U392" s="640">
        <v>14</v>
      </c>
      <c r="V392" s="639">
        <v>0.23039999999999999</v>
      </c>
      <c r="W392" s="639">
        <v>0.77900000000000003</v>
      </c>
      <c r="X392" s="639">
        <v>12.096</v>
      </c>
      <c r="Y392" s="639">
        <v>40.897500000000001</v>
      </c>
      <c r="Z392" s="639">
        <v>1.57</v>
      </c>
      <c r="AA392" s="639">
        <v>459.52</v>
      </c>
      <c r="AB392" s="639">
        <v>1994.46</v>
      </c>
      <c r="AC392" s="641">
        <v>24125</v>
      </c>
    </row>
    <row r="393" spans="1:29" ht="15.75" customHeight="1" x14ac:dyDescent="0.25">
      <c r="A393" s="427" t="s">
        <v>4678</v>
      </c>
      <c r="B393" s="309">
        <v>269</v>
      </c>
      <c r="C393" s="309" t="s">
        <v>4753</v>
      </c>
      <c r="D393" s="303" t="s">
        <v>4858</v>
      </c>
      <c r="E393" s="303" t="s">
        <v>2399</v>
      </c>
      <c r="F393" s="528">
        <v>45409</v>
      </c>
      <c r="G393" s="528"/>
      <c r="H39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3" s="522" t="str">
        <f>CONCATENATE(Таблица47[[#This Row],[№ заявки в 1С]],Таблица47[[#This Row],[Наименование            ]])</f>
        <v>269[89428] Корпус_КУДР.676621.015.01-02 (1358мм) (Д) сплав 6063</v>
      </c>
      <c r="J39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3" s="635"/>
      <c r="N393" s="1119">
        <v>500</v>
      </c>
      <c r="O393" s="1013" t="str">
        <f>IFERROR(Таблица47[[#This Row],[Количество хлыстов]]-Таблица47[[#This Row],[Обработано в 1С]]-Таблица47[[#This Row],[Корректировка]],"")</f>
        <v/>
      </c>
      <c r="P393" s="638" t="str">
        <f>IFERROR((((Таблица47[[#This Row],[Осталось сделать, хлыст]]*Таблица47[[#This Row],[длина]])*Таблица47[[#This Row],[Периметр]])/28),"")</f>
        <v/>
      </c>
      <c r="Q393" s="303"/>
      <c r="R393" s="991">
        <f>IFERROR(Таблица47[[#This Row],[Коли-
чество м.п.]]/Таблица47[[#This Row],[Количество хлыстов]],"")</f>
        <v>1.3580000000000001</v>
      </c>
      <c r="S393" s="639" t="s">
        <v>4866</v>
      </c>
      <c r="T393" s="639">
        <v>679</v>
      </c>
      <c r="U393" s="640">
        <v>500</v>
      </c>
      <c r="V393" s="639">
        <v>0.05</v>
      </c>
      <c r="W393" s="639">
        <v>0.11</v>
      </c>
      <c r="X393" s="639">
        <v>33.950000000000003</v>
      </c>
      <c r="Y393" s="639">
        <v>74.69</v>
      </c>
      <c r="Z393" s="639">
        <v>4.41</v>
      </c>
      <c r="AA393" s="639">
        <v>111</v>
      </c>
      <c r="AB393" s="639">
        <v>2220</v>
      </c>
      <c r="AC393" s="641">
        <v>75369</v>
      </c>
    </row>
    <row r="394" spans="1:29" ht="15.75" customHeight="1" x14ac:dyDescent="0.25">
      <c r="A394" s="427" t="s">
        <v>4678</v>
      </c>
      <c r="B394" s="1070">
        <v>272</v>
      </c>
      <c r="C394" s="1070"/>
      <c r="D394" s="200" t="s">
        <v>13</v>
      </c>
      <c r="E394" s="200" t="s">
        <v>1433</v>
      </c>
      <c r="F394" s="201"/>
      <c r="G394" s="201">
        <v>45434</v>
      </c>
      <c r="H39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4" s="522" t="str">
        <f>CONCATENATE(Таблица47[[#This Row],[№ заявки в 1С]],Таблица47[[#This Row],[Наименование            ]])</f>
        <v>272[76529] 1606-48, 6,0 м, сплав 6063 КР Т6</v>
      </c>
      <c r="J39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4" s="635"/>
      <c r="N394" s="1119">
        <v>82</v>
      </c>
      <c r="O394" s="1013" t="str">
        <f>IFERROR(Таблица47[[#This Row],[Количество хлыстов]]-Таблица47[[#This Row],[Обработано в 1С]]-Таблица47[[#This Row],[Корректировка]],"")</f>
        <v/>
      </c>
      <c r="P394" s="638" t="str">
        <f>IFERROR((((Таблица47[[#This Row],[Осталось сделать, хлыст]]*Таблица47[[#This Row],[длина]])*Таблица47[[#This Row],[Периметр]])/28),"")</f>
        <v/>
      </c>
      <c r="Q394" s="303"/>
      <c r="R394" s="991">
        <f>IFERROR(Таблица47[[#This Row],[Коли-
чество м.п.]]/Таблица47[[#This Row],[Количество хлыстов]],"")</f>
        <v>6</v>
      </c>
      <c r="S394" s="639" t="s">
        <v>1472</v>
      </c>
      <c r="T394" s="639">
        <v>492</v>
      </c>
      <c r="U394" s="640">
        <v>82</v>
      </c>
      <c r="V394" s="639">
        <v>0.41239999999999999</v>
      </c>
      <c r="W394" s="639">
        <v>1.1619999999999999</v>
      </c>
      <c r="X394" s="639">
        <v>202.9008</v>
      </c>
      <c r="Y394" s="639">
        <v>571.70399999999995</v>
      </c>
      <c r="Z394" s="639">
        <v>26.38</v>
      </c>
      <c r="AA394" s="639">
        <v>179.39</v>
      </c>
      <c r="AB394" s="639">
        <v>435</v>
      </c>
      <c r="AC394" s="641">
        <v>88261.85</v>
      </c>
    </row>
    <row r="395" spans="1:29" ht="15.75" customHeight="1" x14ac:dyDescent="0.25">
      <c r="A395" s="427" t="s">
        <v>4678</v>
      </c>
      <c r="B395" s="309">
        <v>273</v>
      </c>
      <c r="C395" s="309"/>
      <c r="D395" s="303" t="s">
        <v>13</v>
      </c>
      <c r="E395" s="303" t="s">
        <v>37</v>
      </c>
      <c r="F395" s="528">
        <v>45415</v>
      </c>
      <c r="G395" s="528">
        <v>45434</v>
      </c>
      <c r="H39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5" s="522" t="str">
        <f>CONCATENATE(Таблица47[[#This Row],[№ заявки в 1С]],Таблица47[[#This Row],[Наименование            ]])</f>
        <v>273[83501] 1706-99,  3,0м, 6063 Т 6</v>
      </c>
      <c r="J39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5" s="635"/>
      <c r="N395" s="1119">
        <v>3438</v>
      </c>
      <c r="O395" s="1013" t="str">
        <f>IFERROR(Таблица47[[#This Row],[Количество хлыстов]]-Таблица47[[#This Row],[Обработано в 1С]]-Таблица47[[#This Row],[Корректировка]],"")</f>
        <v/>
      </c>
      <c r="P395" s="638" t="str">
        <f>IFERROR((((Таблица47[[#This Row],[Осталось сделать, хлыст]]*Таблица47[[#This Row],[длина]])*Таблица47[[#This Row],[Периметр]])/28),"")</f>
        <v/>
      </c>
      <c r="Q395" s="303"/>
      <c r="R395" s="991">
        <f>IFERROR(Таблица47[[#This Row],[Коли-
чество м.п.]]/Таблица47[[#This Row],[Количество хлыстов]],"")</f>
        <v>3</v>
      </c>
      <c r="S395" s="639" t="s">
        <v>3833</v>
      </c>
      <c r="T395" s="639">
        <v>10314</v>
      </c>
      <c r="U395" s="640">
        <v>3438</v>
      </c>
      <c r="V395" s="639">
        <v>2.9100000000000001E-2</v>
      </c>
      <c r="W395" s="639">
        <v>4.8000000000000001E-2</v>
      </c>
      <c r="X395" s="639">
        <v>300.13740000000001</v>
      </c>
      <c r="Y395" s="639">
        <v>495.072</v>
      </c>
      <c r="Z395" s="639">
        <v>39.020000000000003</v>
      </c>
      <c r="AA395" s="639">
        <v>11.93</v>
      </c>
      <c r="AB395" s="639">
        <v>410</v>
      </c>
      <c r="AC395" s="641">
        <v>123056.33</v>
      </c>
    </row>
    <row r="396" spans="1:29" ht="15.75" customHeight="1" x14ac:dyDescent="0.25">
      <c r="A396" s="427" t="s">
        <v>4678</v>
      </c>
      <c r="B396" s="309">
        <v>274</v>
      </c>
      <c r="C396" s="309"/>
      <c r="D396" s="303" t="s">
        <v>13</v>
      </c>
      <c r="E396" s="303" t="s">
        <v>4986</v>
      </c>
      <c r="F396" s="528">
        <v>45415</v>
      </c>
      <c r="G396" s="528">
        <v>45434</v>
      </c>
      <c r="H39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6" s="522" t="str">
        <f>CONCATENATE(Таблица47[[#This Row],[№ заявки в 1С]],Таблица47[[#This Row],[Наименование            ]])</f>
        <v>274[89022] 2606-54 5,30м 6063 Т6, упак.Т5</v>
      </c>
      <c r="J39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6" s="635"/>
      <c r="N396" s="1119">
        <v>80</v>
      </c>
      <c r="O396" s="1013" t="str">
        <f>IFERROR(Таблица47[[#This Row],[Количество хлыстов]]-Таблица47[[#This Row],[Обработано в 1С]]-Таблица47[[#This Row],[Корректировка]],"")</f>
        <v/>
      </c>
      <c r="P396" s="638" t="str">
        <f>IFERROR((((Таблица47[[#This Row],[Осталось сделать, хлыст]]*Таблица47[[#This Row],[длина]])*Таблица47[[#This Row],[Периметр]])/28),"")</f>
        <v/>
      </c>
      <c r="Q396" s="303"/>
      <c r="R396" s="991">
        <f>IFERROR(Таблица47[[#This Row],[Коли-
чество м.п.]]/Таблица47[[#This Row],[Количество хлыстов]],"")</f>
        <v>5.3</v>
      </c>
      <c r="S396" s="639" t="s">
        <v>5097</v>
      </c>
      <c r="T396" s="639">
        <v>424</v>
      </c>
      <c r="U396" s="640">
        <v>80</v>
      </c>
      <c r="V396" s="639">
        <v>0.23899999999999999</v>
      </c>
      <c r="W396" s="639">
        <v>0.65400000000000003</v>
      </c>
      <c r="X396" s="639">
        <v>101.336</v>
      </c>
      <c r="Y396" s="639">
        <v>277.29599999999999</v>
      </c>
      <c r="Z396" s="639">
        <v>13.17</v>
      </c>
      <c r="AA396" s="639">
        <v>89.63</v>
      </c>
      <c r="AB396" s="639">
        <v>375</v>
      </c>
      <c r="AC396" s="641">
        <v>38001</v>
      </c>
    </row>
    <row r="397" spans="1:29" ht="15.75" customHeight="1" x14ac:dyDescent="0.25">
      <c r="A397" s="427" t="s">
        <v>4678</v>
      </c>
      <c r="B397" s="309">
        <v>274</v>
      </c>
      <c r="C397" s="309"/>
      <c r="D397" s="303" t="s">
        <v>13</v>
      </c>
      <c r="E397" s="303" t="s">
        <v>4986</v>
      </c>
      <c r="F397" s="528">
        <v>45415</v>
      </c>
      <c r="G397" s="528">
        <v>45434</v>
      </c>
      <c r="H39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7" s="522" t="str">
        <f>CONCATENATE(Таблица47[[#This Row],[№ заявки в 1С]],Таблица47[[#This Row],[Наименование            ]])</f>
        <v>274[90398] 2606-54 6,1м 6063 Т6, упак.Т5</v>
      </c>
      <c r="J39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7" s="635"/>
      <c r="N397" s="1119">
        <v>78</v>
      </c>
      <c r="O397" s="1013" t="str">
        <f>IFERROR(Таблица47[[#This Row],[Количество хлыстов]]-Таблица47[[#This Row],[Обработано в 1С]]-Таблица47[[#This Row],[Корректировка]],"")</f>
        <v/>
      </c>
      <c r="P397" s="638" t="str">
        <f>IFERROR((((Таблица47[[#This Row],[Осталось сделать, хлыст]]*Таблица47[[#This Row],[длина]])*Таблица47[[#This Row],[Периметр]])/28),"")</f>
        <v/>
      </c>
      <c r="Q397" s="303"/>
      <c r="R397" s="991">
        <f>IFERROR(Таблица47[[#This Row],[Коли-
чество м.п.]]/Таблица47[[#This Row],[Количество хлыстов]],"")</f>
        <v>6.1000000000000005</v>
      </c>
      <c r="S397" s="639" t="s">
        <v>5098</v>
      </c>
      <c r="T397" s="639">
        <v>475.8</v>
      </c>
      <c r="U397" s="640">
        <v>78</v>
      </c>
      <c r="V397" s="639">
        <v>0.23899999999999999</v>
      </c>
      <c r="W397" s="639">
        <v>0.65400000000000003</v>
      </c>
      <c r="X397" s="639">
        <v>113.7162</v>
      </c>
      <c r="Y397" s="639">
        <v>311.17320000000001</v>
      </c>
      <c r="Z397" s="639">
        <v>14.78</v>
      </c>
      <c r="AA397" s="639">
        <v>89.63</v>
      </c>
      <c r="AB397" s="639">
        <v>375</v>
      </c>
      <c r="AC397" s="641">
        <v>42645.95</v>
      </c>
    </row>
    <row r="398" spans="1:29" ht="15.75" customHeight="1" x14ac:dyDescent="0.25">
      <c r="A398" s="427" t="s">
        <v>4678</v>
      </c>
      <c r="B398" s="309">
        <v>275</v>
      </c>
      <c r="C398" s="309"/>
      <c r="D398" s="303" t="s">
        <v>13</v>
      </c>
      <c r="E398" s="303" t="s">
        <v>657</v>
      </c>
      <c r="F398" s="528">
        <v>45415</v>
      </c>
      <c r="G398" s="528">
        <v>45433</v>
      </c>
      <c r="H39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8" s="522" t="str">
        <f>CONCATENATE(Таблица47[[#This Row],[№ заявки в 1С]],Таблица47[[#This Row],[Наименование            ]])</f>
        <v>275[68773] 0906-71, 5,8 м, сплав 6063 КР Т1</v>
      </c>
      <c r="J39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8" s="635"/>
      <c r="N398" s="1119">
        <v>45</v>
      </c>
      <c r="O398" s="1013" t="str">
        <f>IFERROR(Таблица47[[#This Row],[Количество хлыстов]]-Таблица47[[#This Row],[Обработано в 1С]]-Таблица47[[#This Row],[Корректировка]],"")</f>
        <v/>
      </c>
      <c r="P398" s="638" t="str">
        <f>IFERROR((((Таблица47[[#This Row],[Осталось сделать, хлыст]]*Таблица47[[#This Row],[длина]])*Таблица47[[#This Row],[Периметр]])/28),"")</f>
        <v/>
      </c>
      <c r="Q398" s="303"/>
      <c r="R398" s="991">
        <f>IFERROR(Таблица47[[#This Row],[Коли-
чество м.п.]]/Таблица47[[#This Row],[Количество хлыстов]],"")</f>
        <v>5.8</v>
      </c>
      <c r="S398" s="639" t="s">
        <v>2963</v>
      </c>
      <c r="T398" s="639">
        <v>261</v>
      </c>
      <c r="U398" s="640">
        <v>45</v>
      </c>
      <c r="V398" s="639">
        <v>0.1724</v>
      </c>
      <c r="W398" s="639">
        <v>0.41499999999999998</v>
      </c>
      <c r="X398" s="639">
        <v>44.996400000000001</v>
      </c>
      <c r="Y398" s="639">
        <v>108.315</v>
      </c>
      <c r="Z398" s="639">
        <v>5.85</v>
      </c>
      <c r="AA398" s="639">
        <v>74.989999999999995</v>
      </c>
      <c r="AB398" s="639">
        <v>435</v>
      </c>
      <c r="AC398" s="641">
        <v>19572.39</v>
      </c>
    </row>
    <row r="399" spans="1:29" ht="15.75" customHeight="1" x14ac:dyDescent="0.25">
      <c r="A399" s="427" t="s">
        <v>4678</v>
      </c>
      <c r="B399" s="309">
        <v>276</v>
      </c>
      <c r="C399" s="309"/>
      <c r="D399" s="303" t="s">
        <v>13</v>
      </c>
      <c r="E399" s="303" t="s">
        <v>80</v>
      </c>
      <c r="F399" s="528">
        <v>45415</v>
      </c>
      <c r="G399" s="528">
        <v>45447</v>
      </c>
      <c r="H39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399" s="522" t="str">
        <f>CONCATENATE(Таблица47[[#This Row],[№ заявки в 1С]],Таблица47[[#This Row],[Наименование            ]])</f>
        <v>276[69346] 0906-20, 3,65 м, 6063 КР уп Т-5</v>
      </c>
      <c r="J39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39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39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399" s="635"/>
      <c r="N399" s="1119">
        <f>183+46</f>
        <v>229</v>
      </c>
      <c r="O399" s="1013" t="str">
        <f>IFERROR(Таблица47[[#This Row],[Количество хлыстов]]-Таблица47[[#This Row],[Обработано в 1С]]-Таблица47[[#This Row],[Корректировка]],"")</f>
        <v/>
      </c>
      <c r="P399" s="638" t="str">
        <f>IFERROR((((Таблица47[[#This Row],[Осталось сделать, хлыст]]*Таблица47[[#This Row],[длина]])*Таблица47[[#This Row],[Периметр]])/28),"")</f>
        <v/>
      </c>
      <c r="Q399" s="303"/>
      <c r="R399" s="991">
        <f>IFERROR(Таблица47[[#This Row],[Коли-
чество м.п.]]/Таблица47[[#This Row],[Количество хлыстов]],"")</f>
        <v>3.65</v>
      </c>
      <c r="S399" s="639" t="s">
        <v>5099</v>
      </c>
      <c r="T399" s="639">
        <v>835.85</v>
      </c>
      <c r="U399" s="640">
        <v>229</v>
      </c>
      <c r="V399" s="639">
        <v>0.51529999999999998</v>
      </c>
      <c r="W399" s="639">
        <v>1.3759999999999999</v>
      </c>
      <c r="X399" s="639">
        <v>430.71350000000001</v>
      </c>
      <c r="Y399" s="639">
        <v>1150.1296</v>
      </c>
      <c r="Z399" s="639">
        <v>55.99</v>
      </c>
      <c r="AA399" s="639">
        <v>240.65</v>
      </c>
      <c r="AB399" s="639">
        <v>467</v>
      </c>
      <c r="AC399" s="641">
        <v>201147.3</v>
      </c>
    </row>
    <row r="400" spans="1:29" ht="15.75" customHeight="1" x14ac:dyDescent="0.25">
      <c r="A400" s="427" t="s">
        <v>4678</v>
      </c>
      <c r="B400" s="309">
        <v>276</v>
      </c>
      <c r="C400" s="309"/>
      <c r="D400" s="303" t="s">
        <v>13</v>
      </c>
      <c r="E400" s="303" t="s">
        <v>80</v>
      </c>
      <c r="F400" s="528">
        <v>45415</v>
      </c>
      <c r="G400" s="528">
        <v>45447</v>
      </c>
      <c r="H4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0" s="522" t="str">
        <f>CONCATENATE(Таблица47[[#This Row],[№ заявки в 1С]],Таблица47[[#This Row],[Наименование            ]])</f>
        <v>276[35674] 0906-20, 3,2 м, сплав 6063 КР уп Т-5</v>
      </c>
      <c r="J40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0" s="635"/>
      <c r="N400" s="1119">
        <v>90</v>
      </c>
      <c r="O400" s="1013" t="str">
        <f>IFERROR(Таблица47[[#This Row],[Количество хлыстов]]-Таблица47[[#This Row],[Обработано в 1С]]-Таблица47[[#This Row],[Корректировка]],"")</f>
        <v/>
      </c>
      <c r="P400" s="638" t="str">
        <f>IFERROR((((Таблица47[[#This Row],[Осталось сделать, хлыст]]*Таблица47[[#This Row],[длина]])*Таблица47[[#This Row],[Периметр]])/28),"")</f>
        <v/>
      </c>
      <c r="Q400" s="303"/>
      <c r="R400" s="991">
        <f>IFERROR(Таблица47[[#This Row],[Коли-
чество м.п.]]/Таблица47[[#This Row],[Количество хлыстов]],"")</f>
        <v>3.2</v>
      </c>
      <c r="S400" s="639" t="s">
        <v>5100</v>
      </c>
      <c r="T400" s="639">
        <v>288</v>
      </c>
      <c r="U400" s="640">
        <v>90</v>
      </c>
      <c r="V400" s="639">
        <v>0.51529999999999998</v>
      </c>
      <c r="W400" s="639">
        <v>1.3759999999999999</v>
      </c>
      <c r="X400" s="639">
        <v>148.40639999999999</v>
      </c>
      <c r="Y400" s="639">
        <v>396.28800000000001</v>
      </c>
      <c r="Z400" s="639">
        <v>19.29</v>
      </c>
      <c r="AA400" s="639">
        <v>203.54</v>
      </c>
      <c r="AB400" s="639">
        <v>395</v>
      </c>
      <c r="AC400" s="641">
        <v>58620.53</v>
      </c>
    </row>
    <row r="401" spans="1:29" customFormat="1" ht="15.75" customHeight="1" x14ac:dyDescent="0.25">
      <c r="A401" s="949" t="s">
        <v>4678</v>
      </c>
      <c r="B401" s="954">
        <v>277</v>
      </c>
      <c r="C401" s="954"/>
      <c r="D401" s="575" t="s">
        <v>13</v>
      </c>
      <c r="E401" s="951" t="s">
        <v>3863</v>
      </c>
      <c r="F401" s="955">
        <v>45415</v>
      </c>
      <c r="G401" s="143"/>
      <c r="H401" s="142" t="s">
        <v>677</v>
      </c>
      <c r="I401" s="522" t="str">
        <f>CONCATENATE(Таблица47[[#This Row],[№ заявки в 1С]],Таблица47[[#This Row],[Наименование            ]])</f>
        <v>277[65831] А 21 (0272-61), Направляющая для раздвижных стекол, 5,0м,  6063 КР</v>
      </c>
      <c r="J401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1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1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1" s="522"/>
      <c r="N401" s="393"/>
      <c r="O401" s="1001" t="str">
        <f>IFERROR(Таблица47[[#This Row],[Количество хлыстов]]-Таблица47[[#This Row],[Обработано в 1С]]-Таблица47[[#This Row],[Корректировка]],"")</f>
        <v/>
      </c>
      <c r="P401" s="638" t="str">
        <f>IFERROR((((Таблица47[[#This Row],[Осталось сделать, хлыст]]*Таблица47[[#This Row],[длина]])*Таблица47[[#This Row],[Периметр]])/28),"")</f>
        <v/>
      </c>
      <c r="Q401" s="142"/>
      <c r="R401" s="280">
        <f>IFERROR(Таблица47[[#This Row],[Коли-
чество м.п.]]/Таблица47[[#This Row],[Количество хлыстов]],"")</f>
        <v>5</v>
      </c>
      <c r="S401" s="525" t="s">
        <v>4404</v>
      </c>
      <c r="T401" s="525">
        <v>1150</v>
      </c>
      <c r="U401" s="526">
        <v>230</v>
      </c>
      <c r="V401" s="525">
        <v>0.122</v>
      </c>
      <c r="W401" s="525">
        <v>0.17899999999999999</v>
      </c>
      <c r="X401" s="525">
        <v>140.30000000000001</v>
      </c>
      <c r="Y401" s="525">
        <v>205.85</v>
      </c>
      <c r="Z401" s="525">
        <v>18.239999999999998</v>
      </c>
      <c r="AA401" s="525">
        <v>48.8</v>
      </c>
      <c r="AB401" s="525">
        <v>400</v>
      </c>
      <c r="AC401" s="527">
        <v>56120</v>
      </c>
    </row>
    <row r="402" spans="1:29" customFormat="1" ht="15.75" customHeight="1" x14ac:dyDescent="0.25">
      <c r="A402" s="949" t="s">
        <v>4678</v>
      </c>
      <c r="B402" s="954">
        <v>277</v>
      </c>
      <c r="C402" s="954"/>
      <c r="D402" s="575" t="s">
        <v>13</v>
      </c>
      <c r="E402" s="951" t="s">
        <v>3863</v>
      </c>
      <c r="F402" s="955">
        <v>45415</v>
      </c>
      <c r="G402" s="143"/>
      <c r="H402" s="142" t="s">
        <v>677</v>
      </c>
      <c r="I402" s="522" t="str">
        <f>CONCATENATE(Таблица47[[#This Row],[№ заявки в 1С]],Таблица47[[#This Row],[Наименование            ]])</f>
        <v>277[41589] А 14 (0072-09) Прогон бесполочный, 5,0м, 6063 КР</v>
      </c>
      <c r="J402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2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2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2" s="522"/>
      <c r="N402" s="393">
        <v>96</v>
      </c>
      <c r="O402" s="1001" t="str">
        <f>IFERROR(Таблица47[[#This Row],[Количество хлыстов]]-Таблица47[[#This Row],[Обработано в 1С]]-Таблица47[[#This Row],[Корректировка]],"")</f>
        <v/>
      </c>
      <c r="P402" s="638" t="str">
        <f>IFERROR((((Таблица47[[#This Row],[Осталось сделать, хлыст]]*Таблица47[[#This Row],[длина]])*Таблица47[[#This Row],[Периметр]])/28),"")</f>
        <v/>
      </c>
      <c r="Q402" s="182"/>
      <c r="R402" s="280">
        <f>IFERROR(Таблица47[[#This Row],[Коли-
чество м.п.]]/Таблица47[[#This Row],[Количество хлыстов]],"")</f>
        <v>5</v>
      </c>
      <c r="S402" s="525" t="s">
        <v>117</v>
      </c>
      <c r="T402" s="525">
        <v>1145</v>
      </c>
      <c r="U402" s="526">
        <v>229</v>
      </c>
      <c r="V402" s="525">
        <v>0.1734</v>
      </c>
      <c r="W402" s="525">
        <v>0.35099999999999998</v>
      </c>
      <c r="X402" s="525">
        <v>198.54300000000001</v>
      </c>
      <c r="Y402" s="525">
        <v>401.89499999999998</v>
      </c>
      <c r="Z402" s="525">
        <v>25.81</v>
      </c>
      <c r="AA402" s="525">
        <v>75.430000000000007</v>
      </c>
      <c r="AB402" s="525">
        <v>435</v>
      </c>
      <c r="AC402" s="527">
        <v>86366.21</v>
      </c>
    </row>
    <row r="403" spans="1:29" customFormat="1" ht="15.75" customHeight="1" x14ac:dyDescent="0.25">
      <c r="A403" s="1146" t="s">
        <v>4678</v>
      </c>
      <c r="B403" s="1147">
        <v>277</v>
      </c>
      <c r="C403" s="1147"/>
      <c r="D403" s="1148" t="s">
        <v>13</v>
      </c>
      <c r="E403" s="1149" t="s">
        <v>3863</v>
      </c>
      <c r="F403" s="1150">
        <v>45415</v>
      </c>
      <c r="G403" s="143"/>
      <c r="H403" s="142" t="s">
        <v>677</v>
      </c>
      <c r="I403" s="522" t="str">
        <f>CONCATENATE(Таблица47[[#This Row],[№ заявки в 1С]],Таблица47[[#This Row],[Наименование            ]])</f>
        <v>277[42543] А 31 (0072-06) Прогон бесполочный однопазовый, 5,0м, 6063 КР</v>
      </c>
      <c r="J403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3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3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3" s="522"/>
      <c r="N403" s="393">
        <v>80</v>
      </c>
      <c r="O403" s="1001" t="str">
        <f>IFERROR(Таблица47[[#This Row],[Количество хлыстов]]-Таблица47[[#This Row],[Обработано в 1С]]-Таблица47[[#This Row],[Корректировка]],"")</f>
        <v/>
      </c>
      <c r="P403" s="638" t="str">
        <f>IFERROR((((Таблица47[[#This Row],[Осталось сделать, хлыст]]*Таблица47[[#This Row],[длина]])*Таблица47[[#This Row],[Периметр]])/28),"")</f>
        <v/>
      </c>
      <c r="Q403" s="142" t="s">
        <v>4937</v>
      </c>
      <c r="R403" s="280">
        <f>IFERROR(Таблица47[[#This Row],[Коли-
чество м.п.]]/Таблица47[[#This Row],[Количество хлыстов]],"")</f>
        <v>5</v>
      </c>
      <c r="S403" s="525" t="s">
        <v>299</v>
      </c>
      <c r="T403" s="525">
        <v>800</v>
      </c>
      <c r="U403" s="526">
        <v>160</v>
      </c>
      <c r="V403" s="525">
        <v>0.1381</v>
      </c>
      <c r="W403" s="525">
        <v>0.35199999999999998</v>
      </c>
      <c r="X403" s="525">
        <v>110.48</v>
      </c>
      <c r="Y403" s="525">
        <v>281.60000000000002</v>
      </c>
      <c r="Z403" s="525">
        <v>14.36</v>
      </c>
      <c r="AA403" s="525">
        <v>60.07</v>
      </c>
      <c r="AB403" s="525">
        <v>435</v>
      </c>
      <c r="AC403" s="527">
        <v>48058.8</v>
      </c>
    </row>
    <row r="404" spans="1:29" ht="15.75" customHeight="1" x14ac:dyDescent="0.25">
      <c r="A404" s="427" t="s">
        <v>4678</v>
      </c>
      <c r="B404" s="309">
        <v>278</v>
      </c>
      <c r="C404" s="309"/>
      <c r="D404" s="303" t="s">
        <v>34</v>
      </c>
      <c r="E404" s="303" t="s">
        <v>5082</v>
      </c>
      <c r="F404" s="528">
        <v>45418</v>
      </c>
      <c r="G404" s="528"/>
      <c r="H40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4" s="522" t="str">
        <f>CONCATENATE(Таблица47[[#This Row],[№ заявки в 1С]],Таблица47[[#This Row],[Наименование            ]])</f>
        <v>278[33879] 0906-63, 6,0м, 6063КР, БА</v>
      </c>
      <c r="J40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4" s="635"/>
      <c r="N404" s="1119">
        <v>110</v>
      </c>
      <c r="O404" s="1013" t="str">
        <f>IFERROR(Таблица47[[#This Row],[Количество хлыстов]]-Таблица47[[#This Row],[Обработано в 1С]]-Таблица47[[#This Row],[Корректировка]],"")</f>
        <v/>
      </c>
      <c r="P404" s="638" t="str">
        <f>IFERROR((((Таблица47[[#This Row],[Осталось сделать, хлыст]]*Таблица47[[#This Row],[длина]])*Таблица47[[#This Row],[Периметр]])/28),"")</f>
        <v/>
      </c>
      <c r="Q404" s="303"/>
      <c r="R404" s="991">
        <f>IFERROR(Таблица47[[#This Row],[Коли-
чество м.п.]]/Таблица47[[#This Row],[Количество хлыстов]],"")</f>
        <v>6</v>
      </c>
      <c r="S404" s="639" t="s">
        <v>2202</v>
      </c>
      <c r="T404" s="639">
        <v>660</v>
      </c>
      <c r="U404" s="640">
        <v>110</v>
      </c>
      <c r="V404" s="639">
        <v>0.28760000000000002</v>
      </c>
      <c r="W404" s="639">
        <v>0.76700000000000002</v>
      </c>
      <c r="X404" s="639">
        <v>189.816</v>
      </c>
      <c r="Y404" s="639">
        <v>506.22</v>
      </c>
      <c r="Z404" s="639">
        <v>24.68</v>
      </c>
      <c r="AA404" s="639">
        <v>125.11</v>
      </c>
      <c r="AB404" s="639">
        <v>435</v>
      </c>
      <c r="AC404" s="641">
        <v>82569.960000000006</v>
      </c>
    </row>
    <row r="405" spans="1:29" ht="57" customHeight="1" x14ac:dyDescent="0.25">
      <c r="A405" s="427" t="s">
        <v>4678</v>
      </c>
      <c r="B405" s="309">
        <v>279</v>
      </c>
      <c r="C405" s="309"/>
      <c r="D405" s="303" t="s">
        <v>34</v>
      </c>
      <c r="E405" s="303" t="s">
        <v>328</v>
      </c>
      <c r="F405" s="528">
        <v>45418</v>
      </c>
      <c r="G405" s="528"/>
      <c r="H40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5" s="522" t="str">
        <f>CONCATENATE(Таблица47[[#This Row],[№ заявки в 1С]],Таблица47[[#This Row],[Наименование            ]])</f>
        <v>279[70484] 1506-77 (АА-2050-85), 6,0м, 6063 Т6, упаковка Т-5, без покрытия</v>
      </c>
      <c r="J40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5" s="635">
        <v>15</v>
      </c>
      <c r="N405" s="1119">
        <v>226</v>
      </c>
      <c r="O405" s="1013" t="str">
        <f>IFERROR(Таблица47[[#This Row],[Количество хлыстов]]-Таблица47[[#This Row],[Обработано в 1С]]-Таблица47[[#This Row],[Корректировка]],"")</f>
        <v/>
      </c>
      <c r="P405" s="638" t="str">
        <f>IFERROR((((Таблица47[[#This Row],[Осталось сделать, хлыст]]*Таблица47[[#This Row],[длина]])*Таблица47[[#This Row],[Периметр]])/28),"")</f>
        <v/>
      </c>
      <c r="Q405" s="1125" t="s">
        <v>5310</v>
      </c>
      <c r="R405" s="991">
        <f>IFERROR(Таблица47[[#This Row],[Коли-
чество м.п.]]/Таблица47[[#This Row],[Количество хлыстов]],"")</f>
        <v>6</v>
      </c>
      <c r="S405" s="639" t="s">
        <v>4813</v>
      </c>
      <c r="T405" s="639">
        <v>1446</v>
      </c>
      <c r="U405" s="640">
        <v>241</v>
      </c>
      <c r="V405" s="639">
        <v>0.30919999999999997</v>
      </c>
      <c r="W405" s="639">
        <v>1.101</v>
      </c>
      <c r="X405" s="639">
        <v>447.10320000000002</v>
      </c>
      <c r="Y405" s="639">
        <v>1592.046</v>
      </c>
      <c r="Z405" s="639">
        <v>58.12</v>
      </c>
      <c r="AA405" s="639">
        <v>134.5</v>
      </c>
      <c r="AB405" s="639">
        <v>435</v>
      </c>
      <c r="AC405" s="641">
        <v>194489.89</v>
      </c>
    </row>
    <row r="406" spans="1:29" ht="15.75" customHeight="1" x14ac:dyDescent="0.25">
      <c r="A406" s="427" t="s">
        <v>4678</v>
      </c>
      <c r="B406" s="309">
        <v>280</v>
      </c>
      <c r="C406" s="309"/>
      <c r="D406" s="303" t="s">
        <v>34</v>
      </c>
      <c r="E406" s="303" t="s">
        <v>3404</v>
      </c>
      <c r="F406" s="528">
        <v>45418</v>
      </c>
      <c r="G406" s="528"/>
      <c r="H40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6" s="522" t="str">
        <f>CONCATENATE(Таблица47[[#This Row],[№ заявки в 1С]],Таблица47[[#This Row],[Наименование            ]])</f>
        <v>280[89435] 2606-56, 6,0м, 6063 Т6, уп.Т5, БА</v>
      </c>
      <c r="J40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6" s="635"/>
      <c r="N406" s="1119">
        <v>234</v>
      </c>
      <c r="O406" s="1013" t="str">
        <f>IFERROR(Таблица47[[#This Row],[Количество хлыстов]]-Таблица47[[#This Row],[Обработано в 1С]]-Таблица47[[#This Row],[Корректировка]],"")</f>
        <v/>
      </c>
      <c r="P406" s="638" t="str">
        <f>IFERROR((((Таблица47[[#This Row],[Осталось сделать, хлыст]]*Таблица47[[#This Row],[длина]])*Таблица47[[#This Row],[Периметр]])/28),"")</f>
        <v/>
      </c>
      <c r="Q406" s="303"/>
      <c r="R406" s="991">
        <f>IFERROR(Таблица47[[#This Row],[Коли-
чество м.п.]]/Таблица47[[#This Row],[Количество хлыстов]],"")</f>
        <v>6</v>
      </c>
      <c r="S406" s="639" t="s">
        <v>4998</v>
      </c>
      <c r="T406" s="639">
        <v>1404</v>
      </c>
      <c r="U406" s="640">
        <v>234</v>
      </c>
      <c r="V406" s="639">
        <v>0.3075</v>
      </c>
      <c r="W406" s="639">
        <v>0.85</v>
      </c>
      <c r="X406" s="639">
        <v>431.73</v>
      </c>
      <c r="Y406" s="639">
        <v>1193.4000000000001</v>
      </c>
      <c r="Z406" s="639">
        <v>56.12</v>
      </c>
      <c r="AA406" s="639">
        <v>113.78</v>
      </c>
      <c r="AB406" s="639">
        <v>370</v>
      </c>
      <c r="AC406" s="641">
        <v>159740.1</v>
      </c>
    </row>
    <row r="407" spans="1:29" ht="15.75" customHeight="1" x14ac:dyDescent="0.25">
      <c r="A407" s="427" t="s">
        <v>4678</v>
      </c>
      <c r="B407" s="309" t="s">
        <v>5102</v>
      </c>
      <c r="C407" s="309"/>
      <c r="D407" s="303" t="s">
        <v>34</v>
      </c>
      <c r="E407" s="303" t="s">
        <v>16</v>
      </c>
      <c r="F407" s="528">
        <v>45418</v>
      </c>
      <c r="G407" s="528"/>
      <c r="H40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7" s="522" t="str">
        <f>CONCATENATE(Таблица47[[#This Row],[№ заявки в 1С]],Таблица47[[#This Row],[Наименование            ]])</f>
        <v>OPT000484[13620] 0106-290 (6158), 6,0м, 6063 Т1, тип 1, упаковка Т-5, БА</v>
      </c>
      <c r="J40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7" s="635"/>
      <c r="N407" s="1119">
        <v>103</v>
      </c>
      <c r="O407" s="1013" t="str">
        <f>IFERROR(Таблица47[[#This Row],[Количество хлыстов]]-Таблица47[[#This Row],[Обработано в 1С]]-Таблица47[[#This Row],[Корректировка]],"")</f>
        <v/>
      </c>
      <c r="P407" s="638" t="str">
        <f>IFERROR((((Таблица47[[#This Row],[Осталось сделать, хлыст]]*Таблица47[[#This Row],[длина]])*Таблица47[[#This Row],[Периметр]])/28),"")</f>
        <v/>
      </c>
      <c r="Q407" s="303"/>
      <c r="R407" s="991">
        <f>IFERROR(Таблица47[[#This Row],[Коли-
чество м.п.]]/Таблица47[[#This Row],[Количество хлыстов]],"")</f>
        <v>6</v>
      </c>
      <c r="S407" s="639" t="s">
        <v>5693</v>
      </c>
      <c r="T407" s="639">
        <v>618</v>
      </c>
      <c r="U407" s="640">
        <v>103</v>
      </c>
      <c r="V407" s="639">
        <v>0.29970000000000002</v>
      </c>
      <c r="W407" s="639">
        <v>1.6739999999999999</v>
      </c>
      <c r="X407" s="639">
        <v>185.21459999999999</v>
      </c>
      <c r="Y407" s="639">
        <v>1034.5319999999999</v>
      </c>
      <c r="Z407" s="639">
        <v>24.08</v>
      </c>
      <c r="AA407" s="639">
        <v>130.37</v>
      </c>
      <c r="AB407" s="639">
        <v>435</v>
      </c>
      <c r="AC407" s="641">
        <v>80568.350000000006</v>
      </c>
    </row>
    <row r="408" spans="1:29" ht="15.75" customHeight="1" x14ac:dyDescent="0.25">
      <c r="A408" s="427" t="s">
        <v>4678</v>
      </c>
      <c r="B408" s="309">
        <v>281</v>
      </c>
      <c r="C408" s="309"/>
      <c r="D408" s="303" t="s">
        <v>34</v>
      </c>
      <c r="E408" s="303" t="s">
        <v>328</v>
      </c>
      <c r="F408" s="528">
        <v>45419</v>
      </c>
      <c r="G408" s="528"/>
      <c r="H40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8" s="522" t="str">
        <f>CONCATENATE(Таблица47[[#This Row],[№ заявки в 1С]],Таблица47[[#This Row],[Наименование            ]])</f>
        <v>281[70484] 1506-77 (АА-2050-85), 6,0м, 6063 Т6, упаковка Т-5, без покрытия</v>
      </c>
      <c r="J40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8" s="635"/>
      <c r="N408" s="1119">
        <v>9</v>
      </c>
      <c r="O408" s="1013" t="str">
        <f>IFERROR(Таблица47[[#This Row],[Количество хлыстов]]-Таблица47[[#This Row],[Обработано в 1С]]-Таблица47[[#This Row],[Корректировка]],"")</f>
        <v/>
      </c>
      <c r="P408" s="638" t="str">
        <f>IFERROR((((Таблица47[[#This Row],[Осталось сделать, хлыст]]*Таблица47[[#This Row],[длина]])*Таблица47[[#This Row],[Периметр]])/28),"")</f>
        <v/>
      </c>
      <c r="Q408" s="303" t="s">
        <v>5104</v>
      </c>
      <c r="R408" s="991">
        <f>IFERROR(Таблица47[[#This Row],[Коли-
чество м.п.]]/Таблица47[[#This Row],[Количество хлыстов]],"")</f>
        <v>6</v>
      </c>
      <c r="S408" s="639" t="s">
        <v>4813</v>
      </c>
      <c r="T408" s="639">
        <v>54</v>
      </c>
      <c r="U408" s="640">
        <v>9</v>
      </c>
      <c r="V408" s="639">
        <v>0.30919999999999997</v>
      </c>
      <c r="W408" s="639">
        <v>1.101</v>
      </c>
      <c r="X408" s="639">
        <v>16.6968</v>
      </c>
      <c r="Y408" s="639">
        <v>59.454000000000001</v>
      </c>
      <c r="Z408" s="639">
        <v>2.17</v>
      </c>
      <c r="AA408" s="639">
        <v>176.24</v>
      </c>
      <c r="AB408" s="639">
        <v>570</v>
      </c>
      <c r="AC408" s="641">
        <v>9516.9599999999991</v>
      </c>
    </row>
    <row r="409" spans="1:29" ht="15.75" customHeight="1" x14ac:dyDescent="0.25">
      <c r="A409" s="427" t="s">
        <v>4678</v>
      </c>
      <c r="B409" s="1070">
        <v>283</v>
      </c>
      <c r="C409" s="1070" t="s">
        <v>4753</v>
      </c>
      <c r="D409" s="200" t="s">
        <v>13</v>
      </c>
      <c r="E409" s="200" t="s">
        <v>43</v>
      </c>
      <c r="F409" s="201">
        <v>45425</v>
      </c>
      <c r="G409" s="201">
        <v>45447</v>
      </c>
      <c r="H40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09" s="522" t="str">
        <f>CONCATENATE(Таблица47[[#This Row],[№ заявки в 1С]],Таблица47[[#This Row],[Наименование            ]])</f>
        <v>283[90660] Т23 (Д) 6м, АД31</v>
      </c>
      <c r="J40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0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0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09" s="635"/>
      <c r="N409" s="1119">
        <v>3</v>
      </c>
      <c r="O409" s="1013" t="str">
        <f>IFERROR(Таблица47[[#This Row],[Количество хлыстов]]-Таблица47[[#This Row],[Обработано в 1С]]-Таблица47[[#This Row],[Корректировка]],"")</f>
        <v/>
      </c>
      <c r="P409" s="638" t="str">
        <f>IFERROR((((Таблица47[[#This Row],[Осталось сделать, хлыст]]*Таблица47[[#This Row],[длина]])*Таблица47[[#This Row],[Периметр]])/28),"")</f>
        <v/>
      </c>
      <c r="Q409" s="303"/>
      <c r="R409" s="991">
        <f>IFERROR(Таблица47[[#This Row],[Коли-
чество м.п.]]/Таблица47[[#This Row],[Количество хлыстов]],"")</f>
        <v>6</v>
      </c>
      <c r="S409" s="639" t="s">
        <v>5451</v>
      </c>
      <c r="T409" s="639">
        <v>18</v>
      </c>
      <c r="U409" s="640">
        <v>3</v>
      </c>
      <c r="V409" s="639">
        <v>0.23799999999999999</v>
      </c>
      <c r="W409" s="639">
        <v>0.86599999999999999</v>
      </c>
      <c r="X409" s="639">
        <v>4.2839999999999998</v>
      </c>
      <c r="Y409" s="639">
        <v>15.587999999999999</v>
      </c>
      <c r="Z409" s="639">
        <v>0.56000000000000005</v>
      </c>
      <c r="AA409" s="639">
        <v>791</v>
      </c>
      <c r="AB409" s="639">
        <v>3323.53</v>
      </c>
      <c r="AC409" s="641">
        <v>14238</v>
      </c>
    </row>
    <row r="410" spans="1:29" ht="15.75" customHeight="1" x14ac:dyDescent="0.25">
      <c r="A410" s="427" t="s">
        <v>4678</v>
      </c>
      <c r="B410" s="1070">
        <v>283</v>
      </c>
      <c r="C410" s="1070" t="s">
        <v>4753</v>
      </c>
      <c r="D410" s="200" t="s">
        <v>13</v>
      </c>
      <c r="E410" s="200" t="s">
        <v>43</v>
      </c>
      <c r="F410" s="201">
        <v>45425</v>
      </c>
      <c r="G410" s="201">
        <v>45447</v>
      </c>
      <c r="H41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0" s="522" t="str">
        <f>CONCATENATE(Таблица47[[#This Row],[№ заявки в 1С]],Таблица47[[#This Row],[Наименование            ]])</f>
        <v>283[90661] Т165 (Д) 6м, АД31</v>
      </c>
      <c r="J41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0" s="635"/>
      <c r="N410" s="1119">
        <v>1</v>
      </c>
      <c r="O410" s="1013" t="str">
        <f>IFERROR(Таблица47[[#This Row],[Количество хлыстов]]-Таблица47[[#This Row],[Обработано в 1С]]-Таблица47[[#This Row],[Корректировка]],"")</f>
        <v/>
      </c>
      <c r="P410" s="638" t="str">
        <f>IFERROR((((Таблица47[[#This Row],[Осталось сделать, хлыст]]*Таблица47[[#This Row],[длина]])*Таблица47[[#This Row],[Периметр]])/28),"")</f>
        <v/>
      </c>
      <c r="Q410" s="303"/>
      <c r="R410" s="991">
        <f>IFERROR(Таблица47[[#This Row],[Коли-
чество м.п.]]/Таблица47[[#This Row],[Количество хлыстов]],"")</f>
        <v>6</v>
      </c>
      <c r="S410" s="639" t="s">
        <v>5452</v>
      </c>
      <c r="T410" s="639">
        <v>6</v>
      </c>
      <c r="U410" s="640">
        <v>1</v>
      </c>
      <c r="V410" s="639">
        <v>0.23699999999999999</v>
      </c>
      <c r="W410" s="639">
        <v>0.67500000000000004</v>
      </c>
      <c r="X410" s="639">
        <v>1.4219999999999999</v>
      </c>
      <c r="Y410" s="639">
        <v>4.05</v>
      </c>
      <c r="Z410" s="639">
        <v>0.18</v>
      </c>
      <c r="AA410" s="639">
        <v>950</v>
      </c>
      <c r="AB410" s="639">
        <v>4008.44</v>
      </c>
      <c r="AC410" s="641">
        <v>5700</v>
      </c>
    </row>
    <row r="411" spans="1:29" ht="15.75" customHeight="1" x14ac:dyDescent="0.25">
      <c r="A411" s="427" t="s">
        <v>4678</v>
      </c>
      <c r="B411" s="1070">
        <v>283</v>
      </c>
      <c r="C411" s="1070" t="s">
        <v>4753</v>
      </c>
      <c r="D411" s="200" t="s">
        <v>13</v>
      </c>
      <c r="E411" s="200" t="s">
        <v>43</v>
      </c>
      <c r="F411" s="201">
        <v>45425</v>
      </c>
      <c r="G411" s="201">
        <v>45447</v>
      </c>
      <c r="H41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1" s="522" t="str">
        <f>CONCATENATE(Таблица47[[#This Row],[№ заявки в 1С]],Таблица47[[#This Row],[Наименование            ]])</f>
        <v>283[91032] Т149 (Д) 6м АД31</v>
      </c>
      <c r="J41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1" s="635"/>
      <c r="N411" s="1119">
        <v>1</v>
      </c>
      <c r="O411" s="1013" t="str">
        <f>IFERROR(Таблица47[[#This Row],[Количество хлыстов]]-Таблица47[[#This Row],[Обработано в 1С]]-Таблица47[[#This Row],[Корректировка]],"")</f>
        <v/>
      </c>
      <c r="P411" s="638" t="str">
        <f>IFERROR((((Таблица47[[#This Row],[Осталось сделать, хлыст]]*Таблица47[[#This Row],[длина]])*Таблица47[[#This Row],[Периметр]])/28),"")</f>
        <v/>
      </c>
      <c r="Q411" s="303"/>
      <c r="R411" s="991">
        <f>IFERROR(Таблица47[[#This Row],[Коли-
чество м.п.]]/Таблица47[[#This Row],[Количество хлыстов]],"")</f>
        <v>6</v>
      </c>
      <c r="S411" s="639" t="s">
        <v>5146</v>
      </c>
      <c r="T411" s="639">
        <v>6</v>
      </c>
      <c r="U411" s="640">
        <v>1</v>
      </c>
      <c r="V411" s="639">
        <v>0.26500000000000001</v>
      </c>
      <c r="W411" s="639">
        <v>0.91300000000000003</v>
      </c>
      <c r="X411" s="639">
        <v>1.59</v>
      </c>
      <c r="Y411" s="639">
        <v>5.4779999999999998</v>
      </c>
      <c r="Z411" s="639">
        <v>0.21</v>
      </c>
      <c r="AA411" s="639">
        <v>483.33</v>
      </c>
      <c r="AB411" s="639">
        <v>1823.9</v>
      </c>
      <c r="AC411" s="641">
        <v>2900</v>
      </c>
    </row>
    <row r="412" spans="1:29" s="1021" customFormat="1" ht="15.75" customHeight="1" x14ac:dyDescent="0.25">
      <c r="A412" s="1106" t="s">
        <v>4978</v>
      </c>
      <c r="B412" s="1067">
        <v>285</v>
      </c>
      <c r="C412" s="1067"/>
      <c r="D412" s="1068" t="s">
        <v>13</v>
      </c>
      <c r="E412" s="1068" t="s">
        <v>4725</v>
      </c>
      <c r="F412" s="1069">
        <v>45426</v>
      </c>
      <c r="G412" s="1069"/>
      <c r="H41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2" s="620" t="str">
        <f>CONCATENATE(Таблица47[[#This Row],[№ заявки в 1С]],Таблица47[[#This Row],[Наименование            ]])</f>
        <v>285[866] автоуголок 150*55*3мм (0106-153 ) 6,0м АД31 Т1 уп. Т5</v>
      </c>
      <c r="J41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2" s="1082">
        <v>1</v>
      </c>
      <c r="N412" s="1120">
        <v>151</v>
      </c>
      <c r="O412" s="1020" t="str">
        <f>IFERROR(Таблица47[[#This Row],[Количество хлыстов]]-Таблица47[[#This Row],[Обработано в 1С]]-Таблица47[[#This Row],[Корректировка]],"")</f>
        <v/>
      </c>
      <c r="P412" s="638" t="str">
        <f>IFERROR((((Таблица47[[#This Row],[Осталось сделать, хлыст]]*Таблица47[[#This Row],[длина]])*Таблица47[[#This Row],[Периметр]])/28),"")</f>
        <v/>
      </c>
      <c r="Q412" s="1068" t="s">
        <v>4937</v>
      </c>
      <c r="R412" s="1089">
        <f>IFERROR(Таблица47[[#This Row],[Коли-
чество м.п.]]/Таблица47[[#This Row],[Количество хлыстов]],"")</f>
        <v>6</v>
      </c>
      <c r="S412" s="1083" t="s">
        <v>4834</v>
      </c>
      <c r="T412" s="1083">
        <v>912</v>
      </c>
      <c r="U412" s="1084">
        <v>152</v>
      </c>
      <c r="V412" s="1083">
        <v>0.42199999999999999</v>
      </c>
      <c r="W412" s="1083">
        <v>1.389</v>
      </c>
      <c r="X412" s="1083">
        <v>384.86399999999998</v>
      </c>
      <c r="Y412" s="1083">
        <v>1266.768</v>
      </c>
      <c r="Z412" s="1083">
        <v>50.03</v>
      </c>
      <c r="AA412" s="1083">
        <v>99.17</v>
      </c>
      <c r="AB412" s="1083">
        <v>235</v>
      </c>
      <c r="AC412" s="1085">
        <v>90443.04</v>
      </c>
    </row>
    <row r="413" spans="1:29" ht="15.75" customHeight="1" x14ac:dyDescent="0.25">
      <c r="A413" s="427" t="s">
        <v>4678</v>
      </c>
      <c r="B413" s="309">
        <v>286</v>
      </c>
      <c r="C413" s="309"/>
      <c r="D413" s="303" t="s">
        <v>34</v>
      </c>
      <c r="E413" s="303" t="s">
        <v>3404</v>
      </c>
      <c r="F413" s="528">
        <v>45427</v>
      </c>
      <c r="G413" s="528"/>
      <c r="H41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3" s="522" t="str">
        <f>CONCATENATE(Таблица47[[#This Row],[№ заявки в 1С]],Таблица47[[#This Row],[Наименование            ]])</f>
        <v>286[81579] 1706-69, 6,0м, 6063 Т6, упаковка Т-5, БА</v>
      </c>
      <c r="J41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3" s="635"/>
      <c r="N413" s="1119">
        <v>506</v>
      </c>
      <c r="O413" s="1013" t="str">
        <f>IFERROR(Таблица47[[#This Row],[Количество хлыстов]]-Таблица47[[#This Row],[Обработано в 1С]]-Таблица47[[#This Row],[Корректировка]],"")</f>
        <v/>
      </c>
      <c r="P413" s="638" t="str">
        <f>IFERROR((((Таблица47[[#This Row],[Осталось сделать, хлыст]]*Таблица47[[#This Row],[длина]])*Таблица47[[#This Row],[Периметр]])/28),"")</f>
        <v/>
      </c>
      <c r="Q413" s="303"/>
      <c r="R413" s="991">
        <f>IFERROR(Таблица47[[#This Row],[Коли-
чество м.п.]]/Таблица47[[#This Row],[Количество хлыстов]],"")</f>
        <v>6</v>
      </c>
      <c r="S413" s="639" t="s">
        <v>4994</v>
      </c>
      <c r="T413" s="639">
        <v>3036</v>
      </c>
      <c r="U413" s="640">
        <v>506</v>
      </c>
      <c r="V413" s="639">
        <v>0.21959999999999999</v>
      </c>
      <c r="W413" s="639">
        <v>0.35</v>
      </c>
      <c r="X413" s="639">
        <v>666.7056</v>
      </c>
      <c r="Y413" s="639">
        <v>1062.5999999999999</v>
      </c>
      <c r="Z413" s="639">
        <v>86.67</v>
      </c>
      <c r="AA413" s="639">
        <v>81.25</v>
      </c>
      <c r="AB413" s="639">
        <v>370</v>
      </c>
      <c r="AC413" s="641">
        <v>246681.07</v>
      </c>
    </row>
    <row r="414" spans="1:29" ht="15.75" customHeight="1" x14ac:dyDescent="0.25">
      <c r="A414" s="427" t="s">
        <v>4678</v>
      </c>
      <c r="B414" s="309">
        <v>286</v>
      </c>
      <c r="C414" s="309"/>
      <c r="D414" s="303" t="s">
        <v>34</v>
      </c>
      <c r="E414" s="303" t="s">
        <v>3404</v>
      </c>
      <c r="F414" s="528">
        <v>45427</v>
      </c>
      <c r="G414" s="528"/>
      <c r="H41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4" s="522" t="str">
        <f>CONCATENATE(Таблица47[[#This Row],[№ заявки в 1С]],Таблица47[[#This Row],[Наименование            ]])</f>
        <v>286[89968] 2606-57, 6,0м, 6063 Т6, уп.Т5, БА</v>
      </c>
      <c r="J41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4" s="635">
        <v>1</v>
      </c>
      <c r="N414" s="1119">
        <v>283</v>
      </c>
      <c r="O414" s="1013" t="str">
        <f>IFERROR(Таблица47[[#This Row],[Количество хлыстов]]-Таблица47[[#This Row],[Обработано в 1С]]-Таблица47[[#This Row],[Корректировка]],"")</f>
        <v/>
      </c>
      <c r="P414" s="638" t="str">
        <f>IFERROR((((Таблица47[[#This Row],[Осталось сделать, хлыст]]*Таблица47[[#This Row],[длина]])*Таблица47[[#This Row],[Периметр]])/28),"")</f>
        <v/>
      </c>
      <c r="Q414" s="303" t="s">
        <v>1707</v>
      </c>
      <c r="R414" s="991">
        <f>IFERROR(Таблица47[[#This Row],[Коли-
чество м.п.]]/Таблица47[[#This Row],[Количество хлыстов]],"")</f>
        <v>6</v>
      </c>
      <c r="S414" s="639" t="s">
        <v>5003</v>
      </c>
      <c r="T414" s="639">
        <v>1704</v>
      </c>
      <c r="U414" s="640">
        <v>284</v>
      </c>
      <c r="V414" s="639">
        <v>0.27439999999999998</v>
      </c>
      <c r="W414" s="639">
        <v>0.56100000000000005</v>
      </c>
      <c r="X414" s="639">
        <v>467.57760000000002</v>
      </c>
      <c r="Y414" s="639">
        <v>955.94399999999996</v>
      </c>
      <c r="Z414" s="639">
        <v>60.79</v>
      </c>
      <c r="AA414" s="639">
        <v>101.53</v>
      </c>
      <c r="AB414" s="639">
        <v>370</v>
      </c>
      <c r="AC414" s="641">
        <v>173003.71</v>
      </c>
    </row>
    <row r="415" spans="1:29" s="1021" customFormat="1" ht="15.75" customHeight="1" x14ac:dyDescent="0.25">
      <c r="A415" s="1106" t="s">
        <v>4979</v>
      </c>
      <c r="B415" s="1067">
        <v>287</v>
      </c>
      <c r="C415" s="1067"/>
      <c r="D415" s="1068" t="s">
        <v>13</v>
      </c>
      <c r="E415" s="1068" t="s">
        <v>892</v>
      </c>
      <c r="F415" s="1069">
        <v>45426</v>
      </c>
      <c r="G415" s="1069"/>
      <c r="H41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5" s="620" t="str">
        <f>CONCATENATE(Таблица47[[#This Row],[№ заявки в 1С]],Таблица47[[#This Row],[Наименование            ]])</f>
        <v>287[88976] 1606-39 (197.04) 4,85 м, сплав Ад31 под покраску</v>
      </c>
      <c r="J41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5" s="1082"/>
      <c r="N415" s="1120">
        <v>330</v>
      </c>
      <c r="O415" s="1020" t="str">
        <f>IFERROR(Таблица47[[#This Row],[Количество хлыстов]]-Таблица47[[#This Row],[Обработано в 1С]]-Таблица47[[#This Row],[Корректировка]],"")</f>
        <v/>
      </c>
      <c r="P415" s="638" t="str">
        <f>IFERROR((((Таблица47[[#This Row],[Осталось сделать, хлыст]]*Таблица47[[#This Row],[длина]])*Таблица47[[#This Row],[Периметр]])/28),"")</f>
        <v/>
      </c>
      <c r="Q415" s="1068"/>
      <c r="R415" s="1089">
        <f>IFERROR(Таблица47[[#This Row],[Коли-
чество м.п.]]/Таблица47[[#This Row],[Количество хлыстов]],"")</f>
        <v>4.8499999999999996</v>
      </c>
      <c r="S415" s="1083" t="s">
        <v>4774</v>
      </c>
      <c r="T415" s="1083">
        <v>1600.5</v>
      </c>
      <c r="U415" s="1084">
        <v>330</v>
      </c>
      <c r="V415" s="1083">
        <v>9.5600000000000004E-2</v>
      </c>
      <c r="W415" s="1083">
        <v>0.16</v>
      </c>
      <c r="X415" s="1083">
        <v>153.0078</v>
      </c>
      <c r="Y415" s="1083">
        <v>256.08</v>
      </c>
      <c r="Z415" s="1083">
        <v>19.89</v>
      </c>
      <c r="AA415" s="1083">
        <v>13.19</v>
      </c>
      <c r="AB415" s="1083">
        <v>138</v>
      </c>
      <c r="AC415" s="1085">
        <v>21110.6</v>
      </c>
    </row>
    <row r="416" spans="1:29" ht="15.75" customHeight="1" x14ac:dyDescent="0.25">
      <c r="A416" s="427" t="s">
        <v>4678</v>
      </c>
      <c r="B416" s="1070">
        <v>288</v>
      </c>
      <c r="C416" s="1070"/>
      <c r="D416" s="200" t="s">
        <v>13</v>
      </c>
      <c r="E416" s="200" t="s">
        <v>80</v>
      </c>
      <c r="F416" s="201">
        <v>45426</v>
      </c>
      <c r="G416" s="201">
        <v>45488</v>
      </c>
      <c r="H416" s="303" t="s">
        <v>23</v>
      </c>
      <c r="I416" s="522" t="str">
        <f>CONCATENATE(Таблица47[[#This Row],[№ заявки в 1С]],Таблица47[[#This Row],[Наименование            ]])</f>
        <v>288[69346] 0906-20, 3,65 м, 6063 КР уп Т-5</v>
      </c>
      <c r="J41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6" s="635">
        <v>14</v>
      </c>
      <c r="N416" s="635">
        <f>90+45+45+45+45+45+40+45+45+45+40+45</f>
        <v>575</v>
      </c>
      <c r="O416" s="1013" t="str">
        <f>IFERROR(Таблица47[[#This Row],[Количество хлыстов]]-Таблица47[[#This Row],[Обработано в 1С]]-Таблица47[[#This Row],[Корректировка]],"")</f>
        <v/>
      </c>
      <c r="P416" s="638" t="str">
        <f>IFERROR((((Таблица47[[#This Row],[Осталось сделать, хлыст]]*Таблица47[[#This Row],[длина]])*Таблица47[[#This Row],[Периметр]])/28),"")</f>
        <v/>
      </c>
      <c r="Q416" s="303" t="s">
        <v>5211</v>
      </c>
      <c r="R416" s="991">
        <f>IFERROR(Таблица47[[#This Row],[Коли-
чество м.п.]]/Таблица47[[#This Row],[Количество хлыстов]],"")</f>
        <v>3.65</v>
      </c>
      <c r="S416" s="639" t="s">
        <v>5099</v>
      </c>
      <c r="T416" s="639">
        <v>2131.6</v>
      </c>
      <c r="U416" s="640">
        <v>584</v>
      </c>
      <c r="V416" s="639">
        <v>0.51529999999999998</v>
      </c>
      <c r="W416" s="639">
        <v>1.3759999999999999</v>
      </c>
      <c r="X416" s="639">
        <v>1098.4135000000001</v>
      </c>
      <c r="Y416" s="639">
        <v>2933.0816</v>
      </c>
      <c r="Z416" s="639">
        <v>142.79</v>
      </c>
      <c r="AA416" s="639">
        <v>240.65</v>
      </c>
      <c r="AB416" s="639">
        <v>467</v>
      </c>
      <c r="AC416" s="641">
        <v>512959.1</v>
      </c>
    </row>
    <row r="417" spans="1:29" ht="15.75" customHeight="1" x14ac:dyDescent="0.25">
      <c r="A417" s="427" t="s">
        <v>4678</v>
      </c>
      <c r="B417" s="309">
        <v>289</v>
      </c>
      <c r="C417" s="309"/>
      <c r="D417" s="303" t="s">
        <v>13</v>
      </c>
      <c r="E417" s="303" t="s">
        <v>657</v>
      </c>
      <c r="F417" s="528">
        <v>45426</v>
      </c>
      <c r="G417" s="528"/>
      <c r="H41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7" s="522" t="str">
        <f>CONCATENATE(Таблица47[[#This Row],[№ заявки в 1С]],Таблица47[[#This Row],[Наименование            ]])</f>
        <v>289[68773] 0906-71, 5,8 м, сплав 6063 КР Т1</v>
      </c>
      <c r="J41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7" s="635"/>
      <c r="N417" s="1119">
        <v>336</v>
      </c>
      <c r="O417" s="1013" t="str">
        <f>IFERROR(Таблица47[[#This Row],[Количество хлыстов]]-Таблица47[[#This Row],[Обработано в 1С]]-Таблица47[[#This Row],[Корректировка]],"")</f>
        <v/>
      </c>
      <c r="P417" s="638" t="str">
        <f>IFERROR((((Таблица47[[#This Row],[Осталось сделать, хлыст]]*Таблица47[[#This Row],[длина]])*Таблица47[[#This Row],[Периметр]])/28),"")</f>
        <v/>
      </c>
      <c r="Q417" s="303"/>
      <c r="R417" s="991">
        <f>IFERROR(Таблица47[[#This Row],[Коли-
чество м.п.]]/Таблица47[[#This Row],[Количество хлыстов]],"")</f>
        <v>5.8</v>
      </c>
      <c r="S417" s="639" t="s">
        <v>2963</v>
      </c>
      <c r="T417" s="639">
        <v>1948.8</v>
      </c>
      <c r="U417" s="640">
        <v>336</v>
      </c>
      <c r="V417" s="639">
        <v>0.1724</v>
      </c>
      <c r="W417" s="639">
        <v>0.41499999999999998</v>
      </c>
      <c r="X417" s="639">
        <v>335.97309999999999</v>
      </c>
      <c r="Y417" s="639">
        <v>808.75199999999995</v>
      </c>
      <c r="Z417" s="639">
        <v>43.68</v>
      </c>
      <c r="AA417" s="639">
        <v>74.989999999999995</v>
      </c>
      <c r="AB417" s="639">
        <v>435</v>
      </c>
      <c r="AC417" s="641">
        <v>146148.31</v>
      </c>
    </row>
    <row r="418" spans="1:29" ht="15.75" customHeight="1" x14ac:dyDescent="0.25">
      <c r="A418" s="427" t="s">
        <v>4678</v>
      </c>
      <c r="B418" s="309">
        <v>291</v>
      </c>
      <c r="C418" s="309" t="s">
        <v>4753</v>
      </c>
      <c r="D418" s="303" t="s">
        <v>13</v>
      </c>
      <c r="E418" s="303" t="s">
        <v>37</v>
      </c>
      <c r="F418" s="528">
        <v>45427</v>
      </c>
      <c r="G418" s="528">
        <v>45460</v>
      </c>
      <c r="H41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8" s="522" t="str">
        <f>CONCATENATE(Таблица47[[#This Row],[№ заявки в 1С]],Таблица47[[#This Row],[Наименование            ]])</f>
        <v>291[89747] Лист 2,5*1500*500 (Д),  сплав 5005/АМГ1</v>
      </c>
      <c r="J41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8" s="635"/>
      <c r="N418" s="1119">
        <v>36</v>
      </c>
      <c r="O418" s="1013" t="str">
        <f>IFERROR(Таблица47[[#This Row],[Количество хлыстов]]-Таблица47[[#This Row],[Обработано в 1С]]-Таблица47[[#This Row],[Корректировка]],"")</f>
        <v/>
      </c>
      <c r="P418" s="638" t="str">
        <f>IFERROR((((Таблица47[[#This Row],[Осталось сделать, хлыст]]*Таблица47[[#This Row],[длина]])*Таблица47[[#This Row],[Периметр]])/28),"")</f>
        <v/>
      </c>
      <c r="Q418" s="303"/>
      <c r="R418" s="991">
        <f>IFERROR(Таблица47[[#This Row],[Коли-
чество м.п.]]/Таблица47[[#This Row],[Количество хлыстов]],"")</f>
        <v>0</v>
      </c>
      <c r="S418" s="639" t="s">
        <v>5109</v>
      </c>
      <c r="T418" s="639"/>
      <c r="U418" s="640">
        <v>36</v>
      </c>
      <c r="V418" s="639">
        <v>0.16700000000000001</v>
      </c>
      <c r="W418" s="639">
        <v>0.40600000000000003</v>
      </c>
      <c r="X418" s="639">
        <v>6.0119999999999996</v>
      </c>
      <c r="Y418" s="639">
        <v>14.616</v>
      </c>
      <c r="Z418" s="639">
        <v>0.78</v>
      </c>
      <c r="AA418" s="639">
        <v>2067.5</v>
      </c>
      <c r="AB418" s="639">
        <v>12380.24</v>
      </c>
      <c r="AC418" s="641">
        <v>74430</v>
      </c>
    </row>
    <row r="419" spans="1:29" ht="15.75" customHeight="1" x14ac:dyDescent="0.25">
      <c r="A419" s="427" t="s">
        <v>4678</v>
      </c>
      <c r="B419" s="309">
        <v>292</v>
      </c>
      <c r="C419" s="309" t="s">
        <v>4753</v>
      </c>
      <c r="D419" s="303" t="s">
        <v>34</v>
      </c>
      <c r="E419" s="303" t="s">
        <v>5169</v>
      </c>
      <c r="F419" s="528">
        <v>45427</v>
      </c>
      <c r="G419" s="528"/>
      <c r="H41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19" s="522" t="str">
        <f>CONCATENATE(Таблица47[[#This Row],[№ заявки в 1С]],Таблица47[[#This Row],[Наименование            ]])</f>
        <v>292[90827] д труба 80х3мм, АД31 Т1, 6м</v>
      </c>
      <c r="J41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1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1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19" s="635"/>
      <c r="N419" s="1028">
        <v>8</v>
      </c>
      <c r="O419" s="1013" t="str">
        <f>IFERROR(Таблица47[[#This Row],[Количество хлыстов]]-Таблица47[[#This Row],[Обработано в 1С]]-Таблица47[[#This Row],[Корректировка]],"")</f>
        <v/>
      </c>
      <c r="P419" s="638" t="str">
        <f>IFERROR((((Таблица47[[#This Row],[Осталось сделать, хлыст]]*Таблица47[[#This Row],[длина]])*Таблица47[[#This Row],[Периметр]])/28),"")</f>
        <v/>
      </c>
      <c r="Q419" s="303"/>
      <c r="R419" s="991">
        <f>IFERROR(Таблица47[[#This Row],[Коли-
чество м.п.]]/Таблица47[[#This Row],[Количество хлыстов]],"")</f>
        <v>6</v>
      </c>
      <c r="S419" s="639" t="s">
        <v>5110</v>
      </c>
      <c r="T419" s="639">
        <v>48</v>
      </c>
      <c r="U419" s="640">
        <v>8</v>
      </c>
      <c r="V419" s="639">
        <v>0.25130000000000002</v>
      </c>
      <c r="W419" s="639">
        <v>1.9670000000000001</v>
      </c>
      <c r="X419" s="639">
        <v>12.0624</v>
      </c>
      <c r="Y419" s="639">
        <v>94.415999999999997</v>
      </c>
      <c r="Z419" s="639">
        <v>1.57</v>
      </c>
      <c r="AA419" s="639">
        <v>414.79</v>
      </c>
      <c r="AB419" s="639">
        <v>1650.58</v>
      </c>
      <c r="AC419" s="641">
        <v>19910</v>
      </c>
    </row>
    <row r="420" spans="1:29" ht="15.75" customHeight="1" x14ac:dyDescent="0.25">
      <c r="A420" s="427" t="s">
        <v>4678</v>
      </c>
      <c r="B420" s="309">
        <v>292</v>
      </c>
      <c r="C420" s="309" t="s">
        <v>4753</v>
      </c>
      <c r="D420" s="303" t="s">
        <v>34</v>
      </c>
      <c r="E420" s="303" t="s">
        <v>5169</v>
      </c>
      <c r="F420" s="528">
        <v>45427</v>
      </c>
      <c r="G420" s="528"/>
      <c r="H42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0" s="522" t="str">
        <f>CONCATENATE(Таблица47[[#This Row],[№ заявки в 1С]],Таблица47[[#This Row],[Наименование            ]])</f>
        <v>292[90828] д кольцо 115х75мм,  АД31 Т1, 5мм</v>
      </c>
      <c r="J42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0" s="635"/>
      <c r="N420" s="640">
        <v>10</v>
      </c>
      <c r="O420" s="1013" t="str">
        <f>IFERROR(Таблица47[[#This Row],[Количество хлыстов]]-Таблица47[[#This Row],[Обработано в 1С]]-Таблица47[[#This Row],[Корректировка]],"")</f>
        <v/>
      </c>
      <c r="P420" s="638" t="str">
        <f>IFERROR((((Таблица47[[#This Row],[Осталось сделать, хлыст]]*Таблица47[[#This Row],[длина]])*Таблица47[[#This Row],[Периметр]])/28),"")</f>
        <v/>
      </c>
      <c r="Q420" s="303"/>
      <c r="R420" s="991">
        <f>IFERROR(Таблица47[[#This Row],[Коли-
чество м.п.]]/Таблица47[[#This Row],[Количество хлыстов]],"")</f>
        <v>1</v>
      </c>
      <c r="S420" s="639" t="s">
        <v>5112</v>
      </c>
      <c r="T420" s="639">
        <v>10</v>
      </c>
      <c r="U420" s="640">
        <v>10</v>
      </c>
      <c r="V420" s="639">
        <v>5.4199999999999998E-2</v>
      </c>
      <c r="W420" s="639" t="s">
        <v>17</v>
      </c>
      <c r="X420" s="639">
        <v>0.54200000000000004</v>
      </c>
      <c r="Y420" s="639" t="s">
        <v>17</v>
      </c>
      <c r="Z420" s="639">
        <v>7.0000000000000007E-2</v>
      </c>
      <c r="AA420" s="639">
        <v>1000</v>
      </c>
      <c r="AB420" s="639">
        <v>18450.18</v>
      </c>
      <c r="AC420" s="641">
        <v>10000</v>
      </c>
    </row>
    <row r="421" spans="1:29" ht="15.75" customHeight="1" x14ac:dyDescent="0.25">
      <c r="A421" s="427" t="s">
        <v>4678</v>
      </c>
      <c r="B421" s="309">
        <v>292</v>
      </c>
      <c r="C421" s="309" t="s">
        <v>4753</v>
      </c>
      <c r="D421" s="303" t="s">
        <v>34</v>
      </c>
      <c r="E421" s="303" t="s">
        <v>5169</v>
      </c>
      <c r="F421" s="528">
        <v>45427</v>
      </c>
      <c r="G421" s="528"/>
      <c r="H42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1" s="522" t="str">
        <f>CONCATENATE(Таблица47[[#This Row],[№ заявки в 1С]],Таблица47[[#This Row],[Наименование            ]])</f>
        <v>292[90829] д кольцо 230х75мм, АД31 Т1, 5мм</v>
      </c>
      <c r="J42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1" s="635"/>
      <c r="N421" s="1119">
        <v>5</v>
      </c>
      <c r="O421" s="1013" t="str">
        <f>IFERROR(Таблица47[[#This Row],[Количество хлыстов]]-Таблица47[[#This Row],[Обработано в 1С]]-Таблица47[[#This Row],[Корректировка]],"")</f>
        <v/>
      </c>
      <c r="P421" s="638" t="str">
        <f>IFERROR((((Таблица47[[#This Row],[Осталось сделать, хлыст]]*Таблица47[[#This Row],[длина]])*Таблица47[[#This Row],[Периметр]])/28),"")</f>
        <v/>
      </c>
      <c r="Q421" s="303"/>
      <c r="R421" s="991" t="str">
        <f>IFERROR(Таблица47[[#This Row],[Коли-
чество м.п.]]/Таблица47[[#This Row],[Количество хлыстов]],"")</f>
        <v/>
      </c>
      <c r="S421" s="639" t="s">
        <v>5114</v>
      </c>
      <c r="T421" s="639" t="s">
        <v>5115</v>
      </c>
      <c r="U421" s="640">
        <v>5</v>
      </c>
      <c r="V421" s="639">
        <v>0.1084</v>
      </c>
      <c r="W421" s="639" t="s">
        <v>17</v>
      </c>
      <c r="X421" s="639">
        <v>0.54200000000000004</v>
      </c>
      <c r="Y421" s="639" t="s">
        <v>17</v>
      </c>
      <c r="Z421" s="639">
        <v>7.0000000000000007E-2</v>
      </c>
      <c r="AA421" s="639">
        <v>1000</v>
      </c>
      <c r="AB421" s="639">
        <v>9225.09</v>
      </c>
      <c r="AC421" s="641">
        <v>5000</v>
      </c>
    </row>
    <row r="422" spans="1:29" s="1021" customFormat="1" ht="15.75" customHeight="1" x14ac:dyDescent="0.25">
      <c r="A422" s="1106" t="s">
        <v>4978</v>
      </c>
      <c r="B422" s="1067">
        <v>293</v>
      </c>
      <c r="C422" s="1067"/>
      <c r="D422" s="1068" t="s">
        <v>13</v>
      </c>
      <c r="E422" s="1068" t="s">
        <v>892</v>
      </c>
      <c r="F422" s="1069">
        <v>45428</v>
      </c>
      <c r="G422" s="1069"/>
      <c r="H42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2" s="620" t="str">
        <f>CONCATENATE(Таблица47[[#This Row],[№ заявки в 1С]],Таблица47[[#This Row],[Наименование            ]])</f>
        <v>293[88976] 1606-39 (197.04) 4,85 м, сплав Ад31 под покраску</v>
      </c>
      <c r="J42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2" s="1082"/>
      <c r="N422" s="1120">
        <v>308</v>
      </c>
      <c r="O422" s="1020" t="str">
        <f>IFERROR(Таблица47[[#This Row],[Количество хлыстов]]-Таблица47[[#This Row],[Обработано в 1С]]-Таблица47[[#This Row],[Корректировка]],"")</f>
        <v/>
      </c>
      <c r="P422" s="638" t="str">
        <f>IFERROR((((Таблица47[[#This Row],[Осталось сделать, хлыст]]*Таблица47[[#This Row],[длина]])*Таблица47[[#This Row],[Периметр]])/28),"")</f>
        <v/>
      </c>
      <c r="Q422" s="1068"/>
      <c r="R422" s="1089">
        <f>IFERROR(Таблица47[[#This Row],[Коли-
чество м.п.]]/Таблица47[[#This Row],[Количество хлыстов]],"")</f>
        <v>4.8499999999999996</v>
      </c>
      <c r="S422" s="1083" t="s">
        <v>4774</v>
      </c>
      <c r="T422" s="1083">
        <v>1493.8</v>
      </c>
      <c r="U422" s="1084">
        <v>308</v>
      </c>
      <c r="V422" s="1083">
        <v>9.5600000000000004E-2</v>
      </c>
      <c r="W422" s="1083">
        <v>0.16</v>
      </c>
      <c r="X422" s="1083">
        <v>142.8073</v>
      </c>
      <c r="Y422" s="1083">
        <v>239.00800000000001</v>
      </c>
      <c r="Z422" s="1083">
        <v>18.559999999999999</v>
      </c>
      <c r="AA422" s="1083">
        <v>31.55</v>
      </c>
      <c r="AB422" s="1083">
        <v>330</v>
      </c>
      <c r="AC422" s="1085">
        <v>47129.39</v>
      </c>
    </row>
    <row r="423" spans="1:29" ht="15.75" customHeight="1" x14ac:dyDescent="0.25">
      <c r="A423" s="427" t="s">
        <v>4678</v>
      </c>
      <c r="B423" s="309">
        <v>294</v>
      </c>
      <c r="C423" s="309" t="s">
        <v>4753</v>
      </c>
      <c r="D423" s="303" t="s">
        <v>34</v>
      </c>
      <c r="E423" s="303" t="s">
        <v>4554</v>
      </c>
      <c r="F423" s="528">
        <v>45429</v>
      </c>
      <c r="G423" s="528"/>
      <c r="H42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3" s="522" t="str">
        <f>CONCATENATE(Таблица47[[#This Row],[№ заявки в 1С]],Таблица47[[#This Row],[Наименование            ]])</f>
        <v>294[90879] Д дверной притвор FS.C-57, АД31 Т1, 2,25м БА</v>
      </c>
      <c r="J42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3" s="635"/>
      <c r="N423" s="1119">
        <v>80</v>
      </c>
      <c r="O423" s="1013" t="str">
        <f>IFERROR(Таблица47[[#This Row],[Количество хлыстов]]-Таблица47[[#This Row],[Обработано в 1С]]-Таблица47[[#This Row],[Корректировка]],"")</f>
        <v/>
      </c>
      <c r="P423" s="638" t="str">
        <f>IFERROR((((Таблица47[[#This Row],[Осталось сделать, хлыст]]*Таблица47[[#This Row],[длина]])*Таблица47[[#This Row],[Периметр]])/28),"")</f>
        <v/>
      </c>
      <c r="Q423" s="303"/>
      <c r="R423" s="991">
        <f>IFERROR(Таблица47[[#This Row],[Коли-
чество м.п.]]/Таблица47[[#This Row],[Количество хлыстов]],"")</f>
        <v>2.25</v>
      </c>
      <c r="S423" s="639" t="s">
        <v>5116</v>
      </c>
      <c r="T423" s="639">
        <v>180</v>
      </c>
      <c r="U423" s="640">
        <v>80</v>
      </c>
      <c r="V423" s="639">
        <v>0.2082</v>
      </c>
      <c r="W423" s="639">
        <v>0.33600000000000002</v>
      </c>
      <c r="X423" s="639">
        <v>37.475999999999999</v>
      </c>
      <c r="Y423" s="639">
        <v>60.48</v>
      </c>
      <c r="Z423" s="639">
        <v>4.87</v>
      </c>
      <c r="AA423" s="639">
        <v>198.76</v>
      </c>
      <c r="AB423" s="639">
        <v>954.66</v>
      </c>
      <c r="AC423" s="641">
        <v>35776.800000000003</v>
      </c>
    </row>
    <row r="424" spans="1:29" ht="15.75" customHeight="1" x14ac:dyDescent="0.25">
      <c r="A424" s="427" t="s">
        <v>4678</v>
      </c>
      <c r="B424" s="309">
        <v>294</v>
      </c>
      <c r="C424" s="309" t="s">
        <v>4753</v>
      </c>
      <c r="D424" s="303" t="s">
        <v>34</v>
      </c>
      <c r="E424" s="303" t="s">
        <v>4554</v>
      </c>
      <c r="F424" s="528">
        <v>45429</v>
      </c>
      <c r="G424" s="528"/>
      <c r="H42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4" s="522" t="str">
        <f>CONCATENATE(Таблица47[[#This Row],[№ заявки в 1С]],Таблица47[[#This Row],[Наименование            ]])</f>
        <v>294[90880] Д дверной притвор FS.C-57, АД31 Т1, 3,1м БА</v>
      </c>
      <c r="J42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4" s="635"/>
      <c r="N424" s="1119">
        <v>20</v>
      </c>
      <c r="O424" s="1013" t="str">
        <f>IFERROR(Таблица47[[#This Row],[Количество хлыстов]]-Таблица47[[#This Row],[Обработано в 1С]]-Таблица47[[#This Row],[Корректировка]],"")</f>
        <v/>
      </c>
      <c r="P424" s="638" t="str">
        <f>IFERROR((((Таблица47[[#This Row],[Осталось сделать, хлыст]]*Таблица47[[#This Row],[длина]])*Таблица47[[#This Row],[Периметр]])/28),"")</f>
        <v/>
      </c>
      <c r="Q424" s="303"/>
      <c r="R424" s="991">
        <f>IFERROR(Таблица47[[#This Row],[Коли-
чество м.п.]]/Таблица47[[#This Row],[Количество хлыстов]],"")</f>
        <v>3.1</v>
      </c>
      <c r="S424" s="639" t="s">
        <v>5117</v>
      </c>
      <c r="T424" s="639">
        <v>62</v>
      </c>
      <c r="U424" s="640">
        <v>20</v>
      </c>
      <c r="V424" s="639">
        <v>0.2082</v>
      </c>
      <c r="W424" s="639">
        <v>0.33600000000000002</v>
      </c>
      <c r="X424" s="639">
        <v>12.9084</v>
      </c>
      <c r="Y424" s="639">
        <v>20.832000000000001</v>
      </c>
      <c r="Z424" s="639">
        <v>1.68</v>
      </c>
      <c r="AA424" s="639">
        <v>198.76</v>
      </c>
      <c r="AB424" s="639">
        <v>954.67</v>
      </c>
      <c r="AC424" s="641">
        <v>12323.2</v>
      </c>
    </row>
    <row r="425" spans="1:29" ht="15.75" customHeight="1" x14ac:dyDescent="0.25">
      <c r="A425" s="427" t="s">
        <v>4678</v>
      </c>
      <c r="B425" s="309">
        <v>295</v>
      </c>
      <c r="C425" s="309" t="s">
        <v>4753</v>
      </c>
      <c r="D425" s="303" t="s">
        <v>13</v>
      </c>
      <c r="E425" s="303" t="s">
        <v>289</v>
      </c>
      <c r="F425" s="528">
        <v>45429</v>
      </c>
      <c r="G425" s="528"/>
      <c r="H42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5" s="522" t="str">
        <f>CONCATENATE(Таблица47[[#This Row],[№ заявки в 1С]],Таблица47[[#This Row],[Наименование            ]])</f>
        <v>295[90881] Крыло большое (Д)</v>
      </c>
      <c r="J42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5" s="635"/>
      <c r="N425" s="1119">
        <v>12</v>
      </c>
      <c r="O425" s="1013" t="str">
        <f>IFERROR(Таблица47[[#This Row],[Количество хлыстов]]-Таблица47[[#This Row],[Обработано в 1С]]-Таблица47[[#This Row],[Корректировка]],"")</f>
        <v/>
      </c>
      <c r="P425" s="638" t="str">
        <f>IFERROR((((Таблица47[[#This Row],[Осталось сделать, хлыст]]*Таблица47[[#This Row],[длина]])*Таблица47[[#This Row],[Периметр]])/28),"")</f>
        <v/>
      </c>
      <c r="Q425" s="303"/>
      <c r="R425" s="991">
        <f>IFERROR(Таблица47[[#This Row],[Коли-
чество м.п.]]/Таблица47[[#This Row],[Количество хлыстов]],"")</f>
        <v>1</v>
      </c>
      <c r="S425" s="639" t="s">
        <v>5118</v>
      </c>
      <c r="T425" s="639">
        <v>12</v>
      </c>
      <c r="U425" s="640">
        <v>12</v>
      </c>
      <c r="V425" s="639">
        <v>0.45</v>
      </c>
      <c r="W425" s="639">
        <v>2.6</v>
      </c>
      <c r="X425" s="639">
        <v>5.4</v>
      </c>
      <c r="Y425" s="639">
        <v>31.2</v>
      </c>
      <c r="Z425" s="639">
        <v>0.7</v>
      </c>
      <c r="AA425" s="639">
        <v>2367</v>
      </c>
      <c r="AB425" s="639">
        <v>5260</v>
      </c>
      <c r="AC425" s="641">
        <v>28404</v>
      </c>
    </row>
    <row r="426" spans="1:29" ht="15.75" customHeight="1" x14ac:dyDescent="0.25">
      <c r="A426" s="427" t="s">
        <v>4678</v>
      </c>
      <c r="B426" s="1070">
        <v>296</v>
      </c>
      <c r="C426" s="1070" t="s">
        <v>4753</v>
      </c>
      <c r="D426" s="200" t="s">
        <v>13</v>
      </c>
      <c r="E426" s="200" t="s">
        <v>37</v>
      </c>
      <c r="F426" s="201">
        <v>45429</v>
      </c>
      <c r="G426" s="201">
        <v>45482</v>
      </c>
      <c r="H42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6" s="522" t="str">
        <f>CONCATENATE(Таблица47[[#This Row],[№ заявки в 1С]],Таблица47[[#This Row],[Наименование            ]])</f>
        <v>296[90677] Лист АМГ2М 2*1200*500 (Д),</v>
      </c>
      <c r="J42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6" s="635"/>
      <c r="N426" s="1119">
        <f>84+60</f>
        <v>144</v>
      </c>
      <c r="O426" s="1013" t="str">
        <f>IFERROR(Таблица47[[#This Row],[Количество хлыстов]]-Таблица47[[#This Row],[Обработано в 1С]]-Таблица47[[#This Row],[Корректировка]],"")</f>
        <v/>
      </c>
      <c r="P426" s="638" t="str">
        <f>IFERROR((((Таблица47[[#This Row],[Осталось сделать, хлыст]]*Таблица47[[#This Row],[длина]])*Таблица47[[#This Row],[Периметр]])/28),"")</f>
        <v/>
      </c>
      <c r="Q426" s="303"/>
      <c r="R426" s="991">
        <f>IFERROR(Таблица47[[#This Row],[Коли-
чество м.п.]]/Таблица47[[#This Row],[Количество хлыстов]],"")</f>
        <v>0</v>
      </c>
      <c r="S426" s="639" t="s">
        <v>5121</v>
      </c>
      <c r="T426" s="639"/>
      <c r="U426" s="640">
        <v>144</v>
      </c>
      <c r="V426" s="639">
        <v>1.2</v>
      </c>
      <c r="W426" s="639">
        <v>3.2040000000000002</v>
      </c>
      <c r="X426" s="639">
        <v>172.8</v>
      </c>
      <c r="Y426" s="639">
        <v>461.37599999999998</v>
      </c>
      <c r="Z426" s="639">
        <v>22.46</v>
      </c>
      <c r="AA426" s="639">
        <v>2054</v>
      </c>
      <c r="AB426" s="639">
        <v>1711.67</v>
      </c>
      <c r="AC426" s="641">
        <v>295776</v>
      </c>
    </row>
    <row r="427" spans="1:29" s="1021" customFormat="1" ht="15.75" customHeight="1" x14ac:dyDescent="0.25">
      <c r="A427" s="1106" t="s">
        <v>4978</v>
      </c>
      <c r="B427" s="1067">
        <v>297</v>
      </c>
      <c r="C427" s="1067"/>
      <c r="D427" s="1068" t="s">
        <v>34</v>
      </c>
      <c r="E427" s="1068" t="s">
        <v>4807</v>
      </c>
      <c r="F427" s="1069">
        <v>45440</v>
      </c>
      <c r="G427" s="1069"/>
      <c r="H42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7" s="620" t="str">
        <f>CONCATENATE(Таблица47[[#This Row],[№ заявки в 1С]],Таблица47[[#This Row],[Наименование            ]])</f>
        <v>297[50071] 216004, рама, 5,3 м, сплав АД 31 Т1 , упаковка А3</v>
      </c>
      <c r="J42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7" s="1082"/>
      <c r="N427" s="1120">
        <v>740</v>
      </c>
      <c r="O427" s="1020" t="str">
        <f>IFERROR(Таблица47[[#This Row],[Количество хлыстов]]-Таблица47[[#This Row],[Обработано в 1С]]-Таблица47[[#This Row],[Корректировка]],"")</f>
        <v/>
      </c>
      <c r="P427" s="638" t="str">
        <f>IFERROR((((Таблица47[[#This Row],[Осталось сделать, хлыст]]*Таблица47[[#This Row],[длина]])*Таблица47[[#This Row],[Периметр]])/28),"")</f>
        <v/>
      </c>
      <c r="Q427" s="1068"/>
      <c r="R427" s="1089">
        <f>IFERROR(Таблица47[[#This Row],[Коли-
чество м.п.]]/Таблица47[[#This Row],[Количество хлыстов]],"")</f>
        <v>5.3</v>
      </c>
      <c r="S427" s="1083" t="s">
        <v>4806</v>
      </c>
      <c r="T427" s="1083">
        <v>3922</v>
      </c>
      <c r="U427" s="1084">
        <v>740</v>
      </c>
      <c r="V427" s="1083">
        <v>0.22270000000000001</v>
      </c>
      <c r="W427" s="1083">
        <v>0.52700000000000002</v>
      </c>
      <c r="X427" s="1083">
        <v>873.42939999999999</v>
      </c>
      <c r="Y427" s="1083">
        <v>2066.8939999999998</v>
      </c>
      <c r="Z427" s="1083">
        <v>113.55</v>
      </c>
      <c r="AA427" s="1083">
        <v>73.209999999999994</v>
      </c>
      <c r="AB427" s="1083">
        <v>328.75</v>
      </c>
      <c r="AC427" s="1085">
        <v>287139.92</v>
      </c>
    </row>
    <row r="428" spans="1:29" s="1021" customFormat="1" ht="15.75" customHeight="1" x14ac:dyDescent="0.25">
      <c r="A428" s="1106" t="s">
        <v>4978</v>
      </c>
      <c r="B428" s="1067">
        <v>297</v>
      </c>
      <c r="C428" s="1067"/>
      <c r="D428" s="1068" t="s">
        <v>34</v>
      </c>
      <c r="E428" s="1068" t="s">
        <v>4807</v>
      </c>
      <c r="F428" s="1069">
        <v>45440</v>
      </c>
      <c r="G428" s="1069"/>
      <c r="H42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8" s="620" t="str">
        <f>CONCATENATE(Таблица47[[#This Row],[№ заявки в 1С]],Таблица47[[#This Row],[Наименование            ]])</f>
        <v>297[41108] 216074, ВЕРХНЯЯ БАЛКА, 5,95 м, сплав АД31Т1, БА</v>
      </c>
      <c r="J42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8" s="1082"/>
      <c r="N428" s="1120">
        <v>79</v>
      </c>
      <c r="O428" s="1020" t="str">
        <f>IFERROR(Таблица47[[#This Row],[Количество хлыстов]]-Таблица47[[#This Row],[Обработано в 1С]]-Таблица47[[#This Row],[Корректировка]],"")</f>
        <v/>
      </c>
      <c r="P428" s="638" t="str">
        <f>IFERROR((((Таблица47[[#This Row],[Осталось сделать, хлыст]]*Таблица47[[#This Row],[длина]])*Таблица47[[#This Row],[Периметр]])/28),"")</f>
        <v/>
      </c>
      <c r="Q428" s="1068"/>
      <c r="R428" s="1089">
        <f>IFERROR(Таблица47[[#This Row],[Коли-
чество м.п.]]/Таблица47[[#This Row],[Количество хлыстов]],"")</f>
        <v>5.95</v>
      </c>
      <c r="S428" s="1083" t="s">
        <v>4805</v>
      </c>
      <c r="T428" s="1083">
        <v>470.05</v>
      </c>
      <c r="U428" s="1084">
        <v>79</v>
      </c>
      <c r="V428" s="1083">
        <v>0.58020000000000005</v>
      </c>
      <c r="W428" s="1083">
        <v>1.306</v>
      </c>
      <c r="X428" s="1083">
        <v>272.72300000000001</v>
      </c>
      <c r="Y428" s="1083">
        <v>613.88530000000003</v>
      </c>
      <c r="Z428" s="1083">
        <v>35.450000000000003</v>
      </c>
      <c r="AA428" s="1083">
        <v>190.74</v>
      </c>
      <c r="AB428" s="1083">
        <v>328.75</v>
      </c>
      <c r="AC428" s="1085">
        <v>89657.34</v>
      </c>
    </row>
    <row r="429" spans="1:29" s="1021" customFormat="1" ht="15.75" customHeight="1" x14ac:dyDescent="0.25">
      <c r="A429" s="1106" t="s">
        <v>4978</v>
      </c>
      <c r="B429" s="1067">
        <v>297</v>
      </c>
      <c r="C429" s="1067"/>
      <c r="D429" s="1068" t="s">
        <v>34</v>
      </c>
      <c r="E429" s="1068" t="s">
        <v>4807</v>
      </c>
      <c r="F429" s="1069">
        <v>45440</v>
      </c>
      <c r="G429" s="1069"/>
      <c r="H42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29" s="620" t="str">
        <f>CONCATENATE(Таблица47[[#This Row],[№ заявки в 1С]],Таблица47[[#This Row],[Наименование            ]])</f>
        <v>297[39525] 215233, рама верх R8/R10, 5,1 м, сплав 6060 Т66, БА</v>
      </c>
      <c r="J42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2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2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29" s="1082"/>
      <c r="N429" s="1120">
        <v>251</v>
      </c>
      <c r="O429" s="1020" t="str">
        <f>IFERROR(Таблица47[[#This Row],[Количество хлыстов]]-Таблица47[[#This Row],[Обработано в 1С]]-Таблица47[[#This Row],[Корректировка]],"")</f>
        <v/>
      </c>
      <c r="P429" s="638" t="str">
        <f>IFERROR((((Таблица47[[#This Row],[Осталось сделать, хлыст]]*Таблица47[[#This Row],[длина]])*Таблица47[[#This Row],[Периметр]])/28),"")</f>
        <v/>
      </c>
      <c r="Q429" s="1068"/>
      <c r="R429" s="1089">
        <f>IFERROR(Таблица47[[#This Row],[Коли-
чество м.п.]]/Таблица47[[#This Row],[Количество хлыстов]],"")</f>
        <v>5.0999999999999996</v>
      </c>
      <c r="S429" s="1083" t="s">
        <v>5119</v>
      </c>
      <c r="T429" s="1083">
        <v>1280.0999999999999</v>
      </c>
      <c r="U429" s="1084">
        <v>251</v>
      </c>
      <c r="V429" s="1083">
        <v>0.19020000000000001</v>
      </c>
      <c r="W429" s="1083">
        <v>0.48699999999999999</v>
      </c>
      <c r="X429" s="1083">
        <v>243.47499999999999</v>
      </c>
      <c r="Y429" s="1083">
        <v>623.40869999999995</v>
      </c>
      <c r="Z429" s="1083">
        <v>31.65</v>
      </c>
      <c r="AA429" s="1083">
        <v>62.53</v>
      </c>
      <c r="AB429" s="1083">
        <v>328.75</v>
      </c>
      <c r="AC429" s="1085">
        <v>80044.649999999994</v>
      </c>
    </row>
    <row r="430" spans="1:29" s="1021" customFormat="1" ht="15.75" customHeight="1" x14ac:dyDescent="0.25">
      <c r="A430" s="1106" t="s">
        <v>4978</v>
      </c>
      <c r="B430" s="1067">
        <v>297</v>
      </c>
      <c r="C430" s="1067"/>
      <c r="D430" s="1068" t="s">
        <v>34</v>
      </c>
      <c r="E430" s="1068" t="s">
        <v>4807</v>
      </c>
      <c r="F430" s="1069">
        <v>45440</v>
      </c>
      <c r="G430" s="1069"/>
      <c r="H43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0" s="620" t="str">
        <f>CONCATENATE(Таблица47[[#This Row],[№ заявки в 1С]],Таблица47[[#This Row],[Наименование            ]])</f>
        <v>297[73377] 215232, рама бок/низ R10, 4,9 м, сплав 6060 Т66, БА</v>
      </c>
      <c r="J43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0" s="1082"/>
      <c r="N430" s="1120">
        <v>608</v>
      </c>
      <c r="O430" s="1020" t="str">
        <f>IFERROR(Таблица47[[#This Row],[Количество хлыстов]]-Таблица47[[#This Row],[Обработано в 1С]]-Таблица47[[#This Row],[Корректировка]],"")</f>
        <v/>
      </c>
      <c r="P430" s="638" t="str">
        <f>IFERROR((((Таблица47[[#This Row],[Осталось сделать, хлыст]]*Таблица47[[#This Row],[длина]])*Таблица47[[#This Row],[Периметр]])/28),"")</f>
        <v/>
      </c>
      <c r="Q430" s="1068"/>
      <c r="R430" s="1089">
        <f>IFERROR(Таблица47[[#This Row],[Коли-
чество м.п.]]/Таблица47[[#This Row],[Количество хлыстов]],"")</f>
        <v>4.8999999999999995</v>
      </c>
      <c r="S430" s="1083" t="s">
        <v>4897</v>
      </c>
      <c r="T430" s="1083">
        <v>2979.2</v>
      </c>
      <c r="U430" s="1084">
        <v>608</v>
      </c>
      <c r="V430" s="1083">
        <v>0.14419999999999999</v>
      </c>
      <c r="W430" s="1083">
        <v>0.33200000000000002</v>
      </c>
      <c r="X430" s="1083">
        <v>429.60059999999999</v>
      </c>
      <c r="Y430" s="1083">
        <v>989.09439999999995</v>
      </c>
      <c r="Z430" s="1083">
        <v>55.85</v>
      </c>
      <c r="AA430" s="1083">
        <v>47.41</v>
      </c>
      <c r="AB430" s="1083">
        <v>328.75</v>
      </c>
      <c r="AC430" s="1085">
        <v>141243.87</v>
      </c>
    </row>
    <row r="431" spans="1:29" s="1021" customFormat="1" ht="15.75" customHeight="1" x14ac:dyDescent="0.25">
      <c r="A431" s="1106" t="s">
        <v>4978</v>
      </c>
      <c r="B431" s="1067">
        <v>297</v>
      </c>
      <c r="C431" s="1067"/>
      <c r="D431" s="1068" t="s">
        <v>34</v>
      </c>
      <c r="E431" s="1068" t="s">
        <v>4807</v>
      </c>
      <c r="F431" s="1069">
        <v>45440</v>
      </c>
      <c r="G431" s="1069"/>
      <c r="H43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1" s="620" t="str">
        <f>CONCATENATE(Таблица47[[#This Row],[№ заявки в 1С]],Таблица47[[#This Row],[Наименование            ]])</f>
        <v>297[64905] 216033, БОК, 6,0 м, сплав АД31Т1, БА</v>
      </c>
      <c r="J43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1" s="1082"/>
      <c r="N431" s="1120">
        <v>114</v>
      </c>
      <c r="O431" s="1020" t="str">
        <f>IFERROR(Таблица47[[#This Row],[Количество хлыстов]]-Таблица47[[#This Row],[Обработано в 1С]]-Таблица47[[#This Row],[Корректировка]],"")</f>
        <v/>
      </c>
      <c r="P431" s="638" t="str">
        <f>IFERROR((((Таблица47[[#This Row],[Осталось сделать, хлыст]]*Таблица47[[#This Row],[длина]])*Таблица47[[#This Row],[Периметр]])/28),"")</f>
        <v/>
      </c>
      <c r="Q431" s="1068"/>
      <c r="R431" s="1089">
        <f>IFERROR(Таблица47[[#This Row],[Коли-
чество м.п.]]/Таблица47[[#This Row],[Количество хлыстов]],"")</f>
        <v>6</v>
      </c>
      <c r="S431" s="1083" t="s">
        <v>4804</v>
      </c>
      <c r="T431" s="1083">
        <v>684</v>
      </c>
      <c r="U431" s="1084">
        <v>114</v>
      </c>
      <c r="V431" s="1083">
        <v>0.27610000000000001</v>
      </c>
      <c r="W431" s="1083">
        <v>0.93400000000000005</v>
      </c>
      <c r="X431" s="1083">
        <v>188.85239999999999</v>
      </c>
      <c r="Y431" s="1083">
        <v>638.85599999999999</v>
      </c>
      <c r="Z431" s="1083">
        <v>24.55</v>
      </c>
      <c r="AA431" s="1083">
        <v>90.77</v>
      </c>
      <c r="AB431" s="1083">
        <v>328.75</v>
      </c>
      <c r="AC431" s="1085">
        <v>62085.23</v>
      </c>
    </row>
    <row r="432" spans="1:29" ht="15.75" customHeight="1" x14ac:dyDescent="0.25">
      <c r="A432" s="427" t="s">
        <v>4678</v>
      </c>
      <c r="B432" s="309">
        <v>298</v>
      </c>
      <c r="C432" s="1070"/>
      <c r="D432" s="200" t="s">
        <v>13</v>
      </c>
      <c r="E432" s="200" t="s">
        <v>3801</v>
      </c>
      <c r="F432" s="201">
        <v>45433</v>
      </c>
      <c r="G432" s="528"/>
      <c r="H43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2" s="522" t="str">
        <f>CONCATENATE(Таблица47[[#This Row],[№ заявки в 1С]],Таблица47[[#This Row],[Наименование            ]])</f>
        <v>298[90486] 1706-90,  4,5 м, 6063 Т 6</v>
      </c>
      <c r="J43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2" s="635"/>
      <c r="N432" s="1119">
        <v>336</v>
      </c>
      <c r="O432" s="1013" t="str">
        <f>IFERROR(Таблица47[[#This Row],[Количество хлыстов]]-Таблица47[[#This Row],[Обработано в 1С]]-Таблица47[[#This Row],[Корректировка]],"")</f>
        <v/>
      </c>
      <c r="P432" s="638" t="str">
        <f>IFERROR((((Таблица47[[#This Row],[Осталось сделать, хлыст]]*Таблица47[[#This Row],[длина]])*Таблица47[[#This Row],[Периметр]])/28),"")</f>
        <v/>
      </c>
      <c r="Q432" s="303"/>
      <c r="R432" s="991">
        <f>IFERROR(Таблица47[[#This Row],[Коли-
чество м.п.]]/Таблица47[[#This Row],[Количество хлыстов]],"")</f>
        <v>4.5</v>
      </c>
      <c r="S432" s="639" t="s">
        <v>5120</v>
      </c>
      <c r="T432" s="639">
        <v>1512</v>
      </c>
      <c r="U432" s="640">
        <v>336</v>
      </c>
      <c r="V432" s="639">
        <v>0.16</v>
      </c>
      <c r="W432" s="639">
        <v>0.35299999999999998</v>
      </c>
      <c r="X432" s="639">
        <v>241.92</v>
      </c>
      <c r="Y432" s="639">
        <v>533.73599999999999</v>
      </c>
      <c r="Z432" s="639">
        <v>31.45</v>
      </c>
      <c r="AA432" s="639">
        <v>76.8</v>
      </c>
      <c r="AB432" s="639">
        <v>480</v>
      </c>
      <c r="AC432" s="641">
        <v>116121.60000000001</v>
      </c>
    </row>
    <row r="433" spans="1:29" ht="15.75" customHeight="1" x14ac:dyDescent="0.25">
      <c r="A433" s="427" t="s">
        <v>4678</v>
      </c>
      <c r="B433" s="1070">
        <v>299</v>
      </c>
      <c r="C433" s="1070"/>
      <c r="D433" s="200" t="s">
        <v>13</v>
      </c>
      <c r="E433" s="200" t="s">
        <v>80</v>
      </c>
      <c r="F433" s="201">
        <v>45433</v>
      </c>
      <c r="G433" s="201">
        <v>45488</v>
      </c>
      <c r="H433" s="303" t="s">
        <v>23</v>
      </c>
      <c r="I433" s="522" t="str">
        <f>CONCATENATE(Таблица47[[#This Row],[№ заявки в 1С]],Таблица47[[#This Row],[Наименование            ]])</f>
        <v>299[69346] 0906-20, 3,65 м, 6063 КР уп Т-5</v>
      </c>
      <c r="J43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3" s="635">
        <v>6</v>
      </c>
      <c r="N433" s="1119">
        <f>45+45+45+39</f>
        <v>174</v>
      </c>
      <c r="O433" s="1013" t="str">
        <f>IFERROR(Таблица47[[#This Row],[Количество хлыстов]]-Таблица47[[#This Row],[Обработано в 1С]]-Таблица47[[#This Row],[Корректировка]],"")</f>
        <v/>
      </c>
      <c r="P433" s="638" t="str">
        <f>IFERROR((((Таблица47[[#This Row],[Осталось сделать, хлыст]]*Таблица47[[#This Row],[длина]])*Таблица47[[#This Row],[Периметр]])/28),"")</f>
        <v/>
      </c>
      <c r="Q433" s="303" t="s">
        <v>5155</v>
      </c>
      <c r="R433" s="991">
        <f>IFERROR(Таблица47[[#This Row],[Коли-
чество м.п.]]/Таблица47[[#This Row],[Количество хлыстов]],"")</f>
        <v>3.65</v>
      </c>
      <c r="S433" s="639" t="s">
        <v>5099</v>
      </c>
      <c r="T433" s="639">
        <v>675.25</v>
      </c>
      <c r="U433" s="640">
        <v>185</v>
      </c>
      <c r="V433" s="639">
        <v>0.51529999999999998</v>
      </c>
      <c r="W433" s="639">
        <v>1.3759999999999999</v>
      </c>
      <c r="X433" s="639">
        <v>347.9563</v>
      </c>
      <c r="Y433" s="639">
        <v>929.14400000000001</v>
      </c>
      <c r="Z433" s="639">
        <v>45.23</v>
      </c>
      <c r="AA433" s="639">
        <v>240.65</v>
      </c>
      <c r="AB433" s="639">
        <v>467</v>
      </c>
      <c r="AC433" s="641">
        <v>162495.6</v>
      </c>
    </row>
    <row r="434" spans="1:29" ht="15.75" customHeight="1" x14ac:dyDescent="0.25">
      <c r="A434" s="427" t="s">
        <v>4678</v>
      </c>
      <c r="B434" s="309">
        <v>299</v>
      </c>
      <c r="C434" s="309"/>
      <c r="D434" s="303" t="s">
        <v>13</v>
      </c>
      <c r="E434" s="303" t="s">
        <v>80</v>
      </c>
      <c r="F434" s="528">
        <v>45433</v>
      </c>
      <c r="G434" s="528">
        <v>45447</v>
      </c>
      <c r="H43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4" s="522" t="str">
        <f>CONCATENATE(Таблица47[[#This Row],[№ заявки в 1С]],Таблица47[[#This Row],[Наименование            ]])</f>
        <v>299[35674] 0906-20, 3,2 м, сплав 6063 КР уп Т-5</v>
      </c>
      <c r="J43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4" s="635">
        <v>1</v>
      </c>
      <c r="N434" s="1119">
        <f>45+50+49</f>
        <v>144</v>
      </c>
      <c r="O434" s="1013" t="str">
        <f>IFERROR(Таблица47[[#This Row],[Количество хлыстов]]-Таблица47[[#This Row],[Обработано в 1С]]-Таблица47[[#This Row],[Корректировка]],"")</f>
        <v/>
      </c>
      <c r="P434" s="638" t="str">
        <f>IFERROR((((Таблица47[[#This Row],[Осталось сделать, хлыст]]*Таблица47[[#This Row],[длина]])*Таблица47[[#This Row],[Периметр]])/28),"")</f>
        <v/>
      </c>
      <c r="Q434" s="303" t="s">
        <v>4937</v>
      </c>
      <c r="R434" s="991">
        <f>IFERROR(Таблица47[[#This Row],[Коли-
чество м.п.]]/Таблица47[[#This Row],[Количество хлыстов]],"")</f>
        <v>3.2</v>
      </c>
      <c r="S434" s="639" t="s">
        <v>5100</v>
      </c>
      <c r="T434" s="639">
        <v>464</v>
      </c>
      <c r="U434" s="640">
        <v>145</v>
      </c>
      <c r="V434" s="639">
        <v>0.51529999999999998</v>
      </c>
      <c r="W434" s="639">
        <v>1.3759999999999999</v>
      </c>
      <c r="X434" s="639">
        <v>239.0992</v>
      </c>
      <c r="Y434" s="639">
        <v>638.46400000000006</v>
      </c>
      <c r="Z434" s="639">
        <v>31.08</v>
      </c>
      <c r="AA434" s="639">
        <v>203.54</v>
      </c>
      <c r="AB434" s="639">
        <v>395</v>
      </c>
      <c r="AC434" s="641">
        <v>94444.18</v>
      </c>
    </row>
    <row r="435" spans="1:29" ht="15.75" customHeight="1" x14ac:dyDescent="0.25">
      <c r="A435" s="427" t="s">
        <v>4678</v>
      </c>
      <c r="B435" s="309">
        <v>300</v>
      </c>
      <c r="C435" s="309"/>
      <c r="D435" s="303" t="s">
        <v>13</v>
      </c>
      <c r="E435" s="303" t="s">
        <v>32</v>
      </c>
      <c r="F435" s="528">
        <v>45433</v>
      </c>
      <c r="G435" s="528">
        <v>45447</v>
      </c>
      <c r="H43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5" s="522" t="str">
        <f>CONCATENATE(Таблица47[[#This Row],[№ заявки в 1С]],Таблица47[[#This Row],[Наименование            ]])</f>
        <v>300[81356] 1606-37 (АВА-7227), 5,05 м, сплав 6063 КР Т6, упаковка Т-5</v>
      </c>
      <c r="J43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5" s="635"/>
      <c r="N435" s="1119">
        <v>128</v>
      </c>
      <c r="O435" s="1013" t="str">
        <f>IFERROR(Таблица47[[#This Row],[Количество хлыстов]]-Таблица47[[#This Row],[Обработано в 1С]]-Таблица47[[#This Row],[Корректировка]],"")</f>
        <v/>
      </c>
      <c r="P435" s="638" t="str">
        <f>IFERROR((((Таблица47[[#This Row],[Осталось сделать, хлыст]]*Таблица47[[#This Row],[длина]])*Таблица47[[#This Row],[Периметр]])/28),"")</f>
        <v/>
      </c>
      <c r="Q435" s="303"/>
      <c r="R435" s="991">
        <f>IFERROR(Таблица47[[#This Row],[Коли-
чество м.п.]]/Таблица47[[#This Row],[Количество хлыстов]],"")</f>
        <v>5.05</v>
      </c>
      <c r="S435" s="639" t="s">
        <v>4275</v>
      </c>
      <c r="T435" s="639">
        <v>646.4</v>
      </c>
      <c r="U435" s="640">
        <v>128</v>
      </c>
      <c r="V435" s="639">
        <v>0.2651</v>
      </c>
      <c r="W435" s="639">
        <v>0.82099999999999995</v>
      </c>
      <c r="X435" s="639">
        <v>171.36060000000001</v>
      </c>
      <c r="Y435" s="639">
        <v>530.69439999999997</v>
      </c>
      <c r="Z435" s="639">
        <v>22.28</v>
      </c>
      <c r="AA435" s="639">
        <v>107.37</v>
      </c>
      <c r="AB435" s="639">
        <v>405</v>
      </c>
      <c r="AC435" s="641">
        <v>69401.06</v>
      </c>
    </row>
    <row r="436" spans="1:29" ht="15.75" customHeight="1" x14ac:dyDescent="0.25">
      <c r="A436" s="427" t="s">
        <v>4678</v>
      </c>
      <c r="B436" s="309" t="s">
        <v>5122</v>
      </c>
      <c r="C436" s="309"/>
      <c r="D436" s="303" t="s">
        <v>34</v>
      </c>
      <c r="E436" s="303" t="s">
        <v>16</v>
      </c>
      <c r="F436" s="528">
        <v>45433</v>
      </c>
      <c r="G436" s="528"/>
      <c r="H43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6" s="522" t="str">
        <f>CONCATENATE(Таблица47[[#This Row],[№ заявки в 1С]],Таблица47[[#This Row],[Наименование            ]])</f>
        <v>OPT000528[13620] 0106-290 (6158), 6,0м, 6063 Т1, тип 1, упаковка Т-5, БА</v>
      </c>
      <c r="J43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6" s="635">
        <v>1</v>
      </c>
      <c r="N436" s="1119">
        <f>168+126+168+40+70</f>
        <v>572</v>
      </c>
      <c r="O436" s="1013" t="str">
        <f>IFERROR(Таблица47[[#This Row],[Количество хлыстов]]-Таблица47[[#This Row],[Обработано в 1С]]-Таблица47[[#This Row],[Корректировка]],"")</f>
        <v/>
      </c>
      <c r="P436" s="638" t="str">
        <f>IFERROR((((Таблица47[[#This Row],[Осталось сделать, хлыст]]*Таблица47[[#This Row],[длина]])*Таблица47[[#This Row],[Периметр]])/28),"")</f>
        <v/>
      </c>
      <c r="Q436" s="303" t="s">
        <v>559</v>
      </c>
      <c r="R436" s="991">
        <f>IFERROR(Таблица47[[#This Row],[Коли-
чество м.п.]]/Таблица47[[#This Row],[Количество хлыстов]],"")</f>
        <v>6</v>
      </c>
      <c r="S436" s="639" t="s">
        <v>5693</v>
      </c>
      <c r="T436" s="639">
        <v>3438</v>
      </c>
      <c r="U436" s="640">
        <v>573</v>
      </c>
      <c r="V436" s="639">
        <v>0.29970000000000002</v>
      </c>
      <c r="W436" s="639">
        <v>1.6739999999999999</v>
      </c>
      <c r="X436" s="639">
        <v>1030.3686</v>
      </c>
      <c r="Y436" s="639">
        <v>5755.2120000000004</v>
      </c>
      <c r="Z436" s="639">
        <v>133.94999999999999</v>
      </c>
      <c r="AA436" s="639">
        <v>130.37</v>
      </c>
      <c r="AB436" s="639">
        <v>435</v>
      </c>
      <c r="AC436" s="641">
        <v>448210.34</v>
      </c>
    </row>
    <row r="437" spans="1:29" s="1021" customFormat="1" ht="15.75" customHeight="1" x14ac:dyDescent="0.25">
      <c r="A437" s="1106" t="s">
        <v>4978</v>
      </c>
      <c r="B437" s="1067">
        <v>303</v>
      </c>
      <c r="C437" s="1067"/>
      <c r="D437" s="1068" t="s">
        <v>13</v>
      </c>
      <c r="E437" s="1068" t="s">
        <v>892</v>
      </c>
      <c r="F437" s="1069">
        <v>45433</v>
      </c>
      <c r="G437" s="1069"/>
      <c r="H43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7" s="620" t="str">
        <f>CONCATENATE(Таблица47[[#This Row],[№ заявки в 1С]],Таблица47[[#This Row],[Наименование            ]])</f>
        <v>303[88733] 1606-37 (АВА-7227), 4,45 м,  Ад31 под покраску</v>
      </c>
      <c r="J43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7" s="1082"/>
      <c r="N437" s="1120">
        <v>135</v>
      </c>
      <c r="O437" s="1020" t="str">
        <f>IFERROR(Таблица47[[#This Row],[Количество хлыстов]]-Таблица47[[#This Row],[Обработано в 1С]]-Таблица47[[#This Row],[Корректировка]],"")</f>
        <v/>
      </c>
      <c r="P437" s="638" t="str">
        <f>IFERROR((((Таблица47[[#This Row],[Осталось сделать, хлыст]]*Таблица47[[#This Row],[длина]])*Таблица47[[#This Row],[Периметр]])/28),"")</f>
        <v/>
      </c>
      <c r="Q437" s="1068"/>
      <c r="R437" s="1089">
        <f>IFERROR(Таблица47[[#This Row],[Коли-
чество м.п.]]/Таблица47[[#This Row],[Количество хлыстов]],"")</f>
        <v>4.45</v>
      </c>
      <c r="S437" s="1083" t="s">
        <v>5123</v>
      </c>
      <c r="T437" s="1083">
        <v>600.75</v>
      </c>
      <c r="U437" s="1084">
        <v>135</v>
      </c>
      <c r="V437" s="1083">
        <v>0.2651</v>
      </c>
      <c r="W437" s="1083">
        <v>0.82099999999999995</v>
      </c>
      <c r="X437" s="1083">
        <v>159.25880000000001</v>
      </c>
      <c r="Y437" s="1083">
        <v>493.2158</v>
      </c>
      <c r="Z437" s="1083">
        <v>20.7</v>
      </c>
      <c r="AA437" s="1083">
        <v>87.48</v>
      </c>
      <c r="AB437" s="1083">
        <v>330</v>
      </c>
      <c r="AC437" s="1085">
        <v>52555.41</v>
      </c>
    </row>
    <row r="438" spans="1:29" ht="15.75" customHeight="1" x14ac:dyDescent="0.25">
      <c r="A438" s="427" t="s">
        <v>4678</v>
      </c>
      <c r="B438" s="309">
        <v>304</v>
      </c>
      <c r="C438" s="309" t="s">
        <v>4753</v>
      </c>
      <c r="D438" s="303" t="s">
        <v>34</v>
      </c>
      <c r="E438" s="303" t="s">
        <v>4467</v>
      </c>
      <c r="F438" s="528">
        <v>45435</v>
      </c>
      <c r="G438" s="528"/>
      <c r="H43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8" s="522" t="str">
        <f>CONCATENATE(Таблица47[[#This Row],[№ заявки в 1С]],Таблица47[[#This Row],[Наименование            ]])</f>
        <v>304[90988] Д 30х30 B-Rxtr 6,05м, БА</v>
      </c>
      <c r="J43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8" s="635"/>
      <c r="N438" s="1119">
        <v>22</v>
      </c>
      <c r="O438" s="1013" t="str">
        <f>IFERROR(Таблица47[[#This Row],[Количество хлыстов]]-Таблица47[[#This Row],[Обработано в 1С]]-Таблица47[[#This Row],[Корректировка]],"")</f>
        <v/>
      </c>
      <c r="P438" s="638" t="str">
        <f>IFERROR((((Таблица47[[#This Row],[Осталось сделать, хлыст]]*Таблица47[[#This Row],[длина]])*Таблица47[[#This Row],[Периметр]])/28),"")</f>
        <v/>
      </c>
      <c r="Q438" s="303"/>
      <c r="R438" s="991">
        <f>IFERROR(Таблица47[[#This Row],[Коли-
чество м.п.]]/Таблица47[[#This Row],[Количество хлыстов]],"")</f>
        <v>6.05</v>
      </c>
      <c r="S438" s="639" t="s">
        <v>5134</v>
      </c>
      <c r="T438" s="639">
        <v>133.1</v>
      </c>
      <c r="U438" s="640">
        <v>22</v>
      </c>
      <c r="V438" s="639">
        <v>0.2319</v>
      </c>
      <c r="W438" s="639">
        <v>0.84599999999999997</v>
      </c>
      <c r="X438" s="639">
        <v>30.8659</v>
      </c>
      <c r="Y438" s="639">
        <v>112.6026</v>
      </c>
      <c r="Z438" s="639">
        <v>4.01</v>
      </c>
      <c r="AA438" s="639">
        <v>148.01</v>
      </c>
      <c r="AB438" s="639">
        <v>638.25</v>
      </c>
      <c r="AC438" s="641">
        <v>19700</v>
      </c>
    </row>
    <row r="439" spans="1:29" ht="15.75" customHeight="1" x14ac:dyDescent="0.25">
      <c r="A439" s="427" t="s">
        <v>4678</v>
      </c>
      <c r="B439" s="309">
        <v>304</v>
      </c>
      <c r="C439" s="309" t="s">
        <v>4753</v>
      </c>
      <c r="D439" s="303" t="s">
        <v>34</v>
      </c>
      <c r="E439" s="303" t="s">
        <v>4467</v>
      </c>
      <c r="F439" s="528">
        <v>45435</v>
      </c>
      <c r="G439" s="528"/>
      <c r="H43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39" s="522" t="str">
        <f>CONCATENATE(Таблица47[[#This Row],[№ заявки в 1С]],Таблица47[[#This Row],[Наименование            ]])</f>
        <v>304[90989] д 40х40 B-Rxtr, 6,05м БА</v>
      </c>
      <c r="J43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3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3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39" s="635"/>
      <c r="N439" s="1119">
        <v>12</v>
      </c>
      <c r="O439" s="1013" t="str">
        <f>IFERROR(Таблица47[[#This Row],[Количество хлыстов]]-Таблица47[[#This Row],[Обработано в 1С]]-Таблица47[[#This Row],[Корректировка]],"")</f>
        <v/>
      </c>
      <c r="P439" s="638" t="str">
        <f>IFERROR((((Таблица47[[#This Row],[Осталось сделать, хлыст]]*Таблица47[[#This Row],[длина]])*Таблица47[[#This Row],[Периметр]])/28),"")</f>
        <v/>
      </c>
      <c r="Q439" s="303"/>
      <c r="R439" s="991">
        <f>IFERROR(Таблица47[[#This Row],[Коли-
чество м.п.]]/Таблица47[[#This Row],[Количество хлыстов]],"")</f>
        <v>6.05</v>
      </c>
      <c r="S439" s="639" t="s">
        <v>5135</v>
      </c>
      <c r="T439" s="639">
        <v>72.599999999999994</v>
      </c>
      <c r="U439" s="640">
        <v>12</v>
      </c>
      <c r="V439" s="639">
        <v>0.30940000000000001</v>
      </c>
      <c r="W439" s="639">
        <v>1.49</v>
      </c>
      <c r="X439" s="639">
        <v>22.462399999999999</v>
      </c>
      <c r="Y439" s="639">
        <v>108.17400000000001</v>
      </c>
      <c r="Z439" s="639">
        <v>2.92</v>
      </c>
      <c r="AA439" s="639">
        <v>271.35000000000002</v>
      </c>
      <c r="AB439" s="639">
        <v>877.02</v>
      </c>
      <c r="AC439" s="641">
        <v>19700</v>
      </c>
    </row>
    <row r="440" spans="1:29" ht="15.75" customHeight="1" x14ac:dyDescent="0.25">
      <c r="A440" s="427" t="s">
        <v>4678</v>
      </c>
      <c r="B440" s="309">
        <v>306</v>
      </c>
      <c r="C440" s="309" t="s">
        <v>4753</v>
      </c>
      <c r="D440" s="303" t="s">
        <v>34</v>
      </c>
      <c r="E440" s="303" t="s">
        <v>4559</v>
      </c>
      <c r="F440" s="528">
        <v>45435</v>
      </c>
      <c r="G440" s="528"/>
      <c r="H4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0" s="522" t="str">
        <f>CONCATENATE(Таблица47[[#This Row],[№ заявки в 1С]],Таблица47[[#This Row],[Наименование            ]])</f>
        <v>306[90993] д крышка ригельная ТП-5014М, 6м , БА</v>
      </c>
      <c r="J44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0" s="635"/>
      <c r="N440" s="1119">
        <v>7</v>
      </c>
      <c r="O440" s="1013" t="str">
        <f>IFERROR(Таблица47[[#This Row],[Количество хлыстов]]-Таблица47[[#This Row],[Обработано в 1С]]-Таблица47[[#This Row],[Корректировка]],"")</f>
        <v/>
      </c>
      <c r="P440" s="638" t="str">
        <f>IFERROR((((Таблица47[[#This Row],[Осталось сделать, хлыст]]*Таблица47[[#This Row],[длина]])*Таблица47[[#This Row],[Периметр]])/28),"")</f>
        <v/>
      </c>
      <c r="Q440" s="303"/>
      <c r="R440" s="991">
        <f>IFERROR(Таблица47[[#This Row],[Коли-
чество м.п.]]/Таблица47[[#This Row],[Количество хлыстов]],"")</f>
        <v>6</v>
      </c>
      <c r="S440" s="639" t="s">
        <v>5124</v>
      </c>
      <c r="T440" s="639">
        <v>42</v>
      </c>
      <c r="U440" s="640">
        <v>7</v>
      </c>
      <c r="V440" s="639">
        <v>0.1381</v>
      </c>
      <c r="W440" s="639">
        <v>0.248</v>
      </c>
      <c r="X440" s="639">
        <v>5.8002000000000002</v>
      </c>
      <c r="Y440" s="639">
        <v>10.416</v>
      </c>
      <c r="Z440" s="639">
        <v>0.75</v>
      </c>
      <c r="AA440" s="639">
        <v>250.19</v>
      </c>
      <c r="AB440" s="639">
        <v>1811.66</v>
      </c>
      <c r="AC440" s="641">
        <v>10507.98</v>
      </c>
    </row>
    <row r="441" spans="1:29" ht="15.75" customHeight="1" x14ac:dyDescent="0.25">
      <c r="A441" s="427" t="s">
        <v>4678</v>
      </c>
      <c r="B441" s="309">
        <v>306</v>
      </c>
      <c r="C441" s="309" t="s">
        <v>4753</v>
      </c>
      <c r="D441" s="303" t="s">
        <v>34</v>
      </c>
      <c r="E441" s="303" t="s">
        <v>4559</v>
      </c>
      <c r="F441" s="528">
        <v>45435</v>
      </c>
      <c r="G441" s="528"/>
      <c r="H44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1" s="522" t="str">
        <f>CONCATENATE(Таблица47[[#This Row],[№ заявки в 1С]],Таблица47[[#This Row],[Наименование            ]])</f>
        <v>306[90994] д стоечный прижим ТПСК-6038, 6м, БА</v>
      </c>
      <c r="J44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1" s="635"/>
      <c r="N441" s="1119">
        <v>48</v>
      </c>
      <c r="O441" s="1013" t="str">
        <f>IFERROR(Таблица47[[#This Row],[Количество хлыстов]]-Таблица47[[#This Row],[Обработано в 1С]]-Таблица47[[#This Row],[Корректировка]],"")</f>
        <v/>
      </c>
      <c r="P441" s="638" t="str">
        <f>IFERROR((((Таблица47[[#This Row],[Осталось сделать, хлыст]]*Таблица47[[#This Row],[длина]])*Таблица47[[#This Row],[Периметр]])/28),"")</f>
        <v/>
      </c>
      <c r="Q441" s="303"/>
      <c r="R441" s="991">
        <f>IFERROR(Таблица47[[#This Row],[Коли-
чество м.п.]]/Таблица47[[#This Row],[Количество хлыстов]],"")</f>
        <v>6</v>
      </c>
      <c r="S441" s="639" t="s">
        <v>5456</v>
      </c>
      <c r="T441" s="639">
        <v>288</v>
      </c>
      <c r="U441" s="640">
        <v>48</v>
      </c>
      <c r="V441" s="639">
        <v>0.22189999999999999</v>
      </c>
      <c r="W441" s="639">
        <v>0.76</v>
      </c>
      <c r="X441" s="639">
        <v>63.907200000000003</v>
      </c>
      <c r="Y441" s="639">
        <v>218.88</v>
      </c>
      <c r="Z441" s="639">
        <v>8.31</v>
      </c>
      <c r="AA441" s="639">
        <v>250.19</v>
      </c>
      <c r="AB441" s="639">
        <v>1127.49</v>
      </c>
      <c r="AC441" s="641">
        <v>72054.720000000001</v>
      </c>
    </row>
    <row r="442" spans="1:29" ht="15.75" customHeight="1" x14ac:dyDescent="0.25">
      <c r="A442" s="427" t="s">
        <v>4678</v>
      </c>
      <c r="B442" s="309">
        <v>306</v>
      </c>
      <c r="C442" s="309" t="s">
        <v>4753</v>
      </c>
      <c r="D442" s="303" t="s">
        <v>34</v>
      </c>
      <c r="E442" s="303" t="s">
        <v>4559</v>
      </c>
      <c r="F442" s="528">
        <v>45435</v>
      </c>
      <c r="G442" s="528"/>
      <c r="H44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2" s="522" t="str">
        <f>CONCATENATE(Таблица47[[#This Row],[№ заявки в 1С]],Таблица47[[#This Row],[Наименование            ]])</f>
        <v>306[90995] д ригельный прижим ТПСК-6039, 6м, БА</v>
      </c>
      <c r="J44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2" s="635"/>
      <c r="N442" s="1119">
        <v>46</v>
      </c>
      <c r="O442" s="1013" t="str">
        <f>IFERROR(Таблица47[[#This Row],[Количество хлыстов]]-Таблица47[[#This Row],[Обработано в 1С]]-Таблица47[[#This Row],[Корректировка]],"")</f>
        <v/>
      </c>
      <c r="P442" s="638" t="str">
        <f>IFERROR((((Таблица47[[#This Row],[Осталось сделать, хлыст]]*Таблица47[[#This Row],[длина]])*Таблица47[[#This Row],[Периметр]])/28),"")</f>
        <v/>
      </c>
      <c r="Q442" s="303"/>
      <c r="R442" s="991">
        <f>IFERROR(Таблица47[[#This Row],[Коли-
чество м.п.]]/Таблица47[[#This Row],[Количество хлыстов]],"")</f>
        <v>6</v>
      </c>
      <c r="S442" s="639" t="s">
        <v>5457</v>
      </c>
      <c r="T442" s="639">
        <v>276</v>
      </c>
      <c r="U442" s="640">
        <v>46</v>
      </c>
      <c r="V442" s="639">
        <v>0.19170000000000001</v>
      </c>
      <c r="W442" s="639">
        <v>0.57999999999999996</v>
      </c>
      <c r="X442" s="639">
        <v>52.909199999999998</v>
      </c>
      <c r="Y442" s="639">
        <v>160.08000000000001</v>
      </c>
      <c r="Z442" s="639">
        <v>6.88</v>
      </c>
      <c r="AA442" s="639">
        <v>250.19</v>
      </c>
      <c r="AB442" s="639">
        <v>1305.1099999999999</v>
      </c>
      <c r="AC442" s="641">
        <v>69052.44</v>
      </c>
    </row>
    <row r="443" spans="1:29" ht="15.75" customHeight="1" x14ac:dyDescent="0.25">
      <c r="A443" s="427" t="s">
        <v>4678</v>
      </c>
      <c r="B443" s="309">
        <v>306</v>
      </c>
      <c r="C443" s="309" t="s">
        <v>4753</v>
      </c>
      <c r="D443" s="303" t="s">
        <v>34</v>
      </c>
      <c r="E443" s="303" t="s">
        <v>4559</v>
      </c>
      <c r="F443" s="528">
        <v>45435</v>
      </c>
      <c r="G443" s="528"/>
      <c r="H44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3" s="522" t="str">
        <f>CONCATENATE(Таблица47[[#This Row],[№ заявки в 1С]],Таблица47[[#This Row],[Наименование            ]])</f>
        <v>306[90996] д крышка ТПСК-6040, 6м, БА</v>
      </c>
      <c r="J44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3" s="635"/>
      <c r="N443" s="1119">
        <v>90</v>
      </c>
      <c r="O443" s="1013" t="str">
        <f>IFERROR(Таблица47[[#This Row],[Количество хлыстов]]-Таблица47[[#This Row],[Обработано в 1С]]-Таблица47[[#This Row],[Корректировка]],"")</f>
        <v/>
      </c>
      <c r="P443" s="638" t="str">
        <f>IFERROR((((Таблица47[[#This Row],[Осталось сделать, хлыст]]*Таблица47[[#This Row],[длина]])*Таблица47[[#This Row],[Периметр]])/28),"")</f>
        <v/>
      </c>
      <c r="Q443" s="303"/>
      <c r="R443" s="991">
        <f>IFERROR(Таблица47[[#This Row],[Коли-
чество м.п.]]/Таблица47[[#This Row],[Количество хлыстов]],"")</f>
        <v>6</v>
      </c>
      <c r="S443" s="639" t="s">
        <v>5127</v>
      </c>
      <c r="T443" s="639">
        <v>540</v>
      </c>
      <c r="U443" s="640">
        <v>90</v>
      </c>
      <c r="V443" s="639">
        <v>7.7899999999999997E-2</v>
      </c>
      <c r="W443" s="639">
        <v>0.15</v>
      </c>
      <c r="X443" s="639">
        <v>42.066000000000003</v>
      </c>
      <c r="Y443" s="639">
        <v>81</v>
      </c>
      <c r="Z443" s="639">
        <v>5.47</v>
      </c>
      <c r="AA443" s="639">
        <v>250.19</v>
      </c>
      <c r="AB443" s="639">
        <v>3211.68</v>
      </c>
      <c r="AC443" s="641">
        <v>135102.6</v>
      </c>
    </row>
    <row r="444" spans="1:29" ht="15.75" customHeight="1" x14ac:dyDescent="0.25">
      <c r="A444" s="427" t="s">
        <v>4678</v>
      </c>
      <c r="B444" s="309">
        <v>306</v>
      </c>
      <c r="C444" s="309" t="s">
        <v>4753</v>
      </c>
      <c r="D444" s="303" t="s">
        <v>34</v>
      </c>
      <c r="E444" s="303" t="s">
        <v>4559</v>
      </c>
      <c r="F444" s="528">
        <v>45435</v>
      </c>
      <c r="G444" s="528"/>
      <c r="H44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4" s="522" t="str">
        <f>CONCATENATE(Таблица47[[#This Row],[№ заявки в 1С]],Таблица47[[#This Row],[Наименование            ]])</f>
        <v>306[90997] д стойка ТПСК-60523, 6м, БА</v>
      </c>
      <c r="J44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4" s="635"/>
      <c r="N444" s="1119">
        <v>48</v>
      </c>
      <c r="O444" s="1013" t="str">
        <f>IFERROR(Таблица47[[#This Row],[Количество хлыстов]]-Таблица47[[#This Row],[Обработано в 1С]]-Таблица47[[#This Row],[Корректировка]],"")</f>
        <v/>
      </c>
      <c r="P444" s="638" t="str">
        <f>IFERROR((((Таблица47[[#This Row],[Осталось сделать, хлыст]]*Таблица47[[#This Row],[длина]])*Таблица47[[#This Row],[Периметр]])/28),"")</f>
        <v/>
      </c>
      <c r="Q444" s="303"/>
      <c r="R444" s="991">
        <f>IFERROR(Таблица47[[#This Row],[Коли-
чество м.п.]]/Таблица47[[#This Row],[Количество хлыстов]],"")</f>
        <v>6</v>
      </c>
      <c r="S444" s="639" t="s">
        <v>5458</v>
      </c>
      <c r="T444" s="639">
        <v>288</v>
      </c>
      <c r="U444" s="640">
        <v>48</v>
      </c>
      <c r="V444" s="639">
        <v>0.5837</v>
      </c>
      <c r="W444" s="639">
        <v>2.7629999999999999</v>
      </c>
      <c r="X444" s="639">
        <v>168.10560000000001</v>
      </c>
      <c r="Y444" s="639">
        <v>795.74400000000003</v>
      </c>
      <c r="Z444" s="639">
        <v>21.85</v>
      </c>
      <c r="AA444" s="639">
        <v>250.19</v>
      </c>
      <c r="AB444" s="639">
        <v>428.63</v>
      </c>
      <c r="AC444" s="641">
        <v>72054.720000000001</v>
      </c>
    </row>
    <row r="445" spans="1:29" ht="15.75" customHeight="1" x14ac:dyDescent="0.25">
      <c r="A445" s="427" t="s">
        <v>4678</v>
      </c>
      <c r="B445" s="309">
        <v>306</v>
      </c>
      <c r="C445" s="309" t="s">
        <v>4753</v>
      </c>
      <c r="D445" s="303" t="s">
        <v>34</v>
      </c>
      <c r="E445" s="303" t="s">
        <v>4559</v>
      </c>
      <c r="F445" s="528">
        <v>45435</v>
      </c>
      <c r="G445" s="528"/>
      <c r="H44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5" s="522" t="str">
        <f>CONCATENATE(Таблица47[[#This Row],[№ заявки в 1С]],Таблица47[[#This Row],[Наименование            ]])</f>
        <v>306[90999] д ригель ТПСК-60532, 6м БА</v>
      </c>
      <c r="J44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5" s="635"/>
      <c r="N445" s="1119">
        <v>12</v>
      </c>
      <c r="O445" s="1013" t="str">
        <f>IFERROR(Таблица47[[#This Row],[Количество хлыстов]]-Таблица47[[#This Row],[Обработано в 1С]]-Таблица47[[#This Row],[Корректировка]],"")</f>
        <v/>
      </c>
      <c r="P445" s="638" t="str">
        <f>IFERROR((((Таблица47[[#This Row],[Осталось сделать, хлыст]]*Таблица47[[#This Row],[длина]])*Таблица47[[#This Row],[Периметр]])/28),"")</f>
        <v/>
      </c>
      <c r="Q445" s="303"/>
      <c r="R445" s="991">
        <f>IFERROR(Таблица47[[#This Row],[Коли-
чество м.п.]]/Таблица47[[#This Row],[Количество хлыстов]],"")</f>
        <v>6</v>
      </c>
      <c r="S445" s="639" t="s">
        <v>5129</v>
      </c>
      <c r="T445" s="639">
        <v>72</v>
      </c>
      <c r="U445" s="640">
        <v>12</v>
      </c>
      <c r="V445" s="639">
        <v>0.40250000000000002</v>
      </c>
      <c r="W445" s="639">
        <v>1.78</v>
      </c>
      <c r="X445" s="639">
        <v>28.98</v>
      </c>
      <c r="Y445" s="639">
        <v>128.16</v>
      </c>
      <c r="Z445" s="639">
        <v>3.77</v>
      </c>
      <c r="AA445" s="639">
        <v>250.19</v>
      </c>
      <c r="AB445" s="639">
        <v>621.59</v>
      </c>
      <c r="AC445" s="641">
        <v>18013.68</v>
      </c>
    </row>
    <row r="446" spans="1:29" ht="15.75" customHeight="1" x14ac:dyDescent="0.25">
      <c r="A446" s="427" t="s">
        <v>4678</v>
      </c>
      <c r="B446" s="309">
        <v>306</v>
      </c>
      <c r="C446" s="309" t="s">
        <v>4753</v>
      </c>
      <c r="D446" s="303" t="s">
        <v>34</v>
      </c>
      <c r="E446" s="303" t="s">
        <v>4559</v>
      </c>
      <c r="F446" s="528">
        <v>45435</v>
      </c>
      <c r="G446" s="528"/>
      <c r="H44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6" s="522" t="str">
        <f>CONCATENATE(Таблица47[[#This Row],[№ заявки в 1С]],Таблица47[[#This Row],[Наименование            ]])</f>
        <v>306[90998] д ригель ТПСК-60533, 6м, БА</v>
      </c>
      <c r="J44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6" s="635"/>
      <c r="N446" s="1119">
        <v>35</v>
      </c>
      <c r="O446" s="1013" t="str">
        <f>IFERROR(Таблица47[[#This Row],[Количество хлыстов]]-Таблица47[[#This Row],[Обработано в 1С]]-Таблица47[[#This Row],[Корректировка]],"")</f>
        <v/>
      </c>
      <c r="P446" s="638" t="str">
        <f>IFERROR((((Таблица47[[#This Row],[Осталось сделать, хлыст]]*Таблица47[[#This Row],[длина]])*Таблица47[[#This Row],[Периметр]])/28),"")</f>
        <v/>
      </c>
      <c r="Q446" s="303"/>
      <c r="R446" s="991">
        <f>IFERROR(Таблица47[[#This Row],[Коли-
чество м.п.]]/Таблица47[[#This Row],[Количество хлыстов]],"")</f>
        <v>6</v>
      </c>
      <c r="S446" s="639" t="s">
        <v>5130</v>
      </c>
      <c r="T446" s="639">
        <v>210</v>
      </c>
      <c r="U446" s="640">
        <v>35</v>
      </c>
      <c r="V446" s="639">
        <v>0.47649999999999998</v>
      </c>
      <c r="W446" s="639">
        <v>2.1819999999999999</v>
      </c>
      <c r="X446" s="639">
        <v>100.065</v>
      </c>
      <c r="Y446" s="639">
        <v>458.22</v>
      </c>
      <c r="Z446" s="639">
        <v>13.01</v>
      </c>
      <c r="AA446" s="639">
        <v>250.19</v>
      </c>
      <c r="AB446" s="639">
        <v>525.05999999999995</v>
      </c>
      <c r="AC446" s="641">
        <v>52539.9</v>
      </c>
    </row>
    <row r="447" spans="1:29" ht="15.75" customHeight="1" x14ac:dyDescent="0.25">
      <c r="A447" s="427" t="s">
        <v>4678</v>
      </c>
      <c r="B447" s="309">
        <v>306</v>
      </c>
      <c r="C447" s="309" t="s">
        <v>4753</v>
      </c>
      <c r="D447" s="303" t="s">
        <v>34</v>
      </c>
      <c r="E447" s="303" t="s">
        <v>4559</v>
      </c>
      <c r="F447" s="528">
        <v>45435</v>
      </c>
      <c r="G447" s="528"/>
      <c r="H44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7" s="522" t="str">
        <f>CONCATENATE(Таблица47[[#This Row],[№ заявки в 1С]],Таблица47[[#This Row],[Наименование            ]])</f>
        <v>306[91000] д стойка ТПСК-50312, 6м, БА</v>
      </c>
      <c r="J44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7" s="635"/>
      <c r="N447" s="1119">
        <v>4</v>
      </c>
      <c r="O447" s="1013" t="str">
        <f>IFERROR(Таблица47[[#This Row],[Количество хлыстов]]-Таблица47[[#This Row],[Обработано в 1С]]-Таблица47[[#This Row],[Корректировка]],"")</f>
        <v/>
      </c>
      <c r="P447" s="638" t="str">
        <f>IFERROR((((Таблица47[[#This Row],[Осталось сделать, хлыст]]*Таблица47[[#This Row],[длина]])*Таблица47[[#This Row],[Периметр]])/28),"")</f>
        <v/>
      </c>
      <c r="Q447" s="303"/>
      <c r="R447" s="991">
        <f>IFERROR(Таблица47[[#This Row],[Коли-
чество м.п.]]/Таблица47[[#This Row],[Количество хлыстов]],"")</f>
        <v>6</v>
      </c>
      <c r="S447" s="639" t="s">
        <v>5131</v>
      </c>
      <c r="T447" s="639">
        <v>24</v>
      </c>
      <c r="U447" s="640">
        <v>4</v>
      </c>
      <c r="V447" s="639">
        <v>0.44619999999999999</v>
      </c>
      <c r="W447" s="639">
        <v>2.31</v>
      </c>
      <c r="X447" s="639">
        <v>10.7088</v>
      </c>
      <c r="Y447" s="639">
        <v>55.44</v>
      </c>
      <c r="Z447" s="639">
        <v>1.39</v>
      </c>
      <c r="AA447" s="639">
        <v>250.19</v>
      </c>
      <c r="AB447" s="639">
        <v>560.71</v>
      </c>
      <c r="AC447" s="641">
        <v>6004.56</v>
      </c>
    </row>
    <row r="448" spans="1:29" ht="15.75" customHeight="1" x14ac:dyDescent="0.25">
      <c r="A448" s="427" t="s">
        <v>4678</v>
      </c>
      <c r="B448" s="309">
        <v>306</v>
      </c>
      <c r="C448" s="309" t="s">
        <v>4753</v>
      </c>
      <c r="D448" s="303" t="s">
        <v>34</v>
      </c>
      <c r="E448" s="303" t="s">
        <v>4559</v>
      </c>
      <c r="F448" s="528">
        <v>45435</v>
      </c>
      <c r="G448" s="528"/>
      <c r="H44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8" s="522" t="str">
        <f>CONCATENATE(Таблица47[[#This Row],[№ заявки в 1С]],Таблица47[[#This Row],[Наименование            ]])</f>
        <v>306[91001] д ригель ТП-50324, 6м, БА</v>
      </c>
      <c r="J44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8" s="635"/>
      <c r="N448" s="1119">
        <v>7</v>
      </c>
      <c r="O448" s="1013" t="str">
        <f>IFERROR(Таблица47[[#This Row],[Количество хлыстов]]-Таблица47[[#This Row],[Обработано в 1С]]-Таблица47[[#This Row],[Корректировка]],"")</f>
        <v/>
      </c>
      <c r="P448" s="638" t="str">
        <f>IFERROR((((Таблица47[[#This Row],[Осталось сделать, хлыст]]*Таблица47[[#This Row],[длина]])*Таблица47[[#This Row],[Периметр]])/28),"")</f>
        <v/>
      </c>
      <c r="Q448" s="303"/>
      <c r="R448" s="991">
        <f>IFERROR(Таблица47[[#This Row],[Коли-
чество м.п.]]/Таблица47[[#This Row],[Количество хлыстов]],"")</f>
        <v>6</v>
      </c>
      <c r="S448" s="639" t="s">
        <v>5132</v>
      </c>
      <c r="T448" s="639">
        <v>42</v>
      </c>
      <c r="U448" s="640">
        <v>7</v>
      </c>
      <c r="V448" s="639">
        <v>0.44159999999999999</v>
      </c>
      <c r="W448" s="639">
        <v>2.0499999999999998</v>
      </c>
      <c r="X448" s="639">
        <v>18.5472</v>
      </c>
      <c r="Y448" s="639">
        <v>86.1</v>
      </c>
      <c r="Z448" s="639">
        <v>2.41</v>
      </c>
      <c r="AA448" s="639">
        <v>250.19</v>
      </c>
      <c r="AB448" s="639">
        <v>566.54999999999995</v>
      </c>
      <c r="AC448" s="641">
        <v>10507.98</v>
      </c>
    </row>
    <row r="449" spans="1:29" ht="15.75" customHeight="1" x14ac:dyDescent="0.25">
      <c r="A449" s="427" t="s">
        <v>4678</v>
      </c>
      <c r="B449" s="309">
        <v>306</v>
      </c>
      <c r="C449" s="309" t="s">
        <v>4753</v>
      </c>
      <c r="D449" s="303" t="s">
        <v>34</v>
      </c>
      <c r="E449" s="303" t="s">
        <v>4559</v>
      </c>
      <c r="F449" s="528">
        <v>45435</v>
      </c>
      <c r="G449" s="528"/>
      <c r="H44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49" s="522" t="str">
        <f>CONCATENATE(Таблица47[[#This Row],[№ заявки в 1С]],Таблица47[[#This Row],[Наименование            ]])</f>
        <v>306[91002] д крышка ТП-50183, 6м, БА</v>
      </c>
      <c r="J44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4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4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49" s="635"/>
      <c r="N449" s="1119">
        <v>4</v>
      </c>
      <c r="O449" s="1013" t="str">
        <f>IFERROR(Таблица47[[#This Row],[Количество хлыстов]]-Таблица47[[#This Row],[Обработано в 1С]]-Таблица47[[#This Row],[Корректировка]],"")</f>
        <v/>
      </c>
      <c r="P449" s="638" t="str">
        <f>IFERROR((((Таблица47[[#This Row],[Осталось сделать, хлыст]]*Таблица47[[#This Row],[длина]])*Таблица47[[#This Row],[Периметр]])/28),"")</f>
        <v/>
      </c>
      <c r="Q449" s="303"/>
      <c r="R449" s="991">
        <f>IFERROR(Таблица47[[#This Row],[Коли-
чество м.п.]]/Таблица47[[#This Row],[Количество хлыстов]],"")</f>
        <v>6</v>
      </c>
      <c r="S449" s="639" t="s">
        <v>5133</v>
      </c>
      <c r="T449" s="639">
        <v>24</v>
      </c>
      <c r="U449" s="640">
        <v>4</v>
      </c>
      <c r="V449" s="639">
        <v>0.16650000000000001</v>
      </c>
      <c r="W449" s="639">
        <v>0.28999999999999998</v>
      </c>
      <c r="X449" s="639">
        <v>3.996</v>
      </c>
      <c r="Y449" s="639">
        <v>6.96</v>
      </c>
      <c r="Z449" s="639">
        <v>0.52</v>
      </c>
      <c r="AA449" s="639">
        <v>250.19</v>
      </c>
      <c r="AB449" s="639">
        <v>1502.64</v>
      </c>
      <c r="AC449" s="641">
        <v>6004.56</v>
      </c>
    </row>
    <row r="450" spans="1:29" ht="15.75" customHeight="1" x14ac:dyDescent="0.25">
      <c r="A450" s="427" t="s">
        <v>4678</v>
      </c>
      <c r="B450" s="309">
        <v>307</v>
      </c>
      <c r="C450" s="309"/>
      <c r="D450" s="303" t="s">
        <v>34</v>
      </c>
      <c r="E450" s="303" t="s">
        <v>4554</v>
      </c>
      <c r="F450" s="528">
        <v>45435</v>
      </c>
      <c r="G450" s="528"/>
      <c r="H45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0" s="928" t="str">
        <f>CONCATENATE(Таблица47[[#This Row],[№ заявки в 1С]],Таблица47[[#This Row],[Наименование            ]])</f>
        <v>307[88065] 1806-63, 3,4м, 6063 Т1, уп.Т5</v>
      </c>
      <c r="J45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0" s="635"/>
      <c r="N450" s="1119">
        <v>462</v>
      </c>
      <c r="O450" s="1013" t="str">
        <f>IFERROR(Таблица47[[#This Row],[Количество хлыстов]]-Таблица47[[#This Row],[Обработано в 1С]]-Таблица47[[#This Row],[Корректировка]],"")</f>
        <v/>
      </c>
      <c r="P450" s="638" t="str">
        <f>IFERROR((((Таблица47[[#This Row],[Осталось сделать, хлыст]]*Таблица47[[#This Row],[длина]])*Таблица47[[#This Row],[Периметр]])/28),"")</f>
        <v/>
      </c>
      <c r="Q450" s="303"/>
      <c r="R450" s="991">
        <f>IFERROR(Таблица47[[#This Row],[Коли-
чество м.п.]]/Таблица47[[#This Row],[Количество хлыстов]],"")</f>
        <v>3.4</v>
      </c>
      <c r="S450" s="639" t="s">
        <v>4555</v>
      </c>
      <c r="T450" s="639">
        <v>1570.8</v>
      </c>
      <c r="U450" s="640">
        <v>462</v>
      </c>
      <c r="V450" s="639">
        <v>0.18279999999999999</v>
      </c>
      <c r="W450" s="639">
        <v>0.59099999999999997</v>
      </c>
      <c r="X450" s="639">
        <v>287.1422</v>
      </c>
      <c r="Y450" s="639">
        <v>928.34280000000001</v>
      </c>
      <c r="Z450" s="639">
        <v>37.33</v>
      </c>
      <c r="AA450" s="639">
        <v>74.03</v>
      </c>
      <c r="AB450" s="639">
        <v>405</v>
      </c>
      <c r="AC450" s="641">
        <v>116292.61</v>
      </c>
    </row>
    <row r="451" spans="1:29" s="1021" customFormat="1" ht="15.75" customHeight="1" x14ac:dyDescent="0.25">
      <c r="A451" s="1106" t="s">
        <v>4978</v>
      </c>
      <c r="B451" s="1067">
        <v>308</v>
      </c>
      <c r="C451" s="1067"/>
      <c r="D451" s="1068" t="s">
        <v>13</v>
      </c>
      <c r="E451" s="1068" t="s">
        <v>32</v>
      </c>
      <c r="F451" s="1069">
        <v>45439</v>
      </c>
      <c r="G451" s="1069"/>
      <c r="H45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1" s="620" t="str">
        <f>CONCATENATE(Таблица47[[#This Row],[№ заявки в 1С]],Таблица47[[#This Row],[Наименование            ]])</f>
        <v>308[88976] 1606-39 (197.04) 4,85 м, сплав Ад31 под покраску</v>
      </c>
      <c r="J45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1" s="1082"/>
      <c r="N451" s="1120">
        <f>901+38</f>
        <v>939</v>
      </c>
      <c r="O451" s="1020" t="str">
        <f>IFERROR(Таблица47[[#This Row],[Количество хлыстов]]-Таблица47[[#This Row],[Обработано в 1С]]-Таблица47[[#This Row],[Корректировка]],"")</f>
        <v/>
      </c>
      <c r="P451" s="638" t="str">
        <f>IFERROR((((Таблица47[[#This Row],[Осталось сделать, хлыст]]*Таблица47[[#This Row],[длина]])*Таблица47[[#This Row],[Периметр]])/28),"")</f>
        <v/>
      </c>
      <c r="Q451" s="1068"/>
      <c r="R451" s="1089">
        <f>IFERROR(Таблица47[[#This Row],[Коли-
чество м.п.]]/Таблица47[[#This Row],[Количество хлыстов]],"")</f>
        <v>4.8499999999999996</v>
      </c>
      <c r="S451" s="1083" t="s">
        <v>4774</v>
      </c>
      <c r="T451" s="1083">
        <v>4554.1499999999996</v>
      </c>
      <c r="U451" s="1084">
        <v>939</v>
      </c>
      <c r="V451" s="1083">
        <v>9.5600000000000004E-2</v>
      </c>
      <c r="W451" s="1083">
        <v>0.16</v>
      </c>
      <c r="X451" s="1083">
        <v>435.37670000000003</v>
      </c>
      <c r="Y451" s="1083">
        <v>728.66399999999999</v>
      </c>
      <c r="Z451" s="1083">
        <v>56.6</v>
      </c>
      <c r="AA451" s="1083">
        <v>31.55</v>
      </c>
      <c r="AB451" s="1083">
        <v>330</v>
      </c>
      <c r="AC451" s="1085">
        <v>143674.32</v>
      </c>
    </row>
    <row r="452" spans="1:29" ht="15.75" customHeight="1" x14ac:dyDescent="0.25">
      <c r="A452" s="427" t="s">
        <v>4939</v>
      </c>
      <c r="B452" s="309">
        <v>309</v>
      </c>
      <c r="C452" s="309"/>
      <c r="D452" s="303" t="s">
        <v>34</v>
      </c>
      <c r="E452" s="303" t="s">
        <v>3404</v>
      </c>
      <c r="F452" s="528">
        <v>45439</v>
      </c>
      <c r="G452" s="528"/>
      <c r="H45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2" s="522" t="str">
        <f>CONCATENATE(Таблица47[[#This Row],[№ заявки в 1С]],Таблица47[[#This Row],[Наименование            ]])</f>
        <v>309[81579] 1706-69, 6,0м, 6063 Т6, упаковка Т-5, БА</v>
      </c>
      <c r="J45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2" s="635"/>
      <c r="N452" s="1119">
        <v>444</v>
      </c>
      <c r="O452" s="1013" t="str">
        <f>IFERROR(Таблица47[[#This Row],[Количество хлыстов]]-Таблица47[[#This Row],[Обработано в 1С]]-Таблица47[[#This Row],[Корректировка]],"")</f>
        <v/>
      </c>
      <c r="P452" s="638" t="str">
        <f>IFERROR((((Таблица47[[#This Row],[Осталось сделать, хлыст]]*Таблица47[[#This Row],[длина]])*Таблица47[[#This Row],[Периметр]])/28),"")</f>
        <v/>
      </c>
      <c r="Q452" s="303" t="s">
        <v>4997</v>
      </c>
      <c r="R452" s="991">
        <f>IFERROR(Таблица47[[#This Row],[Коли-
чество м.п.]]/Таблица47[[#This Row],[Количество хлыстов]],"")</f>
        <v>6</v>
      </c>
      <c r="S452" s="639" t="s">
        <v>4994</v>
      </c>
      <c r="T452" s="639">
        <v>2664</v>
      </c>
      <c r="U452" s="640">
        <v>444</v>
      </c>
      <c r="V452" s="639">
        <v>0.21959999999999999</v>
      </c>
      <c r="W452" s="639">
        <v>0.35</v>
      </c>
      <c r="X452" s="639">
        <v>585.01440000000002</v>
      </c>
      <c r="Y452" s="639">
        <v>932.4</v>
      </c>
      <c r="Z452" s="639">
        <v>76.05</v>
      </c>
      <c r="AA452" s="639">
        <v>132.80000000000001</v>
      </c>
      <c r="AB452" s="639">
        <v>604.73</v>
      </c>
      <c r="AC452" s="641">
        <v>353777.88</v>
      </c>
    </row>
    <row r="453" spans="1:29" ht="15.75" customHeight="1" x14ac:dyDescent="0.25">
      <c r="A453" s="427" t="s">
        <v>4939</v>
      </c>
      <c r="B453" s="309">
        <v>309</v>
      </c>
      <c r="C453" s="309"/>
      <c r="D453" s="303" t="s">
        <v>34</v>
      </c>
      <c r="E453" s="303" t="s">
        <v>3404</v>
      </c>
      <c r="F453" s="528">
        <v>45439</v>
      </c>
      <c r="G453" s="528"/>
      <c r="H45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3" s="522" t="str">
        <f>CONCATENATE(Таблица47[[#This Row],[№ заявки в 1С]],Таблица47[[#This Row],[Наименование            ]])</f>
        <v>309[89761] 2606-58, 6,0м, сплав 6063 Т5 (под гибку), упак. Т5</v>
      </c>
      <c r="J45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3" s="635"/>
      <c r="N453" s="1119">
        <v>283</v>
      </c>
      <c r="O453" s="1013" t="str">
        <f>IFERROR(Таблица47[[#This Row],[Количество хлыстов]]-Таблица47[[#This Row],[Обработано в 1С]]-Таблица47[[#This Row],[Корректировка]],"")</f>
        <v/>
      </c>
      <c r="P453" s="638" t="str">
        <f>IFERROR((((Таблица47[[#This Row],[Осталось сделать, хлыст]]*Таблица47[[#This Row],[длина]])*Таблица47[[#This Row],[Периметр]])/28),"")</f>
        <v/>
      </c>
      <c r="Q453" s="303" t="s">
        <v>4997</v>
      </c>
      <c r="R453" s="991">
        <f>IFERROR(Таблица47[[#This Row],[Коли-
чество м.п.]]/Таблица47[[#This Row],[Количество хлыстов]],"")</f>
        <v>6</v>
      </c>
      <c r="S453" s="639" t="s">
        <v>5091</v>
      </c>
      <c r="T453" s="639">
        <v>1698</v>
      </c>
      <c r="U453" s="640">
        <v>283</v>
      </c>
      <c r="V453" s="639">
        <v>0.1883</v>
      </c>
      <c r="W453" s="639">
        <v>0.318</v>
      </c>
      <c r="X453" s="639">
        <v>319.73340000000002</v>
      </c>
      <c r="Y453" s="639">
        <v>539.96400000000006</v>
      </c>
      <c r="Z453" s="639">
        <v>41.57</v>
      </c>
      <c r="AA453" s="639">
        <v>113.92</v>
      </c>
      <c r="AB453" s="639">
        <v>604.99</v>
      </c>
      <c r="AC453" s="641">
        <v>193436.7</v>
      </c>
    </row>
    <row r="454" spans="1:29" s="1021" customFormat="1" ht="15.75" customHeight="1" x14ac:dyDescent="0.25">
      <c r="A454" s="1106" t="s">
        <v>4978</v>
      </c>
      <c r="B454" s="1067">
        <v>314</v>
      </c>
      <c r="C454" s="1067"/>
      <c r="D454" s="1068" t="s">
        <v>34</v>
      </c>
      <c r="E454" s="1068" t="s">
        <v>4718</v>
      </c>
      <c r="F454" s="1069">
        <v>45440</v>
      </c>
      <c r="G454" s="1069"/>
      <c r="H45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4" s="620" t="str">
        <f>CONCATENATE(Таблица47[[#This Row],[№ заявки в 1С]],Таблица47[[#This Row],[Наименование            ]])</f>
        <v>314[75893] 220450, 2,0м, АД31 Т1, БА, уп в мини-пачки</v>
      </c>
      <c r="J45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4" s="1082"/>
      <c r="N454" s="1120">
        <v>1568</v>
      </c>
      <c r="O454" s="1020" t="str">
        <f>IFERROR(Таблица47[[#This Row],[Количество хлыстов]]-Таблица47[[#This Row],[Обработано в 1С]]-Таблица47[[#This Row],[Корректировка]],"")</f>
        <v/>
      </c>
      <c r="P454" s="638" t="str">
        <f>IFERROR((((Таблица47[[#This Row],[Осталось сделать, хлыст]]*Таблица47[[#This Row],[длина]])*Таблица47[[#This Row],[Периметр]])/28),"")</f>
        <v/>
      </c>
      <c r="Q454" s="1068"/>
      <c r="R454" s="1089">
        <f>IFERROR(Таблица47[[#This Row],[Коли-
чество м.п.]]/Таблица47[[#This Row],[Количество хлыстов]],"")</f>
        <v>2</v>
      </c>
      <c r="S454" s="1083" t="s">
        <v>4717</v>
      </c>
      <c r="T454" s="1083">
        <v>3136</v>
      </c>
      <c r="U454" s="1084">
        <v>1568</v>
      </c>
      <c r="V454" s="1083">
        <v>0.13039999999999999</v>
      </c>
      <c r="W454" s="1083">
        <v>0.19400000000000001</v>
      </c>
      <c r="X454" s="1083">
        <v>408.93439999999998</v>
      </c>
      <c r="Y454" s="1083">
        <v>608.38400000000001</v>
      </c>
      <c r="Z454" s="1083">
        <v>53.16</v>
      </c>
      <c r="AA454" s="1083">
        <v>4.4000000000000004</v>
      </c>
      <c r="AB454" s="1083">
        <v>33.75</v>
      </c>
      <c r="AC454" s="1085">
        <v>13801.54</v>
      </c>
    </row>
    <row r="455" spans="1:29" ht="15.75" customHeight="1" x14ac:dyDescent="0.25">
      <c r="A455" s="427" t="s">
        <v>4678</v>
      </c>
      <c r="B455" s="309">
        <v>315</v>
      </c>
      <c r="C455" s="309" t="s">
        <v>4753</v>
      </c>
      <c r="D455" s="303" t="s">
        <v>13</v>
      </c>
      <c r="E455" s="303" t="s">
        <v>30</v>
      </c>
      <c r="F455" s="528">
        <v>45440</v>
      </c>
      <c r="G455" s="528">
        <v>45467</v>
      </c>
      <c r="H45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5" s="522" t="str">
        <f>CONCATENATE(Таблица47[[#This Row],[№ заявки в 1С]],Таблица47[[#This Row],[Наименование            ]])</f>
        <v>315[89644] балка Ад-35 Д, L=1070</v>
      </c>
      <c r="J45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5" s="635"/>
      <c r="N455" s="1119">
        <v>15</v>
      </c>
      <c r="O455" s="1013" t="str">
        <f>IFERROR(Таблица47[[#This Row],[Количество хлыстов]]-Таблица47[[#This Row],[Обработано в 1С]]-Таблица47[[#This Row],[Корректировка]],"")</f>
        <v/>
      </c>
      <c r="P455" s="638" t="str">
        <f>IFERROR((((Таблица47[[#This Row],[Осталось сделать, хлыст]]*Таблица47[[#This Row],[длина]])*Таблица47[[#This Row],[Периметр]])/28),"")</f>
        <v/>
      </c>
      <c r="Q455" s="303"/>
      <c r="R455" s="991">
        <f>IFERROR(Таблица47[[#This Row],[Коли-
чество м.п.]]/Таблица47[[#This Row],[Количество хлыстов]],"")</f>
        <v>1</v>
      </c>
      <c r="S455" s="639" t="s">
        <v>5047</v>
      </c>
      <c r="T455" s="639">
        <v>15</v>
      </c>
      <c r="U455" s="640">
        <v>15</v>
      </c>
      <c r="V455" s="639">
        <v>0.34</v>
      </c>
      <c r="W455" s="639">
        <v>4.3959999999999999</v>
      </c>
      <c r="X455" s="639">
        <v>5.0999999999999996</v>
      </c>
      <c r="Y455" s="639">
        <v>65.94</v>
      </c>
      <c r="Z455" s="639">
        <v>0.66</v>
      </c>
      <c r="AA455" s="639">
        <v>722</v>
      </c>
      <c r="AB455" s="639">
        <v>2123.5300000000002</v>
      </c>
      <c r="AC455" s="641">
        <v>10830</v>
      </c>
    </row>
    <row r="456" spans="1:29" ht="15.75" customHeight="1" x14ac:dyDescent="0.25">
      <c r="A456" s="427" t="s">
        <v>4678</v>
      </c>
      <c r="B456" s="309">
        <v>315</v>
      </c>
      <c r="C456" s="309" t="s">
        <v>4753</v>
      </c>
      <c r="D456" s="303" t="s">
        <v>13</v>
      </c>
      <c r="E456" s="303" t="s">
        <v>30</v>
      </c>
      <c r="F456" s="528">
        <v>45440</v>
      </c>
      <c r="G456" s="528">
        <v>45467</v>
      </c>
      <c r="H45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6" s="522" t="str">
        <f>CONCATENATE(Таблица47[[#This Row],[№ заявки в 1С]],Таблица47[[#This Row],[Наименование            ]])</f>
        <v>315[89646] балка Ад-35 Д, L=1370</v>
      </c>
      <c r="J45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6" s="635"/>
      <c r="N456" s="1119">
        <v>82</v>
      </c>
      <c r="O456" s="1013" t="str">
        <f>IFERROR(Таблица47[[#This Row],[Количество хлыстов]]-Таблица47[[#This Row],[Обработано в 1С]]-Таблица47[[#This Row],[Корректировка]],"")</f>
        <v/>
      </c>
      <c r="P456" s="638" t="str">
        <f>IFERROR((((Таблица47[[#This Row],[Осталось сделать, хлыст]]*Таблица47[[#This Row],[длина]])*Таблица47[[#This Row],[Периметр]])/28),"")</f>
        <v/>
      </c>
      <c r="Q456" s="303"/>
      <c r="R456" s="991">
        <f>IFERROR(Таблица47[[#This Row],[Коли-
чество м.п.]]/Таблица47[[#This Row],[Количество хлыстов]],"")</f>
        <v>1</v>
      </c>
      <c r="S456" s="639" t="s">
        <v>5049</v>
      </c>
      <c r="T456" s="639">
        <v>82</v>
      </c>
      <c r="U456" s="640">
        <v>82</v>
      </c>
      <c r="V456" s="639">
        <v>0.435</v>
      </c>
      <c r="W456" s="639">
        <v>5.6280000000000001</v>
      </c>
      <c r="X456" s="639">
        <v>35.67</v>
      </c>
      <c r="Y456" s="639">
        <v>461.49599999999998</v>
      </c>
      <c r="Z456" s="639">
        <v>4.6399999999999997</v>
      </c>
      <c r="AA456" s="639">
        <v>800</v>
      </c>
      <c r="AB456" s="639">
        <v>1839.08</v>
      </c>
      <c r="AC456" s="641">
        <v>65600</v>
      </c>
    </row>
    <row r="457" spans="1:29" ht="15.75" customHeight="1" x14ac:dyDescent="0.25">
      <c r="A457" s="427" t="s">
        <v>4678</v>
      </c>
      <c r="B457" s="309">
        <v>315</v>
      </c>
      <c r="C457" s="309" t="s">
        <v>4753</v>
      </c>
      <c r="D457" s="303" t="s">
        <v>13</v>
      </c>
      <c r="E457" s="303" t="s">
        <v>30</v>
      </c>
      <c r="F457" s="528">
        <v>45440</v>
      </c>
      <c r="G457" s="528">
        <v>45467</v>
      </c>
      <c r="H45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7" s="522" t="str">
        <f>CONCATENATE(Таблица47[[#This Row],[№ заявки в 1С]],Таблица47[[#This Row],[Наименование            ]])</f>
        <v>315[89648] балка Ад-35 Д, L=300</v>
      </c>
      <c r="J45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7" s="635"/>
      <c r="N457" s="1119">
        <v>318</v>
      </c>
      <c r="O457" s="1013" t="str">
        <f>IFERROR(Таблица47[[#This Row],[Количество хлыстов]]-Таблица47[[#This Row],[Обработано в 1С]]-Таблица47[[#This Row],[Корректировка]],"")</f>
        <v/>
      </c>
      <c r="P457" s="638" t="str">
        <f>IFERROR((((Таблица47[[#This Row],[Осталось сделать, хлыст]]*Таблица47[[#This Row],[длина]])*Таблица47[[#This Row],[Периметр]])/28),"")</f>
        <v/>
      </c>
      <c r="Q457" s="303"/>
      <c r="R457" s="991">
        <f>IFERROR(Таблица47[[#This Row],[Коли-
чество м.п.]]/Таблица47[[#This Row],[Количество хлыстов]],"")</f>
        <v>1</v>
      </c>
      <c r="S457" s="639" t="s">
        <v>5044</v>
      </c>
      <c r="T457" s="639">
        <v>318</v>
      </c>
      <c r="U457" s="640">
        <v>318</v>
      </c>
      <c r="V457" s="639">
        <v>9.6000000000000002E-2</v>
      </c>
      <c r="W457" s="639">
        <v>1.2330000000000001</v>
      </c>
      <c r="X457" s="639">
        <v>30.527999999999999</v>
      </c>
      <c r="Y457" s="639">
        <v>392.09399999999999</v>
      </c>
      <c r="Z457" s="639">
        <v>3.97</v>
      </c>
      <c r="AA457" s="639">
        <v>350</v>
      </c>
      <c r="AB457" s="639">
        <v>3645.83</v>
      </c>
      <c r="AC457" s="641">
        <v>111300</v>
      </c>
    </row>
    <row r="458" spans="1:29" ht="15.75" customHeight="1" x14ac:dyDescent="0.25">
      <c r="A458" s="427" t="s">
        <v>4678</v>
      </c>
      <c r="B458" s="309">
        <v>315</v>
      </c>
      <c r="C458" s="309" t="s">
        <v>4753</v>
      </c>
      <c r="D458" s="303" t="s">
        <v>13</v>
      </c>
      <c r="E458" s="303" t="s">
        <v>30</v>
      </c>
      <c r="F458" s="528">
        <v>45440</v>
      </c>
      <c r="G458" s="528">
        <v>45467</v>
      </c>
      <c r="H45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8" s="522" t="str">
        <f>CONCATENATE(Таблица47[[#This Row],[№ заявки в 1С]],Таблица47[[#This Row],[Наименование            ]])</f>
        <v>315[89936] балка Ад-35 Д, L=4677</v>
      </c>
      <c r="J45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8" s="635"/>
      <c r="N458" s="1119">
        <v>8</v>
      </c>
      <c r="O458" s="1013" t="str">
        <f>IFERROR(Таблица47[[#This Row],[Количество хлыстов]]-Таблица47[[#This Row],[Обработано в 1С]]-Таблица47[[#This Row],[Корректировка]],"")</f>
        <v/>
      </c>
      <c r="P458" s="638" t="str">
        <f>IFERROR((((Таблица47[[#This Row],[Осталось сделать, хлыст]]*Таблица47[[#This Row],[длина]])*Таблица47[[#This Row],[Периметр]])/28),"")</f>
        <v/>
      </c>
      <c r="Q458" s="303"/>
      <c r="R458" s="991">
        <f>IFERROR(Таблица47[[#This Row],[Коли-
чество м.п.]]/Таблица47[[#This Row],[Количество хлыстов]],"")</f>
        <v>1</v>
      </c>
      <c r="S458" s="639" t="s">
        <v>5136</v>
      </c>
      <c r="T458" s="639">
        <v>8</v>
      </c>
      <c r="U458" s="640">
        <v>8</v>
      </c>
      <c r="V458" s="639">
        <v>0.317</v>
      </c>
      <c r="W458" s="639">
        <v>4.1079999999999997</v>
      </c>
      <c r="X458" s="639">
        <v>2.536</v>
      </c>
      <c r="Y458" s="639">
        <v>32.863999999999997</v>
      </c>
      <c r="Z458" s="639">
        <v>0.33</v>
      </c>
      <c r="AA458" s="639">
        <v>2400</v>
      </c>
      <c r="AB458" s="639">
        <v>7570.98</v>
      </c>
      <c r="AC458" s="641">
        <v>19200</v>
      </c>
    </row>
    <row r="459" spans="1:29" ht="15.75" customHeight="1" x14ac:dyDescent="0.25">
      <c r="A459" s="427" t="s">
        <v>4678</v>
      </c>
      <c r="B459" s="309">
        <v>315</v>
      </c>
      <c r="C459" s="309" t="s">
        <v>4753</v>
      </c>
      <c r="D459" s="303" t="s">
        <v>13</v>
      </c>
      <c r="E459" s="303" t="s">
        <v>30</v>
      </c>
      <c r="F459" s="528">
        <v>45440</v>
      </c>
      <c r="G459" s="528">
        <v>45467</v>
      </c>
      <c r="H45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59" s="522" t="str">
        <f>CONCATENATE(Таблица47[[#This Row],[№ заявки в 1С]],Таблица47[[#This Row],[Наименование            ]])</f>
        <v>315[89933] балка Ад-35 Д, L=3085</v>
      </c>
      <c r="J45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5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5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59" s="635"/>
      <c r="N459" s="1119">
        <v>20</v>
      </c>
      <c r="O459" s="1013" t="str">
        <f>IFERROR(Таблица47[[#This Row],[Количество хлыстов]]-Таблица47[[#This Row],[Обработано в 1С]]-Таблица47[[#This Row],[Корректировка]],"")</f>
        <v/>
      </c>
      <c r="P459" s="638" t="str">
        <f>IFERROR((((Таблица47[[#This Row],[Осталось сделать, хлыст]]*Таблица47[[#This Row],[длина]])*Таблица47[[#This Row],[Периметр]])/28),"")</f>
        <v/>
      </c>
      <c r="Q459" s="303"/>
      <c r="R459" s="991">
        <f>IFERROR(Таблица47[[#This Row],[Коли-
чество м.п.]]/Таблица47[[#This Row],[Количество хлыстов]],"")</f>
        <v>1</v>
      </c>
      <c r="S459" s="639" t="s">
        <v>5051</v>
      </c>
      <c r="T459" s="639">
        <v>20</v>
      </c>
      <c r="U459" s="640">
        <v>20</v>
      </c>
      <c r="V459" s="639">
        <v>0.97799999999999998</v>
      </c>
      <c r="W459" s="639">
        <v>12.673999999999999</v>
      </c>
      <c r="X459" s="639">
        <v>19.559999999999999</v>
      </c>
      <c r="Y459" s="639">
        <v>253.48</v>
      </c>
      <c r="Z459" s="639">
        <v>2.54</v>
      </c>
      <c r="AA459" s="639">
        <v>1800</v>
      </c>
      <c r="AB459" s="639">
        <v>1840.49</v>
      </c>
      <c r="AC459" s="641">
        <v>36000</v>
      </c>
    </row>
    <row r="460" spans="1:29" ht="15.75" customHeight="1" x14ac:dyDescent="0.25">
      <c r="A460" s="427" t="s">
        <v>4678</v>
      </c>
      <c r="B460" s="309">
        <v>315</v>
      </c>
      <c r="C460" s="309" t="s">
        <v>4753</v>
      </c>
      <c r="D460" s="303" t="s">
        <v>13</v>
      </c>
      <c r="E460" s="303" t="s">
        <v>30</v>
      </c>
      <c r="F460" s="528">
        <v>45440</v>
      </c>
      <c r="G460" s="528">
        <v>45467</v>
      </c>
      <c r="H46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0" s="522" t="str">
        <f>CONCATENATE(Таблица47[[#This Row],[№ заявки в 1С]],Таблица47[[#This Row],[Наименование            ]])</f>
        <v>315[89934] балка Ад-35 Д, L=4042</v>
      </c>
      <c r="J46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0" s="635"/>
      <c r="N460" s="1119">
        <v>8</v>
      </c>
      <c r="O460" s="1013" t="str">
        <f>IFERROR(Таблица47[[#This Row],[Количество хлыстов]]-Таблица47[[#This Row],[Обработано в 1С]]-Таблица47[[#This Row],[Корректировка]],"")</f>
        <v/>
      </c>
      <c r="P460" s="638" t="str">
        <f>IFERROR((((Таблица47[[#This Row],[Осталось сделать, хлыст]]*Таблица47[[#This Row],[длина]])*Таблица47[[#This Row],[Периметр]])/28),"")</f>
        <v/>
      </c>
      <c r="Q460" s="303"/>
      <c r="R460" s="991">
        <f>IFERROR(Таблица47[[#This Row],[Коли-
чество м.п.]]/Таблица47[[#This Row],[Количество хлыстов]],"")</f>
        <v>1</v>
      </c>
      <c r="S460" s="639" t="s">
        <v>5137</v>
      </c>
      <c r="T460" s="639">
        <v>8</v>
      </c>
      <c r="U460" s="640">
        <v>8</v>
      </c>
      <c r="V460" s="639">
        <v>0.317</v>
      </c>
      <c r="W460" s="639">
        <v>4.1079999999999997</v>
      </c>
      <c r="X460" s="639">
        <v>2.536</v>
      </c>
      <c r="Y460" s="639">
        <v>32.863999999999997</v>
      </c>
      <c r="Z460" s="639">
        <v>0.33</v>
      </c>
      <c r="AA460" s="639">
        <v>2000</v>
      </c>
      <c r="AB460" s="639">
        <v>6309.15</v>
      </c>
      <c r="AC460" s="641">
        <v>16000</v>
      </c>
    </row>
    <row r="461" spans="1:29" ht="15.75" customHeight="1" x14ac:dyDescent="0.25">
      <c r="A461" s="427" t="s">
        <v>4678</v>
      </c>
      <c r="B461" s="309">
        <v>315</v>
      </c>
      <c r="C461" s="309" t="s">
        <v>4753</v>
      </c>
      <c r="D461" s="303" t="s">
        <v>13</v>
      </c>
      <c r="E461" s="303" t="s">
        <v>30</v>
      </c>
      <c r="F461" s="528">
        <v>45440</v>
      </c>
      <c r="G461" s="528">
        <v>45467</v>
      </c>
      <c r="H46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1" s="522" t="str">
        <f>CONCATENATE(Таблица47[[#This Row],[№ заявки в 1С]],Таблица47[[#This Row],[Наименование            ]])</f>
        <v>315[89935] балка Ад-35 Д, L=4570</v>
      </c>
      <c r="J46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1" s="635"/>
      <c r="N461" s="1119">
        <v>16</v>
      </c>
      <c r="O461" s="1013" t="str">
        <f>IFERROR(Таблица47[[#This Row],[Количество хлыстов]]-Таблица47[[#This Row],[Обработано в 1С]]-Таблица47[[#This Row],[Корректировка]],"")</f>
        <v/>
      </c>
      <c r="P461" s="638" t="str">
        <f>IFERROR((((Таблица47[[#This Row],[Осталось сделать, хлыст]]*Таблица47[[#This Row],[длина]])*Таблица47[[#This Row],[Периметр]])/28),"")</f>
        <v/>
      </c>
      <c r="Q461" s="303"/>
      <c r="R461" s="991">
        <f>IFERROR(Таблица47[[#This Row],[Коли-
чество м.п.]]/Таблица47[[#This Row],[Количество хлыстов]],"")</f>
        <v>1</v>
      </c>
      <c r="S461" s="639" t="s">
        <v>5054</v>
      </c>
      <c r="T461" s="639">
        <v>16</v>
      </c>
      <c r="U461" s="640">
        <v>16</v>
      </c>
      <c r="V461" s="639">
        <v>1.4490000000000001</v>
      </c>
      <c r="W461" s="639">
        <v>18.774000000000001</v>
      </c>
      <c r="X461" s="639">
        <v>23.184000000000001</v>
      </c>
      <c r="Y461" s="639">
        <v>300.38400000000001</v>
      </c>
      <c r="Z461" s="639">
        <v>3.01</v>
      </c>
      <c r="AA461" s="639">
        <v>2200</v>
      </c>
      <c r="AB461" s="639">
        <v>1518.29</v>
      </c>
      <c r="AC461" s="641">
        <v>35200</v>
      </c>
    </row>
    <row r="462" spans="1:29" ht="15.75" customHeight="1" x14ac:dyDescent="0.25">
      <c r="A462" s="427" t="s">
        <v>4678</v>
      </c>
      <c r="B462" s="309">
        <v>315</v>
      </c>
      <c r="C462" s="309" t="s">
        <v>4753</v>
      </c>
      <c r="D462" s="303" t="s">
        <v>13</v>
      </c>
      <c r="E462" s="303" t="s">
        <v>30</v>
      </c>
      <c r="F462" s="528">
        <v>45440</v>
      </c>
      <c r="G462" s="528">
        <v>45467</v>
      </c>
      <c r="H46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2" s="522" t="str">
        <f>CONCATENATE(Таблица47[[#This Row],[№ заявки в 1С]],Таблица47[[#This Row],[Наименование            ]])</f>
        <v>315[89921] балка Ад-35 Д, L=2036</v>
      </c>
      <c r="J46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2" s="635"/>
      <c r="N462" s="1119">
        <v>8</v>
      </c>
      <c r="O462" s="1013" t="str">
        <f>IFERROR(Таблица47[[#This Row],[Количество хлыстов]]-Таблица47[[#This Row],[Обработано в 1С]]-Таблица47[[#This Row],[Корректировка]],"")</f>
        <v/>
      </c>
      <c r="P462" s="638" t="str">
        <f>IFERROR((((Таблица47[[#This Row],[Осталось сделать, хлыст]]*Таблица47[[#This Row],[длина]])*Таблица47[[#This Row],[Периметр]])/28),"")</f>
        <v/>
      </c>
      <c r="Q462" s="303"/>
      <c r="R462" s="991">
        <f>IFERROR(Таблица47[[#This Row],[Коли-
чество м.п.]]/Таблица47[[#This Row],[Количество хлыстов]],"")</f>
        <v>1</v>
      </c>
      <c r="S462" s="639" t="s">
        <v>5138</v>
      </c>
      <c r="T462" s="639">
        <v>8</v>
      </c>
      <c r="U462" s="640">
        <v>8</v>
      </c>
      <c r="V462" s="639">
        <v>0.317</v>
      </c>
      <c r="W462" s="639">
        <v>4.1079999999999997</v>
      </c>
      <c r="X462" s="639">
        <v>2.536</v>
      </c>
      <c r="Y462" s="639">
        <v>32.863999999999997</v>
      </c>
      <c r="Z462" s="639">
        <v>0.33</v>
      </c>
      <c r="AA462" s="639">
        <v>1700</v>
      </c>
      <c r="AB462" s="639">
        <v>5362.78</v>
      </c>
      <c r="AC462" s="641">
        <v>13600</v>
      </c>
    </row>
    <row r="463" spans="1:29" ht="15.75" customHeight="1" x14ac:dyDescent="0.25">
      <c r="A463" s="427" t="s">
        <v>4678</v>
      </c>
      <c r="B463" s="309">
        <v>315</v>
      </c>
      <c r="C463" s="309" t="s">
        <v>4753</v>
      </c>
      <c r="D463" s="303" t="s">
        <v>13</v>
      </c>
      <c r="E463" s="303" t="s">
        <v>30</v>
      </c>
      <c r="F463" s="528">
        <v>45440</v>
      </c>
      <c r="G463" s="528">
        <v>45467</v>
      </c>
      <c r="H46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3" s="522" t="str">
        <f>CONCATENATE(Таблица47[[#This Row],[№ заявки в 1С]],Таблица47[[#This Row],[Наименование            ]])</f>
        <v>315[89937] балка Ад-35 Д, L=4940</v>
      </c>
      <c r="J46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3" s="635"/>
      <c r="N463" s="1119">
        <v>12</v>
      </c>
      <c r="O463" s="1013" t="str">
        <f>IFERROR(Таблица47[[#This Row],[Количество хлыстов]]-Таблица47[[#This Row],[Обработано в 1С]]-Таблица47[[#This Row],[Корректировка]],"")</f>
        <v/>
      </c>
      <c r="P463" s="638" t="str">
        <f>IFERROR((((Таблица47[[#This Row],[Осталось сделать, хлыст]]*Таблица47[[#This Row],[длина]])*Таблица47[[#This Row],[Периметр]])/28),"")</f>
        <v/>
      </c>
      <c r="Q463" s="303"/>
      <c r="R463" s="991">
        <f>IFERROR(Таблица47[[#This Row],[Коли-
чество м.п.]]/Таблица47[[#This Row],[Количество хлыстов]],"")</f>
        <v>1</v>
      </c>
      <c r="S463" s="639" t="s">
        <v>5055</v>
      </c>
      <c r="T463" s="639">
        <v>12</v>
      </c>
      <c r="U463" s="640">
        <v>12</v>
      </c>
      <c r="V463" s="639">
        <v>1.5660000000000001</v>
      </c>
      <c r="W463" s="639">
        <v>20.294</v>
      </c>
      <c r="X463" s="639">
        <v>18.792000000000002</v>
      </c>
      <c r="Y463" s="639">
        <v>243.52799999999999</v>
      </c>
      <c r="Z463" s="639">
        <v>2.44</v>
      </c>
      <c r="AA463" s="639">
        <v>2300</v>
      </c>
      <c r="AB463" s="639">
        <v>1468.71</v>
      </c>
      <c r="AC463" s="641">
        <v>27600</v>
      </c>
    </row>
    <row r="464" spans="1:29" ht="15.75" customHeight="1" x14ac:dyDescent="0.25">
      <c r="A464" s="427" t="s">
        <v>4678</v>
      </c>
      <c r="B464" s="309">
        <v>315</v>
      </c>
      <c r="C464" s="309" t="s">
        <v>4753</v>
      </c>
      <c r="D464" s="303" t="s">
        <v>13</v>
      </c>
      <c r="E464" s="303" t="s">
        <v>30</v>
      </c>
      <c r="F464" s="528">
        <v>45440</v>
      </c>
      <c r="G464" s="528">
        <v>45467</v>
      </c>
      <c r="H46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4" s="522" t="str">
        <f>CONCATENATE(Таблица47[[#This Row],[№ заявки в 1С]],Таблица47[[#This Row],[Наименование            ]])</f>
        <v>315[89938] балка Ад-35 Д, L=5005</v>
      </c>
      <c r="J46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4" s="635"/>
      <c r="N464" s="1119">
        <v>128</v>
      </c>
      <c r="O464" s="1013" t="str">
        <f>IFERROR(Таблица47[[#This Row],[Количество хлыстов]]-Таблица47[[#This Row],[Обработано в 1С]]-Таблица47[[#This Row],[Корректировка]],"")</f>
        <v/>
      </c>
      <c r="P464" s="638" t="str">
        <f>IFERROR((((Таблица47[[#This Row],[Осталось сделать, хлыст]]*Таблица47[[#This Row],[длина]])*Таблица47[[#This Row],[Периметр]])/28),"")</f>
        <v/>
      </c>
      <c r="Q464" s="303"/>
      <c r="R464" s="991">
        <f>IFERROR(Таблица47[[#This Row],[Коли-
чество м.п.]]/Таблица47[[#This Row],[Количество хлыстов]],"")</f>
        <v>1</v>
      </c>
      <c r="S464" s="639" t="s">
        <v>5056</v>
      </c>
      <c r="T464" s="639">
        <v>128</v>
      </c>
      <c r="U464" s="640">
        <v>128</v>
      </c>
      <c r="V464" s="639">
        <v>1.587</v>
      </c>
      <c r="W464" s="639">
        <v>20.561</v>
      </c>
      <c r="X464" s="639">
        <v>203.136</v>
      </c>
      <c r="Y464" s="639">
        <v>2631.808</v>
      </c>
      <c r="Z464" s="639">
        <v>26.41</v>
      </c>
      <c r="AA464" s="639">
        <v>2700</v>
      </c>
      <c r="AB464" s="639">
        <v>1701.32</v>
      </c>
      <c r="AC464" s="641">
        <v>345600</v>
      </c>
    </row>
    <row r="465" spans="1:29" ht="15.75" customHeight="1" x14ac:dyDescent="0.25">
      <c r="A465" s="427" t="s">
        <v>4678</v>
      </c>
      <c r="B465" s="309">
        <v>315</v>
      </c>
      <c r="C465" s="309" t="s">
        <v>4753</v>
      </c>
      <c r="D465" s="303" t="s">
        <v>13</v>
      </c>
      <c r="E465" s="303" t="s">
        <v>30</v>
      </c>
      <c r="F465" s="528">
        <v>45440</v>
      </c>
      <c r="G465" s="528">
        <v>45467</v>
      </c>
      <c r="H46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5" s="522" t="str">
        <f>CONCATENATE(Таблица47[[#This Row],[№ заявки в 1С]],Таблица47[[#This Row],[Наименование            ]])</f>
        <v>315[89940] балка Ад-35 Д, L=5135</v>
      </c>
      <c r="J46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5" s="635"/>
      <c r="N465" s="1119">
        <v>76</v>
      </c>
      <c r="O465" s="1013" t="str">
        <f>IFERROR(Таблица47[[#This Row],[Количество хлыстов]]-Таблица47[[#This Row],[Обработано в 1С]]-Таблица47[[#This Row],[Корректировка]],"")</f>
        <v/>
      </c>
      <c r="P465" s="638" t="str">
        <f>IFERROR((((Таблица47[[#This Row],[Осталось сделать, хлыст]]*Таблица47[[#This Row],[длина]])*Таблица47[[#This Row],[Периметр]])/28),"")</f>
        <v/>
      </c>
      <c r="Q465" s="303"/>
      <c r="R465" s="991">
        <f>IFERROR(Таблица47[[#This Row],[Коли-
чество м.п.]]/Таблица47[[#This Row],[Количество хлыстов]],"")</f>
        <v>1</v>
      </c>
      <c r="S465" s="639" t="s">
        <v>5058</v>
      </c>
      <c r="T465" s="639">
        <v>76</v>
      </c>
      <c r="U465" s="640">
        <v>76</v>
      </c>
      <c r="V465" s="639">
        <v>1.6279999999999999</v>
      </c>
      <c r="W465" s="639">
        <v>21.094999999999999</v>
      </c>
      <c r="X465" s="639">
        <v>123.72799999999999</v>
      </c>
      <c r="Y465" s="639">
        <v>1603.22</v>
      </c>
      <c r="Z465" s="639">
        <v>16.079999999999998</v>
      </c>
      <c r="AA465" s="639">
        <v>2800</v>
      </c>
      <c r="AB465" s="639">
        <v>1719.9</v>
      </c>
      <c r="AC465" s="641">
        <v>212800</v>
      </c>
    </row>
    <row r="466" spans="1:29" ht="15.75" customHeight="1" x14ac:dyDescent="0.25">
      <c r="A466" s="427" t="s">
        <v>4678</v>
      </c>
      <c r="B466" s="309">
        <v>315</v>
      </c>
      <c r="C466" s="309" t="s">
        <v>4753</v>
      </c>
      <c r="D466" s="303" t="s">
        <v>13</v>
      </c>
      <c r="E466" s="303" t="s">
        <v>30</v>
      </c>
      <c r="F466" s="528">
        <v>45440</v>
      </c>
      <c r="G466" s="528">
        <v>45467</v>
      </c>
      <c r="H46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6" s="522" t="str">
        <f>CONCATENATE(Таблица47[[#This Row],[№ заявки в 1С]],Таблица47[[#This Row],[Наименование            ]])</f>
        <v>315[90217] балка Ад-35 Д, L=1030</v>
      </c>
      <c r="J46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6" s="635"/>
      <c r="N466" s="1119">
        <v>2</v>
      </c>
      <c r="O466" s="1013" t="str">
        <f>IFERROR(Таблица47[[#This Row],[Количество хлыстов]]-Таблица47[[#This Row],[Обработано в 1С]]-Таблица47[[#This Row],[Корректировка]],"")</f>
        <v/>
      </c>
      <c r="P466" s="638" t="str">
        <f>IFERROR((((Таблица47[[#This Row],[Осталось сделать, хлыст]]*Таблица47[[#This Row],[длина]])*Таблица47[[#This Row],[Периметр]])/28),"")</f>
        <v/>
      </c>
      <c r="Q466" s="303"/>
      <c r="R466" s="991">
        <f>IFERROR(Таблица47[[#This Row],[Коли-
чество м.п.]]/Таблица47[[#This Row],[Количество хлыстов]],"")</f>
        <v>1</v>
      </c>
      <c r="S466" s="639" t="s">
        <v>5046</v>
      </c>
      <c r="T466" s="639">
        <v>2</v>
      </c>
      <c r="U466" s="640">
        <v>2</v>
      </c>
      <c r="V466" s="639">
        <v>0.32700000000000001</v>
      </c>
      <c r="W466" s="639">
        <v>4.2320000000000002</v>
      </c>
      <c r="X466" s="639">
        <v>0.65400000000000003</v>
      </c>
      <c r="Y466" s="639">
        <v>8.4640000000000004</v>
      </c>
      <c r="Z466" s="639">
        <v>0.09</v>
      </c>
      <c r="AA466" s="639">
        <v>750</v>
      </c>
      <c r="AB466" s="639">
        <v>2293.58</v>
      </c>
      <c r="AC466" s="641">
        <v>1500</v>
      </c>
    </row>
    <row r="467" spans="1:29" ht="15.75" customHeight="1" x14ac:dyDescent="0.25">
      <c r="A467" s="427" t="s">
        <v>4678</v>
      </c>
      <c r="B467" s="309">
        <v>315</v>
      </c>
      <c r="C467" s="309" t="s">
        <v>4753</v>
      </c>
      <c r="D467" s="303" t="s">
        <v>13</v>
      </c>
      <c r="E467" s="303" t="s">
        <v>30</v>
      </c>
      <c r="F467" s="528">
        <v>45440</v>
      </c>
      <c r="G467" s="528">
        <v>45467</v>
      </c>
      <c r="H46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7" s="522" t="str">
        <f>CONCATENATE(Таблица47[[#This Row],[№ заявки в 1С]],Таблица47[[#This Row],[Наименование            ]])</f>
        <v>315[90218] балка Ад-35 Д, L=2675</v>
      </c>
      <c r="J46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7" s="635"/>
      <c r="N467" s="1119">
        <v>2</v>
      </c>
      <c r="O467" s="1013" t="str">
        <f>IFERROR(Таблица47[[#This Row],[Количество хлыстов]]-Таблица47[[#This Row],[Обработано в 1С]]-Таблица47[[#This Row],[Корректировка]],"")</f>
        <v/>
      </c>
      <c r="P467" s="638" t="str">
        <f>IFERROR((((Таблица47[[#This Row],[Осталось сделать, хлыст]]*Таблица47[[#This Row],[длина]])*Таблица47[[#This Row],[Периметр]])/28),"")</f>
        <v/>
      </c>
      <c r="Q467" s="303"/>
      <c r="R467" s="991">
        <f>IFERROR(Таблица47[[#This Row],[Коли-
чество м.п.]]/Таблица47[[#This Row],[Количество хлыстов]],"")</f>
        <v>1</v>
      </c>
      <c r="S467" s="639" t="s">
        <v>5050</v>
      </c>
      <c r="T467" s="639">
        <v>2</v>
      </c>
      <c r="U467" s="640">
        <v>2</v>
      </c>
      <c r="V467" s="639">
        <v>0.84799999999999998</v>
      </c>
      <c r="W467" s="639">
        <v>10.989000000000001</v>
      </c>
      <c r="X467" s="639">
        <v>1.696</v>
      </c>
      <c r="Y467" s="639">
        <v>21.978000000000002</v>
      </c>
      <c r="Z467" s="639">
        <v>0.22</v>
      </c>
      <c r="AA467" s="639">
        <v>1600</v>
      </c>
      <c r="AB467" s="639">
        <v>1886.79</v>
      </c>
      <c r="AC467" s="641">
        <v>3200</v>
      </c>
    </row>
    <row r="468" spans="1:29" ht="15.75" customHeight="1" x14ac:dyDescent="0.25">
      <c r="A468" s="427" t="s">
        <v>4678</v>
      </c>
      <c r="B468" s="309">
        <v>315</v>
      </c>
      <c r="C468" s="309" t="s">
        <v>4753</v>
      </c>
      <c r="D468" s="303" t="s">
        <v>13</v>
      </c>
      <c r="E468" s="303" t="s">
        <v>30</v>
      </c>
      <c r="F468" s="528">
        <v>45440</v>
      </c>
      <c r="G468" s="528">
        <v>45467</v>
      </c>
      <c r="H46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8" s="522" t="str">
        <f>CONCATENATE(Таблица47[[#This Row],[№ заявки в 1С]],Таблица47[[#This Row],[Наименование            ]])</f>
        <v>315[90977] балка Ад-35 Д, L=4755</v>
      </c>
      <c r="J46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68" s="635"/>
      <c r="N468" s="1119">
        <v>8</v>
      </c>
      <c r="O468" s="1013" t="str">
        <f>IFERROR(Таблица47[[#This Row],[Количество хлыстов]]-Таблица47[[#This Row],[Обработано в 1С]]-Таблица47[[#This Row],[Корректировка]],"")</f>
        <v/>
      </c>
      <c r="P468" s="638" t="str">
        <f>IFERROR((((Таблица47[[#This Row],[Осталось сделать, хлыст]]*Таблица47[[#This Row],[длина]])*Таблица47[[#This Row],[Периметр]])/28),"")</f>
        <v/>
      </c>
      <c r="Q468" s="303"/>
      <c r="R468" s="991">
        <f>IFERROR(Таблица47[[#This Row],[Коли-
чество м.п.]]/Таблица47[[#This Row],[Количество хлыстов]],"")</f>
        <v>1</v>
      </c>
      <c r="S468" s="639" t="s">
        <v>5139</v>
      </c>
      <c r="T468" s="639">
        <v>8</v>
      </c>
      <c r="U468" s="640">
        <v>8</v>
      </c>
      <c r="V468" s="639">
        <v>0.317</v>
      </c>
      <c r="W468" s="639">
        <v>4.1079999999999997</v>
      </c>
      <c r="X468" s="639">
        <v>2.536</v>
      </c>
      <c r="Y468" s="639">
        <v>32.863999999999997</v>
      </c>
      <c r="Z468" s="639">
        <v>0.33</v>
      </c>
      <c r="AA468" s="639">
        <v>2600</v>
      </c>
      <c r="AB468" s="639">
        <v>8201.89</v>
      </c>
      <c r="AC468" s="641">
        <v>20800</v>
      </c>
    </row>
    <row r="469" spans="1:29" ht="15.75" customHeight="1" x14ac:dyDescent="0.25">
      <c r="A469" s="427" t="s">
        <v>4678</v>
      </c>
      <c r="B469" s="1070">
        <v>316</v>
      </c>
      <c r="C469" s="1070" t="s">
        <v>4753</v>
      </c>
      <c r="D469" s="200" t="s">
        <v>13</v>
      </c>
      <c r="E469" s="200" t="s">
        <v>30</v>
      </c>
      <c r="F469" s="201">
        <v>45440</v>
      </c>
      <c r="G469" s="201">
        <v>45488</v>
      </c>
      <c r="H46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69" s="522" t="str">
        <f>CONCATENATE(Таблица47[[#This Row],[№ заявки в 1С]],Таблица47[[#This Row],[Наименование            ]])</f>
        <v>316[89650] Полоса Амг5 3000*100*1 Д</v>
      </c>
      <c r="J46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6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69" s="635">
        <v>613</v>
      </c>
      <c r="M469" s="635"/>
      <c r="N469" s="1119">
        <v>613</v>
      </c>
      <c r="O469" s="1013">
        <f>IFERROR(Таблица47[[#This Row],[Количество хлыстов]]-Таблица47[[#This Row],[Обработано в 1С]]-Таблица47[[#This Row],[Корректировка]],"")</f>
        <v>0</v>
      </c>
      <c r="P469" s="638">
        <f>IFERROR((((Таблица47[[#This Row],[Осталось сделать, хлыст]]*Таблица47[[#This Row],[длина]])*Таблица47[[#This Row],[Периметр]])/28),"")</f>
        <v>0</v>
      </c>
      <c r="Q469" s="303"/>
      <c r="R469" s="991">
        <f>IFERROR(Таблица47[[#This Row],[Коли-
чество м.п.]]/Таблица47[[#This Row],[Количество хлыстов]],"")</f>
        <v>0</v>
      </c>
      <c r="S469" s="639" t="s">
        <v>5059</v>
      </c>
      <c r="T469" s="639"/>
      <c r="U469" s="640">
        <v>613</v>
      </c>
      <c r="V469" s="639">
        <v>0.60599999999999998</v>
      </c>
      <c r="W469" s="639">
        <v>0.8</v>
      </c>
      <c r="X469" s="639">
        <v>371.47800000000001</v>
      </c>
      <c r="Y469" s="639">
        <v>490.4</v>
      </c>
      <c r="Z469" s="639">
        <v>48.29</v>
      </c>
      <c r="AA469" s="639">
        <v>512.6</v>
      </c>
      <c r="AB469" s="639">
        <v>845.87</v>
      </c>
      <c r="AC469" s="641">
        <v>314222</v>
      </c>
    </row>
    <row r="470" spans="1:29" ht="15.75" customHeight="1" x14ac:dyDescent="0.25">
      <c r="A470" s="427" t="s">
        <v>4678</v>
      </c>
      <c r="B470" s="1070">
        <v>317</v>
      </c>
      <c r="C470" s="1070" t="s">
        <v>4753</v>
      </c>
      <c r="D470" s="200" t="s">
        <v>13</v>
      </c>
      <c r="E470" s="200" t="s">
        <v>30</v>
      </c>
      <c r="F470" s="201">
        <v>45440</v>
      </c>
      <c r="G470" s="201">
        <v>45488</v>
      </c>
      <c r="H47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0" s="522" t="str">
        <f>CONCATENATE(Таблица47[[#This Row],[№ заявки в 1С]],Таблица47[[#This Row],[Наименование            ]])</f>
        <v>317[90179] Полоса Амг3 2360*907*1,5 Д</v>
      </c>
      <c r="J47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0" s="635"/>
      <c r="N470" s="1119">
        <v>20</v>
      </c>
      <c r="O470" s="1013" t="str">
        <f>IFERROR(Таблица47[[#This Row],[Количество хлыстов]]-Таблица47[[#This Row],[Обработано в 1С]]-Таблица47[[#This Row],[Корректировка]],"")</f>
        <v/>
      </c>
      <c r="P470" s="638" t="str">
        <f>IFERROR((((Таблица47[[#This Row],[Осталось сделать, хлыст]]*Таблица47[[#This Row],[длина]])*Таблица47[[#This Row],[Периметр]])/28),"")</f>
        <v/>
      </c>
      <c r="Q470" s="303"/>
      <c r="R470" s="991">
        <f>IFERROR(Таблица47[[#This Row],[Коли-
чество м.п.]]/Таблица47[[#This Row],[Количество хлыстов]],"")</f>
        <v>1</v>
      </c>
      <c r="S470" s="639" t="s">
        <v>5066</v>
      </c>
      <c r="T470" s="639">
        <v>20</v>
      </c>
      <c r="U470" s="640">
        <v>20</v>
      </c>
      <c r="V470" s="639">
        <v>4.2809999999999997</v>
      </c>
      <c r="W470" s="639">
        <v>8.5730000000000004</v>
      </c>
      <c r="X470" s="639">
        <v>85.62</v>
      </c>
      <c r="Y470" s="639">
        <v>171.46</v>
      </c>
      <c r="Z470" s="639">
        <v>11.13</v>
      </c>
      <c r="AA470" s="639">
        <v>4841</v>
      </c>
      <c r="AB470" s="639">
        <v>1130.81</v>
      </c>
      <c r="AC470" s="641">
        <v>96820</v>
      </c>
    </row>
    <row r="471" spans="1:29" ht="15.75" customHeight="1" x14ac:dyDescent="0.25">
      <c r="A471" s="427" t="s">
        <v>4678</v>
      </c>
      <c r="B471" s="1070">
        <v>317</v>
      </c>
      <c r="C471" s="1070" t="s">
        <v>4753</v>
      </c>
      <c r="D471" s="200" t="s">
        <v>13</v>
      </c>
      <c r="E471" s="200" t="s">
        <v>30</v>
      </c>
      <c r="F471" s="201">
        <v>45440</v>
      </c>
      <c r="G471" s="201">
        <v>45488</v>
      </c>
      <c r="H4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1" s="522" t="str">
        <f>CONCATENATE(Таблица47[[#This Row],[№ заявки в 1С]],Таблица47[[#This Row],[Наименование            ]])</f>
        <v>317[90184] Полоса Амг3 2124,5*1149,5*1,5 Д</v>
      </c>
      <c r="J47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1" s="635"/>
      <c r="N471" s="1119">
        <v>20</v>
      </c>
      <c r="O471" s="1013" t="str">
        <f>IFERROR(Таблица47[[#This Row],[Количество хлыстов]]-Таблица47[[#This Row],[Обработано в 1С]]-Таблица47[[#This Row],[Корректировка]],"")</f>
        <v/>
      </c>
      <c r="P471" s="638" t="str">
        <f>IFERROR((((Таблица47[[#This Row],[Осталось сделать, хлыст]]*Таблица47[[#This Row],[длина]])*Таблица47[[#This Row],[Периметр]])/28),"")</f>
        <v/>
      </c>
      <c r="Q471" s="303"/>
      <c r="R471" s="991">
        <f>IFERROR(Таблица47[[#This Row],[Коли-
чество м.п.]]/Таблица47[[#This Row],[Количество хлыстов]],"")</f>
        <v>1</v>
      </c>
      <c r="S471" s="639" t="s">
        <v>5067</v>
      </c>
      <c r="T471" s="639">
        <v>20</v>
      </c>
      <c r="U471" s="640">
        <v>20</v>
      </c>
      <c r="V471" s="639">
        <v>4.8841999999999999</v>
      </c>
      <c r="W471" s="639">
        <v>9.7810000000000006</v>
      </c>
      <c r="X471" s="639">
        <v>97.683999999999997</v>
      </c>
      <c r="Y471" s="639">
        <v>195.62</v>
      </c>
      <c r="Z471" s="639">
        <v>12.7</v>
      </c>
      <c r="AA471" s="639">
        <v>4014</v>
      </c>
      <c r="AB471" s="639">
        <v>821.83</v>
      </c>
      <c r="AC471" s="641">
        <v>80280</v>
      </c>
    </row>
    <row r="472" spans="1:29" ht="15.75" customHeight="1" x14ac:dyDescent="0.25">
      <c r="A472" s="427" t="s">
        <v>4678</v>
      </c>
      <c r="B472" s="1070">
        <v>317</v>
      </c>
      <c r="C472" s="1070" t="s">
        <v>4753</v>
      </c>
      <c r="D472" s="200" t="s">
        <v>13</v>
      </c>
      <c r="E472" s="200" t="s">
        <v>30</v>
      </c>
      <c r="F472" s="201">
        <v>45440</v>
      </c>
      <c r="G472" s="201">
        <v>45488</v>
      </c>
      <c r="H47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2" s="522" t="str">
        <f>CONCATENATE(Таблица47[[#This Row],[№ заявки в 1С]],Таблица47[[#This Row],[Наименование            ]])</f>
        <v>317[90186] Полоса Амг3 1385,5*1147*1,5 Д</v>
      </c>
      <c r="J47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2" s="635"/>
      <c r="N472" s="1119">
        <v>20</v>
      </c>
      <c r="O472" s="1013" t="str">
        <f>IFERROR(Таблица47[[#This Row],[Количество хлыстов]]-Таблица47[[#This Row],[Обработано в 1С]]-Таблица47[[#This Row],[Корректировка]],"")</f>
        <v/>
      </c>
      <c r="P472" s="638" t="str">
        <f>IFERROR((((Таблица47[[#This Row],[Осталось сделать, хлыст]]*Таблица47[[#This Row],[длина]])*Таблица47[[#This Row],[Периметр]])/28),"")</f>
        <v/>
      </c>
      <c r="Q472" s="303"/>
      <c r="R472" s="991">
        <f>IFERROR(Таблица47[[#This Row],[Коли-
чество м.п.]]/Таблица47[[#This Row],[Количество хлыстов]],"")</f>
        <v>1</v>
      </c>
      <c r="S472" s="639" t="s">
        <v>5068</v>
      </c>
      <c r="T472" s="639">
        <v>20</v>
      </c>
      <c r="U472" s="640">
        <v>20</v>
      </c>
      <c r="V472" s="639">
        <v>3.1783000000000001</v>
      </c>
      <c r="W472" s="639">
        <v>6.3650000000000002</v>
      </c>
      <c r="X472" s="639">
        <v>63.566000000000003</v>
      </c>
      <c r="Y472" s="639">
        <v>127.3</v>
      </c>
      <c r="Z472" s="639">
        <v>8.26</v>
      </c>
      <c r="AA472" s="639">
        <v>3800</v>
      </c>
      <c r="AB472" s="639">
        <v>1195.6099999999999</v>
      </c>
      <c r="AC472" s="641">
        <v>76000</v>
      </c>
    </row>
    <row r="473" spans="1:29" ht="15.75" customHeight="1" x14ac:dyDescent="0.25">
      <c r="A473" s="427" t="s">
        <v>4678</v>
      </c>
      <c r="B473" s="1070">
        <v>317</v>
      </c>
      <c r="C473" s="1070" t="s">
        <v>4753</v>
      </c>
      <c r="D473" s="200" t="s">
        <v>13</v>
      </c>
      <c r="E473" s="200" t="s">
        <v>30</v>
      </c>
      <c r="F473" s="201">
        <v>45440</v>
      </c>
      <c r="G473" s="201">
        <v>45488</v>
      </c>
      <c r="H47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3" s="522" t="str">
        <f>CONCATENATE(Таблица47[[#This Row],[№ заявки в 1С]],Таблица47[[#This Row],[Наименование            ]])</f>
        <v>317[90188] Полоса Амг3 1144*907*1,5 Д</v>
      </c>
      <c r="J47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3" s="635"/>
      <c r="N473" s="1119">
        <v>20</v>
      </c>
      <c r="O473" s="1013" t="str">
        <f>IFERROR(Таблица47[[#This Row],[Количество хлыстов]]-Таблица47[[#This Row],[Обработано в 1С]]-Таблица47[[#This Row],[Корректировка]],"")</f>
        <v/>
      </c>
      <c r="P473" s="638" t="str">
        <f>IFERROR((((Таблица47[[#This Row],[Осталось сделать, хлыст]]*Таблица47[[#This Row],[длина]])*Таблица47[[#This Row],[Периметр]])/28),"")</f>
        <v/>
      </c>
      <c r="Q473" s="303"/>
      <c r="R473" s="991">
        <f>IFERROR(Таблица47[[#This Row],[Коли-
чество м.п.]]/Таблица47[[#This Row],[Количество хлыстов]],"")</f>
        <v>1</v>
      </c>
      <c r="S473" s="639" t="s">
        <v>5069</v>
      </c>
      <c r="T473" s="639">
        <v>20</v>
      </c>
      <c r="U473" s="640">
        <v>20</v>
      </c>
      <c r="V473" s="639">
        <v>2.0752000000000002</v>
      </c>
      <c r="W473" s="639">
        <v>4.1559999999999997</v>
      </c>
      <c r="X473" s="639">
        <v>41.503999999999998</v>
      </c>
      <c r="Y473" s="639">
        <v>83.12</v>
      </c>
      <c r="Z473" s="639">
        <v>5.4</v>
      </c>
      <c r="AA473" s="639">
        <v>3245</v>
      </c>
      <c r="AB473" s="639">
        <v>1563.7</v>
      </c>
      <c r="AC473" s="641">
        <v>64900</v>
      </c>
    </row>
    <row r="474" spans="1:29" ht="15.75" customHeight="1" x14ac:dyDescent="0.25">
      <c r="A474" s="427" t="s">
        <v>4678</v>
      </c>
      <c r="B474" s="1070">
        <v>317</v>
      </c>
      <c r="C474" s="1070" t="s">
        <v>4753</v>
      </c>
      <c r="D474" s="200" t="s">
        <v>13</v>
      </c>
      <c r="E474" s="200" t="s">
        <v>30</v>
      </c>
      <c r="F474" s="201">
        <v>45440</v>
      </c>
      <c r="G474" s="201">
        <v>45488</v>
      </c>
      <c r="H47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4" s="522" t="str">
        <f>CONCATENATE(Таблица47[[#This Row],[№ заявки в 1С]],Таблица47[[#This Row],[Наименование            ]])</f>
        <v>317[90190] Полоса Амг3 1051*613,5*1,5 Д</v>
      </c>
      <c r="J47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4" s="635"/>
      <c r="N474" s="1119">
        <v>20</v>
      </c>
      <c r="O474" s="1013" t="str">
        <f>IFERROR(Таблица47[[#This Row],[Количество хлыстов]]-Таблица47[[#This Row],[Обработано в 1С]]-Таблица47[[#This Row],[Корректировка]],"")</f>
        <v/>
      </c>
      <c r="P474" s="638" t="str">
        <f>IFERROR((((Таблица47[[#This Row],[Осталось сделать, хлыст]]*Таблица47[[#This Row],[длина]])*Таблица47[[#This Row],[Периметр]])/28),"")</f>
        <v/>
      </c>
      <c r="Q474" s="303"/>
      <c r="R474" s="991">
        <f>IFERROR(Таблица47[[#This Row],[Коли-
чество м.п.]]/Таблица47[[#This Row],[Количество хлыстов]],"")</f>
        <v>1</v>
      </c>
      <c r="S474" s="639" t="s">
        <v>5070</v>
      </c>
      <c r="T474" s="639">
        <v>20</v>
      </c>
      <c r="U474" s="640">
        <v>20</v>
      </c>
      <c r="V474" s="639">
        <v>1.2896000000000001</v>
      </c>
      <c r="W474" s="639">
        <v>2.5819999999999999</v>
      </c>
      <c r="X474" s="639">
        <v>25.792000000000002</v>
      </c>
      <c r="Y474" s="639">
        <v>51.64</v>
      </c>
      <c r="Z474" s="639">
        <v>3.35</v>
      </c>
      <c r="AA474" s="639">
        <v>2890</v>
      </c>
      <c r="AB474" s="639">
        <v>2241</v>
      </c>
      <c r="AC474" s="641">
        <v>57800</v>
      </c>
    </row>
    <row r="475" spans="1:29" ht="15.75" customHeight="1" x14ac:dyDescent="0.25">
      <c r="A475" s="427" t="s">
        <v>4678</v>
      </c>
      <c r="B475" s="309">
        <v>318</v>
      </c>
      <c r="C475" s="309" t="s">
        <v>4753</v>
      </c>
      <c r="D475" s="303" t="s">
        <v>13</v>
      </c>
      <c r="E475" s="303" t="s">
        <v>30</v>
      </c>
      <c r="F475" s="528">
        <v>45440</v>
      </c>
      <c r="G475" s="528">
        <v>45476</v>
      </c>
      <c r="H47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5" s="522" t="str">
        <f>CONCATENATE(Таблица47[[#This Row],[№ заявки в 1С]],Таблица47[[#This Row],[Наименование            ]])</f>
        <v>318[89956] ПКФ (177 5050 Д L=1100 АД31Т1</v>
      </c>
      <c r="J47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5" s="635"/>
      <c r="N475" s="1119">
        <v>64</v>
      </c>
      <c r="O475" s="1013" t="str">
        <f>IFERROR(Таблица47[[#This Row],[Количество хлыстов]]-Таблица47[[#This Row],[Обработано в 1С]]-Таблица47[[#This Row],[Корректировка]],"")</f>
        <v/>
      </c>
      <c r="P475" s="638" t="str">
        <f>IFERROR((((Таблица47[[#This Row],[Осталось сделать, хлыст]]*Таблица47[[#This Row],[длина]])*Таблица47[[#This Row],[Периметр]])/28),"")</f>
        <v/>
      </c>
      <c r="Q475" s="303"/>
      <c r="R475" s="991">
        <f>IFERROR(Таблица47[[#This Row],[Коли-
чество м.п.]]/Таблица47[[#This Row],[Количество хлыстов]],"")</f>
        <v>1</v>
      </c>
      <c r="S475" s="639" t="s">
        <v>5140</v>
      </c>
      <c r="T475" s="639">
        <v>64</v>
      </c>
      <c r="U475" s="640">
        <v>64</v>
      </c>
      <c r="V475" s="639">
        <v>0.19</v>
      </c>
      <c r="W475" s="639">
        <v>0.89700000000000002</v>
      </c>
      <c r="X475" s="639">
        <v>12.16</v>
      </c>
      <c r="Y475" s="639">
        <v>57.408000000000001</v>
      </c>
      <c r="Z475" s="639">
        <v>1.58</v>
      </c>
      <c r="AA475" s="639">
        <v>170</v>
      </c>
      <c r="AB475" s="639">
        <v>894.74</v>
      </c>
      <c r="AC475" s="641">
        <v>10880</v>
      </c>
    </row>
    <row r="476" spans="1:29" ht="15.75" customHeight="1" x14ac:dyDescent="0.25">
      <c r="A476" s="427" t="s">
        <v>4678</v>
      </c>
      <c r="B476" s="309">
        <v>318</v>
      </c>
      <c r="C476" s="309" t="s">
        <v>4753</v>
      </c>
      <c r="D476" s="303" t="s">
        <v>13</v>
      </c>
      <c r="E476" s="303" t="s">
        <v>30</v>
      </c>
      <c r="F476" s="528">
        <v>45440</v>
      </c>
      <c r="G476" s="528">
        <v>45476</v>
      </c>
      <c r="H47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6" s="522" t="str">
        <f>CONCATENATE(Таблица47[[#This Row],[№ заявки в 1С]],Таблица47[[#This Row],[Наименование            ]])</f>
        <v>318[89957] ПКФ (176) 5033 Д L=1100 АД31Т1</v>
      </c>
      <c r="J47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6" s="635"/>
      <c r="N476" s="1119">
        <v>64</v>
      </c>
      <c r="O476" s="1013" t="str">
        <f>IFERROR(Таблица47[[#This Row],[Количество хлыстов]]-Таблица47[[#This Row],[Обработано в 1С]]-Таблица47[[#This Row],[Корректировка]],"")</f>
        <v/>
      </c>
      <c r="P476" s="638" t="str">
        <f>IFERROR((((Таблица47[[#This Row],[Осталось сделать, хлыст]]*Таблица47[[#This Row],[длина]])*Таблица47[[#This Row],[Периметр]])/28),"")</f>
        <v/>
      </c>
      <c r="Q476" s="303"/>
      <c r="R476" s="991">
        <f>IFERROR(Таблица47[[#This Row],[Коли-
чество м.п.]]/Таблица47[[#This Row],[Количество хлыстов]],"")</f>
        <v>1</v>
      </c>
      <c r="S476" s="639" t="s">
        <v>5141</v>
      </c>
      <c r="T476" s="639">
        <v>64</v>
      </c>
      <c r="U476" s="640">
        <v>64</v>
      </c>
      <c r="V476" s="639">
        <v>0.188</v>
      </c>
      <c r="W476" s="639">
        <v>0.84199999999999997</v>
      </c>
      <c r="X476" s="639">
        <v>12.032</v>
      </c>
      <c r="Y476" s="639">
        <v>53.887999999999998</v>
      </c>
      <c r="Z476" s="639">
        <v>1.56</v>
      </c>
      <c r="AA476" s="639">
        <v>170</v>
      </c>
      <c r="AB476" s="639">
        <v>904.26</v>
      </c>
      <c r="AC476" s="641">
        <v>10880</v>
      </c>
    </row>
    <row r="477" spans="1:29" ht="15.75" customHeight="1" x14ac:dyDescent="0.25">
      <c r="A477" s="427" t="s">
        <v>4678</v>
      </c>
      <c r="B477" s="309">
        <v>318</v>
      </c>
      <c r="C477" s="309" t="s">
        <v>4753</v>
      </c>
      <c r="D477" s="303" t="s">
        <v>13</v>
      </c>
      <c r="E477" s="303" t="s">
        <v>30</v>
      </c>
      <c r="F477" s="528">
        <v>45440</v>
      </c>
      <c r="G477" s="528">
        <v>45476</v>
      </c>
      <c r="H47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7" s="522" t="str">
        <f>CONCATENATE(Таблица47[[#This Row],[№ заявки в 1С]],Таблица47[[#This Row],[Наименование            ]])</f>
        <v>318[89958] ПКФ (177) 5050 Д L=1250 АД31Т1</v>
      </c>
      <c r="J47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7" s="635"/>
      <c r="N477" s="1119">
        <v>10</v>
      </c>
      <c r="O477" s="1013" t="str">
        <f>IFERROR(Таблица47[[#This Row],[Количество хлыстов]]-Таблица47[[#This Row],[Обработано в 1С]]-Таблица47[[#This Row],[Корректировка]],"")</f>
        <v/>
      </c>
      <c r="P477" s="638" t="str">
        <f>IFERROR((((Таблица47[[#This Row],[Осталось сделать, хлыст]]*Таблица47[[#This Row],[длина]])*Таблица47[[#This Row],[Периметр]])/28),"")</f>
        <v/>
      </c>
      <c r="Q477" s="303"/>
      <c r="R477" s="991">
        <f>IFERROR(Таблица47[[#This Row],[Коли-
чество м.п.]]/Таблица47[[#This Row],[Количество хлыстов]],"")</f>
        <v>1</v>
      </c>
      <c r="S477" s="639" t="s">
        <v>5142</v>
      </c>
      <c r="T477" s="639">
        <v>10</v>
      </c>
      <c r="U477" s="640">
        <v>10</v>
      </c>
      <c r="V477" s="639">
        <v>0.216</v>
      </c>
      <c r="W477" s="639">
        <v>1.0189999999999999</v>
      </c>
      <c r="X477" s="639">
        <v>2.16</v>
      </c>
      <c r="Y477" s="639">
        <v>10.19</v>
      </c>
      <c r="Z477" s="639">
        <v>0.28000000000000003</v>
      </c>
      <c r="AA477" s="639">
        <v>234</v>
      </c>
      <c r="AB477" s="639">
        <v>1083.33</v>
      </c>
      <c r="AC477" s="641">
        <v>2340</v>
      </c>
    </row>
    <row r="478" spans="1:29" ht="15.75" customHeight="1" x14ac:dyDescent="0.25">
      <c r="A478" s="427" t="s">
        <v>4678</v>
      </c>
      <c r="B478" s="309">
        <v>318</v>
      </c>
      <c r="C478" s="309" t="s">
        <v>4753</v>
      </c>
      <c r="D478" s="303" t="s">
        <v>13</v>
      </c>
      <c r="E478" s="303" t="s">
        <v>30</v>
      </c>
      <c r="F478" s="528">
        <v>45440</v>
      </c>
      <c r="G478" s="528">
        <v>45476</v>
      </c>
      <c r="H47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8" s="522" t="str">
        <f>CONCATENATE(Таблица47[[#This Row],[№ заявки в 1С]],Таблица47[[#This Row],[Наименование            ]])</f>
        <v>318[89959] ПКФ (176) 5033 Д L=1250 АД31Т1</v>
      </c>
      <c r="J47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8" s="635"/>
      <c r="N478" s="1119">
        <v>10</v>
      </c>
      <c r="O478" s="1013" t="str">
        <f>IFERROR(Таблица47[[#This Row],[Количество хлыстов]]-Таблица47[[#This Row],[Обработано в 1С]]-Таблица47[[#This Row],[Корректировка]],"")</f>
        <v/>
      </c>
      <c r="P478" s="638" t="str">
        <f>IFERROR((((Таблица47[[#This Row],[Осталось сделать, хлыст]]*Таблица47[[#This Row],[длина]])*Таблица47[[#This Row],[Периметр]])/28),"")</f>
        <v/>
      </c>
      <c r="Q478" s="303"/>
      <c r="R478" s="991">
        <f>IFERROR(Таблица47[[#This Row],[Коли-
чество м.п.]]/Таблица47[[#This Row],[Количество хлыстов]],"")</f>
        <v>1</v>
      </c>
      <c r="S478" s="639" t="s">
        <v>5143</v>
      </c>
      <c r="T478" s="639">
        <v>10</v>
      </c>
      <c r="U478" s="640">
        <v>10</v>
      </c>
      <c r="V478" s="639">
        <v>0.21299999999999999</v>
      </c>
      <c r="W478" s="639">
        <v>0.95699999999999996</v>
      </c>
      <c r="X478" s="639">
        <v>2.13</v>
      </c>
      <c r="Y478" s="639">
        <v>9.57</v>
      </c>
      <c r="Z478" s="639">
        <v>0.28000000000000003</v>
      </c>
      <c r="AA478" s="639">
        <v>234</v>
      </c>
      <c r="AB478" s="639">
        <v>1098.5899999999999</v>
      </c>
      <c r="AC478" s="641">
        <v>2340</v>
      </c>
    </row>
    <row r="479" spans="1:29" ht="15.75" customHeight="1" x14ac:dyDescent="0.25">
      <c r="A479" s="427" t="s">
        <v>4678</v>
      </c>
      <c r="B479" s="309">
        <v>318</v>
      </c>
      <c r="C479" s="309" t="s">
        <v>4753</v>
      </c>
      <c r="D479" s="303" t="s">
        <v>13</v>
      </c>
      <c r="E479" s="303" t="s">
        <v>30</v>
      </c>
      <c r="F479" s="528">
        <v>45440</v>
      </c>
      <c r="G479" s="528">
        <v>45476</v>
      </c>
      <c r="H47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79" s="522" t="str">
        <f>CONCATENATE(Таблица47[[#This Row],[№ заявки в 1С]],Таблица47[[#This Row],[Наименование            ]])</f>
        <v>318[89960] ПКФ (177) 5050 Д L=1560 АД31Т1</v>
      </c>
      <c r="J47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7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7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79" s="635"/>
      <c r="N479" s="1119">
        <v>148</v>
      </c>
      <c r="O479" s="1013" t="str">
        <f>IFERROR(Таблица47[[#This Row],[Количество хлыстов]]-Таблица47[[#This Row],[Обработано в 1С]]-Таблица47[[#This Row],[Корректировка]],"")</f>
        <v/>
      </c>
      <c r="P479" s="638" t="str">
        <f>IFERROR((((Таблица47[[#This Row],[Осталось сделать, хлыст]]*Таблица47[[#This Row],[длина]])*Таблица47[[#This Row],[Периметр]])/28),"")</f>
        <v/>
      </c>
      <c r="Q479" s="303"/>
      <c r="R479" s="991">
        <f>IFERROR(Таблица47[[#This Row],[Коли-
чество м.п.]]/Таблица47[[#This Row],[Количество хлыстов]],"")</f>
        <v>1</v>
      </c>
      <c r="S479" s="639" t="s">
        <v>5144</v>
      </c>
      <c r="T479" s="639">
        <v>148</v>
      </c>
      <c r="U479" s="640">
        <v>148</v>
      </c>
      <c r="V479" s="639">
        <v>0.27</v>
      </c>
      <c r="W479" s="639">
        <v>1.272</v>
      </c>
      <c r="X479" s="639">
        <v>39.96</v>
      </c>
      <c r="Y479" s="639">
        <v>188.256</v>
      </c>
      <c r="Z479" s="639">
        <v>5.19</v>
      </c>
      <c r="AA479" s="639">
        <v>260</v>
      </c>
      <c r="AB479" s="639">
        <v>962.96</v>
      </c>
      <c r="AC479" s="641">
        <v>38480</v>
      </c>
    </row>
    <row r="480" spans="1:29" ht="15.75" customHeight="1" x14ac:dyDescent="0.25">
      <c r="A480" s="427" t="s">
        <v>4678</v>
      </c>
      <c r="B480" s="309">
        <v>318</v>
      </c>
      <c r="C480" s="309" t="s">
        <v>4753</v>
      </c>
      <c r="D480" s="303" t="s">
        <v>13</v>
      </c>
      <c r="E480" s="303" t="s">
        <v>30</v>
      </c>
      <c r="F480" s="528">
        <v>45440</v>
      </c>
      <c r="G480" s="528">
        <v>45476</v>
      </c>
      <c r="H48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0" s="522" t="str">
        <f>CONCATENATE(Таблица47[[#This Row],[№ заявки в 1С]],Таблица47[[#This Row],[Наименование            ]])</f>
        <v>318[89961] ПКФ (176) 5033 Д L=1560 АД31Т1</v>
      </c>
      <c r="J48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0" s="635"/>
      <c r="N480" s="1119">
        <v>148</v>
      </c>
      <c r="O480" s="1013" t="str">
        <f>IFERROR(Таблица47[[#This Row],[Количество хлыстов]]-Таблица47[[#This Row],[Обработано в 1С]]-Таблица47[[#This Row],[Корректировка]],"")</f>
        <v/>
      </c>
      <c r="P480" s="638" t="str">
        <f>IFERROR((((Таблица47[[#This Row],[Осталось сделать, хлыст]]*Таблица47[[#This Row],[длина]])*Таблица47[[#This Row],[Периметр]])/28),"")</f>
        <v/>
      </c>
      <c r="Q480" s="303"/>
      <c r="R480" s="991">
        <f>IFERROR(Таблица47[[#This Row],[Коли-
чество м.п.]]/Таблица47[[#This Row],[Количество хлыстов]],"")</f>
        <v>1</v>
      </c>
      <c r="S480" s="639" t="s">
        <v>5145</v>
      </c>
      <c r="T480" s="639">
        <v>148</v>
      </c>
      <c r="U480" s="640">
        <v>148</v>
      </c>
      <c r="V480" s="639">
        <v>0.26600000000000001</v>
      </c>
      <c r="W480" s="639">
        <v>1.194</v>
      </c>
      <c r="X480" s="639">
        <v>39.368000000000002</v>
      </c>
      <c r="Y480" s="639">
        <v>176.71199999999999</v>
      </c>
      <c r="Z480" s="639">
        <v>5.12</v>
      </c>
      <c r="AA480" s="639">
        <v>260</v>
      </c>
      <c r="AB480" s="639">
        <v>977.44</v>
      </c>
      <c r="AC480" s="641">
        <v>38480</v>
      </c>
    </row>
    <row r="481" spans="1:29" ht="15.75" customHeight="1" x14ac:dyDescent="0.25">
      <c r="A481" s="427" t="s">
        <v>4678</v>
      </c>
      <c r="B481" s="309">
        <v>319</v>
      </c>
      <c r="C481" s="309"/>
      <c r="D481" s="303" t="s">
        <v>13</v>
      </c>
      <c r="E481" s="303" t="s">
        <v>1768</v>
      </c>
      <c r="F481" s="528">
        <v>45440</v>
      </c>
      <c r="G481" s="528">
        <v>45464</v>
      </c>
      <c r="H481" s="303" t="s">
        <v>23</v>
      </c>
      <c r="I481" s="522" t="str">
        <f>CONCATENATE(Таблица47[[#This Row],[№ заявки в 1С]],Таблица47[[#This Row],[Наименование            ]])</f>
        <v>319[37634] 0906-85, 4,0м,  6063 КР Т1</v>
      </c>
      <c r="J48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1" s="635">
        <v>3</v>
      </c>
      <c r="N481" s="1119"/>
      <c r="O481" s="1013" t="str">
        <f>IFERROR(Таблица47[[#This Row],[Количество хлыстов]]-Таблица47[[#This Row],[Обработано в 1С]]-Таблица47[[#This Row],[Корректировка]],"")</f>
        <v/>
      </c>
      <c r="P481" s="638" t="str">
        <f>IFERROR((((Таблица47[[#This Row],[Осталось сделать, хлыст]]*Таблица47[[#This Row],[длина]])*Таблица47[[#This Row],[Периметр]])/28),"")</f>
        <v/>
      </c>
      <c r="Q481" s="303" t="s">
        <v>4934</v>
      </c>
      <c r="R481" s="991">
        <f>IFERROR(Таблица47[[#This Row],[Коли-
чество м.п.]]/Таблица47[[#This Row],[Количество хлыстов]],"")</f>
        <v>4</v>
      </c>
      <c r="S481" s="639" t="s">
        <v>1767</v>
      </c>
      <c r="T481" s="639">
        <v>408</v>
      </c>
      <c r="U481" s="640">
        <v>102</v>
      </c>
      <c r="V481" s="639">
        <v>9.74E-2</v>
      </c>
      <c r="W481" s="639">
        <v>0.37</v>
      </c>
      <c r="X481" s="639">
        <v>39.739199999999997</v>
      </c>
      <c r="Y481" s="639">
        <v>150.96</v>
      </c>
      <c r="Z481" s="639">
        <v>5.17</v>
      </c>
      <c r="AA481" s="639">
        <v>40.42</v>
      </c>
      <c r="AB481" s="639">
        <v>465</v>
      </c>
      <c r="AC481" s="641">
        <f>Таблица47[[#This Row],[Цена м2
руб]]*Таблица47[[#This Row],[Площадь общая, м2]]</f>
        <v>18478.727999999999</v>
      </c>
    </row>
    <row r="482" spans="1:29" s="1021" customFormat="1" ht="15.75" customHeight="1" x14ac:dyDescent="0.25">
      <c r="A482" s="1106" t="s">
        <v>4978</v>
      </c>
      <c r="B482" s="1067">
        <v>321</v>
      </c>
      <c r="C482" s="1067"/>
      <c r="D482" s="1068" t="s">
        <v>13</v>
      </c>
      <c r="E482" s="1068" t="s">
        <v>4725</v>
      </c>
      <c r="F482" s="1069">
        <v>45441</v>
      </c>
      <c r="G482" s="1069"/>
      <c r="H48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2" s="620" t="str">
        <f>CONCATENATE(Таблица47[[#This Row],[№ заявки в 1С]],Таблица47[[#This Row],[Наименование            ]])</f>
        <v>321[866] автоуголок 150*55*3мм (0106-153 ) 6,0м АД31 Т1 уп. Т5</v>
      </c>
      <c r="J48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2" s="1082"/>
      <c r="N482" s="1120">
        <v>118</v>
      </c>
      <c r="O482" s="1020" t="str">
        <f>IFERROR(Таблица47[[#This Row],[Количество хлыстов]]-Таблица47[[#This Row],[Обработано в 1С]]-Таблица47[[#This Row],[Корректировка]],"")</f>
        <v/>
      </c>
      <c r="P482" s="638" t="str">
        <f>IFERROR((((Таблица47[[#This Row],[Осталось сделать, хлыст]]*Таблица47[[#This Row],[длина]])*Таблица47[[#This Row],[Периметр]])/28),"")</f>
        <v/>
      </c>
      <c r="Q482" s="1068"/>
      <c r="R482" s="1089">
        <f>IFERROR(Таблица47[[#This Row],[Коли-
чество м.п.]]/Таблица47[[#This Row],[Количество хлыстов]],"")</f>
        <v>6</v>
      </c>
      <c r="S482" s="1083" t="s">
        <v>4834</v>
      </c>
      <c r="T482" s="1083">
        <v>708</v>
      </c>
      <c r="U482" s="1084">
        <v>118</v>
      </c>
      <c r="V482" s="1083">
        <v>0.42199999999999999</v>
      </c>
      <c r="W482" s="1083">
        <v>1.389</v>
      </c>
      <c r="X482" s="1083">
        <v>298.77600000000001</v>
      </c>
      <c r="Y482" s="1083">
        <v>983.41200000000003</v>
      </c>
      <c r="Z482" s="1083">
        <v>38.840000000000003</v>
      </c>
      <c r="AA482" s="1083">
        <v>99.17</v>
      </c>
      <c r="AB482" s="1083">
        <v>235</v>
      </c>
      <c r="AC482" s="1085">
        <v>70212.36</v>
      </c>
    </row>
    <row r="483" spans="1:29" ht="15.75" customHeight="1" x14ac:dyDescent="0.25">
      <c r="A483" s="427" t="s">
        <v>4678</v>
      </c>
      <c r="B483" s="309">
        <v>322</v>
      </c>
      <c r="C483" s="309"/>
      <c r="D483" s="303" t="s">
        <v>13</v>
      </c>
      <c r="E483" s="303" t="s">
        <v>4725</v>
      </c>
      <c r="F483" s="528">
        <v>45441</v>
      </c>
      <c r="G483" s="528">
        <v>45464</v>
      </c>
      <c r="H4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3" s="522" t="str">
        <f>CONCATENATE(Таблица47[[#This Row],[№ заявки в 1С]],Таблица47[[#This Row],[Наименование            ]])</f>
        <v>322[69916] автоуголок 50*50 мм (97082) 6,0м,  сплав 6063 Т6 + упаковка А5</v>
      </c>
      <c r="J48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3" s="635">
        <v>1</v>
      </c>
      <c r="N483" s="1119">
        <v>101</v>
      </c>
      <c r="O483" s="1013" t="str">
        <f>IFERROR(Таблица47[[#This Row],[Количество хлыстов]]-Таблица47[[#This Row],[Обработано в 1С]]-Таблица47[[#This Row],[Корректировка]],"")</f>
        <v/>
      </c>
      <c r="P483" s="638" t="str">
        <f>IFERROR((((Таблица47[[#This Row],[Осталось сделать, хлыст]]*Таблица47[[#This Row],[длина]])*Таблица47[[#This Row],[Периметр]])/28),"")</f>
        <v/>
      </c>
      <c r="Q483" s="303" t="s">
        <v>4937</v>
      </c>
      <c r="R483" s="991">
        <f>IFERROR(Таблица47[[#This Row],[Коли-
чество м.п.]]/Таблица47[[#This Row],[Количество хлыстов]],"")</f>
        <v>6</v>
      </c>
      <c r="S483" s="639" t="s">
        <v>4727</v>
      </c>
      <c r="T483" s="639">
        <v>612</v>
      </c>
      <c r="U483" s="640">
        <v>102</v>
      </c>
      <c r="V483" s="639">
        <v>0.1938</v>
      </c>
      <c r="W483" s="639">
        <v>0.63600000000000001</v>
      </c>
      <c r="X483" s="639">
        <v>118.6056</v>
      </c>
      <c r="Y483" s="639">
        <v>389.23200000000003</v>
      </c>
      <c r="Z483" s="639">
        <v>15.42</v>
      </c>
      <c r="AA483" s="639">
        <v>78.489999999999995</v>
      </c>
      <c r="AB483" s="639">
        <v>405</v>
      </c>
      <c r="AC483" s="641">
        <v>48035.27</v>
      </c>
    </row>
    <row r="484" spans="1:29" ht="15.75" customHeight="1" x14ac:dyDescent="0.25">
      <c r="A484" s="427" t="s">
        <v>4678</v>
      </c>
      <c r="B484" s="309">
        <v>322</v>
      </c>
      <c r="C484" s="309"/>
      <c r="D484" s="303" t="s">
        <v>13</v>
      </c>
      <c r="E484" s="303" t="s">
        <v>4725</v>
      </c>
      <c r="F484" s="528">
        <v>45441</v>
      </c>
      <c r="G484" s="528">
        <v>45464</v>
      </c>
      <c r="H48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4" s="522" t="str">
        <f>CONCATENATE(Таблица47[[#This Row],[№ заявки в 1С]],Таблица47[[#This Row],[Наименование            ]])</f>
        <v>322[77780] автоуголок 250*40мм (97101-плохое качество) 6,0м, сплав 6063 Т6 +  упаковка А5</v>
      </c>
      <c r="J48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4" s="635"/>
      <c r="N484" s="1119">
        <v>15</v>
      </c>
      <c r="O484" s="1013" t="str">
        <f>IFERROR(Таблица47[[#This Row],[Количество хлыстов]]-Таблица47[[#This Row],[Обработано в 1С]]-Таблица47[[#This Row],[Корректировка]],"")</f>
        <v/>
      </c>
      <c r="P484" s="638" t="str">
        <f>IFERROR((((Таблица47[[#This Row],[Осталось сделать, хлыст]]*Таблица47[[#This Row],[длина]])*Таблица47[[#This Row],[Периметр]])/28),"")</f>
        <v/>
      </c>
      <c r="Q484" s="303"/>
      <c r="R484" s="991">
        <f>IFERROR(Таблица47[[#This Row],[Коли-
чество м.п.]]/Таблица47[[#This Row],[Количество хлыстов]],"")</f>
        <v>6</v>
      </c>
      <c r="S484" s="639" t="s">
        <v>5147</v>
      </c>
      <c r="T484" s="639">
        <v>90</v>
      </c>
      <c r="U484" s="640">
        <v>15</v>
      </c>
      <c r="V484" s="639">
        <v>0.60040000000000004</v>
      </c>
      <c r="W484" s="639">
        <v>2.5739999999999998</v>
      </c>
      <c r="X484" s="639">
        <v>54.036000000000001</v>
      </c>
      <c r="Y484" s="639">
        <v>231.66</v>
      </c>
      <c r="Z484" s="639">
        <v>7.02</v>
      </c>
      <c r="AA484" s="639">
        <v>243.16</v>
      </c>
      <c r="AB484" s="639">
        <v>405</v>
      </c>
      <c r="AC484" s="641">
        <v>21884.58</v>
      </c>
    </row>
    <row r="485" spans="1:29" ht="15.75" customHeight="1" x14ac:dyDescent="0.25">
      <c r="A485" s="427" t="s">
        <v>4678</v>
      </c>
      <c r="B485" s="309">
        <v>323</v>
      </c>
      <c r="C485" s="309"/>
      <c r="D485" s="303" t="s">
        <v>34</v>
      </c>
      <c r="E485" s="303" t="s">
        <v>5082</v>
      </c>
      <c r="F485" s="528">
        <v>45441</v>
      </c>
      <c r="G485" s="528"/>
      <c r="H48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5" s="522" t="str">
        <f>CONCATENATE(Таблица47[[#This Row],[№ заявки в 1С]],Таблица47[[#This Row],[Наименование            ]])</f>
        <v>323[34252] 0906-64, 6,0м, 6063 Т1, упаковка Т-5, БА (4000 пресс)</v>
      </c>
      <c r="J48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5" s="635">
        <v>1</v>
      </c>
      <c r="N485" s="1119">
        <v>79</v>
      </c>
      <c r="O485" s="1013" t="str">
        <f>IFERROR(Таблица47[[#This Row],[Количество хлыстов]]-Таблица47[[#This Row],[Обработано в 1С]]-Таблица47[[#This Row],[Корректировка]],"")</f>
        <v/>
      </c>
      <c r="P485" s="638" t="str">
        <f>IFERROR((((Таблица47[[#This Row],[Осталось сделать, хлыст]]*Таблица47[[#This Row],[длина]])*Таблица47[[#This Row],[Периметр]])/28),"")</f>
        <v/>
      </c>
      <c r="Q485" s="303" t="s">
        <v>5221</v>
      </c>
      <c r="R485" s="991">
        <f>IFERROR(Таблица47[[#This Row],[Коли-
чество м.п.]]/Таблица47[[#This Row],[Количество хлыстов]],"")</f>
        <v>6</v>
      </c>
      <c r="S485" s="639" t="s">
        <v>2561</v>
      </c>
      <c r="T485" s="639">
        <v>480</v>
      </c>
      <c r="U485" s="640">
        <v>80</v>
      </c>
      <c r="V485" s="639">
        <v>0.31109999999999999</v>
      </c>
      <c r="W485" s="639">
        <v>1.7769999999999999</v>
      </c>
      <c r="X485" s="639">
        <v>149.328</v>
      </c>
      <c r="Y485" s="639">
        <v>852.96</v>
      </c>
      <c r="Z485" s="639">
        <v>19.41</v>
      </c>
      <c r="AA485" s="639">
        <v>135.33000000000001</v>
      </c>
      <c r="AB485" s="639">
        <v>435</v>
      </c>
      <c r="AC485" s="641">
        <v>64957.68</v>
      </c>
    </row>
    <row r="486" spans="1:29" ht="15.75" customHeight="1" x14ac:dyDescent="0.25">
      <c r="A486" s="427" t="s">
        <v>4678</v>
      </c>
      <c r="B486" s="309">
        <v>324</v>
      </c>
      <c r="C486" s="309"/>
      <c r="D486" s="303" t="s">
        <v>34</v>
      </c>
      <c r="E486" s="303" t="s">
        <v>19</v>
      </c>
      <c r="F486" s="528">
        <v>45441</v>
      </c>
      <c r="G486" s="528"/>
      <c r="H48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6" s="522" t="str">
        <f>CONCATENATE(Таблица47[[#This Row],[№ заявки в 1С]],Таблица47[[#This Row],[Наименование            ]])</f>
        <v>324[90588] 1606-30, 2,95м, 6063 Т6 под анод, упак.Т5</v>
      </c>
      <c r="J48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6" s="635"/>
      <c r="N486" s="1119">
        <v>397</v>
      </c>
      <c r="O486" s="1013" t="str">
        <f>IFERROR(Таблица47[[#This Row],[Количество хлыстов]]-Таблица47[[#This Row],[Обработано в 1С]]-Таблица47[[#This Row],[Корректировка]],"")</f>
        <v/>
      </c>
      <c r="P486" s="638" t="str">
        <f>IFERROR((((Таблица47[[#This Row],[Осталось сделать, хлыст]]*Таблица47[[#This Row],[длина]])*Таблица47[[#This Row],[Периметр]])/28),"")</f>
        <v/>
      </c>
      <c r="Q486" s="303"/>
      <c r="R486" s="991">
        <f>IFERROR(Таблица47[[#This Row],[Коли-
чество м.п.]]/Таблица47[[#This Row],[Количество хлыстов]],"")</f>
        <v>2.95</v>
      </c>
      <c r="S486" s="639" t="s">
        <v>5148</v>
      </c>
      <c r="T486" s="639">
        <v>1171.1500000000001</v>
      </c>
      <c r="U486" s="640">
        <v>397</v>
      </c>
      <c r="V486" s="639">
        <v>0.27160000000000001</v>
      </c>
      <c r="W486" s="639">
        <v>0.72799999999999998</v>
      </c>
      <c r="X486" s="639">
        <v>318.08429999999998</v>
      </c>
      <c r="Y486" s="639">
        <v>852.59720000000004</v>
      </c>
      <c r="Z486" s="639">
        <v>41.35</v>
      </c>
      <c r="AA486" s="639">
        <v>90.99</v>
      </c>
      <c r="AB486" s="639">
        <v>335</v>
      </c>
      <c r="AC486" s="641">
        <v>106558.25</v>
      </c>
    </row>
    <row r="487" spans="1:29" ht="15.75" customHeight="1" x14ac:dyDescent="0.25">
      <c r="A487" s="427" t="s">
        <v>4678</v>
      </c>
      <c r="B487" s="309">
        <v>325</v>
      </c>
      <c r="C487" s="309"/>
      <c r="D487" s="303" t="s">
        <v>34</v>
      </c>
      <c r="E487" s="303" t="s">
        <v>3404</v>
      </c>
      <c r="F487" s="528">
        <v>45441</v>
      </c>
      <c r="G487" s="528"/>
      <c r="H48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7" s="522" t="str">
        <f>CONCATENATE(Таблица47[[#This Row],[№ заявки в 1С]],Таблица47[[#This Row],[Наименование            ]])</f>
        <v>325[81579] 1706-69, 6,0м, 6063 Т6, упаковка Т-5, БА</v>
      </c>
      <c r="J48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7" s="635">
        <v>2</v>
      </c>
      <c r="N487" s="1119">
        <v>404</v>
      </c>
      <c r="O487" s="1013" t="str">
        <f>IFERROR(Таблица47[[#This Row],[Количество хлыстов]]-Таблица47[[#This Row],[Обработано в 1С]]-Таблица47[[#This Row],[Корректировка]],"")</f>
        <v/>
      </c>
      <c r="P487" s="638" t="str">
        <f>IFERROR((((Таблица47[[#This Row],[Осталось сделать, хлыст]]*Таблица47[[#This Row],[длина]])*Таблица47[[#This Row],[Периметр]])/28),"")</f>
        <v/>
      </c>
      <c r="Q487" s="303" t="s">
        <v>5153</v>
      </c>
      <c r="R487" s="991">
        <f>IFERROR(Таблица47[[#This Row],[Коли-
чество м.п.]]/Таблица47[[#This Row],[Количество хлыстов]],"")</f>
        <v>6</v>
      </c>
      <c r="S487" s="639" t="s">
        <v>4994</v>
      </c>
      <c r="T487" s="639">
        <v>2436</v>
      </c>
      <c r="U487" s="640">
        <v>406</v>
      </c>
      <c r="V487" s="639">
        <v>0.21959999999999999</v>
      </c>
      <c r="W487" s="639">
        <v>0.35</v>
      </c>
      <c r="X487" s="639">
        <v>534.94560000000001</v>
      </c>
      <c r="Y487" s="639">
        <v>852.6</v>
      </c>
      <c r="Z487" s="639">
        <v>69.540000000000006</v>
      </c>
      <c r="AA487" s="639">
        <v>81.25</v>
      </c>
      <c r="AB487" s="639">
        <v>370</v>
      </c>
      <c r="AC487" s="641">
        <v>197929.87</v>
      </c>
    </row>
    <row r="488" spans="1:29" ht="15.75" customHeight="1" x14ac:dyDescent="0.25">
      <c r="A488" s="427" t="s">
        <v>4678</v>
      </c>
      <c r="B488" s="309">
        <v>328</v>
      </c>
      <c r="C488" s="309"/>
      <c r="D488" s="303" t="s">
        <v>13</v>
      </c>
      <c r="E488" s="303" t="s">
        <v>4870</v>
      </c>
      <c r="F488" s="528">
        <v>45441</v>
      </c>
      <c r="G488" s="528">
        <v>45460</v>
      </c>
      <c r="H48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88" s="522" t="str">
        <f>CONCATENATE(Таблица47[[#This Row],[№ заявки в 1С]],Таблица47[[#This Row],[Наименование            ]])</f>
        <v>328[89250] 1806-97, 5,45м, 6063 Т6</v>
      </c>
      <c r="J48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8" s="635"/>
      <c r="N488" s="1119">
        <v>1329</v>
      </c>
      <c r="O488" s="1013" t="str">
        <f>IFERROR(Таблица47[[#This Row],[Количество хлыстов]]-Таблица47[[#This Row],[Обработано в 1С]]-Таблица47[[#This Row],[Корректировка]],"")</f>
        <v/>
      </c>
      <c r="P488" s="638" t="str">
        <f>IFERROR((((Таблица47[[#This Row],[Осталось сделать, хлыст]]*Таблица47[[#This Row],[длина]])*Таблица47[[#This Row],[Периметр]])/28),"")</f>
        <v/>
      </c>
      <c r="Q488" s="303"/>
      <c r="R488" s="991">
        <f>IFERROR(Таблица47[[#This Row],[Коли-
чество м.п.]]/Таблица47[[#This Row],[Количество хлыстов]],"")</f>
        <v>5.45</v>
      </c>
      <c r="S488" s="639" t="s">
        <v>4918</v>
      </c>
      <c r="T488" s="639">
        <v>7243.05</v>
      </c>
      <c r="U488" s="640">
        <v>1329</v>
      </c>
      <c r="V488" s="639">
        <v>7.2999999999999995E-2</v>
      </c>
      <c r="W488" s="639">
        <v>0.121</v>
      </c>
      <c r="X488" s="639">
        <v>528.74270000000001</v>
      </c>
      <c r="Y488" s="639">
        <v>876.40909999999997</v>
      </c>
      <c r="Z488" s="639">
        <v>68.739999999999995</v>
      </c>
      <c r="AA488" s="639">
        <v>30.3</v>
      </c>
      <c r="AB488" s="639">
        <v>495</v>
      </c>
      <c r="AC488" s="641">
        <f>Таблица47[[#This Row],[Цена м2
руб]]*Таблица47[[#This Row],[Площадь общая, м2]]</f>
        <v>261727.63649999999</v>
      </c>
    </row>
    <row r="489" spans="1:29" s="966" customFormat="1" ht="15.75" customHeight="1" x14ac:dyDescent="0.25">
      <c r="A489" s="419" t="s">
        <v>4978</v>
      </c>
      <c r="B489" s="617">
        <v>329</v>
      </c>
      <c r="C489" s="617"/>
      <c r="D489" s="618" t="s">
        <v>13</v>
      </c>
      <c r="E489" s="618" t="s">
        <v>892</v>
      </c>
      <c r="F489" s="619">
        <v>45441</v>
      </c>
      <c r="G489" s="619"/>
      <c r="H489" s="618" t="s">
        <v>677</v>
      </c>
      <c r="I489" s="620" t="str">
        <f>CONCATENATE(Таблица47[[#This Row],[№ заявки в 1С]],Таблица47[[#This Row],[Наименование            ]])</f>
        <v>329[88976] 1606-39 (197.04) 4,85 м, сплав Ад31 под покраску</v>
      </c>
      <c r="J489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89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89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89" s="620"/>
      <c r="N489" s="677"/>
      <c r="O489" s="1002" t="str">
        <f>IFERROR(Таблица47[[#This Row],[Количество хлыстов]]-Таблица47[[#This Row],[Обработано в 1С]]-Таблица47[[#This Row],[Корректировка]],"")</f>
        <v/>
      </c>
      <c r="P489" s="638" t="str">
        <f>IFERROR((((Таблица47[[#This Row],[Осталось сделать, хлыст]]*Таблица47[[#This Row],[длина]])*Таблица47[[#This Row],[Периметр]])/28),"")</f>
        <v/>
      </c>
      <c r="Q489" s="618" t="s">
        <v>5149</v>
      </c>
      <c r="R489" s="692">
        <f>IFERROR(Таблица47[[#This Row],[Коли-
чество м.п.]]/Таблица47[[#This Row],[Количество хлыстов]],"")</f>
        <v>4.8499999999999996</v>
      </c>
      <c r="S489" s="622" t="s">
        <v>4774</v>
      </c>
      <c r="T489" s="622">
        <v>4554.1499999999996</v>
      </c>
      <c r="U489" s="623">
        <v>939</v>
      </c>
      <c r="V489" s="622">
        <v>9.5600000000000004E-2</v>
      </c>
      <c r="W489" s="622">
        <v>0.16</v>
      </c>
      <c r="X489" s="622">
        <v>435.37670000000003</v>
      </c>
      <c r="Y489" s="622">
        <v>728.66399999999999</v>
      </c>
      <c r="Z489" s="622">
        <v>56.6</v>
      </c>
      <c r="AA489" s="622">
        <v>31.55</v>
      </c>
      <c r="AB489" s="622">
        <v>330</v>
      </c>
      <c r="AC489" s="624">
        <v>143674.32</v>
      </c>
    </row>
    <row r="490" spans="1:29" ht="15.75" customHeight="1" x14ac:dyDescent="0.25">
      <c r="A490" s="427" t="s">
        <v>4678</v>
      </c>
      <c r="B490" s="309">
        <v>330</v>
      </c>
      <c r="C490" s="309" t="s">
        <v>4753</v>
      </c>
      <c r="D490" s="303" t="s">
        <v>34</v>
      </c>
      <c r="E490" s="303" t="s">
        <v>861</v>
      </c>
      <c r="F490" s="528">
        <v>45441</v>
      </c>
      <c r="G490" s="528"/>
      <c r="H49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0" s="522" t="str">
        <f>CONCATENATE(Таблица47[[#This Row],[№ заявки в 1С]],Таблица47[[#This Row],[Наименование            ]])</f>
        <v>330[90467] Д Основания ТИС-Р-3 (профиль 1111-116), 475мм, БА</v>
      </c>
      <c r="J49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0" s="635"/>
      <c r="N490" s="1119">
        <v>227</v>
      </c>
      <c r="O490" s="1013" t="str">
        <f>IFERROR(Таблица47[[#This Row],[Количество хлыстов]]-Таблица47[[#This Row],[Обработано в 1С]]-Таблица47[[#This Row],[Корректировка]],"")</f>
        <v/>
      </c>
      <c r="P490" s="638" t="str">
        <f>IFERROR((((Таблица47[[#This Row],[Осталось сделать, хлыст]]*Таблица47[[#This Row],[длина]])*Таблица47[[#This Row],[Периметр]])/28),"")</f>
        <v/>
      </c>
      <c r="Q490" s="303"/>
      <c r="R490" s="991">
        <f>IFERROR(Таблица47[[#This Row],[Коли-
чество м.п.]]/Таблица47[[#This Row],[Количество хлыстов]],"")</f>
        <v>1</v>
      </c>
      <c r="S490" s="639" t="s">
        <v>5083</v>
      </c>
      <c r="T490" s="639">
        <v>227</v>
      </c>
      <c r="U490" s="640">
        <v>227</v>
      </c>
      <c r="V490" s="639">
        <v>0.66020000000000001</v>
      </c>
      <c r="W490" s="639">
        <v>2.6480000000000001</v>
      </c>
      <c r="X490" s="639">
        <v>149.86539999999999</v>
      </c>
      <c r="Y490" s="639">
        <v>601.096</v>
      </c>
      <c r="Z490" s="639">
        <v>19.48</v>
      </c>
      <c r="AA490" s="639">
        <v>675.86</v>
      </c>
      <c r="AB490" s="639">
        <v>1023.72</v>
      </c>
      <c r="AC490" s="641">
        <v>153420.22</v>
      </c>
    </row>
    <row r="491" spans="1:29" s="1021" customFormat="1" ht="15.75" customHeight="1" x14ac:dyDescent="0.25">
      <c r="A491" s="1106" t="s">
        <v>4978</v>
      </c>
      <c r="B491" s="1067">
        <v>334</v>
      </c>
      <c r="C491" s="1067"/>
      <c r="D491" s="1068" t="s">
        <v>34</v>
      </c>
      <c r="E491" s="1068" t="s">
        <v>4718</v>
      </c>
      <c r="F491" s="1069">
        <v>45443</v>
      </c>
      <c r="G491" s="1069"/>
      <c r="H49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1" s="620" t="str">
        <f>CONCATENATE(Таблица47[[#This Row],[№ заявки в 1С]],Таблица47[[#This Row],[Наименование            ]])</f>
        <v>334[30664] НЕ ИСПОЛЬЗОВАТЬ! Труба прямоугольная 30*50*2мм,  6,0м, БА (см.код  30662 !!!)</v>
      </c>
      <c r="J49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1" s="1082"/>
      <c r="N491" s="1120">
        <v>16</v>
      </c>
      <c r="O491" s="1020" t="str">
        <f>IFERROR(Таблица47[[#This Row],[Количество хлыстов]]-Таблица47[[#This Row],[Обработано в 1С]]-Таблица47[[#This Row],[Корректировка]],"")</f>
        <v/>
      </c>
      <c r="P491" s="638" t="str">
        <f>IFERROR((((Таблица47[[#This Row],[Осталось сделать, хлыст]]*Таблица47[[#This Row],[длина]])*Таблица47[[#This Row],[Периметр]])/28),"")</f>
        <v/>
      </c>
      <c r="Q491" s="1068"/>
      <c r="R491" s="1089">
        <f>IFERROR(Таблица47[[#This Row],[Коли-
чество м.п.]]/Таблица47[[#This Row],[Количество хлыстов]],"")</f>
        <v>6</v>
      </c>
      <c r="S491" s="1083" t="s">
        <v>5152</v>
      </c>
      <c r="T491" s="1083">
        <v>96</v>
      </c>
      <c r="U491" s="1084">
        <v>16</v>
      </c>
      <c r="V491" s="1083">
        <v>0.16</v>
      </c>
      <c r="W491" s="1083">
        <v>0.82399999999999995</v>
      </c>
      <c r="X491" s="1083">
        <v>15.36</v>
      </c>
      <c r="Y491" s="1083">
        <v>79.103999999999999</v>
      </c>
      <c r="Z491" s="1083">
        <v>2</v>
      </c>
      <c r="AA491" s="1083">
        <v>49.88</v>
      </c>
      <c r="AB491" s="1083">
        <v>311.75</v>
      </c>
      <c r="AC491" s="1085">
        <v>4788.4799999999996</v>
      </c>
    </row>
    <row r="492" spans="1:29" s="1021" customFormat="1" ht="15.75" customHeight="1" x14ac:dyDescent="0.25">
      <c r="A492" s="1106" t="s">
        <v>4978</v>
      </c>
      <c r="B492" s="1067">
        <v>335</v>
      </c>
      <c r="C492" s="1067"/>
      <c r="D492" s="1068" t="s">
        <v>34</v>
      </c>
      <c r="E492" s="1068" t="s">
        <v>4718</v>
      </c>
      <c r="F492" s="1069">
        <v>45443</v>
      </c>
      <c r="G492" s="1069"/>
      <c r="H49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2" s="620" t="str">
        <f>CONCATENATE(Таблица47[[#This Row],[№ заявки в 1С]],Таблица47[[#This Row],[Наименование            ]])</f>
        <v>335[30664] НЕ ИСПОЛЬЗОВАТЬ! Труба прямоугольная 30*50*2мм,  6,0м, БА (см.код  30662 !!!)</v>
      </c>
      <c r="J49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2" s="1082"/>
      <c r="N492" s="1120">
        <v>16</v>
      </c>
      <c r="O492" s="1020" t="str">
        <f>IFERROR(Таблица47[[#This Row],[Количество хлыстов]]-Таблица47[[#This Row],[Обработано в 1С]]-Таблица47[[#This Row],[Корректировка]],"")</f>
        <v/>
      </c>
      <c r="P492" s="638" t="str">
        <f>IFERROR((((Таблица47[[#This Row],[Осталось сделать, хлыст]]*Таблица47[[#This Row],[длина]])*Таблица47[[#This Row],[Периметр]])/28),"")</f>
        <v/>
      </c>
      <c r="Q492" s="1068"/>
      <c r="R492" s="1089">
        <f>IFERROR(Таблица47[[#This Row],[Коли-
чество м.п.]]/Таблица47[[#This Row],[Количество хлыстов]],"")</f>
        <v>6</v>
      </c>
      <c r="S492" s="1083" t="s">
        <v>5152</v>
      </c>
      <c r="T492" s="1083">
        <v>96</v>
      </c>
      <c r="U492" s="1084">
        <v>16</v>
      </c>
      <c r="V492" s="1083">
        <v>0.16</v>
      </c>
      <c r="W492" s="1083">
        <v>0.82399999999999995</v>
      </c>
      <c r="X492" s="1083">
        <v>15.36</v>
      </c>
      <c r="Y492" s="1083">
        <v>79.103999999999999</v>
      </c>
      <c r="Z492" s="1083">
        <v>2</v>
      </c>
      <c r="AA492" s="1083">
        <v>49.88</v>
      </c>
      <c r="AB492" s="1083">
        <v>311.75</v>
      </c>
      <c r="AC492" s="1085">
        <v>4788.4799999999996</v>
      </c>
    </row>
    <row r="493" spans="1:29" s="1021" customFormat="1" ht="15.75" customHeight="1" x14ac:dyDescent="0.25">
      <c r="A493" s="1106" t="s">
        <v>4978</v>
      </c>
      <c r="B493" s="1067">
        <v>337</v>
      </c>
      <c r="C493" s="1067"/>
      <c r="D493" s="1068" t="s">
        <v>13</v>
      </c>
      <c r="E493" s="1068" t="s">
        <v>4870</v>
      </c>
      <c r="F493" s="1069">
        <v>45447</v>
      </c>
      <c r="G493" s="1069"/>
      <c r="H49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3" s="620" t="str">
        <f>CONCATENATE(Таблица47[[#This Row],[№ заявки в 1С]],Таблица47[[#This Row],[Наименование            ]])</f>
        <v>337[88391] 1806-97, 2,7м, 6063 Т6</v>
      </c>
      <c r="J49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3" s="1082"/>
      <c r="N493" s="1120">
        <v>3336</v>
      </c>
      <c r="O493" s="1020" t="str">
        <f>IFERROR(Таблица47[[#This Row],[Количество хлыстов]]-Таблица47[[#This Row],[Обработано в 1С]]-Таблица47[[#This Row],[Корректировка]],"")</f>
        <v/>
      </c>
      <c r="P493" s="638" t="str">
        <f>IFERROR((((Таблица47[[#This Row],[Осталось сделать, хлыст]]*Таблица47[[#This Row],[длина]])*Таблица47[[#This Row],[Периметр]])/28),"")</f>
        <v/>
      </c>
      <c r="Q493" s="1068"/>
      <c r="R493" s="1089">
        <f>IFERROR(Таблица47[[#This Row],[Коли-
чество м.п.]]/Таблица47[[#This Row],[Количество хлыстов]],"")</f>
        <v>2.7</v>
      </c>
      <c r="S493" s="1083" t="s">
        <v>4869</v>
      </c>
      <c r="T493" s="1083">
        <v>9007.2000000000007</v>
      </c>
      <c r="U493" s="1084">
        <v>3336</v>
      </c>
      <c r="V493" s="1083">
        <v>7.2999999999999995E-2</v>
      </c>
      <c r="W493" s="1083">
        <v>0.121</v>
      </c>
      <c r="X493" s="1083">
        <v>657.52560000000005</v>
      </c>
      <c r="Y493" s="1083">
        <v>1089.8712</v>
      </c>
      <c r="Z493" s="1083">
        <v>85.48</v>
      </c>
      <c r="AA493" s="1083">
        <v>18.03</v>
      </c>
      <c r="AB493" s="1083">
        <v>247</v>
      </c>
      <c r="AC493" s="1085">
        <v>162399.82</v>
      </c>
    </row>
    <row r="494" spans="1:29" s="1021" customFormat="1" ht="15.75" customHeight="1" x14ac:dyDescent="0.25">
      <c r="A494" s="1106" t="s">
        <v>4978</v>
      </c>
      <c r="B494" s="1067">
        <v>338</v>
      </c>
      <c r="C494" s="1067"/>
      <c r="D494" s="1068" t="s">
        <v>13</v>
      </c>
      <c r="E494" s="1068" t="s">
        <v>892</v>
      </c>
      <c r="F494" s="1069">
        <v>45447</v>
      </c>
      <c r="G494" s="1069"/>
      <c r="H49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4" s="620" t="str">
        <f>CONCATENATE(Таблица47[[#This Row],[№ заявки в 1С]],Таблица47[[#This Row],[Наименование            ]])</f>
        <v>338[88975] 1606-38 (197.05) 5,15 м, сплав Ад31 под покраску</v>
      </c>
      <c r="J49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4" s="1082"/>
      <c r="N494" s="1120">
        <f>424+9</f>
        <v>433</v>
      </c>
      <c r="O494" s="1020" t="str">
        <f>IFERROR(Таблица47[[#This Row],[Количество хлыстов]]-Таблица47[[#This Row],[Обработано в 1С]]-Таблица47[[#This Row],[Корректировка]],"")</f>
        <v/>
      </c>
      <c r="P494" s="638" t="str">
        <f>IFERROR((((Таблица47[[#This Row],[Осталось сделать, хлыст]]*Таблица47[[#This Row],[длина]])*Таблица47[[#This Row],[Периметр]])/28),"")</f>
        <v/>
      </c>
      <c r="Q494" s="1068"/>
      <c r="R494" s="1089">
        <f>IFERROR(Таблица47[[#This Row],[Коли-
чество м.п.]]/Таблица47[[#This Row],[Количество хлыстов]],"")</f>
        <v>5.1499999999999995</v>
      </c>
      <c r="S494" s="1083" t="s">
        <v>4773</v>
      </c>
      <c r="T494" s="1083">
        <v>2229.9499999999998</v>
      </c>
      <c r="U494" s="1084">
        <v>433</v>
      </c>
      <c r="V494" s="1083">
        <v>0.15790000000000001</v>
      </c>
      <c r="W494" s="1083">
        <v>0.309</v>
      </c>
      <c r="X494" s="1083">
        <v>352.10910000000001</v>
      </c>
      <c r="Y494" s="1083">
        <v>689.05460000000005</v>
      </c>
      <c r="Z494" s="1083">
        <v>45.77</v>
      </c>
      <c r="AA494" s="1083">
        <v>52.11</v>
      </c>
      <c r="AB494" s="1083">
        <v>330</v>
      </c>
      <c r="AC494" s="1085">
        <v>116202.69</v>
      </c>
    </row>
    <row r="495" spans="1:29" ht="15.75" customHeight="1" x14ac:dyDescent="0.25">
      <c r="A495" s="427" t="s">
        <v>4678</v>
      </c>
      <c r="B495" s="309">
        <v>339</v>
      </c>
      <c r="C495" s="309" t="s">
        <v>4753</v>
      </c>
      <c r="D495" s="303" t="s">
        <v>34</v>
      </c>
      <c r="E495" s="303" t="s">
        <v>861</v>
      </c>
      <c r="F495" s="528">
        <v>45448</v>
      </c>
      <c r="G495" s="528"/>
      <c r="H49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5" s="522" t="str">
        <f>CONCATENATE(Таблица47[[#This Row],[№ заявки в 1С]],Таблица47[[#This Row],[Наименование            ]])</f>
        <v>339[91191] Д Основания ТИС-Р-3 (профиль 1111-116), 485мм, БА</v>
      </c>
      <c r="J49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5" s="635"/>
      <c r="N495" s="1119">
        <v>332</v>
      </c>
      <c r="O495" s="1013" t="str">
        <f>IFERROR(Таблица47[[#This Row],[Количество хлыстов]]-Таблица47[[#This Row],[Обработано в 1С]]-Таблица47[[#This Row],[Корректировка]],"")</f>
        <v/>
      </c>
      <c r="P495" s="638" t="str">
        <f>IFERROR((((Таблица47[[#This Row],[Осталось сделать, хлыст]]*Таблица47[[#This Row],[длина]])*Таблица47[[#This Row],[Периметр]])/28),"")</f>
        <v/>
      </c>
      <c r="Q495" s="303"/>
      <c r="R495" s="991">
        <f>IFERROR(Таблица47[[#This Row],[Коли-
чество м.п.]]/Таблица47[[#This Row],[Количество хлыстов]],"")</f>
        <v>1</v>
      </c>
      <c r="S495" s="639" t="s">
        <v>5154</v>
      </c>
      <c r="T495" s="639">
        <v>332</v>
      </c>
      <c r="U495" s="640">
        <v>332</v>
      </c>
      <c r="V495" s="639">
        <v>0.67420000000000002</v>
      </c>
      <c r="W495" s="639">
        <v>2.7040000000000002</v>
      </c>
      <c r="X495" s="639">
        <v>223.83439999999999</v>
      </c>
      <c r="Y495" s="639">
        <v>897.72799999999995</v>
      </c>
      <c r="Z495" s="639">
        <v>29.1</v>
      </c>
      <c r="AA495" s="639">
        <v>661.45</v>
      </c>
      <c r="AB495" s="639">
        <v>981.09</v>
      </c>
      <c r="AC495" s="641">
        <v>219601.4</v>
      </c>
    </row>
    <row r="496" spans="1:29" s="1021" customFormat="1" ht="15.75" customHeight="1" x14ac:dyDescent="0.25">
      <c r="A496" s="1106" t="s">
        <v>4979</v>
      </c>
      <c r="B496" s="1067">
        <v>340</v>
      </c>
      <c r="C496" s="1067"/>
      <c r="D496" s="1068" t="s">
        <v>13</v>
      </c>
      <c r="E496" s="1068" t="s">
        <v>32</v>
      </c>
      <c r="F496" s="1069">
        <v>45449</v>
      </c>
      <c r="G496" s="1069"/>
      <c r="H49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6" s="620" t="str">
        <f>CONCATENATE(Таблица47[[#This Row],[№ заявки в 1С]],Таблица47[[#This Row],[Наименование            ]])</f>
        <v>340[81356] 1606-37 (АВА-7227), 5,05 м, сплав 6063 КР Т6, упаковка Т-5</v>
      </c>
      <c r="J49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6" s="1082"/>
      <c r="N496" s="1120">
        <v>20</v>
      </c>
      <c r="O496" s="1020" t="str">
        <f>IFERROR(Таблица47[[#This Row],[Количество хлыстов]]-Таблица47[[#This Row],[Обработано в 1С]]-Таблица47[[#This Row],[Корректировка]],"")</f>
        <v/>
      </c>
      <c r="P496" s="638" t="str">
        <f>IFERROR((((Таблица47[[#This Row],[Осталось сделать, хлыст]]*Таблица47[[#This Row],[длина]])*Таблица47[[#This Row],[Периметр]])/28),"")</f>
        <v/>
      </c>
      <c r="Q496" s="1068" t="s">
        <v>5207</v>
      </c>
      <c r="R496" s="1089">
        <f>IFERROR(Таблица47[[#This Row],[Коли-
чество м.п.]]/Таблица47[[#This Row],[Количество хлыстов]],"")</f>
        <v>5.05</v>
      </c>
      <c r="S496" s="1083" t="s">
        <v>4275</v>
      </c>
      <c r="T496" s="1083">
        <v>101</v>
      </c>
      <c r="U496" s="1084">
        <v>20</v>
      </c>
      <c r="V496" s="1083">
        <v>0.2651</v>
      </c>
      <c r="W496" s="1083">
        <v>0.82099999999999995</v>
      </c>
      <c r="X496" s="1083">
        <v>26.775099999999998</v>
      </c>
      <c r="Y496" s="1083">
        <v>82.921000000000006</v>
      </c>
      <c r="Z496" s="1083">
        <v>3.48</v>
      </c>
      <c r="AA496" s="1083">
        <v>102.06</v>
      </c>
      <c r="AB496" s="1083">
        <v>385</v>
      </c>
      <c r="AC496" s="1085">
        <v>10308.41</v>
      </c>
    </row>
    <row r="497" spans="1:29" s="1021" customFormat="1" ht="15.75" customHeight="1" x14ac:dyDescent="0.25">
      <c r="A497" s="1106" t="s">
        <v>4979</v>
      </c>
      <c r="B497" s="1067">
        <v>340</v>
      </c>
      <c r="C497" s="1067"/>
      <c r="D497" s="1068" t="s">
        <v>13</v>
      </c>
      <c r="E497" s="1068" t="s">
        <v>32</v>
      </c>
      <c r="F497" s="1069">
        <v>45449</v>
      </c>
      <c r="G497" s="1069"/>
      <c r="H49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7" s="620" t="str">
        <f>CONCATENATE(Таблица47[[#This Row],[№ заявки в 1С]],Таблица47[[#This Row],[Наименование            ]])</f>
        <v>340[76552] 1606-38 (197.05) 5,15 м, сплав 6063 КР Т6</v>
      </c>
      <c r="J49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7" s="1082"/>
      <c r="N497" s="1120">
        <v>34</v>
      </c>
      <c r="O497" s="1020" t="str">
        <f>IFERROR(Таблица47[[#This Row],[Количество хлыстов]]-Таблица47[[#This Row],[Обработано в 1С]]-Таблица47[[#This Row],[Корректировка]],"")</f>
        <v/>
      </c>
      <c r="P497" s="638" t="str">
        <f>IFERROR((((Таблица47[[#This Row],[Осталось сделать, хлыст]]*Таблица47[[#This Row],[длина]])*Таблица47[[#This Row],[Периметр]])/28),"")</f>
        <v/>
      </c>
      <c r="Q497" s="1068"/>
      <c r="R497" s="1089">
        <f>IFERROR(Таблица47[[#This Row],[Коли-
чество м.п.]]/Таблица47[[#This Row],[Количество хлыстов]],"")</f>
        <v>5.1499999999999995</v>
      </c>
      <c r="S497" s="1083" t="s">
        <v>1975</v>
      </c>
      <c r="T497" s="1083">
        <v>175.1</v>
      </c>
      <c r="U497" s="1084">
        <v>34</v>
      </c>
      <c r="V497" s="1083">
        <v>0.15790000000000001</v>
      </c>
      <c r="W497" s="1083">
        <v>0.309</v>
      </c>
      <c r="X497" s="1083">
        <v>27.648299999999999</v>
      </c>
      <c r="Y497" s="1083">
        <v>54.105899999999998</v>
      </c>
      <c r="Z497" s="1083">
        <v>3.59</v>
      </c>
      <c r="AA497" s="1083">
        <v>60.79</v>
      </c>
      <c r="AB497" s="1083">
        <v>385</v>
      </c>
      <c r="AC497" s="1085">
        <v>10644.33</v>
      </c>
    </row>
    <row r="498" spans="1:29" s="1021" customFormat="1" ht="15.75" customHeight="1" x14ac:dyDescent="0.25">
      <c r="A498" s="1106" t="s">
        <v>4979</v>
      </c>
      <c r="B498" s="1067">
        <v>340</v>
      </c>
      <c r="C498" s="1067"/>
      <c r="D498" s="1068" t="s">
        <v>13</v>
      </c>
      <c r="E498" s="1068" t="s">
        <v>32</v>
      </c>
      <c r="F498" s="1069">
        <v>45449</v>
      </c>
      <c r="G498" s="1069"/>
      <c r="H49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498" s="620" t="str">
        <f>CONCATENATE(Таблица47[[#This Row],[№ заявки в 1С]],Таблица47[[#This Row],[Наименование            ]])</f>
        <v>340[76596] 1606-39 (197.04) 4,85 м, сплав 6063 КР Т6, упковка Т5</v>
      </c>
      <c r="J49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8" s="1082"/>
      <c r="N498" s="1120">
        <v>60</v>
      </c>
      <c r="O498" s="1020" t="str">
        <f>IFERROR(Таблица47[[#This Row],[Количество хлыстов]]-Таблица47[[#This Row],[Обработано в 1С]]-Таблица47[[#This Row],[Корректировка]],"")</f>
        <v/>
      </c>
      <c r="P498" s="638" t="str">
        <f>IFERROR((((Таблица47[[#This Row],[Осталось сделать, хлыст]]*Таблица47[[#This Row],[длина]])*Таблица47[[#This Row],[Периметр]])/28),"")</f>
        <v/>
      </c>
      <c r="Q498" s="1068"/>
      <c r="R498" s="1089">
        <f>IFERROR(Таблица47[[#This Row],[Коли-
чество м.п.]]/Таблица47[[#This Row],[Количество хлыстов]],"")</f>
        <v>4.8499999999999996</v>
      </c>
      <c r="S498" s="1083" t="s">
        <v>2841</v>
      </c>
      <c r="T498" s="1083">
        <v>291</v>
      </c>
      <c r="U498" s="1084">
        <v>60</v>
      </c>
      <c r="V498" s="1083">
        <v>9.5600000000000004E-2</v>
      </c>
      <c r="W498" s="1083">
        <v>0.16</v>
      </c>
      <c r="X498" s="1083">
        <v>27.819600000000001</v>
      </c>
      <c r="Y498" s="1083">
        <v>46.56</v>
      </c>
      <c r="Z498" s="1083">
        <v>3.62</v>
      </c>
      <c r="AA498" s="1083">
        <v>36.81</v>
      </c>
      <c r="AB498" s="1083">
        <v>385</v>
      </c>
      <c r="AC498" s="1085">
        <v>10710.55</v>
      </c>
    </row>
    <row r="499" spans="1:29" ht="15.75" customHeight="1" x14ac:dyDescent="0.25">
      <c r="A499" s="427" t="s">
        <v>4678</v>
      </c>
      <c r="B499" s="309">
        <v>341</v>
      </c>
      <c r="C499" s="309"/>
      <c r="D499" s="303" t="s">
        <v>13</v>
      </c>
      <c r="E499" s="303" t="s">
        <v>156</v>
      </c>
      <c r="F499" s="528">
        <v>45453</v>
      </c>
      <c r="G499" s="528">
        <v>45460</v>
      </c>
      <c r="H499" s="303" t="s">
        <v>23</v>
      </c>
      <c r="I499" s="522" t="str">
        <f>CONCATENATE(Таблица47[[#This Row],[№ заявки в 1С]],Таблица47[[#This Row],[Наименование            ]])</f>
        <v>341[44723] 0706-93 3,0 м, сплав 6063 КР</v>
      </c>
      <c r="J49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49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49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499" s="635">
        <v>13</v>
      </c>
      <c r="N499" s="1119">
        <v>13</v>
      </c>
      <c r="O499" s="1013" t="str">
        <f>IFERROR(Таблица47[[#This Row],[Количество хлыстов]]-Таблица47[[#This Row],[Обработано в 1С]]-Таблица47[[#This Row],[Корректировка]],"")</f>
        <v/>
      </c>
      <c r="P499" s="638" t="str">
        <f>IFERROR((((Таблица47[[#This Row],[Осталось сделать, хлыст]]*Таблица47[[#This Row],[длина]])*Таблица47[[#This Row],[Периметр]])/28),"")</f>
        <v/>
      </c>
      <c r="Q499" s="303" t="s">
        <v>5163</v>
      </c>
      <c r="R499" s="991">
        <f>IFERROR(Таблица47[[#This Row],[Коли-
чество м.п.]]/Таблица47[[#This Row],[Количество хлыстов]],"")</f>
        <v>3</v>
      </c>
      <c r="S499" s="639" t="s">
        <v>3678</v>
      </c>
      <c r="T499" s="639">
        <v>639</v>
      </c>
      <c r="U499" s="640">
        <v>213</v>
      </c>
      <c r="V499" s="639">
        <v>0.81599999999999995</v>
      </c>
      <c r="W499" s="639">
        <v>2.7610000000000001</v>
      </c>
      <c r="X499" s="639">
        <v>521.42399999999998</v>
      </c>
      <c r="Y499" s="639">
        <v>1764.279</v>
      </c>
      <c r="Z499" s="639">
        <v>67.790000000000006</v>
      </c>
      <c r="AA499" s="639">
        <v>354.96</v>
      </c>
      <c r="AB499" s="639">
        <v>435</v>
      </c>
      <c r="AC499" s="641">
        <v>226819.44</v>
      </c>
    </row>
    <row r="500" spans="1:29" ht="15.75" customHeight="1" x14ac:dyDescent="0.25">
      <c r="A500" s="427" t="s">
        <v>4678</v>
      </c>
      <c r="B500" s="309">
        <v>342</v>
      </c>
      <c r="C500" s="309"/>
      <c r="D500" s="303" t="s">
        <v>13</v>
      </c>
      <c r="E500" s="303" t="s">
        <v>1768</v>
      </c>
      <c r="F500" s="528">
        <v>45453</v>
      </c>
      <c r="G500" s="528"/>
      <c r="H5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0" s="522" t="str">
        <f>CONCATENATE(Таблица47[[#This Row],[№ заявки в 1С]],Таблица47[[#This Row],[Наименование            ]])</f>
        <v>342[37634] 0906-85, 4,0м,  6063 КР Т1</v>
      </c>
      <c r="J50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0" s="635">
        <v>10</v>
      </c>
      <c r="N500" s="1119">
        <v>237</v>
      </c>
      <c r="O500" s="1013" t="str">
        <f>IFERROR(Таблица47[[#This Row],[Количество хлыстов]]-Таблица47[[#This Row],[Обработано в 1С]]-Таблица47[[#This Row],[Корректировка]],"")</f>
        <v/>
      </c>
      <c r="P500" s="638" t="str">
        <f>IFERROR((((Таблица47[[#This Row],[Осталось сделать, хлыст]]*Таблица47[[#This Row],[длина]])*Таблица47[[#This Row],[Периметр]])/28),"")</f>
        <v/>
      </c>
      <c r="Q500" s="303"/>
      <c r="R500" s="991">
        <f>IFERROR(Таблица47[[#This Row],[Коли-
чество м.п.]]/Таблица47[[#This Row],[Количество хлыстов]],"")</f>
        <v>4</v>
      </c>
      <c r="S500" s="639" t="s">
        <v>1767</v>
      </c>
      <c r="T500" s="639">
        <v>988</v>
      </c>
      <c r="U500" s="640">
        <v>247</v>
      </c>
      <c r="V500" s="639">
        <v>0.1</v>
      </c>
      <c r="W500" s="639">
        <v>0.37</v>
      </c>
      <c r="X500" s="639">
        <v>98.8</v>
      </c>
      <c r="Y500" s="639">
        <v>365.56</v>
      </c>
      <c r="Z500" s="639">
        <v>12.84</v>
      </c>
      <c r="AA500" s="639">
        <v>46.7</v>
      </c>
      <c r="AB500" s="639">
        <v>467</v>
      </c>
      <c r="AC500" s="641">
        <v>46139.6</v>
      </c>
    </row>
    <row r="501" spans="1:29" ht="15.75" customHeight="1" x14ac:dyDescent="0.25">
      <c r="A501" s="427" t="s">
        <v>4678</v>
      </c>
      <c r="B501" s="309" t="s">
        <v>5156</v>
      </c>
      <c r="C501" s="309"/>
      <c r="D501" s="303" t="s">
        <v>34</v>
      </c>
      <c r="E501" s="303" t="s">
        <v>16</v>
      </c>
      <c r="F501" s="528">
        <v>45453</v>
      </c>
      <c r="G501" s="528"/>
      <c r="H50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1" s="928" t="str">
        <f>CONCATENATE(Таблица47[[#This Row],[№ заявки в 1С]],Таблица47[[#This Row],[Наименование            ]])</f>
        <v>OPT000607[61440] 0106-289, 6,0м, 6063 Т1, упаковка Т-5, под анод тип 1, БА</v>
      </c>
      <c r="J50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1" s="635">
        <v>5</v>
      </c>
      <c r="N501" s="1119">
        <f>175+183</f>
        <v>358</v>
      </c>
      <c r="O501" s="1013" t="str">
        <f>IFERROR(Таблица47[[#This Row],[Количество хлыстов]]-Таблица47[[#This Row],[Обработано в 1С]]-Таблица47[[#This Row],[Корректировка]],"")</f>
        <v/>
      </c>
      <c r="P501" s="638" t="str">
        <f>IFERROR((((Таблица47[[#This Row],[Осталось сделать, хлыст]]*Таблица47[[#This Row],[длина]])*Таблица47[[#This Row],[Периметр]])/28),"")</f>
        <v/>
      </c>
      <c r="Q501" s="303" t="s">
        <v>3116</v>
      </c>
      <c r="R501" s="991">
        <f>IFERROR(Таблица47[[#This Row],[Коли-
чество м.п.]]/Таблица47[[#This Row],[Количество хлыстов]],"")</f>
        <v>6</v>
      </c>
      <c r="S501" s="639" t="s">
        <v>2845</v>
      </c>
      <c r="T501" s="639">
        <v>2178</v>
      </c>
      <c r="U501" s="640">
        <v>363</v>
      </c>
      <c r="V501" s="639">
        <v>0.15909999999999999</v>
      </c>
      <c r="W501" s="639">
        <v>0.26</v>
      </c>
      <c r="X501" s="639">
        <v>346.51979999999998</v>
      </c>
      <c r="Y501" s="639">
        <v>566.28</v>
      </c>
      <c r="Z501" s="639">
        <v>45.05</v>
      </c>
      <c r="AA501" s="639">
        <v>90.69</v>
      </c>
      <c r="AB501" s="639">
        <v>570</v>
      </c>
      <c r="AC501" s="641">
        <v>197516.29</v>
      </c>
    </row>
    <row r="502" spans="1:29" ht="15.75" customHeight="1" x14ac:dyDescent="0.25">
      <c r="A502" s="427" t="s">
        <v>4678</v>
      </c>
      <c r="B502" s="309">
        <v>344</v>
      </c>
      <c r="C502" s="309"/>
      <c r="D502" s="303" t="s">
        <v>34</v>
      </c>
      <c r="E502" s="303" t="s">
        <v>328</v>
      </c>
      <c r="F502" s="528">
        <v>45453</v>
      </c>
      <c r="G502" s="528"/>
      <c r="H50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2" s="522" t="str">
        <f>CONCATENATE(Таблица47[[#This Row],[№ заявки в 1С]],Таблица47[[#This Row],[Наименование            ]])</f>
        <v>344[70484] 1506-77 (АА-2050-85), 6,0м, 6063 Т6, упаковка Т-5, без покрытия</v>
      </c>
      <c r="J50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2" s="635">
        <v>6</v>
      </c>
      <c r="N502" s="1119">
        <v>104</v>
      </c>
      <c r="O502" s="1013" t="str">
        <f>IFERROR(Таблица47[[#This Row],[Количество хлыстов]]-Таблица47[[#This Row],[Обработано в 1С]]-Таблица47[[#This Row],[Корректировка]],"")</f>
        <v/>
      </c>
      <c r="P502" s="638" t="str">
        <f>IFERROR((((Таблица47[[#This Row],[Осталось сделать, хлыст]]*Таблица47[[#This Row],[длина]])*Таблица47[[#This Row],[Периметр]])/28),"")</f>
        <v/>
      </c>
      <c r="Q502" s="303"/>
      <c r="R502" s="991">
        <f>IFERROR(Таблица47[[#This Row],[Коли-
чество м.п.]]/Таблица47[[#This Row],[Количество хлыстов]],"")</f>
        <v>6</v>
      </c>
      <c r="S502" s="639" t="s">
        <v>4813</v>
      </c>
      <c r="T502" s="639">
        <v>660</v>
      </c>
      <c r="U502" s="640">
        <v>110</v>
      </c>
      <c r="V502" s="639">
        <v>0.30919999999999997</v>
      </c>
      <c r="W502" s="639">
        <v>1.101</v>
      </c>
      <c r="X502" s="639">
        <v>204.072</v>
      </c>
      <c r="Y502" s="639">
        <v>726.66</v>
      </c>
      <c r="Z502" s="639">
        <v>26.53</v>
      </c>
      <c r="AA502" s="639">
        <v>134.5</v>
      </c>
      <c r="AB502" s="639">
        <v>435</v>
      </c>
      <c r="AC502" s="641">
        <v>88771.32</v>
      </c>
    </row>
    <row r="503" spans="1:29" ht="15.75" customHeight="1" x14ac:dyDescent="0.25">
      <c r="A503" s="427" t="s">
        <v>4678</v>
      </c>
      <c r="B503" s="309">
        <v>345</v>
      </c>
      <c r="C503" s="309"/>
      <c r="D503" s="303" t="s">
        <v>34</v>
      </c>
      <c r="E503" s="303" t="s">
        <v>19</v>
      </c>
      <c r="F503" s="528">
        <v>45453</v>
      </c>
      <c r="G503" s="528"/>
      <c r="H50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3" s="522" t="str">
        <f>CONCATENATE(Таблица47[[#This Row],[№ заявки в 1С]],Таблица47[[#This Row],[Наименование            ]])</f>
        <v>345[91034] 1506-79, 3,6м, 6063 Т6, упак.Т5, БА</v>
      </c>
      <c r="J50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3" s="635">
        <v>25</v>
      </c>
      <c r="N503" s="1119">
        <v>265</v>
      </c>
      <c r="O503" s="1013" t="str">
        <f>IFERROR(Таблица47[[#This Row],[Количество хлыстов]]-Таблица47[[#This Row],[Обработано в 1С]]-Таблица47[[#This Row],[Корректировка]],"")</f>
        <v/>
      </c>
      <c r="P503" s="638" t="str">
        <f>IFERROR((((Таблица47[[#This Row],[Осталось сделать, хлыст]]*Таблица47[[#This Row],[длина]])*Таблица47[[#This Row],[Периметр]])/28),"")</f>
        <v/>
      </c>
      <c r="Q503" s="303" t="s">
        <v>5192</v>
      </c>
      <c r="R503" s="991">
        <f>IFERROR(Таблица47[[#This Row],[Коли-
чество м.п.]]/Таблица47[[#This Row],[Количество хлыстов]],"")</f>
        <v>3.6</v>
      </c>
      <c r="S503" s="639" t="s">
        <v>5158</v>
      </c>
      <c r="T503" s="639">
        <v>1044</v>
      </c>
      <c r="U503" s="640">
        <v>290</v>
      </c>
      <c r="V503" s="639">
        <v>0.3402</v>
      </c>
      <c r="W503" s="639">
        <v>1.4530000000000001</v>
      </c>
      <c r="X503" s="639">
        <v>355.16879999999998</v>
      </c>
      <c r="Y503" s="639">
        <v>1516.932</v>
      </c>
      <c r="Z503" s="639">
        <v>46.17</v>
      </c>
      <c r="AA503" s="639">
        <v>113.97</v>
      </c>
      <c r="AB503" s="639">
        <v>335</v>
      </c>
      <c r="AC503" s="641">
        <v>118981.55</v>
      </c>
    </row>
    <row r="504" spans="1:29" ht="15.75" customHeight="1" x14ac:dyDescent="0.25">
      <c r="A504" s="427" t="s">
        <v>4678</v>
      </c>
      <c r="B504" s="309">
        <v>346</v>
      </c>
      <c r="C504" s="309"/>
      <c r="D504" s="303" t="s">
        <v>34</v>
      </c>
      <c r="E504" s="303" t="s">
        <v>79</v>
      </c>
      <c r="F504" s="528">
        <v>45453</v>
      </c>
      <c r="G504" s="528"/>
      <c r="H50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4" s="522" t="str">
        <f>CONCATENATE(Таблица47[[#This Row],[№ заявки в 1С]],Таблица47[[#This Row],[Наименование            ]])</f>
        <v>346[78712] 1606-73 (п-образный), 6,0м, 6063 Т6, упаковка Т-5, БА</v>
      </c>
      <c r="J50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4" s="635"/>
      <c r="N504" s="1119">
        <v>56</v>
      </c>
      <c r="O504" s="1013" t="str">
        <f>IFERROR(Таблица47[[#This Row],[Количество хлыстов]]-Таблица47[[#This Row],[Обработано в 1С]]-Таблица47[[#This Row],[Корректировка]],"")</f>
        <v/>
      </c>
      <c r="P504" s="638" t="str">
        <f>IFERROR((((Таблица47[[#This Row],[Осталось сделать, хлыст]]*Таблица47[[#This Row],[длина]])*Таблица47[[#This Row],[Периметр]])/28),"")</f>
        <v/>
      </c>
      <c r="Q504" s="303"/>
      <c r="R504" s="991">
        <f>IFERROR(Таблица47[[#This Row],[Коли-
чество м.п.]]/Таблица47[[#This Row],[Количество хлыстов]],"")</f>
        <v>6</v>
      </c>
      <c r="S504" s="639" t="s">
        <v>4590</v>
      </c>
      <c r="T504" s="639">
        <v>336</v>
      </c>
      <c r="U504" s="640">
        <v>56</v>
      </c>
      <c r="V504" s="639">
        <v>0.45550000000000002</v>
      </c>
      <c r="W504" s="639">
        <v>1.6990000000000001</v>
      </c>
      <c r="X504" s="639">
        <v>153.048</v>
      </c>
      <c r="Y504" s="639">
        <v>570.86400000000003</v>
      </c>
      <c r="Z504" s="639">
        <v>19.899999999999999</v>
      </c>
      <c r="AA504" s="639">
        <v>168.54</v>
      </c>
      <c r="AB504" s="639">
        <v>370</v>
      </c>
      <c r="AC504" s="641">
        <v>56627.76</v>
      </c>
    </row>
    <row r="505" spans="1:29" ht="15.75" customHeight="1" x14ac:dyDescent="0.25">
      <c r="A505" s="427" t="s">
        <v>4678</v>
      </c>
      <c r="B505" s="309">
        <v>347</v>
      </c>
      <c r="C505" s="309"/>
      <c r="D505" s="303" t="s">
        <v>34</v>
      </c>
      <c r="E505" s="303" t="s">
        <v>3404</v>
      </c>
      <c r="F505" s="528">
        <v>45453</v>
      </c>
      <c r="G505" s="528"/>
      <c r="H50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5" s="522" t="str">
        <f>CONCATENATE(Таблица47[[#This Row],[№ заявки в 1С]],Таблица47[[#This Row],[Наименование            ]])</f>
        <v>347[81578] 1706-68, 6,0м, 6063 Т1, упаковка Т-5, БА</v>
      </c>
      <c r="J50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5" s="635"/>
      <c r="N505" s="1119">
        <v>383</v>
      </c>
      <c r="O505" s="1013" t="str">
        <f>IFERROR(Таблица47[[#This Row],[Количество хлыстов]]-Таблица47[[#This Row],[Обработано в 1С]]-Таблица47[[#This Row],[Корректировка]],"")</f>
        <v/>
      </c>
      <c r="P505" s="638" t="str">
        <f>IFERROR((((Таблица47[[#This Row],[Осталось сделать, хлыст]]*Таблица47[[#This Row],[длина]])*Таблица47[[#This Row],[Периметр]])/28),"")</f>
        <v/>
      </c>
      <c r="Q505" s="303"/>
      <c r="R505" s="991">
        <f>IFERROR(Таблица47[[#This Row],[Коли-
чество м.п.]]/Таблица47[[#This Row],[Количество хлыстов]],"")</f>
        <v>6</v>
      </c>
      <c r="S505" s="639" t="s">
        <v>4582</v>
      </c>
      <c r="T505" s="639">
        <v>2298</v>
      </c>
      <c r="U505" s="640">
        <v>383</v>
      </c>
      <c r="V505" s="639">
        <v>0.10100000000000001</v>
      </c>
      <c r="W505" s="639">
        <v>0.30599999999999999</v>
      </c>
      <c r="X505" s="639">
        <v>232.09800000000001</v>
      </c>
      <c r="Y505" s="639">
        <v>703.18799999999999</v>
      </c>
      <c r="Z505" s="639">
        <v>30.17</v>
      </c>
      <c r="AA505" s="639">
        <v>37.369999999999997</v>
      </c>
      <c r="AB505" s="639">
        <v>370</v>
      </c>
      <c r="AC505" s="641">
        <v>85876.26</v>
      </c>
    </row>
    <row r="506" spans="1:29" ht="15.75" customHeight="1" x14ac:dyDescent="0.25">
      <c r="A506" s="427" t="s">
        <v>4678</v>
      </c>
      <c r="B506" s="309">
        <v>348</v>
      </c>
      <c r="C506" s="309"/>
      <c r="D506" s="303" t="s">
        <v>34</v>
      </c>
      <c r="E506" s="303" t="s">
        <v>45</v>
      </c>
      <c r="F506" s="528">
        <v>45453</v>
      </c>
      <c r="G506" s="528"/>
      <c r="H50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6" s="522" t="str">
        <f>CONCATENATE(Таблица47[[#This Row],[№ заявки в 1С]],Таблица47[[#This Row],[Наименование            ]])</f>
        <v>348[22839] 0506-12, 6,0м, БА сплав 6063 КР под анод</v>
      </c>
      <c r="J50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6" s="635"/>
      <c r="N506" s="1119">
        <v>97</v>
      </c>
      <c r="O506" s="1013" t="str">
        <f>IFERROR(Таблица47[[#This Row],[Количество хлыстов]]-Таблица47[[#This Row],[Обработано в 1С]]-Таблица47[[#This Row],[Корректировка]],"")</f>
        <v/>
      </c>
      <c r="P506" s="638" t="str">
        <f>IFERROR((((Таблица47[[#This Row],[Осталось сделать, хлыст]]*Таблица47[[#This Row],[длина]])*Таблица47[[#This Row],[Периметр]])/28),"")</f>
        <v/>
      </c>
      <c r="Q506" s="303"/>
      <c r="R506" s="991">
        <f>IFERROR(Таблица47[[#This Row],[Коли-
чество м.п.]]/Таблица47[[#This Row],[Количество хлыстов]],"")</f>
        <v>6</v>
      </c>
      <c r="S506" s="639" t="s">
        <v>2564</v>
      </c>
      <c r="T506" s="639">
        <v>582</v>
      </c>
      <c r="U506" s="640">
        <v>97</v>
      </c>
      <c r="V506" s="639">
        <v>0.2382</v>
      </c>
      <c r="W506" s="639">
        <v>0.89100000000000001</v>
      </c>
      <c r="X506" s="639">
        <v>138.63239999999999</v>
      </c>
      <c r="Y506" s="639">
        <v>518.56200000000001</v>
      </c>
      <c r="Z506" s="639">
        <v>18.02</v>
      </c>
      <c r="AA506" s="639">
        <v>103.62</v>
      </c>
      <c r="AB506" s="639">
        <v>435</v>
      </c>
      <c r="AC506" s="641">
        <v>60305.09</v>
      </c>
    </row>
    <row r="507" spans="1:29" ht="15.75" customHeight="1" x14ac:dyDescent="0.25">
      <c r="A507" s="427" t="s">
        <v>4678</v>
      </c>
      <c r="B507" s="1126">
        <v>349</v>
      </c>
      <c r="C507" s="1126" t="s">
        <v>4753</v>
      </c>
      <c r="D507" s="1127" t="s">
        <v>13</v>
      </c>
      <c r="E507" s="1127" t="s">
        <v>458</v>
      </c>
      <c r="F507" s="201">
        <v>45453</v>
      </c>
      <c r="G507" s="201">
        <v>45576</v>
      </c>
      <c r="H50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7" s="522" t="str">
        <f>CONCATENATE(Таблица47[[#This Row],[№ заявки в 1С]],Таблица47[[#This Row],[Наименование            ]])</f>
        <v>349[90786] Лист (Д) АМг2М 0,8*1000*1500</v>
      </c>
      <c r="J50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7" s="635"/>
      <c r="N507" s="1119">
        <f>203+204+203+210+188+203+289</f>
        <v>1500</v>
      </c>
      <c r="O507" s="1013" t="str">
        <f>IFERROR(Таблица47[[#This Row],[Количество хлыстов]]-Таблица47[[#This Row],[Обработано в 1С]]-Таблица47[[#This Row],[Корректировка]],"")</f>
        <v/>
      </c>
      <c r="P507" s="638" t="str">
        <f>IFERROR((((Таблица47[[#This Row],[Осталось сделать, хлыст]]*Таблица47[[#This Row],[длина]])*Таблица47[[#This Row],[Периметр]])/28),"")</f>
        <v/>
      </c>
      <c r="Q507" s="303" t="s">
        <v>5262</v>
      </c>
      <c r="R507" s="991">
        <f>IFERROR(Таблица47[[#This Row],[Коли-
чество м.п.]]/Таблица47[[#This Row],[Количество хлыстов]],"")</f>
        <v>1</v>
      </c>
      <c r="S507" s="639" t="s">
        <v>5161</v>
      </c>
      <c r="T507" s="639">
        <v>1500</v>
      </c>
      <c r="U507" s="640">
        <v>1500</v>
      </c>
      <c r="V507" s="639">
        <v>3</v>
      </c>
      <c r="W507" s="639">
        <v>3.2040000000000002</v>
      </c>
      <c r="X507" s="639">
        <v>4500</v>
      </c>
      <c r="Y507" s="639">
        <v>4806</v>
      </c>
      <c r="Z507" s="639">
        <v>585</v>
      </c>
      <c r="AA507" s="639">
        <v>1188</v>
      </c>
      <c r="AB507" s="639">
        <v>396</v>
      </c>
      <c r="AC507" s="641">
        <v>1782000</v>
      </c>
    </row>
    <row r="508" spans="1:29" ht="15.75" customHeight="1" x14ac:dyDescent="0.25">
      <c r="A508" s="427" t="s">
        <v>4678</v>
      </c>
      <c r="B508" s="309">
        <v>350</v>
      </c>
      <c r="C508" s="309"/>
      <c r="D508" s="303" t="s">
        <v>34</v>
      </c>
      <c r="E508" s="303" t="s">
        <v>45</v>
      </c>
      <c r="F508" s="528">
        <v>45453</v>
      </c>
      <c r="G508" s="528"/>
      <c r="H50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8" s="522" t="str">
        <f>CONCATENATE(Таблица47[[#This Row],[№ заявки в 1С]],Таблица47[[#This Row],[Наименование            ]])</f>
        <v>350[18639] 0306-68 3,0м, 6063 Т6, упаковка Т-5, БА</v>
      </c>
      <c r="J50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8" s="635"/>
      <c r="N508" s="1119">
        <v>96</v>
      </c>
      <c r="O508" s="1013" t="str">
        <f>IFERROR(Таблица47[[#This Row],[Количество хлыстов]]-Таблица47[[#This Row],[Обработано в 1С]]-Таблица47[[#This Row],[Корректировка]],"")</f>
        <v/>
      </c>
      <c r="P508" s="638" t="str">
        <f>IFERROR((((Таблица47[[#This Row],[Осталось сделать, хлыст]]*Таблица47[[#This Row],[длина]])*Таблица47[[#This Row],[Периметр]])/28),"")</f>
        <v/>
      </c>
      <c r="Q508" s="303"/>
      <c r="R508" s="991">
        <f>IFERROR(Таблица47[[#This Row],[Коли-
чество м.п.]]/Таблица47[[#This Row],[Количество хлыстов]],"")</f>
        <v>3</v>
      </c>
      <c r="S508" s="639" t="s">
        <v>5159</v>
      </c>
      <c r="T508" s="639">
        <v>288</v>
      </c>
      <c r="U508" s="640">
        <v>96</v>
      </c>
      <c r="V508" s="639">
        <v>0.36620000000000003</v>
      </c>
      <c r="W508" s="639">
        <v>2.0230000000000001</v>
      </c>
      <c r="X508" s="639">
        <v>105.46559999999999</v>
      </c>
      <c r="Y508" s="639">
        <v>582.62400000000002</v>
      </c>
      <c r="Z508" s="639">
        <v>13.71</v>
      </c>
      <c r="AA508" s="639" t="s">
        <v>17</v>
      </c>
      <c r="AB508" s="639" t="s">
        <v>17</v>
      </c>
      <c r="AC508" s="641" t="s">
        <v>17</v>
      </c>
    </row>
    <row r="509" spans="1:29" ht="15.75" customHeight="1" x14ac:dyDescent="0.25">
      <c r="A509" s="427" t="s">
        <v>4678</v>
      </c>
      <c r="B509" s="309">
        <v>352</v>
      </c>
      <c r="C509" s="309"/>
      <c r="D509" s="303" t="s">
        <v>34</v>
      </c>
      <c r="E509" s="303" t="s">
        <v>3404</v>
      </c>
      <c r="F509" s="528">
        <v>45456</v>
      </c>
      <c r="G509" s="528"/>
      <c r="H50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09" s="522" t="str">
        <f>CONCATENATE(Таблица47[[#This Row],[№ заявки в 1С]],Таблица47[[#This Row],[Наименование            ]])</f>
        <v>352[81578] 1706-68, 6,0м, 6063 Т1, упаковка Т-5, БА</v>
      </c>
      <c r="J50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0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0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09" s="635">
        <v>5</v>
      </c>
      <c r="N509" s="1119">
        <v>365</v>
      </c>
      <c r="O509" s="1013" t="str">
        <f>IFERROR(Таблица47[[#This Row],[Количество хлыстов]]-Таблица47[[#This Row],[Обработано в 1С]]-Таблица47[[#This Row],[Корректировка]],"")</f>
        <v/>
      </c>
      <c r="P509" s="638" t="str">
        <f>IFERROR((((Таблица47[[#This Row],[Осталось сделать, хлыст]]*Таблица47[[#This Row],[длина]])*Таблица47[[#This Row],[Периметр]])/28),"")</f>
        <v/>
      </c>
      <c r="Q509" s="303" t="s">
        <v>3116</v>
      </c>
      <c r="R509" s="991">
        <f>IFERROR(Таблица47[[#This Row],[Коли-
чество м.п.]]/Таблица47[[#This Row],[Количество хлыстов]],"")</f>
        <v>6</v>
      </c>
      <c r="S509" s="639" t="s">
        <v>4582</v>
      </c>
      <c r="T509" s="639">
        <v>2220</v>
      </c>
      <c r="U509" s="640">
        <v>370</v>
      </c>
      <c r="V509" s="639">
        <v>0.10100000000000001</v>
      </c>
      <c r="W509" s="639">
        <v>0.30599999999999999</v>
      </c>
      <c r="X509" s="639">
        <v>224.22</v>
      </c>
      <c r="Y509" s="639">
        <v>679.32</v>
      </c>
      <c r="Z509" s="639">
        <v>29.15</v>
      </c>
      <c r="AA509" s="639">
        <v>37.369999999999997</v>
      </c>
      <c r="AB509" s="639">
        <v>370</v>
      </c>
      <c r="AC509" s="641">
        <v>82961.399999999994</v>
      </c>
    </row>
    <row r="510" spans="1:29" ht="15.75" customHeight="1" x14ac:dyDescent="0.25">
      <c r="A510" s="427" t="s">
        <v>4678</v>
      </c>
      <c r="B510" s="309">
        <v>353</v>
      </c>
      <c r="C510" s="309"/>
      <c r="D510" s="303" t="s">
        <v>34</v>
      </c>
      <c r="E510" s="303" t="s">
        <v>19</v>
      </c>
      <c r="F510" s="528">
        <v>45456</v>
      </c>
      <c r="G510" s="528"/>
      <c r="H51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0" s="522" t="str">
        <f>CONCATENATE(Таблица47[[#This Row],[№ заявки в 1С]],Таблица47[[#This Row],[Наименование            ]])</f>
        <v>353[91034] 1506-79, 3,6м, 6063 Т6, упак.Т5, БА</v>
      </c>
      <c r="J51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0" s="635">
        <v>15</v>
      </c>
      <c r="N510" s="1119">
        <v>262</v>
      </c>
      <c r="O510" s="1013" t="str">
        <f>IFERROR(Таблица47[[#This Row],[Количество хлыстов]]-Таблица47[[#This Row],[Обработано в 1С]]-Таблица47[[#This Row],[Корректировка]],"")</f>
        <v/>
      </c>
      <c r="P510" s="638" t="str">
        <f>IFERROR((((Таблица47[[#This Row],[Осталось сделать, хлыст]]*Таблица47[[#This Row],[длина]])*Таблица47[[#This Row],[Периметр]])/28),"")</f>
        <v/>
      </c>
      <c r="Q510" s="303" t="s">
        <v>5191</v>
      </c>
      <c r="R510" s="991">
        <f>IFERROR(Таблица47[[#This Row],[Коли-
чество м.п.]]/Таблица47[[#This Row],[Количество хлыстов]],"")</f>
        <v>3.6</v>
      </c>
      <c r="S510" s="639" t="s">
        <v>5158</v>
      </c>
      <c r="T510" s="639">
        <v>997.2</v>
      </c>
      <c r="U510" s="640">
        <v>277</v>
      </c>
      <c r="V510" s="639">
        <v>0.3402</v>
      </c>
      <c r="W510" s="639">
        <v>1.4530000000000001</v>
      </c>
      <c r="X510" s="639">
        <v>339.24740000000003</v>
      </c>
      <c r="Y510" s="639">
        <v>1448.9315999999999</v>
      </c>
      <c r="Z510" s="639">
        <v>44.1</v>
      </c>
      <c r="AA510" s="639">
        <v>136.76</v>
      </c>
      <c r="AB510" s="639">
        <v>402</v>
      </c>
      <c r="AC510" s="641">
        <v>136377.47</v>
      </c>
    </row>
    <row r="511" spans="1:29" ht="15.75" customHeight="1" x14ac:dyDescent="0.25">
      <c r="A511" s="427" t="s">
        <v>4939</v>
      </c>
      <c r="B511" s="309">
        <v>354</v>
      </c>
      <c r="C511" s="309"/>
      <c r="D511" s="303" t="s">
        <v>13</v>
      </c>
      <c r="E511" s="303" t="s">
        <v>4725</v>
      </c>
      <c r="F511" s="528">
        <v>45457</v>
      </c>
      <c r="G511" s="528">
        <v>45491</v>
      </c>
      <c r="H51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1" s="522" t="str">
        <f>CONCATENATE(Таблица47[[#This Row],[№ заявки в 1С]],Таблица47[[#This Row],[Наименование            ]])</f>
        <v>354[77780] автоуголок 250*40мм (1706-75, 97101-плохое качество) 6,0м, сплав 6063 Т6 +  упаковка А5</v>
      </c>
      <c r="J51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1" s="635"/>
      <c r="N511" s="1119">
        <v>139</v>
      </c>
      <c r="O511" s="1013" t="str">
        <f>IFERROR(Таблица47[[#This Row],[Количество хлыстов]]-Таблица47[[#This Row],[Обработано в 1С]]-Таблица47[[#This Row],[Корректировка]],"")</f>
        <v/>
      </c>
      <c r="P511" s="638" t="str">
        <f>IFERROR((((Таблица47[[#This Row],[Осталось сделать, хлыст]]*Таблица47[[#This Row],[длина]])*Таблица47[[#This Row],[Периметр]])/28),"")</f>
        <v/>
      </c>
      <c r="Q511" s="303"/>
      <c r="R511" s="991">
        <f>IFERROR(Таблица47[[#This Row],[Коли-
чество м.п.]]/Таблица47[[#This Row],[Количество хлыстов]],"")</f>
        <v>6</v>
      </c>
      <c r="S511" s="639" t="s">
        <v>5162</v>
      </c>
      <c r="T511" s="639">
        <v>834</v>
      </c>
      <c r="U511" s="640">
        <v>139</v>
      </c>
      <c r="V511" s="639">
        <v>0.60040000000000004</v>
      </c>
      <c r="W511" s="639">
        <v>2.5739999999999998</v>
      </c>
      <c r="X511" s="639">
        <v>500.73360000000002</v>
      </c>
      <c r="Y511" s="639">
        <v>2146.7159999999999</v>
      </c>
      <c r="Z511" s="639">
        <v>65.099999999999994</v>
      </c>
      <c r="AA511" s="639">
        <v>192.13</v>
      </c>
      <c r="AB511" s="639">
        <v>320</v>
      </c>
      <c r="AC511" s="641">
        <v>160234.75</v>
      </c>
    </row>
    <row r="512" spans="1:29" ht="15.75" customHeight="1" x14ac:dyDescent="0.25">
      <c r="A512" s="427" t="s">
        <v>4939</v>
      </c>
      <c r="B512" s="309">
        <v>354</v>
      </c>
      <c r="C512" s="309"/>
      <c r="D512" s="303" t="s">
        <v>13</v>
      </c>
      <c r="E512" s="303" t="s">
        <v>4725</v>
      </c>
      <c r="F512" s="528">
        <v>45457</v>
      </c>
      <c r="G512" s="528">
        <v>45491</v>
      </c>
      <c r="H51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2" s="522" t="str">
        <f>CONCATENATE(Таблица47[[#This Row],[№ заявки в 1С]],Таблица47[[#This Row],[Наименование            ]])</f>
        <v>354[865] автополоса 155*4мм (0106-152)  6,0м  60631 Т6  уп Т5</v>
      </c>
      <c r="J51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2" s="635">
        <v>2</v>
      </c>
      <c r="N512" s="1119">
        <v>61</v>
      </c>
      <c r="O512" s="1013" t="str">
        <f>IFERROR(Таблица47[[#This Row],[Количество хлыстов]]-Таблица47[[#This Row],[Обработано в 1С]]-Таблица47[[#This Row],[Корректировка]],"")</f>
        <v/>
      </c>
      <c r="P512" s="638" t="str">
        <f>IFERROR((((Таблица47[[#This Row],[Осталось сделать, хлыст]]*Таблица47[[#This Row],[длина]])*Таблица47[[#This Row],[Периметр]])/28),"")</f>
        <v/>
      </c>
      <c r="Q512" s="303" t="s">
        <v>549</v>
      </c>
      <c r="R512" s="991">
        <f>IFERROR(Таблица47[[#This Row],[Коли-
чество м.п.]]/Таблица47[[#This Row],[Количество хлыстов]],"")</f>
        <v>6</v>
      </c>
      <c r="S512" s="639" t="s">
        <v>4748</v>
      </c>
      <c r="T512" s="639">
        <v>378</v>
      </c>
      <c r="U512" s="640">
        <v>63</v>
      </c>
      <c r="V512" s="639">
        <v>0.33660000000000001</v>
      </c>
      <c r="W512" s="639">
        <v>1.2350000000000001</v>
      </c>
      <c r="X512" s="639">
        <v>127.23480000000001</v>
      </c>
      <c r="Y512" s="639">
        <v>466.83</v>
      </c>
      <c r="Z512" s="639">
        <v>16.54</v>
      </c>
      <c r="AA512" s="639">
        <v>107.71</v>
      </c>
      <c r="AB512" s="639">
        <v>320</v>
      </c>
      <c r="AC512" s="641">
        <v>40715.14</v>
      </c>
    </row>
    <row r="513" spans="1:29" ht="15.75" customHeight="1" x14ac:dyDescent="0.25">
      <c r="A513" s="427" t="s">
        <v>4939</v>
      </c>
      <c r="B513" s="309">
        <v>355</v>
      </c>
      <c r="C513" s="309"/>
      <c r="D513" s="303" t="s">
        <v>13</v>
      </c>
      <c r="E513" s="303" t="s">
        <v>4725</v>
      </c>
      <c r="F513" s="528">
        <v>45457</v>
      </c>
      <c r="G513" s="528">
        <v>45491</v>
      </c>
      <c r="H51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3" s="522" t="str">
        <f>CONCATENATE(Таблица47[[#This Row],[№ заявки в 1С]],Таблица47[[#This Row],[Наименование            ]])</f>
        <v>355[69916] автоуголок 50*50 мм (97082) 6,0м,  сплав 6063 Т6 + упаковка А5</v>
      </c>
      <c r="J51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3" s="635"/>
      <c r="N513" s="1119">
        <v>150</v>
      </c>
      <c r="O513" s="1013" t="str">
        <f>IFERROR(Таблица47[[#This Row],[Количество хлыстов]]-Таблица47[[#This Row],[Обработано в 1С]]-Таблица47[[#This Row],[Корректировка]],"")</f>
        <v/>
      </c>
      <c r="P513" s="638" t="str">
        <f>IFERROR((((Таблица47[[#This Row],[Осталось сделать, хлыст]]*Таблица47[[#This Row],[длина]])*Таблица47[[#This Row],[Периметр]])/28),"")</f>
        <v/>
      </c>
      <c r="Q513" s="303"/>
      <c r="R513" s="991">
        <f>IFERROR(Таблица47[[#This Row],[Коли-
чество м.п.]]/Таблица47[[#This Row],[Количество хлыстов]],"")</f>
        <v>6</v>
      </c>
      <c r="S513" s="639" t="s">
        <v>4727</v>
      </c>
      <c r="T513" s="639">
        <v>900</v>
      </c>
      <c r="U513" s="640">
        <v>150</v>
      </c>
      <c r="V513" s="639">
        <v>0.1938</v>
      </c>
      <c r="W513" s="639">
        <v>0.63600000000000001</v>
      </c>
      <c r="X513" s="639">
        <v>174.42</v>
      </c>
      <c r="Y513" s="639">
        <v>572.4</v>
      </c>
      <c r="Z513" s="639">
        <v>22.67</v>
      </c>
      <c r="AA513" s="639">
        <v>62.02</v>
      </c>
      <c r="AB513" s="639">
        <v>320</v>
      </c>
      <c r="AC513" s="641">
        <v>55814.400000000001</v>
      </c>
    </row>
    <row r="514" spans="1:29" ht="15.75" customHeight="1" x14ac:dyDescent="0.25">
      <c r="A514" s="427" t="s">
        <v>4939</v>
      </c>
      <c r="B514" s="1070">
        <v>359</v>
      </c>
      <c r="C514" s="1070"/>
      <c r="D514" s="200" t="s">
        <v>13</v>
      </c>
      <c r="E514" s="200" t="s">
        <v>556</v>
      </c>
      <c r="F514" s="201">
        <v>45457</v>
      </c>
      <c r="G514" s="201"/>
      <c r="H514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4" s="522" t="str">
        <f>CONCATENATE(Таблица47[[#This Row],[№ заявки в 1С]],Таблица47[[#This Row],[Наименование            ]])</f>
        <v>359[30616] 0706-94 (197.07, АА-2050-50), 6,0м, сплав 6063 КР, состТ1, упаковка.Т5</v>
      </c>
      <c r="J51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4" s="635"/>
      <c r="N514" s="1119">
        <v>650</v>
      </c>
      <c r="O514" s="1013" t="str">
        <f>IFERROR(Таблица47[[#This Row],[Количество хлыстов]]-Таблица47[[#This Row],[Обработано в 1С]]-Таблица47[[#This Row],[Корректировка]],"")</f>
        <v/>
      </c>
      <c r="P514" s="638" t="str">
        <f>IFERROR((((Таблица47[[#This Row],[Осталось сделать, хлыст]]*Таблица47[[#This Row],[длина]])*Таблица47[[#This Row],[Периметр]])/28),"")</f>
        <v/>
      </c>
      <c r="Q514" s="303"/>
      <c r="R514" s="991">
        <f>IFERROR(Таблица47[[#This Row],[Коли-
чество м.п.]]/Таблица47[[#This Row],[Количество хлыстов]],"")</f>
        <v>6</v>
      </c>
      <c r="S514" s="639" t="s">
        <v>2608</v>
      </c>
      <c r="T514" s="639">
        <v>3900</v>
      </c>
      <c r="U514" s="640">
        <v>650</v>
      </c>
      <c r="V514" s="639">
        <v>0.31</v>
      </c>
      <c r="W514" s="639">
        <v>0.69199999999999995</v>
      </c>
      <c r="X514" s="639">
        <v>1209</v>
      </c>
      <c r="Y514" s="639">
        <v>2698.8</v>
      </c>
      <c r="Z514" s="639">
        <v>157.16999999999999</v>
      </c>
      <c r="AA514" s="639">
        <v>99.2</v>
      </c>
      <c r="AB514" s="639">
        <v>320</v>
      </c>
      <c r="AC514" s="641">
        <v>386880</v>
      </c>
    </row>
    <row r="515" spans="1:29" s="1021" customFormat="1" ht="15.75" customHeight="1" x14ac:dyDescent="0.25">
      <c r="A515" s="1106" t="s">
        <v>4978</v>
      </c>
      <c r="B515" s="1067">
        <v>362</v>
      </c>
      <c r="C515" s="1067"/>
      <c r="D515" s="1068" t="s">
        <v>13</v>
      </c>
      <c r="E515" s="1068" t="s">
        <v>4870</v>
      </c>
      <c r="F515" s="1069">
        <v>45457</v>
      </c>
      <c r="G515" s="1069"/>
      <c r="H51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5" s="620" t="str">
        <f>CONCATENATE(Таблица47[[#This Row],[№ заявки в 1С]],Таблица47[[#This Row],[Наименование            ]])</f>
        <v>362[88391] 1806-97, 2,7м, 6063 Т6</v>
      </c>
      <c r="J51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5" s="1082"/>
      <c r="N515" s="1120">
        <v>630</v>
      </c>
      <c r="O515" s="1020" t="str">
        <f>IFERROR(Таблица47[[#This Row],[Количество хлыстов]]-Таблица47[[#This Row],[Обработано в 1С]]-Таблица47[[#This Row],[Корректировка]],"")</f>
        <v/>
      </c>
      <c r="P515" s="638" t="str">
        <f>IFERROR((((Таблица47[[#This Row],[Осталось сделать, хлыст]]*Таблица47[[#This Row],[длина]])*Таблица47[[#This Row],[Периметр]])/28),"")</f>
        <v/>
      </c>
      <c r="Q515" s="1068"/>
      <c r="R515" s="1089">
        <f>IFERROR(Таблица47[[#This Row],[Коли-
чество м.п.]]/Таблица47[[#This Row],[Количество хлыстов]],"")</f>
        <v>2.7</v>
      </c>
      <c r="S515" s="1083" t="s">
        <v>4869</v>
      </c>
      <c r="T515" s="1083">
        <v>1701</v>
      </c>
      <c r="U515" s="1084">
        <v>630</v>
      </c>
      <c r="V515" s="1083">
        <v>7.2999999999999995E-2</v>
      </c>
      <c r="W515" s="1083">
        <v>0.121</v>
      </c>
      <c r="X515" s="1083">
        <v>124.173</v>
      </c>
      <c r="Y515" s="1083">
        <v>205.821</v>
      </c>
      <c r="Z515" s="1083">
        <v>16.14</v>
      </c>
      <c r="AA515" s="1083">
        <v>18.03</v>
      </c>
      <c r="AB515" s="1083">
        <v>247</v>
      </c>
      <c r="AC515" s="1085">
        <v>30670.73</v>
      </c>
    </row>
    <row r="516" spans="1:29" ht="15.75" customHeight="1" x14ac:dyDescent="0.25">
      <c r="A516" s="427" t="s">
        <v>4678</v>
      </c>
      <c r="B516" s="309">
        <v>365</v>
      </c>
      <c r="C516" s="309" t="s">
        <v>4753</v>
      </c>
      <c r="D516" s="303" t="s">
        <v>34</v>
      </c>
      <c r="E516" s="303" t="s">
        <v>4467</v>
      </c>
      <c r="F516" s="528">
        <v>45461</v>
      </c>
      <c r="G516" s="528"/>
      <c r="H51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6" s="522" t="str">
        <f>CONCATENATE(Таблица47[[#This Row],[№ заявки в 1С]],Таблица47[[#This Row],[Наименование            ]])</f>
        <v>365[90988] Д 30х30 B-Rxtr 6,05м, БА</v>
      </c>
      <c r="J51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6" s="635"/>
      <c r="N516" s="1119">
        <v>44</v>
      </c>
      <c r="O516" s="1013" t="str">
        <f>IFERROR(Таблица47[[#This Row],[Количество хлыстов]]-Таблица47[[#This Row],[Обработано в 1С]]-Таблица47[[#This Row],[Корректировка]],"")</f>
        <v/>
      </c>
      <c r="P516" s="638" t="str">
        <f>IFERROR((((Таблица47[[#This Row],[Осталось сделать, хлыст]]*Таблица47[[#This Row],[длина]])*Таблица47[[#This Row],[Периметр]])/28),"")</f>
        <v/>
      </c>
      <c r="Q516" s="303"/>
      <c r="R516" s="991">
        <f>IFERROR(Таблица47[[#This Row],[Коли-
чество м.п.]]/Таблица47[[#This Row],[Количество хлыстов]],"")</f>
        <v>6.05</v>
      </c>
      <c r="S516" s="639" t="s">
        <v>5134</v>
      </c>
      <c r="T516" s="639">
        <v>266.2</v>
      </c>
      <c r="U516" s="640">
        <v>44</v>
      </c>
      <c r="V516" s="639">
        <v>0.2319</v>
      </c>
      <c r="W516" s="639">
        <v>0.84599999999999997</v>
      </c>
      <c r="X516" s="639">
        <v>61.7318</v>
      </c>
      <c r="Y516" s="639">
        <v>225.20519999999999</v>
      </c>
      <c r="Z516" s="639">
        <v>8.0299999999999994</v>
      </c>
      <c r="AA516" s="639">
        <v>257.60000000000002</v>
      </c>
      <c r="AB516" s="639">
        <v>1110.82</v>
      </c>
      <c r="AC516" s="641">
        <v>68573.119999999995</v>
      </c>
    </row>
    <row r="517" spans="1:29" ht="15.75" customHeight="1" x14ac:dyDescent="0.25">
      <c r="A517" s="427" t="s">
        <v>4678</v>
      </c>
      <c r="B517" s="309">
        <v>365</v>
      </c>
      <c r="C517" s="309" t="s">
        <v>4753</v>
      </c>
      <c r="D517" s="303" t="s">
        <v>34</v>
      </c>
      <c r="E517" s="303" t="s">
        <v>4467</v>
      </c>
      <c r="F517" s="528">
        <v>45461</v>
      </c>
      <c r="G517" s="528"/>
      <c r="H51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7" s="522" t="str">
        <f>CONCATENATE(Таблица47[[#This Row],[№ заявки в 1С]],Таблица47[[#This Row],[Наименование            ]])</f>
        <v>365[90989] д 40х40 B-Rxtr, 6,05м БА</v>
      </c>
      <c r="J51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7" s="635"/>
      <c r="N517" s="1119">
        <v>11</v>
      </c>
      <c r="O517" s="1013" t="str">
        <f>IFERROR(Таблица47[[#This Row],[Количество хлыстов]]-Таблица47[[#This Row],[Обработано в 1С]]-Таблица47[[#This Row],[Корректировка]],"")</f>
        <v/>
      </c>
      <c r="P517" s="638" t="str">
        <f>IFERROR((((Таблица47[[#This Row],[Осталось сделать, хлыст]]*Таблица47[[#This Row],[длина]])*Таблица47[[#This Row],[Периметр]])/28),"")</f>
        <v/>
      </c>
      <c r="Q517" s="303"/>
      <c r="R517" s="991">
        <f>IFERROR(Таблица47[[#This Row],[Коли-
чество м.п.]]/Таблица47[[#This Row],[Количество хлыстов]],"")</f>
        <v>6.05</v>
      </c>
      <c r="S517" s="639" t="s">
        <v>5135</v>
      </c>
      <c r="T517" s="639">
        <v>66.55</v>
      </c>
      <c r="U517" s="640">
        <v>11</v>
      </c>
      <c r="V517" s="639">
        <v>0.30940000000000001</v>
      </c>
      <c r="W517" s="639">
        <v>1.49</v>
      </c>
      <c r="X517" s="639">
        <v>20.590599999999998</v>
      </c>
      <c r="Y517" s="639">
        <v>99.159499999999994</v>
      </c>
      <c r="Z517" s="639">
        <v>2.68</v>
      </c>
      <c r="AA517" s="639">
        <v>257.60000000000002</v>
      </c>
      <c r="AB517" s="639">
        <v>832.58</v>
      </c>
      <c r="AC517" s="641">
        <v>17143.28</v>
      </c>
    </row>
    <row r="518" spans="1:29" ht="15.75" customHeight="1" x14ac:dyDescent="0.25">
      <c r="A518" s="427" t="s">
        <v>4678</v>
      </c>
      <c r="B518" s="309">
        <v>365</v>
      </c>
      <c r="C518" s="309" t="s">
        <v>4753</v>
      </c>
      <c r="D518" s="303" t="s">
        <v>34</v>
      </c>
      <c r="E518" s="303" t="s">
        <v>4467</v>
      </c>
      <c r="F518" s="528">
        <v>45461</v>
      </c>
      <c r="G518" s="528"/>
      <c r="H51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8" s="522" t="str">
        <f>CONCATENATE(Таблица47[[#This Row],[№ заявки в 1С]],Таблица47[[#This Row],[Наименование            ]])</f>
        <v>365[91323] д 40х80 B-Rxtr, 6,05м БА</v>
      </c>
      <c r="J51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8" s="635"/>
      <c r="N518" s="1119">
        <v>20</v>
      </c>
      <c r="O518" s="1013" t="str">
        <f>IFERROR(Таблица47[[#This Row],[Количество хлыстов]]-Таблица47[[#This Row],[Обработано в 1С]]-Таблица47[[#This Row],[Корректировка]],"")</f>
        <v/>
      </c>
      <c r="P518" s="638" t="str">
        <f>IFERROR((((Таблица47[[#This Row],[Осталось сделать, хлыст]]*Таблица47[[#This Row],[длина]])*Таблица47[[#This Row],[Периметр]])/28),"")</f>
        <v/>
      </c>
      <c r="Q518" s="303"/>
      <c r="R518" s="991">
        <f>IFERROR(Таблица47[[#This Row],[Коли-
чество м.п.]]/Таблица47[[#This Row],[Количество хлыстов]],"")</f>
        <v>6.05</v>
      </c>
      <c r="S518" s="639" t="s">
        <v>5164</v>
      </c>
      <c r="T518" s="639">
        <v>121</v>
      </c>
      <c r="U518" s="640">
        <v>20</v>
      </c>
      <c r="V518" s="639">
        <v>0.47399999999999998</v>
      </c>
      <c r="W518" s="639">
        <v>2.613</v>
      </c>
      <c r="X518" s="639">
        <v>57.353999999999999</v>
      </c>
      <c r="Y518" s="639">
        <v>316.173</v>
      </c>
      <c r="Z518" s="639">
        <v>7.46</v>
      </c>
      <c r="AA518" s="639">
        <v>257.60000000000002</v>
      </c>
      <c r="AB518" s="639">
        <v>543.46</v>
      </c>
      <c r="AC518" s="641">
        <v>31169.599999999999</v>
      </c>
    </row>
    <row r="519" spans="1:29" ht="15.75" customHeight="1" x14ac:dyDescent="0.25">
      <c r="A519" s="427" t="s">
        <v>4678</v>
      </c>
      <c r="B519" s="309">
        <v>365</v>
      </c>
      <c r="C519" s="309" t="s">
        <v>4753</v>
      </c>
      <c r="D519" s="303" t="s">
        <v>34</v>
      </c>
      <c r="E519" s="303" t="s">
        <v>4467</v>
      </c>
      <c r="F519" s="528">
        <v>45461</v>
      </c>
      <c r="G519" s="528"/>
      <c r="H51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19" s="522" t="str">
        <f>CONCATENATE(Таблица47[[#This Row],[№ заявки в 1С]],Таблица47[[#This Row],[Наименование            ]])</f>
        <v>365[91324] д 45х45 B-Rxtr, 6,05м, АД31 Т1, БА</v>
      </c>
      <c r="J51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1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1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19" s="635"/>
      <c r="N519" s="1119">
        <v>28</v>
      </c>
      <c r="O519" s="1013" t="str">
        <f>IFERROR(Таблица47[[#This Row],[Количество хлыстов]]-Таблица47[[#This Row],[Обработано в 1С]]-Таблица47[[#This Row],[Корректировка]],"")</f>
        <v/>
      </c>
      <c r="P519" s="638" t="str">
        <f>IFERROR((((Таблица47[[#This Row],[Осталось сделать, хлыст]]*Таблица47[[#This Row],[длина]])*Таблица47[[#This Row],[Периметр]])/28),"")</f>
        <v/>
      </c>
      <c r="Q519" s="303"/>
      <c r="R519" s="991">
        <f>IFERROR(Таблица47[[#This Row],[Коли-
чество м.п.]]/Таблица47[[#This Row],[Количество хлыстов]],"")</f>
        <v>6.05</v>
      </c>
      <c r="S519" s="639" t="s">
        <v>5467</v>
      </c>
      <c r="T519" s="639">
        <v>169.4</v>
      </c>
      <c r="U519" s="640">
        <v>28</v>
      </c>
      <c r="V519" s="639">
        <v>0.3463</v>
      </c>
      <c r="W519" s="639">
        <v>1.8260000000000001</v>
      </c>
      <c r="X519" s="639">
        <v>58.663200000000003</v>
      </c>
      <c r="Y519" s="639">
        <v>309.32440000000003</v>
      </c>
      <c r="Z519" s="639">
        <v>7.63</v>
      </c>
      <c r="AA519" s="639">
        <v>257.60000000000002</v>
      </c>
      <c r="AB519" s="639">
        <v>743.86</v>
      </c>
      <c r="AC519" s="641">
        <v>43637.440000000002</v>
      </c>
    </row>
    <row r="520" spans="1:29" ht="15.75" customHeight="1" x14ac:dyDescent="0.25">
      <c r="A520" s="427" t="s">
        <v>4678</v>
      </c>
      <c r="B520" s="309">
        <v>365</v>
      </c>
      <c r="C520" s="309" t="s">
        <v>4753</v>
      </c>
      <c r="D520" s="303" t="s">
        <v>34</v>
      </c>
      <c r="E520" s="303" t="s">
        <v>4467</v>
      </c>
      <c r="F520" s="528">
        <v>45461</v>
      </c>
      <c r="G520" s="528"/>
      <c r="H52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0" s="522" t="str">
        <f>CONCATENATE(Таблица47[[#This Row],[№ заявки в 1С]],Таблица47[[#This Row],[Наименование            ]])</f>
        <v>365[91325] д 45х90 B-Rxtr, 6,05м БА</v>
      </c>
      <c r="J52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0" s="635"/>
      <c r="N520" s="1119">
        <v>17</v>
      </c>
      <c r="O520" s="1013" t="str">
        <f>IFERROR(Таблица47[[#This Row],[Количество хлыстов]]-Таблица47[[#This Row],[Обработано в 1С]]-Таблица47[[#This Row],[Корректировка]],"")</f>
        <v/>
      </c>
      <c r="P520" s="638" t="str">
        <f>IFERROR((((Таблица47[[#This Row],[Осталось сделать, хлыст]]*Таблица47[[#This Row],[длина]])*Таблица47[[#This Row],[Периметр]])/28),"")</f>
        <v/>
      </c>
      <c r="Q520" s="303"/>
      <c r="R520" s="991">
        <f>IFERROR(Таблица47[[#This Row],[Коли-
чество м.п.]]/Таблица47[[#This Row],[Количество хлыстов]],"")</f>
        <v>6.05</v>
      </c>
      <c r="S520" s="639" t="s">
        <v>5166</v>
      </c>
      <c r="T520" s="639">
        <v>102.85</v>
      </c>
      <c r="U520" s="640">
        <v>17</v>
      </c>
      <c r="V520" s="639">
        <v>0.53510000000000002</v>
      </c>
      <c r="W520" s="639">
        <v>2.891</v>
      </c>
      <c r="X520" s="639">
        <v>55.034999999999997</v>
      </c>
      <c r="Y520" s="639">
        <v>297.33940000000001</v>
      </c>
      <c r="Z520" s="639">
        <v>7.15</v>
      </c>
      <c r="AA520" s="639">
        <v>272.75</v>
      </c>
      <c r="AB520" s="639">
        <v>509.72</v>
      </c>
      <c r="AC520" s="641">
        <v>28052.639999999999</v>
      </c>
    </row>
    <row r="521" spans="1:29" ht="15.75" customHeight="1" x14ac:dyDescent="0.25">
      <c r="A521" s="427" t="s">
        <v>4678</v>
      </c>
      <c r="B521" s="309">
        <v>365</v>
      </c>
      <c r="C521" s="309" t="s">
        <v>4753</v>
      </c>
      <c r="D521" s="303" t="s">
        <v>34</v>
      </c>
      <c r="E521" s="303" t="s">
        <v>4467</v>
      </c>
      <c r="F521" s="528">
        <v>45461</v>
      </c>
      <c r="G521" s="528"/>
      <c r="H52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1" s="522" t="str">
        <f>CONCATENATE(Таблица47[[#This Row],[№ заявки в 1С]],Таблица47[[#This Row],[Наименование            ]])</f>
        <v>365[91326] д 60х60 B-Rxtr, 6,05м БА</v>
      </c>
      <c r="J52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1" s="635"/>
      <c r="N521" s="1119">
        <v>13</v>
      </c>
      <c r="O521" s="1013" t="str">
        <f>IFERROR(Таблица47[[#This Row],[Количество хлыстов]]-Таблица47[[#This Row],[Обработано в 1С]]-Таблица47[[#This Row],[Корректировка]],"")</f>
        <v/>
      </c>
      <c r="P521" s="638" t="str">
        <f>IFERROR((((Таблица47[[#This Row],[Осталось сделать, хлыст]]*Таблица47[[#This Row],[длина]])*Таблица47[[#This Row],[Периметр]])/28),"")</f>
        <v/>
      </c>
      <c r="Q521" s="303"/>
      <c r="R521" s="991">
        <f>IFERROR(Таблица47[[#This Row],[Коли-
чество м.п.]]/Таблица47[[#This Row],[Количество хлыстов]],"")</f>
        <v>6.0500000000000007</v>
      </c>
      <c r="S521" s="639" t="s">
        <v>5167</v>
      </c>
      <c r="T521" s="639">
        <v>78.650000000000006</v>
      </c>
      <c r="U521" s="640">
        <v>13</v>
      </c>
      <c r="V521" s="639">
        <v>0.47389999999999999</v>
      </c>
      <c r="W521" s="639">
        <v>2.5030000000000001</v>
      </c>
      <c r="X521" s="639">
        <v>37.272199999999998</v>
      </c>
      <c r="Y521" s="639">
        <v>196.86099999999999</v>
      </c>
      <c r="Z521" s="639">
        <v>4.8499999999999996</v>
      </c>
      <c r="AA521" s="639">
        <v>257.60000000000002</v>
      </c>
      <c r="AB521" s="639">
        <v>543.57000000000005</v>
      </c>
      <c r="AC521" s="641">
        <v>20260.240000000002</v>
      </c>
    </row>
    <row r="522" spans="1:29" ht="15.75" customHeight="1" x14ac:dyDescent="0.25">
      <c r="A522" s="427" t="s">
        <v>4678</v>
      </c>
      <c r="B522" s="309">
        <v>366</v>
      </c>
      <c r="C522" s="309" t="s">
        <v>4753</v>
      </c>
      <c r="D522" s="303" t="s">
        <v>34</v>
      </c>
      <c r="E522" s="303" t="s">
        <v>5169</v>
      </c>
      <c r="F522" s="528">
        <v>45461</v>
      </c>
      <c r="G522" s="528"/>
      <c r="H52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2" s="522" t="str">
        <f>CONCATENATE(Таблица47[[#This Row],[№ заявки в 1С]],Таблица47[[#This Row],[Наименование            ]])</f>
        <v>366[90827] Д Труба круглая 80х3мм, АД31 Т1, 6,0м</v>
      </c>
      <c r="J52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2" s="635"/>
      <c r="N522" s="1119">
        <v>16</v>
      </c>
      <c r="O522" s="1013" t="str">
        <f>IFERROR(Таблица47[[#This Row],[Количество хлыстов]]-Таблица47[[#This Row],[Обработано в 1С]]-Таблица47[[#This Row],[Корректировка]],"")</f>
        <v/>
      </c>
      <c r="P522" s="638" t="str">
        <f>IFERROR((((Таблица47[[#This Row],[Осталось сделать, хлыст]]*Таблица47[[#This Row],[длина]])*Таблица47[[#This Row],[Периметр]])/28),"")</f>
        <v/>
      </c>
      <c r="Q522" s="303"/>
      <c r="R522" s="991">
        <f>IFERROR(Таблица47[[#This Row],[Коли-
чество м.п.]]/Таблица47[[#This Row],[Количество хлыстов]],"")</f>
        <v>6</v>
      </c>
      <c r="S522" s="639" t="s">
        <v>5168</v>
      </c>
      <c r="T522" s="639">
        <v>96</v>
      </c>
      <c r="U522" s="640">
        <v>16</v>
      </c>
      <c r="V522" s="639">
        <v>0.25130000000000002</v>
      </c>
      <c r="W522" s="639">
        <v>1.9670000000000001</v>
      </c>
      <c r="X522" s="639">
        <v>24.1248</v>
      </c>
      <c r="Y522" s="639">
        <v>188.83199999999999</v>
      </c>
      <c r="Z522" s="639">
        <v>3.14</v>
      </c>
      <c r="AA522" s="639">
        <v>335.8</v>
      </c>
      <c r="AB522" s="639">
        <v>1336.25</v>
      </c>
      <c r="AC522" s="641">
        <v>32236.799999999999</v>
      </c>
    </row>
    <row r="523" spans="1:29" ht="15.75" customHeight="1" x14ac:dyDescent="0.25">
      <c r="A523" s="427" t="s">
        <v>4678</v>
      </c>
      <c r="B523" s="309">
        <v>363</v>
      </c>
      <c r="C523" s="309" t="s">
        <v>4753</v>
      </c>
      <c r="D523" s="303" t="s">
        <v>4858</v>
      </c>
      <c r="E523" s="303" t="s">
        <v>3918</v>
      </c>
      <c r="F523" s="528">
        <v>45463</v>
      </c>
      <c r="G523" s="528"/>
      <c r="H52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3" s="522" t="str">
        <f>CONCATENATE(Таблица47[[#This Row],[№ заявки в 1С]],Таблица47[[#This Row],[Наименование            ]])</f>
        <v>363[90028] 2575 коробка Д,6м</v>
      </c>
      <c r="J52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3" s="635"/>
      <c r="N523" s="1119">
        <v>9</v>
      </c>
      <c r="O523" s="1013" t="str">
        <f>IFERROR(Таблица47[[#This Row],[Количество хлыстов]]-Таблица47[[#This Row],[Обработано в 1С]]-Таблица47[[#This Row],[Корректировка]],"")</f>
        <v/>
      </c>
      <c r="P523" s="638" t="str">
        <f>IFERROR((((Таблица47[[#This Row],[Осталось сделать, хлыст]]*Таблица47[[#This Row],[длина]])*Таблица47[[#This Row],[Периметр]])/28),"")</f>
        <v/>
      </c>
      <c r="Q523" s="303"/>
      <c r="R523" s="991">
        <f>IFERROR(Таблица47[[#This Row],[Коли-
чество м.п.]]/Таблица47[[#This Row],[Количество хлыстов]],"")</f>
        <v>6</v>
      </c>
      <c r="S523" s="639" t="s">
        <v>5010</v>
      </c>
      <c r="T523" s="639">
        <v>54</v>
      </c>
      <c r="U523" s="640">
        <v>9</v>
      </c>
      <c r="V523" s="639">
        <v>0.56899999999999995</v>
      </c>
      <c r="W523" s="639">
        <v>1.2270000000000001</v>
      </c>
      <c r="X523" s="639">
        <v>30.725999999999999</v>
      </c>
      <c r="Y523" s="639">
        <v>66.257999999999996</v>
      </c>
      <c r="Z523" s="639">
        <v>3.99</v>
      </c>
      <c r="AA523" s="639">
        <v>251.11</v>
      </c>
      <c r="AB523" s="639">
        <v>441.32</v>
      </c>
      <c r="AC523" s="641">
        <v>13560</v>
      </c>
    </row>
    <row r="524" spans="1:29" ht="15.75" customHeight="1" x14ac:dyDescent="0.25">
      <c r="A524" s="427" t="s">
        <v>4678</v>
      </c>
      <c r="B524" s="309">
        <v>363</v>
      </c>
      <c r="C524" s="309" t="s">
        <v>4753</v>
      </c>
      <c r="D524" s="303" t="s">
        <v>4858</v>
      </c>
      <c r="E524" s="303" t="s">
        <v>3918</v>
      </c>
      <c r="F524" s="528">
        <v>45463</v>
      </c>
      <c r="G524" s="528"/>
      <c r="H52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4" s="522" t="str">
        <f>CONCATENATE(Таблица47[[#This Row],[№ заявки в 1С]],Таблица47[[#This Row],[Наименование            ]])</f>
        <v>363[90075] 1250.31 коробка, Д, 6м</v>
      </c>
      <c r="J52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4" s="635"/>
      <c r="N524" s="1119">
        <v>9</v>
      </c>
      <c r="O524" s="1013" t="str">
        <f>IFERROR(Таблица47[[#This Row],[Количество хлыстов]]-Таблица47[[#This Row],[Обработано в 1С]]-Таблица47[[#This Row],[Корректировка]],"")</f>
        <v/>
      </c>
      <c r="P524" s="638" t="str">
        <f>IFERROR((((Таблица47[[#This Row],[Осталось сделать, хлыст]]*Таблица47[[#This Row],[длина]])*Таблица47[[#This Row],[Периметр]])/28),"")</f>
        <v/>
      </c>
      <c r="Q524" s="303"/>
      <c r="R524" s="991">
        <f>IFERROR(Таблица47[[#This Row],[Коли-
чество м.п.]]/Таблица47[[#This Row],[Количество хлыстов]],"")</f>
        <v>6</v>
      </c>
      <c r="S524" s="639" t="s">
        <v>5011</v>
      </c>
      <c r="T524" s="639">
        <v>54</v>
      </c>
      <c r="U524" s="640">
        <v>9</v>
      </c>
      <c r="V524" s="639">
        <v>0.247</v>
      </c>
      <c r="W524" s="639">
        <v>1.6439999999999999</v>
      </c>
      <c r="X524" s="639">
        <v>13.337999999999999</v>
      </c>
      <c r="Y524" s="639">
        <v>88.775999999999996</v>
      </c>
      <c r="Z524" s="639">
        <v>1.73</v>
      </c>
      <c r="AA524" s="639">
        <v>223.33</v>
      </c>
      <c r="AB524" s="639">
        <v>904.18</v>
      </c>
      <c r="AC524" s="641">
        <v>12060</v>
      </c>
    </row>
    <row r="525" spans="1:29" s="1021" customFormat="1" ht="15.75" customHeight="1" x14ac:dyDescent="0.25">
      <c r="A525" s="1106" t="s">
        <v>4978</v>
      </c>
      <c r="B525" s="1067">
        <v>367</v>
      </c>
      <c r="C525" s="1067"/>
      <c r="D525" s="1068" t="s">
        <v>13</v>
      </c>
      <c r="E525" s="1068" t="s">
        <v>557</v>
      </c>
      <c r="F525" s="1069">
        <v>45467</v>
      </c>
      <c r="G525" s="1069"/>
      <c r="H52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5" s="620" t="str">
        <f>CONCATENATE(Таблица47[[#This Row],[№ заявки в 1С]],Таблица47[[#This Row],[Наименование            ]])</f>
        <v>367[84153] 1706-80 (плинтус скрытый 60) 2,45 м, АД31 Т1</v>
      </c>
      <c r="J52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5" s="1082"/>
      <c r="N525" s="1120">
        <v>238</v>
      </c>
      <c r="O525" s="1020" t="str">
        <f>IFERROR(Таблица47[[#This Row],[Количество хлыстов]]-Таблица47[[#This Row],[Обработано в 1С]]-Таблица47[[#This Row],[Корректировка]],"")</f>
        <v/>
      </c>
      <c r="P525" s="638" t="str">
        <f>IFERROR((((Таблица47[[#This Row],[Осталось сделать, хлыст]]*Таблица47[[#This Row],[длина]])*Таблица47[[#This Row],[Периметр]])/28),"")</f>
        <v/>
      </c>
      <c r="Q525" s="1068"/>
      <c r="R525" s="1089">
        <f>IFERROR(Таблица47[[#This Row],[Коли-
чество м.п.]]/Таблица47[[#This Row],[Количество хлыстов]],"")</f>
        <v>2.4500000000000002</v>
      </c>
      <c r="S525" s="1083" t="s">
        <v>3942</v>
      </c>
      <c r="T525" s="1083">
        <v>583.1</v>
      </c>
      <c r="U525" s="1084">
        <v>238</v>
      </c>
      <c r="V525" s="1083">
        <v>0.1507</v>
      </c>
      <c r="W525" s="1083">
        <v>0.39300000000000002</v>
      </c>
      <c r="X525" s="1083">
        <v>87.873199999999997</v>
      </c>
      <c r="Y525" s="1083">
        <v>229.1583</v>
      </c>
      <c r="Z525" s="1083">
        <v>11.42</v>
      </c>
      <c r="AA525" s="1083">
        <v>44.31</v>
      </c>
      <c r="AB525" s="1083">
        <v>294</v>
      </c>
      <c r="AC525" s="1085">
        <v>25834.71</v>
      </c>
    </row>
    <row r="526" spans="1:29" ht="15.75" customHeight="1" x14ac:dyDescent="0.25">
      <c r="A526" s="427" t="s">
        <v>4678</v>
      </c>
      <c r="B526" s="309">
        <v>368</v>
      </c>
      <c r="C526" s="309"/>
      <c r="D526" s="303" t="s">
        <v>13</v>
      </c>
      <c r="E526" s="303" t="s">
        <v>556</v>
      </c>
      <c r="F526" s="528">
        <v>45467</v>
      </c>
      <c r="G526" s="528"/>
      <c r="H526" s="43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6" s="522" t="str">
        <f>CONCATENATE(Таблица47[[#This Row],[№ заявки в 1С]],Таблица47[[#This Row],[Наименование            ]])</f>
        <v>368[30616] 0706-94 (197.07, АА-2050-50), 6,0м, сплав 6063 КР, состТ1, упаковка.Т5</v>
      </c>
      <c r="J52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6" s="635">
        <v>12</v>
      </c>
      <c r="N526" s="1119">
        <f>150+300+89</f>
        <v>539</v>
      </c>
      <c r="O526" s="1013" t="str">
        <f>IFERROR(Таблица47[[#This Row],[Количество хлыстов]]-Таблица47[[#This Row],[Обработано в 1С]]-Таблица47[[#This Row],[Корректировка]],"")</f>
        <v/>
      </c>
      <c r="P526" s="638" t="str">
        <f>IFERROR((((Таблица47[[#This Row],[Осталось сделать, хлыст]]*Таблица47[[#This Row],[длина]])*Таблица47[[#This Row],[Периметр]])/28),"")</f>
        <v/>
      </c>
      <c r="Q526" s="303" t="s">
        <v>5251</v>
      </c>
      <c r="R526" s="991">
        <f>IFERROR(Таблица47[[#This Row],[Коли-
чество м.п.]]/Таблица47[[#This Row],[Количество хлыстов]],"")</f>
        <v>6</v>
      </c>
      <c r="S526" s="639" t="s">
        <v>2608</v>
      </c>
      <c r="T526" s="639">
        <v>3306</v>
      </c>
      <c r="U526" s="640">
        <v>551</v>
      </c>
      <c r="V526" s="639">
        <v>0.31</v>
      </c>
      <c r="W526" s="639">
        <v>0.69199999999999995</v>
      </c>
      <c r="X526" s="639">
        <v>1024.8599999999999</v>
      </c>
      <c r="Y526" s="639">
        <v>2287.752</v>
      </c>
      <c r="Z526" s="639">
        <v>133.22999999999999</v>
      </c>
      <c r="AA526" s="639">
        <v>134.85</v>
      </c>
      <c r="AB526" s="639">
        <v>435</v>
      </c>
      <c r="AC526" s="641">
        <v>445814.1</v>
      </c>
    </row>
    <row r="527" spans="1:29" s="1021" customFormat="1" ht="15.75" customHeight="1" x14ac:dyDescent="0.25">
      <c r="A527" s="1106" t="s">
        <v>4978</v>
      </c>
      <c r="B527" s="1067">
        <v>369</v>
      </c>
      <c r="C527" s="1067"/>
      <c r="D527" s="1068" t="s">
        <v>13</v>
      </c>
      <c r="E527" s="1068" t="s">
        <v>556</v>
      </c>
      <c r="F527" s="1069">
        <v>45467</v>
      </c>
      <c r="G527" s="1069"/>
      <c r="H52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7" s="620" t="str">
        <f>CONCATENATE(Таблица47[[#This Row],[№ заявки в 1С]],Таблица47[[#This Row],[Наименование            ]])</f>
        <v>369[73119] 1606-01,  3,0 м, БА сплав: АД 31 состояние Т1</v>
      </c>
      <c r="J52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7" s="1082"/>
      <c r="N527" s="1120">
        <f>604+21</f>
        <v>625</v>
      </c>
      <c r="O527" s="1020" t="str">
        <f>IFERROR(Таблица47[[#This Row],[Количество хлыстов]]-Таблица47[[#This Row],[Обработано в 1С]]-Таблица47[[#This Row],[Корректировка]],"")</f>
        <v/>
      </c>
      <c r="P527" s="638" t="str">
        <f>IFERROR((((Таблица47[[#This Row],[Осталось сделать, хлыст]]*Таблица47[[#This Row],[длина]])*Таблица47[[#This Row],[Периметр]])/28),"")</f>
        <v/>
      </c>
      <c r="Q527" s="1068"/>
      <c r="R527" s="1089">
        <f>IFERROR(Таблица47[[#This Row],[Коли-
чество м.п.]]/Таблица47[[#This Row],[Количество хлыстов]],"")</f>
        <v>3</v>
      </c>
      <c r="S527" s="1083" t="s">
        <v>5170</v>
      </c>
      <c r="T527" s="1083">
        <v>1875</v>
      </c>
      <c r="U527" s="1084">
        <v>625</v>
      </c>
      <c r="V527" s="1083">
        <v>0.20200000000000001</v>
      </c>
      <c r="W527" s="1083">
        <v>0.51400000000000001</v>
      </c>
      <c r="X527" s="1083">
        <v>378.75</v>
      </c>
      <c r="Y527" s="1083">
        <v>963.75</v>
      </c>
      <c r="Z527" s="1083">
        <v>49.24</v>
      </c>
      <c r="AA527" s="1083">
        <v>61.81</v>
      </c>
      <c r="AB527" s="1083">
        <v>306</v>
      </c>
      <c r="AC527" s="1085">
        <v>115897.5</v>
      </c>
    </row>
    <row r="528" spans="1:29" ht="15.75" customHeight="1" x14ac:dyDescent="0.25">
      <c r="A528" s="427" t="s">
        <v>4678</v>
      </c>
      <c r="B528" s="309">
        <v>371</v>
      </c>
      <c r="C528" s="309" t="s">
        <v>4753</v>
      </c>
      <c r="D528" s="303" t="s">
        <v>13</v>
      </c>
      <c r="E528" s="303" t="s">
        <v>5171</v>
      </c>
      <c r="F528" s="528">
        <v>45468</v>
      </c>
      <c r="G528" s="528">
        <v>45482</v>
      </c>
      <c r="H52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8" s="522" t="str">
        <f>CONCATENATE(Таблица47[[#This Row],[№ заявки в 1С]],Таблица47[[#This Row],[Наименование            ]])</f>
        <v>371[91472] Кронштейн (Д) 250*55*250, 6м, АД31</v>
      </c>
      <c r="J52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8" s="635"/>
      <c r="N528" s="1119">
        <v>74</v>
      </c>
      <c r="O528" s="1013" t="str">
        <f>IFERROR(Таблица47[[#This Row],[Количество хлыстов]]-Таблица47[[#This Row],[Обработано в 1С]]-Таблица47[[#This Row],[Корректировка]],"")</f>
        <v/>
      </c>
      <c r="P528" s="638" t="str">
        <f>IFERROR((((Таблица47[[#This Row],[Осталось сделать, хлыст]]*Таблица47[[#This Row],[длина]])*Таблица47[[#This Row],[Периметр]])/28),"")</f>
        <v/>
      </c>
      <c r="Q528" s="303"/>
      <c r="R528" s="991">
        <f>IFERROR(Таблица47[[#This Row],[Коли-
чество м.п.]]/Таблица47[[#This Row],[Количество хлыстов]],"")</f>
        <v>6</v>
      </c>
      <c r="S528" s="639" t="s">
        <v>5172</v>
      </c>
      <c r="T528" s="639">
        <v>444</v>
      </c>
      <c r="U528" s="640">
        <v>74</v>
      </c>
      <c r="V528" s="639">
        <v>1.1100000000000001</v>
      </c>
      <c r="W528" s="639">
        <v>3.88</v>
      </c>
      <c r="X528" s="639">
        <v>492.84</v>
      </c>
      <c r="Y528" s="639">
        <v>1722.72</v>
      </c>
      <c r="Z528" s="639">
        <v>64.069999999999993</v>
      </c>
      <c r="AA528" s="639">
        <v>422</v>
      </c>
      <c r="AB528" s="639">
        <v>380.18</v>
      </c>
      <c r="AC528" s="641">
        <v>172176</v>
      </c>
    </row>
    <row r="529" spans="1:29" ht="15.75" customHeight="1" x14ac:dyDescent="0.25">
      <c r="A529" s="427" t="s">
        <v>4678</v>
      </c>
      <c r="B529" s="309">
        <v>371</v>
      </c>
      <c r="C529" s="309" t="s">
        <v>4753</v>
      </c>
      <c r="D529" s="303" t="s">
        <v>13</v>
      </c>
      <c r="E529" s="303" t="s">
        <v>5171</v>
      </c>
      <c r="F529" s="528">
        <v>45468</v>
      </c>
      <c r="G529" s="528">
        <v>45482</v>
      </c>
      <c r="H52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29" s="522" t="str">
        <f>CONCATENATE(Таблица47[[#This Row],[№ заявки в 1С]],Таблица47[[#This Row],[Наименование            ]])</f>
        <v>371[91473] Кронштейн (Д) 280*55*280, 4м, АД31</v>
      </c>
      <c r="J52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2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2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29" s="635"/>
      <c r="N529" s="1119">
        <v>12</v>
      </c>
      <c r="O529" s="1013" t="str">
        <f>IFERROR(Таблица47[[#This Row],[Количество хлыстов]]-Таблица47[[#This Row],[Обработано в 1С]]-Таблица47[[#This Row],[Корректировка]],"")</f>
        <v/>
      </c>
      <c r="P529" s="638" t="str">
        <f>IFERROR((((Таблица47[[#This Row],[Осталось сделать, хлыст]]*Таблица47[[#This Row],[длина]])*Таблица47[[#This Row],[Периметр]])/28),"")</f>
        <v/>
      </c>
      <c r="Q529" s="303"/>
      <c r="R529" s="991">
        <f>IFERROR(Таблица47[[#This Row],[Коли-
чество м.п.]]/Таблица47[[#This Row],[Количество хлыстов]],"")</f>
        <v>4</v>
      </c>
      <c r="S529" s="639" t="s">
        <v>5182</v>
      </c>
      <c r="T529" s="639">
        <v>48</v>
      </c>
      <c r="U529" s="640">
        <v>12</v>
      </c>
      <c r="V529" s="639">
        <v>1.23</v>
      </c>
      <c r="W529" s="639">
        <v>4.9000000000000004</v>
      </c>
      <c r="X529" s="639">
        <v>59.04</v>
      </c>
      <c r="Y529" s="639">
        <v>235.2</v>
      </c>
      <c r="Z529" s="639">
        <v>7.68</v>
      </c>
      <c r="AA529" s="639">
        <v>495</v>
      </c>
      <c r="AB529" s="639">
        <v>402.44</v>
      </c>
      <c r="AC529" s="641">
        <v>8910</v>
      </c>
    </row>
    <row r="530" spans="1:29" ht="15.75" customHeight="1" x14ac:dyDescent="0.25">
      <c r="A530" s="427" t="s">
        <v>4678</v>
      </c>
      <c r="B530" s="1070">
        <v>371</v>
      </c>
      <c r="C530" s="1070" t="s">
        <v>4753</v>
      </c>
      <c r="D530" s="200" t="s">
        <v>13</v>
      </c>
      <c r="E530" s="200" t="s">
        <v>5171</v>
      </c>
      <c r="F530" s="201">
        <v>45468</v>
      </c>
      <c r="G530" s="201">
        <v>45482</v>
      </c>
      <c r="H530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0" s="522" t="str">
        <f>CONCATENATE(Таблица47[[#This Row],[№ заявки в 1С]],Таблица47[[#This Row],[Наименование            ]])</f>
        <v>371[91475] Профиль А24.4 (Д), 6м, сплав 6060</v>
      </c>
      <c r="J53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0" s="635"/>
      <c r="N530" s="1119">
        <v>600</v>
      </c>
      <c r="O530" s="1013" t="str">
        <f>IFERROR(Таблица47[[#This Row],[Количество хлыстов]]-Таблица47[[#This Row],[Обработано в 1С]]-Таблица47[[#This Row],[Корректировка]],"")</f>
        <v/>
      </c>
      <c r="P530" s="638" t="str">
        <f>IFERROR((((Таблица47[[#This Row],[Осталось сделать, хлыст]]*Таблица47[[#This Row],[длина]])*Таблица47[[#This Row],[Периметр]])/28),"")</f>
        <v/>
      </c>
      <c r="Q530" s="303"/>
      <c r="R530" s="991">
        <f>IFERROR(Таблица47[[#This Row],[Коли-
чество м.п.]]/Таблица47[[#This Row],[Количество хлыстов]],"")</f>
        <v>6</v>
      </c>
      <c r="S530" s="639" t="s">
        <v>5173</v>
      </c>
      <c r="T530" s="639">
        <v>3600</v>
      </c>
      <c r="U530" s="640">
        <v>600</v>
      </c>
      <c r="V530" s="639">
        <v>0.23</v>
      </c>
      <c r="W530" s="639">
        <v>0.90500000000000003</v>
      </c>
      <c r="X530" s="639">
        <v>828</v>
      </c>
      <c r="Y530" s="639">
        <v>3258</v>
      </c>
      <c r="Z530" s="639">
        <v>107.64</v>
      </c>
      <c r="AA530" s="639">
        <v>96.66</v>
      </c>
      <c r="AB530" s="639">
        <v>420.28</v>
      </c>
      <c r="AC530" s="641">
        <v>284192</v>
      </c>
    </row>
    <row r="531" spans="1:29" ht="15.75" customHeight="1" x14ac:dyDescent="0.25">
      <c r="A531" s="427" t="s">
        <v>4678</v>
      </c>
      <c r="B531" s="1070">
        <v>371</v>
      </c>
      <c r="C531" s="1070" t="s">
        <v>4753</v>
      </c>
      <c r="D531" s="200" t="s">
        <v>13</v>
      </c>
      <c r="E531" s="200" t="s">
        <v>5171</v>
      </c>
      <c r="F531" s="201">
        <v>45468</v>
      </c>
      <c r="G531" s="201">
        <v>45482</v>
      </c>
      <c r="H531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1" s="522" t="str">
        <f>CONCATENATE(Таблица47[[#This Row],[№ заявки в 1С]],Таблица47[[#This Row],[Наименование            ]])</f>
        <v>371[91491] Полоса 30мм*3 (Д) 4,6м, 6060</v>
      </c>
      <c r="J53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1" s="635"/>
      <c r="N531" s="1119">
        <v>24</v>
      </c>
      <c r="O531" s="1013" t="str">
        <f>IFERROR(Таблица47[[#This Row],[Количество хлыстов]]-Таблица47[[#This Row],[Обработано в 1С]]-Таблица47[[#This Row],[Корректировка]],"")</f>
        <v/>
      </c>
      <c r="P531" s="638" t="str">
        <f>IFERROR((((Таблица47[[#This Row],[Осталось сделать, хлыст]]*Таблица47[[#This Row],[длина]])*Таблица47[[#This Row],[Периметр]])/28),"")</f>
        <v/>
      </c>
      <c r="Q531" s="303"/>
      <c r="R531" s="991">
        <f>IFERROR(Таблица47[[#This Row],[Коли-
чество м.п.]]/Таблица47[[#This Row],[Количество хлыстов]],"")</f>
        <v>4.6000000000000005</v>
      </c>
      <c r="S531" s="639" t="s">
        <v>5183</v>
      </c>
      <c r="T531" s="639">
        <v>110.4</v>
      </c>
      <c r="U531" s="640">
        <v>24</v>
      </c>
      <c r="V531" s="639">
        <v>0.09</v>
      </c>
      <c r="W531" s="639">
        <v>2.39</v>
      </c>
      <c r="X531" s="639">
        <v>9.9359999999999999</v>
      </c>
      <c r="Y531" s="639">
        <v>263.85599999999999</v>
      </c>
      <c r="Z531" s="639">
        <v>1.29</v>
      </c>
      <c r="AA531" s="639"/>
      <c r="AB531" s="639"/>
      <c r="AC531" s="641"/>
    </row>
    <row r="532" spans="1:29" ht="15.75" customHeight="1" x14ac:dyDescent="0.25">
      <c r="A532" s="427" t="s">
        <v>4678</v>
      </c>
      <c r="B532" s="309">
        <v>372</v>
      </c>
      <c r="C532" s="309"/>
      <c r="D532" s="303" t="s">
        <v>34</v>
      </c>
      <c r="E532" s="303" t="s">
        <v>19</v>
      </c>
      <c r="F532" s="528">
        <v>45468</v>
      </c>
      <c r="G532" s="528"/>
      <c r="H53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2" s="522" t="str">
        <f>CONCATENATE(Таблица47[[#This Row],[№ заявки в 1С]],Таблица47[[#This Row],[Наименование            ]])</f>
        <v>372[91034] 1506-79, 3,6м, 6063 Т6, упак.Т5, БА</v>
      </c>
      <c r="J53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2" s="635"/>
      <c r="N532" s="1119">
        <v>176</v>
      </c>
      <c r="O532" s="1013" t="str">
        <f>IFERROR(Таблица47[[#This Row],[Количество хлыстов]]-Таблица47[[#This Row],[Обработано в 1С]]-Таблица47[[#This Row],[Корректировка]],"")</f>
        <v/>
      </c>
      <c r="P532" s="638" t="str">
        <f>IFERROR((((Таблица47[[#This Row],[Осталось сделать, хлыст]]*Таблица47[[#This Row],[длина]])*Таблица47[[#This Row],[Периметр]])/28),"")</f>
        <v/>
      </c>
      <c r="Q532" s="303"/>
      <c r="R532" s="991">
        <f>IFERROR(Таблица47[[#This Row],[Коли-
чество м.п.]]/Таблица47[[#This Row],[Количество хлыстов]],"")</f>
        <v>3.6</v>
      </c>
      <c r="S532" s="639" t="s">
        <v>5158</v>
      </c>
      <c r="T532" s="639">
        <v>633.6</v>
      </c>
      <c r="U532" s="640">
        <v>176</v>
      </c>
      <c r="V532" s="639">
        <v>0.3402</v>
      </c>
      <c r="W532" s="639">
        <v>1.4530000000000001</v>
      </c>
      <c r="X532" s="639">
        <v>215.55070000000001</v>
      </c>
      <c r="Y532" s="639">
        <v>920.62080000000003</v>
      </c>
      <c r="Z532" s="639">
        <v>28.02</v>
      </c>
      <c r="AA532" s="639">
        <v>136.76</v>
      </c>
      <c r="AB532" s="639">
        <v>402</v>
      </c>
      <c r="AC532" s="641">
        <v>86651.39</v>
      </c>
    </row>
    <row r="533" spans="1:29" customFormat="1" ht="15.75" customHeight="1" x14ac:dyDescent="0.25">
      <c r="A533" s="924" t="s">
        <v>4678</v>
      </c>
      <c r="B533" s="925">
        <v>373</v>
      </c>
      <c r="C533" s="925"/>
      <c r="D533" s="926" t="s">
        <v>34</v>
      </c>
      <c r="E533" s="926" t="s">
        <v>3404</v>
      </c>
      <c r="F533" s="927">
        <v>45468</v>
      </c>
      <c r="G533" s="927"/>
      <c r="H533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3" s="928" t="str">
        <f>CONCATENATE(Таблица47[[#This Row],[№ заявки в 1С]],Таблица47[[#This Row],[Наименование            ]])</f>
        <v>373[89968] 2606-57, 6,0м, 6063 Т6, уп.Т5, БА</v>
      </c>
      <c r="J533" s="92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3" s="92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3" s="92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3" s="928">
        <v>1</v>
      </c>
      <c r="N533" s="937">
        <v>150</v>
      </c>
      <c r="O533" s="1001" t="str">
        <f>IFERROR(Таблица47[[#This Row],[Количество хлыстов]]-Таблица47[[#This Row],[Обработано в 1С]]-Таблица47[[#This Row],[Корректировка]],"")</f>
        <v/>
      </c>
      <c r="P533" s="638" t="str">
        <f>IFERROR((((Таблица47[[#This Row],[Осталось сделать, хлыст]]*Таблица47[[#This Row],[длина]])*Таблица47[[#This Row],[Периметр]])/28),"")</f>
        <v/>
      </c>
      <c r="Q533" s="926" t="s">
        <v>5824</v>
      </c>
      <c r="R533" s="938">
        <f>IFERROR(Таблица47[[#This Row],[Коли-
чество м.п.]]/Таблица47[[#This Row],[Количество хлыстов]],"")</f>
        <v>6</v>
      </c>
      <c r="S533" s="933" t="s">
        <v>5003</v>
      </c>
      <c r="T533" s="933">
        <v>906</v>
      </c>
      <c r="U533" s="934">
        <v>151</v>
      </c>
      <c r="V533" s="933">
        <v>0.27439999999999998</v>
      </c>
      <c r="W533" s="933">
        <v>0.56100000000000005</v>
      </c>
      <c r="X533" s="933">
        <v>248.60640000000001</v>
      </c>
      <c r="Y533" s="933">
        <v>508.26600000000002</v>
      </c>
      <c r="Z533" s="933">
        <v>32.32</v>
      </c>
      <c r="AA533" s="933">
        <v>101.53</v>
      </c>
      <c r="AB533" s="933">
        <v>370</v>
      </c>
      <c r="AC533" s="935">
        <v>91984.37</v>
      </c>
    </row>
    <row r="534" spans="1:29" ht="15.75" customHeight="1" x14ac:dyDescent="0.25">
      <c r="A534" s="427" t="s">
        <v>4678</v>
      </c>
      <c r="B534" s="309">
        <v>374</v>
      </c>
      <c r="C534" s="309"/>
      <c r="D534" s="303" t="s">
        <v>34</v>
      </c>
      <c r="E534" s="303" t="s">
        <v>5175</v>
      </c>
      <c r="F534" s="528">
        <v>45468</v>
      </c>
      <c r="G534" s="528"/>
      <c r="H53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4" s="522" t="str">
        <f>CONCATENATE(Таблица47[[#This Row],[№ заявки в 1С]],Таблица47[[#This Row],[Наименование            ]])</f>
        <v>374[90056] 2606-73, 6,05м, 6063 Т6, уп.Т5, без покрытия</v>
      </c>
      <c r="J53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4" s="635"/>
      <c r="N534" s="1119">
        <v>226</v>
      </c>
      <c r="O534" s="1013" t="str">
        <f>IFERROR(Таблица47[[#This Row],[Количество хлыстов]]-Таблица47[[#This Row],[Обработано в 1С]]-Таблица47[[#This Row],[Корректировка]],"")</f>
        <v/>
      </c>
      <c r="P534" s="638" t="str">
        <f>IFERROR((((Таблица47[[#This Row],[Осталось сделать, хлыст]]*Таблица47[[#This Row],[длина]])*Таблица47[[#This Row],[Периметр]])/28),"")</f>
        <v/>
      </c>
      <c r="Q534" s="303"/>
      <c r="R534" s="991">
        <f>IFERROR(Таблица47[[#This Row],[Коли-
чество м.п.]]/Таблица47[[#This Row],[Количество хлыстов]],"")</f>
        <v>6.05</v>
      </c>
      <c r="S534" s="639" t="s">
        <v>5174</v>
      </c>
      <c r="T534" s="639">
        <v>1367.3</v>
      </c>
      <c r="U534" s="640">
        <v>226</v>
      </c>
      <c r="V534" s="639">
        <v>0.30980000000000002</v>
      </c>
      <c r="W534" s="639">
        <v>0.78400000000000003</v>
      </c>
      <c r="X534" s="639">
        <v>423.58949999999999</v>
      </c>
      <c r="Y534" s="639">
        <v>1071.9631999999999</v>
      </c>
      <c r="Z534" s="639">
        <v>55.07</v>
      </c>
      <c r="AA534" s="639">
        <v>134.76</v>
      </c>
      <c r="AB534" s="639">
        <v>435</v>
      </c>
      <c r="AC534" s="641">
        <v>184261.45</v>
      </c>
    </row>
    <row r="535" spans="1:29" ht="15.75" customHeight="1" x14ac:dyDescent="0.25">
      <c r="A535" s="427" t="s">
        <v>4678</v>
      </c>
      <c r="B535" s="309" t="s">
        <v>5176</v>
      </c>
      <c r="C535" s="309"/>
      <c r="D535" s="303" t="s">
        <v>34</v>
      </c>
      <c r="E535" s="303" t="s">
        <v>16</v>
      </c>
      <c r="F535" s="528">
        <v>45468</v>
      </c>
      <c r="G535" s="528"/>
      <c r="H53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5" s="928" t="str">
        <f>CONCATENATE(Таблица47[[#This Row],[№ заявки в 1С]],Таблица47[[#This Row],[Наименование            ]])</f>
        <v>OPT000665[11564] 0106-235, 6,0м, 6063 Т6, упаковка Т-5, под анод тип 2, БА (прессовать на плюсовом допуске)</v>
      </c>
      <c r="J53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5" s="635"/>
      <c r="N535" s="1119">
        <v>67</v>
      </c>
      <c r="O535" s="1013" t="str">
        <f>IFERROR(Таблица47[[#This Row],[Количество хлыстов]]-Таблица47[[#This Row],[Обработано в 1С]]-Таблица47[[#This Row],[Корректировка]],"")</f>
        <v/>
      </c>
      <c r="P535" s="638" t="str">
        <f>IFERROR((((Таблица47[[#This Row],[Осталось сделать, хлыст]]*Таблица47[[#This Row],[длина]])*Таблица47[[#This Row],[Периметр]])/28),"")</f>
        <v/>
      </c>
      <c r="Q535" s="303"/>
      <c r="R535" s="991">
        <f>IFERROR(Таблица47[[#This Row],[Коли-
чество м.п.]]/Таблица47[[#This Row],[Количество хлыстов]],"")</f>
        <v>6</v>
      </c>
      <c r="S535" s="639" t="s">
        <v>2581</v>
      </c>
      <c r="T535" s="639">
        <v>402</v>
      </c>
      <c r="U535" s="640">
        <v>67</v>
      </c>
      <c r="V535" s="639">
        <v>0.56989999999999996</v>
      </c>
      <c r="W535" s="639">
        <v>1.304</v>
      </c>
      <c r="X535" s="639">
        <v>229.09979999999999</v>
      </c>
      <c r="Y535" s="639">
        <v>524.20799999999997</v>
      </c>
      <c r="Z535" s="639">
        <v>29.78</v>
      </c>
      <c r="AA535" s="639">
        <v>324.83999999999997</v>
      </c>
      <c r="AB535" s="639">
        <v>570</v>
      </c>
      <c r="AC535" s="641">
        <v>130586.89</v>
      </c>
    </row>
    <row r="536" spans="1:29" customFormat="1" ht="15.75" customHeight="1" x14ac:dyDescent="0.25">
      <c r="A536" s="924" t="s">
        <v>4678</v>
      </c>
      <c r="B536" s="925" t="s">
        <v>5178</v>
      </c>
      <c r="C536" s="925"/>
      <c r="D536" s="926" t="s">
        <v>34</v>
      </c>
      <c r="E536" s="926" t="s">
        <v>16</v>
      </c>
      <c r="F536" s="927">
        <v>45468</v>
      </c>
      <c r="G536" s="927"/>
      <c r="H53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6" s="928" t="str">
        <f>CONCATENATE(Таблица47[[#This Row],[№ заявки в 1С]],Таблица47[[#This Row],[Наименование            ]])</f>
        <v>OPT000666[38435] 0506-20, 6,0м, 6063 Т1, упаковка Т-5, под анод тип 1, БА</v>
      </c>
      <c r="J536" s="92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6" s="92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6" s="92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6" s="928">
        <v>1</v>
      </c>
      <c r="N536" s="937">
        <v>375</v>
      </c>
      <c r="O536" s="1001" t="str">
        <f>IFERROR(Таблица47[[#This Row],[Количество хлыстов]]-Таблица47[[#This Row],[Обработано в 1С]]-Таблица47[[#This Row],[Корректировка]],"")</f>
        <v/>
      </c>
      <c r="P536" s="638" t="str">
        <f>IFERROR((((Таблица47[[#This Row],[Осталось сделать, хлыст]]*Таблица47[[#This Row],[длина]])*Таблица47[[#This Row],[Периметр]])/28),"")</f>
        <v/>
      </c>
      <c r="Q536" s="934"/>
      <c r="R536" s="938">
        <f>IFERROR(Таблица47[[#This Row],[Коли-
чество м.п.]]/Таблица47[[#This Row],[Количество хлыстов]],"")</f>
        <v>6</v>
      </c>
      <c r="S536" s="933" t="s">
        <v>2730</v>
      </c>
      <c r="T536" s="933">
        <v>2256</v>
      </c>
      <c r="U536" s="934">
        <v>376</v>
      </c>
      <c r="V536" s="933">
        <v>0.3498</v>
      </c>
      <c r="W536" s="933">
        <v>1.425</v>
      </c>
      <c r="X536" s="933">
        <v>789.14880000000005</v>
      </c>
      <c r="Y536" s="933">
        <v>3214.8</v>
      </c>
      <c r="Z536" s="933">
        <v>102.59</v>
      </c>
      <c r="AA536" s="933">
        <v>152.16</v>
      </c>
      <c r="AB536" s="933">
        <v>435</v>
      </c>
      <c r="AC536" s="935">
        <v>343279.73</v>
      </c>
    </row>
    <row r="537" spans="1:29" ht="15.75" customHeight="1" x14ac:dyDescent="0.25">
      <c r="A537" s="427" t="s">
        <v>4678</v>
      </c>
      <c r="B537" s="309">
        <v>375</v>
      </c>
      <c r="C537" s="309"/>
      <c r="D537" s="303" t="s">
        <v>34</v>
      </c>
      <c r="E537" s="303" t="s">
        <v>45</v>
      </c>
      <c r="F537" s="528">
        <v>45468</v>
      </c>
      <c r="G537" s="528"/>
      <c r="H53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7" s="928" t="str">
        <f>CONCATENATE(Таблица47[[#This Row],[№ заявки в 1С]],Таблица47[[#This Row],[Наименование            ]])</f>
        <v>375[16306] 0216-92, 6,0м, 6063 Т1, упаковка Т-5, без покрытия</v>
      </c>
      <c r="J53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7" s="635"/>
      <c r="N537" s="1119">
        <v>93</v>
      </c>
      <c r="O537" s="1013" t="str">
        <f>IFERROR(Таблица47[[#This Row],[Количество хлыстов]]-Таблица47[[#This Row],[Обработано в 1С]]-Таблица47[[#This Row],[Корректировка]],"")</f>
        <v/>
      </c>
      <c r="P537" s="638" t="str">
        <f>IFERROR((((Таблица47[[#This Row],[Осталось сделать, хлыст]]*Таблица47[[#This Row],[длина]])*Таблица47[[#This Row],[Периметр]])/28),"")</f>
        <v/>
      </c>
      <c r="Q537" s="303"/>
      <c r="R537" s="991">
        <f>IFERROR(Таблица47[[#This Row],[Коли-
чество м.п.]]/Таблица47[[#This Row],[Количество хлыстов]],"")</f>
        <v>6</v>
      </c>
      <c r="S537" s="639" t="s">
        <v>4856</v>
      </c>
      <c r="T537" s="639">
        <v>558</v>
      </c>
      <c r="U537" s="640">
        <v>93</v>
      </c>
      <c r="V537" s="639">
        <v>0.1837</v>
      </c>
      <c r="W537" s="639">
        <v>0.83599999999999997</v>
      </c>
      <c r="X537" s="639">
        <v>102.5046</v>
      </c>
      <c r="Y537" s="639">
        <v>466.488</v>
      </c>
      <c r="Z537" s="639">
        <v>13.33</v>
      </c>
      <c r="AA537" s="639">
        <v>94.61</v>
      </c>
      <c r="AB537" s="639">
        <v>515</v>
      </c>
      <c r="AC537" s="641">
        <v>52789.87</v>
      </c>
    </row>
    <row r="538" spans="1:29" customFormat="1" ht="15.75" customHeight="1" x14ac:dyDescent="0.25">
      <c r="A538" s="924" t="s">
        <v>4678</v>
      </c>
      <c r="B538" s="925">
        <v>376</v>
      </c>
      <c r="C538" s="925"/>
      <c r="D538" s="926" t="s">
        <v>34</v>
      </c>
      <c r="E538" s="926" t="s">
        <v>45</v>
      </c>
      <c r="F538" s="927">
        <v>45468</v>
      </c>
      <c r="G538" s="927"/>
      <c r="H53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38" s="928" t="str">
        <f>CONCATENATE(Таблица47[[#This Row],[№ заявки в 1С]],Таблица47[[#This Row],[Наименование            ]])</f>
        <v>376[22872] 0506-06, 3,1м, 6063 Т1, упаковка Т-5, без покрытия</v>
      </c>
      <c r="J538" s="92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8" s="92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8" s="92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8" s="928"/>
      <c r="N538" s="937">
        <v>147</v>
      </c>
      <c r="O538" s="1001" t="str">
        <f>IFERROR(Таблица47[[#This Row],[Количество хлыстов]]-Таблица47[[#This Row],[Обработано в 1С]]-Таблица47[[#This Row],[Корректировка]],"")</f>
        <v/>
      </c>
      <c r="P538" s="638" t="str">
        <f>IFERROR((((Таблица47[[#This Row],[Осталось сделать, хлыст]]*Таблица47[[#This Row],[длина]])*Таблица47[[#This Row],[Периметр]])/28),"")</f>
        <v/>
      </c>
      <c r="Q538" s="926"/>
      <c r="R538" s="938">
        <f>IFERROR(Таблица47[[#This Row],[Коли-
чество м.п.]]/Таблица47[[#This Row],[Количество хлыстов]],"")</f>
        <v>3.1</v>
      </c>
      <c r="S538" s="933" t="s">
        <v>5179</v>
      </c>
      <c r="T538" s="933">
        <v>455.7</v>
      </c>
      <c r="U538" s="934">
        <v>147</v>
      </c>
      <c r="V538" s="933">
        <v>0.9929</v>
      </c>
      <c r="W538" s="933">
        <v>4.5880000000000001</v>
      </c>
      <c r="X538" s="933">
        <v>452.46449999999999</v>
      </c>
      <c r="Y538" s="933">
        <v>2090.7516000000001</v>
      </c>
      <c r="Z538" s="933">
        <v>58.82</v>
      </c>
      <c r="AA538" s="933">
        <v>392.2</v>
      </c>
      <c r="AB538" s="933">
        <v>395</v>
      </c>
      <c r="AC538" s="935">
        <v>178723.49</v>
      </c>
    </row>
    <row r="539" spans="1:29" s="966" customFormat="1" ht="15.75" customHeight="1" x14ac:dyDescent="0.25">
      <c r="A539" s="419" t="s">
        <v>4978</v>
      </c>
      <c r="B539" s="617">
        <v>377</v>
      </c>
      <c r="C539" s="617" t="s">
        <v>4753</v>
      </c>
      <c r="D539" s="618" t="s">
        <v>13</v>
      </c>
      <c r="E539" s="618" t="s">
        <v>557</v>
      </c>
      <c r="F539" s="619">
        <v>45469</v>
      </c>
      <c r="G539" s="619"/>
      <c r="H539" s="618" t="s">
        <v>677</v>
      </c>
      <c r="I539" s="620" t="str">
        <f>CONCATENATE(Таблица47[[#This Row],[№ заявки в 1С]],Таблица47[[#This Row],[Наименование            ]])</f>
        <v>377[86423] 1606-17 (Коробка 40) 5,1 м, RAL9005 МАТОВЫЙ (ИНВЕР)+проложка  вспененным полиэтиленом  змейкой</v>
      </c>
      <c r="J539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39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39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39" s="620"/>
      <c r="N539" s="677"/>
      <c r="O539" s="1002" t="str">
        <f>IFERROR(Таблица47[[#This Row],[Количество хлыстов]]-Таблица47[[#This Row],[Обработано в 1С]]-Таблица47[[#This Row],[Корректировка]],"")</f>
        <v/>
      </c>
      <c r="P539" s="638" t="str">
        <f>IFERROR((((Таблица47[[#This Row],[Осталось сделать, хлыст]]*Таблица47[[#This Row],[длина]])*Таблица47[[#This Row],[Периметр]])/28),"")</f>
        <v/>
      </c>
      <c r="Q539" s="618" t="s">
        <v>5180</v>
      </c>
      <c r="R539" s="692">
        <f>IFERROR(Таблица47[[#This Row],[Коли-
чество м.п.]]/Таблица47[[#This Row],[Количество хлыстов]],"")</f>
        <v>5.0999999999999996</v>
      </c>
      <c r="S539" s="622" t="s">
        <v>5181</v>
      </c>
      <c r="T539" s="622">
        <v>1938</v>
      </c>
      <c r="U539" s="623">
        <v>380</v>
      </c>
      <c r="V539" s="622">
        <v>0.34789999999999999</v>
      </c>
      <c r="W539" s="622">
        <v>1.643</v>
      </c>
      <c r="X539" s="622">
        <v>674.23019999999997</v>
      </c>
      <c r="Y539" s="622">
        <v>3184.134</v>
      </c>
      <c r="Z539" s="622">
        <v>87.65</v>
      </c>
      <c r="AA539" s="622"/>
      <c r="AB539" s="622"/>
      <c r="AC539" s="624"/>
    </row>
    <row r="540" spans="1:29" ht="15.75" customHeight="1" x14ac:dyDescent="0.25">
      <c r="A540" s="427" t="s">
        <v>4678</v>
      </c>
      <c r="B540" s="1070">
        <v>378</v>
      </c>
      <c r="C540" s="1070"/>
      <c r="D540" s="200" t="s">
        <v>13</v>
      </c>
      <c r="E540" s="200" t="s">
        <v>892</v>
      </c>
      <c r="F540" s="201">
        <v>45470</v>
      </c>
      <c r="G540" s="201"/>
      <c r="H5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0" s="522" t="str">
        <f>CONCATENATE(Таблица47[[#This Row],[№ заявки в 1С]],Таблица47[[#This Row],[Наименование            ]])</f>
        <v>378[81357] 1606-37 (АВА-7227), 4,45 м, сплав 6063 КР Т6, упаковка Т-5</v>
      </c>
      <c r="J54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0" s="635">
        <v>6</v>
      </c>
      <c r="N540" s="1119">
        <v>418</v>
      </c>
      <c r="O540" s="1013" t="str">
        <f>IFERROR(Таблица47[[#This Row],[Количество хлыстов]]-Таблица47[[#This Row],[Обработано в 1С]]-Таблица47[[#This Row],[Корректировка]],"")</f>
        <v/>
      </c>
      <c r="P540" s="638" t="str">
        <f>IFERROR((((Таблица47[[#This Row],[Осталось сделать, хлыст]]*Таблица47[[#This Row],[длина]])*Таблица47[[#This Row],[Периметр]])/28),"")</f>
        <v/>
      </c>
      <c r="Q540" s="303" t="s">
        <v>5155</v>
      </c>
      <c r="R540" s="991">
        <f>IFERROR(Таблица47[[#This Row],[Коли-
чество м.п.]]/Таблица47[[#This Row],[Количество хлыстов]],"")</f>
        <v>4.45</v>
      </c>
      <c r="S540" s="639" t="s">
        <v>4276</v>
      </c>
      <c r="T540" s="639">
        <v>1886.8</v>
      </c>
      <c r="U540" s="640">
        <v>424</v>
      </c>
      <c r="V540" s="639">
        <v>0.2651</v>
      </c>
      <c r="W540" s="639">
        <v>0.82099999999999995</v>
      </c>
      <c r="X540" s="639">
        <v>500.19069999999999</v>
      </c>
      <c r="Y540" s="639">
        <v>1549.0627999999999</v>
      </c>
      <c r="Z540" s="639">
        <v>65.02</v>
      </c>
      <c r="AA540" s="639">
        <v>126.98</v>
      </c>
      <c r="AB540" s="639">
        <v>479</v>
      </c>
      <c r="AC540" s="641">
        <v>239591.34</v>
      </c>
    </row>
    <row r="541" spans="1:29" ht="15.75" customHeight="1" x14ac:dyDescent="0.25">
      <c r="A541" s="427" t="s">
        <v>4678</v>
      </c>
      <c r="B541" s="309">
        <v>378</v>
      </c>
      <c r="C541" s="309"/>
      <c r="D541" s="303" t="s">
        <v>13</v>
      </c>
      <c r="E541" s="303" t="s">
        <v>892</v>
      </c>
      <c r="F541" s="528">
        <v>45470</v>
      </c>
      <c r="G541" s="201"/>
      <c r="H541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1" s="522" t="str">
        <f>CONCATENATE(Таблица47[[#This Row],[№ заявки в 1С]],Таблица47[[#This Row],[Наименование            ]])</f>
        <v>378[81356] 1606-37 (АВА-7227), 5,05 м, сплав 6063 КР Т6, упаковка Т-5</v>
      </c>
      <c r="J54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1" s="635">
        <v>5</v>
      </c>
      <c r="N541" s="1119">
        <v>840</v>
      </c>
      <c r="O541" s="1013" t="str">
        <f>IFERROR(Таблица47[[#This Row],[Количество хлыстов]]-Таблица47[[#This Row],[Обработано в 1С]]-Таблица47[[#This Row],[Корректировка]],"")</f>
        <v/>
      </c>
      <c r="P541" s="638" t="str">
        <f>IFERROR((((Таблица47[[#This Row],[Осталось сделать, хлыст]]*Таблица47[[#This Row],[длина]])*Таблица47[[#This Row],[Периметр]])/28),"")</f>
        <v/>
      </c>
      <c r="Q541" s="303" t="s">
        <v>5155</v>
      </c>
      <c r="R541" s="991">
        <f>IFERROR(Таблица47[[#This Row],[Коли-
чество м.п.]]/Таблица47[[#This Row],[Количество хлыстов]],"")</f>
        <v>5.05</v>
      </c>
      <c r="S541" s="639" t="s">
        <v>4275</v>
      </c>
      <c r="T541" s="639">
        <v>4267.25</v>
      </c>
      <c r="U541" s="640">
        <v>845</v>
      </c>
      <c r="V541" s="639">
        <v>0.2651</v>
      </c>
      <c r="W541" s="639">
        <v>0.82099999999999995</v>
      </c>
      <c r="X541" s="639">
        <v>1131.248</v>
      </c>
      <c r="Y541" s="639">
        <v>3503.4123</v>
      </c>
      <c r="Z541" s="639">
        <v>147.06</v>
      </c>
      <c r="AA541" s="639">
        <v>107.37</v>
      </c>
      <c r="AB541" s="639">
        <v>405</v>
      </c>
      <c r="AC541" s="641">
        <v>458174.63</v>
      </c>
    </row>
    <row r="542" spans="1:29" ht="15.75" customHeight="1" x14ac:dyDescent="0.25">
      <c r="A542" s="427" t="s">
        <v>4678</v>
      </c>
      <c r="B542" s="309">
        <v>379</v>
      </c>
      <c r="C542" s="309"/>
      <c r="D542" s="303" t="s">
        <v>13</v>
      </c>
      <c r="E542" s="303" t="s">
        <v>5101</v>
      </c>
      <c r="F542" s="528">
        <v>45470</v>
      </c>
      <c r="G542" s="528"/>
      <c r="H54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2" s="522" t="str">
        <f>CONCATENATE(Таблица47[[#This Row],[№ заявки в 1С]],Таблица47[[#This Row],[Наименование            ]])</f>
        <v>379[41591] А 19 (0073-19), Стойка трёхпазная, 5,0м, сплав 6063Fe</v>
      </c>
      <c r="J54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2" s="635"/>
      <c r="N542" s="1119">
        <v>50</v>
      </c>
      <c r="O542" s="1013" t="str">
        <f>IFERROR(Таблица47[[#This Row],[Количество хлыстов]]-Таблица47[[#This Row],[Обработано в 1С]]-Таблица47[[#This Row],[Корректировка]],"")</f>
        <v/>
      </c>
      <c r="P542" s="638" t="str">
        <f>IFERROR((((Таблица47[[#This Row],[Осталось сделать, хлыст]]*Таблица47[[#This Row],[длина]])*Таблица47[[#This Row],[Периметр]])/28),"")</f>
        <v/>
      </c>
      <c r="Q542" s="303"/>
      <c r="R542" s="991">
        <f>IFERROR(Таблица47[[#This Row],[Коли-
чество м.п.]]/Таблица47[[#This Row],[Количество хлыстов]],"")</f>
        <v>5</v>
      </c>
      <c r="S542" s="639" t="s">
        <v>5184</v>
      </c>
      <c r="T542" s="639">
        <v>250</v>
      </c>
      <c r="U542" s="640">
        <v>50</v>
      </c>
      <c r="V542" s="639">
        <v>0.21659999999999999</v>
      </c>
      <c r="W542" s="639">
        <v>0.47399999999999998</v>
      </c>
      <c r="X542" s="639">
        <v>54.15</v>
      </c>
      <c r="Y542" s="639">
        <v>118.5</v>
      </c>
      <c r="Z542" s="639">
        <v>7.04</v>
      </c>
      <c r="AA542" s="639">
        <v>94.22</v>
      </c>
      <c r="AB542" s="639">
        <v>435</v>
      </c>
      <c r="AC542" s="641">
        <v>23555.25</v>
      </c>
    </row>
    <row r="543" spans="1:29" ht="15.75" customHeight="1" x14ac:dyDescent="0.25">
      <c r="A543" s="427" t="s">
        <v>4678</v>
      </c>
      <c r="B543" s="309">
        <v>380</v>
      </c>
      <c r="C543" s="309" t="s">
        <v>4753</v>
      </c>
      <c r="D543" s="303" t="s">
        <v>34</v>
      </c>
      <c r="E543" s="303" t="s">
        <v>5185</v>
      </c>
      <c r="F543" s="528">
        <v>45470</v>
      </c>
      <c r="G543" s="528"/>
      <c r="H54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3" s="522" t="str">
        <f>CONCATENATE(Таблица47[[#This Row],[№ заявки в 1С]],Таблица47[[#This Row],[Наименование            ]])</f>
        <v>380[91478] Швеллер (Д) 14,8*25*14,8мм, 6м, АД31 Т1</v>
      </c>
      <c r="J54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3" s="635"/>
      <c r="N543" s="1119">
        <v>120</v>
      </c>
      <c r="O543" s="1013" t="str">
        <f>IFERROR(Таблица47[[#This Row],[Количество хлыстов]]-Таблица47[[#This Row],[Обработано в 1С]]-Таблица47[[#This Row],[Корректировка]],"")</f>
        <v/>
      </c>
      <c r="P543" s="638" t="str">
        <f>IFERROR((((Таблица47[[#This Row],[Осталось сделать, хлыст]]*Таблица47[[#This Row],[длина]])*Таблица47[[#This Row],[Периметр]])/28),"")</f>
        <v/>
      </c>
      <c r="Q543" s="303"/>
      <c r="R543" s="991">
        <f>IFERROR(Таблица47[[#This Row],[Коли-
чество м.п.]]/Таблица47[[#This Row],[Количество хлыстов]],"")</f>
        <v>6</v>
      </c>
      <c r="S543" s="639" t="s">
        <v>5186</v>
      </c>
      <c r="T543" s="639">
        <v>720</v>
      </c>
      <c r="U543" s="640">
        <v>120</v>
      </c>
      <c r="V543" s="639">
        <v>0.109</v>
      </c>
      <c r="W543" s="639">
        <v>0.27</v>
      </c>
      <c r="X543" s="639">
        <v>78.48</v>
      </c>
      <c r="Y543" s="639">
        <v>194.4</v>
      </c>
      <c r="Z543" s="639">
        <v>10.199999999999999</v>
      </c>
      <c r="AA543" s="639">
        <v>99</v>
      </c>
      <c r="AB543" s="639">
        <v>908.26</v>
      </c>
      <c r="AC543" s="641">
        <v>71280</v>
      </c>
    </row>
    <row r="544" spans="1:29" ht="15.75" customHeight="1" x14ac:dyDescent="0.25">
      <c r="A544" s="427" t="s">
        <v>4678</v>
      </c>
      <c r="B544" s="309">
        <v>380</v>
      </c>
      <c r="C544" s="309" t="s">
        <v>4753</v>
      </c>
      <c r="D544" s="303" t="s">
        <v>34</v>
      </c>
      <c r="E544" s="303" t="s">
        <v>5185</v>
      </c>
      <c r="F544" s="528">
        <v>45470</v>
      </c>
      <c r="G544" s="528"/>
      <c r="H54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4" s="522" t="str">
        <f>CONCATENATE(Таблица47[[#This Row],[№ заявки в 1С]],Таблица47[[#This Row],[Наименование            ]])</f>
        <v>380[91479] Д Труба 40х40х1,5мм, 6,0м, 18-21мкм, веерная прокладка бумагой</v>
      </c>
      <c r="J54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4" s="635"/>
      <c r="N544" s="1119">
        <v>120</v>
      </c>
      <c r="O544" s="1013" t="str">
        <f>IFERROR(Таблица47[[#This Row],[Количество хлыстов]]-Таблица47[[#This Row],[Обработано в 1С]]-Таблица47[[#This Row],[Корректировка]],"")</f>
        <v/>
      </c>
      <c r="P544" s="638" t="str">
        <f>IFERROR((((Таблица47[[#This Row],[Осталось сделать, хлыст]]*Таблица47[[#This Row],[длина]])*Таблица47[[#This Row],[Периметр]])/28),"")</f>
        <v/>
      </c>
      <c r="Q544" s="303"/>
      <c r="R544" s="991">
        <f>IFERROR(Таблица47[[#This Row],[Коли-
чество м.п.]]/Таблица47[[#This Row],[Количество хлыстов]],"")</f>
        <v>6</v>
      </c>
      <c r="S544" s="639" t="s">
        <v>5187</v>
      </c>
      <c r="T544" s="639">
        <v>720</v>
      </c>
      <c r="U544" s="640">
        <v>120</v>
      </c>
      <c r="V544" s="639">
        <v>0.16</v>
      </c>
      <c r="W544" s="639">
        <v>0.626</v>
      </c>
      <c r="X544" s="639">
        <v>115.2</v>
      </c>
      <c r="Y544" s="639">
        <v>450.72</v>
      </c>
      <c r="Z544" s="639">
        <v>14.98</v>
      </c>
      <c r="AA544" s="639">
        <v>165</v>
      </c>
      <c r="AB544" s="639">
        <v>1031.25</v>
      </c>
      <c r="AC544" s="641">
        <v>118800</v>
      </c>
    </row>
    <row r="545" spans="1:29" ht="15.75" customHeight="1" x14ac:dyDescent="0.25">
      <c r="A545" s="427" t="s">
        <v>4678</v>
      </c>
      <c r="B545" s="1070">
        <v>381</v>
      </c>
      <c r="C545" s="1070" t="s">
        <v>4753</v>
      </c>
      <c r="D545" s="200" t="s">
        <v>13</v>
      </c>
      <c r="E545" s="200" t="s">
        <v>43</v>
      </c>
      <c r="F545" s="201">
        <v>45471</v>
      </c>
      <c r="G545" s="201">
        <v>45498</v>
      </c>
      <c r="H54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5" s="522" t="str">
        <f>CONCATENATE(Таблица47[[#This Row],[№ заявки в 1С]],Таблица47[[#This Row],[Наименование            ]])</f>
        <v>381[91221] А27 (Д) 5,1м, сплав 6063</v>
      </c>
      <c r="J54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5" s="635"/>
      <c r="N545" s="1119">
        <v>160</v>
      </c>
      <c r="O545" s="1013" t="str">
        <f>IFERROR(Таблица47[[#This Row],[Количество хлыстов]]-Таблица47[[#This Row],[Обработано в 1С]]-Таблица47[[#This Row],[Корректировка]],"")</f>
        <v/>
      </c>
      <c r="P545" s="638" t="str">
        <f>IFERROR((((Таблица47[[#This Row],[Осталось сделать, хлыст]]*Таблица47[[#This Row],[длина]])*Таблица47[[#This Row],[Периметр]])/28),"")</f>
        <v/>
      </c>
      <c r="Q545" s="303"/>
      <c r="R545" s="991">
        <f>IFERROR(Таблица47[[#This Row],[Коли-
чество м.п.]]/Таблица47[[#This Row],[Количество хлыстов]],"")</f>
        <v>5.0999999999999996</v>
      </c>
      <c r="S545" s="639" t="s">
        <v>5685</v>
      </c>
      <c r="T545" s="639">
        <v>816</v>
      </c>
      <c r="U545" s="640">
        <v>160</v>
      </c>
      <c r="V545" s="639">
        <v>6.7000000000000004E-2</v>
      </c>
      <c r="W545" s="639">
        <v>9.8000000000000004E-2</v>
      </c>
      <c r="X545" s="639">
        <v>54.671999999999997</v>
      </c>
      <c r="Y545" s="639">
        <v>79.968000000000004</v>
      </c>
      <c r="Z545" s="639">
        <v>7.11</v>
      </c>
      <c r="AA545" s="639">
        <v>55.81</v>
      </c>
      <c r="AB545" s="639">
        <v>832.97</v>
      </c>
      <c r="AC545" s="641">
        <v>45540</v>
      </c>
    </row>
    <row r="546" spans="1:29" ht="15.75" customHeight="1" x14ac:dyDescent="0.25">
      <c r="A546" s="427" t="s">
        <v>4678</v>
      </c>
      <c r="B546" s="1070">
        <v>381</v>
      </c>
      <c r="C546" s="1070" t="s">
        <v>4753</v>
      </c>
      <c r="D546" s="200" t="s">
        <v>13</v>
      </c>
      <c r="E546" s="200" t="s">
        <v>43</v>
      </c>
      <c r="F546" s="201">
        <v>45471</v>
      </c>
      <c r="G546" s="201">
        <v>45498</v>
      </c>
      <c r="H54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6" s="522" t="str">
        <f>CONCATENATE(Таблица47[[#This Row],[№ заявки в 1С]],Таблица47[[#This Row],[Наименование            ]])</f>
        <v>381[91517] Т139-01 (Д) 3м, сплав 6063</v>
      </c>
      <c r="J54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6" s="635"/>
      <c r="N546" s="1119">
        <v>200</v>
      </c>
      <c r="O546" s="1013" t="str">
        <f>IFERROR(Таблица47[[#This Row],[Количество хлыстов]]-Таблица47[[#This Row],[Обработано в 1С]]-Таблица47[[#This Row],[Корректировка]],"")</f>
        <v/>
      </c>
      <c r="P546" s="638" t="str">
        <f>IFERROR((((Таблица47[[#This Row],[Осталось сделать, хлыст]]*Таблица47[[#This Row],[длина]])*Таблица47[[#This Row],[Периметр]])/28),"")</f>
        <v/>
      </c>
      <c r="Q546" s="303"/>
      <c r="R546" s="991">
        <f>IFERROR(Таблица47[[#This Row],[Коли-
чество м.п.]]/Таблица47[[#This Row],[Количество хлыстов]],"")</f>
        <v>3</v>
      </c>
      <c r="S546" s="639" t="s">
        <v>5189</v>
      </c>
      <c r="T546" s="639">
        <v>600</v>
      </c>
      <c r="U546" s="640">
        <v>200</v>
      </c>
      <c r="V546" s="639">
        <v>4.3999999999999997E-2</v>
      </c>
      <c r="W546" s="639">
        <v>4.8000000000000001E-2</v>
      </c>
      <c r="X546" s="639">
        <v>26.4</v>
      </c>
      <c r="Y546" s="639">
        <v>28.8</v>
      </c>
      <c r="Z546" s="639">
        <v>3.43</v>
      </c>
      <c r="AA546" s="639">
        <v>36.86</v>
      </c>
      <c r="AB546" s="639">
        <v>837.73</v>
      </c>
      <c r="AC546" s="641">
        <v>22116</v>
      </c>
    </row>
    <row r="547" spans="1:29" ht="15.75" customHeight="1" x14ac:dyDescent="0.25">
      <c r="A547" s="427" t="s">
        <v>4678</v>
      </c>
      <c r="B547" s="309">
        <v>382</v>
      </c>
      <c r="C547" s="309" t="s">
        <v>4753</v>
      </c>
      <c r="D547" s="303" t="s">
        <v>13</v>
      </c>
      <c r="E547" s="303" t="s">
        <v>292</v>
      </c>
      <c r="F547" s="528">
        <v>45477</v>
      </c>
      <c r="G547" s="201">
        <v>45517</v>
      </c>
      <c r="H547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7" s="522" t="str">
        <f>CONCATENATE(Таблица47[[#This Row],[№ заявки в 1С]],Таблица47[[#This Row],[Наименование            ]])</f>
        <v>382[91564] ПМ47 (Д), 5м, сплав 6063</v>
      </c>
      <c r="J54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120</v>
      </c>
      <c r="K54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120</v>
      </c>
      <c r="L54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120</v>
      </c>
      <c r="M547" s="635"/>
      <c r="N547" s="1119">
        <v>120</v>
      </c>
      <c r="O547" s="1013">
        <f>IFERROR(Таблица47[[#This Row],[Количество хлыстов]]-Таблица47[[#This Row],[Обработано в 1С]]-Таблица47[[#This Row],[Корректировка]],"")</f>
        <v>0</v>
      </c>
      <c r="P547" s="638">
        <f>IFERROR((((Таблица47[[#This Row],[Осталось сделать, хлыст]]*Таблица47[[#This Row],[длина]])*Таблица47[[#This Row],[Периметр]])/28),"")</f>
        <v>0</v>
      </c>
      <c r="Q547" s="303"/>
      <c r="R547" s="991">
        <f>IFERROR(Таблица47[[#This Row],[Коли-
чество м.п.]]/Таблица47[[#This Row],[Количество хлыстов]],"")</f>
        <v>5</v>
      </c>
      <c r="S547" s="639" t="s">
        <v>5202</v>
      </c>
      <c r="T547" s="639">
        <v>600</v>
      </c>
      <c r="U547" s="640">
        <v>120</v>
      </c>
      <c r="V547" s="639">
        <v>4.5499999999999999E-2</v>
      </c>
      <c r="W547" s="639">
        <v>0.16</v>
      </c>
      <c r="X547" s="639">
        <v>27.3</v>
      </c>
      <c r="Y547" s="639">
        <v>96</v>
      </c>
      <c r="Z547" s="639">
        <v>3.55</v>
      </c>
      <c r="AA547" s="639">
        <v>70.400000000000006</v>
      </c>
      <c r="AB547" s="639">
        <v>1547.25</v>
      </c>
      <c r="AC547" s="641">
        <v>42240</v>
      </c>
    </row>
    <row r="548" spans="1:29" s="1021" customFormat="1" ht="15.75" customHeight="1" x14ac:dyDescent="0.25">
      <c r="A548" s="1106" t="s">
        <v>4978</v>
      </c>
      <c r="B548" s="1067">
        <v>383</v>
      </c>
      <c r="C548" s="1067"/>
      <c r="D548" s="1068" t="s">
        <v>34</v>
      </c>
      <c r="E548" s="1068" t="s">
        <v>4807</v>
      </c>
      <c r="F548" s="1069">
        <v>45474</v>
      </c>
      <c r="G548" s="1069"/>
      <c r="H54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8" s="620" t="str">
        <f>CONCATENATE(Таблица47[[#This Row],[№ заявки в 1С]],Таблица47[[#This Row],[Наименование            ]])</f>
        <v>383[50071] 216004, рама, 5,3 м, сплав АД 31 Т1 , упаковка А3</v>
      </c>
      <c r="J54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8" s="1082"/>
      <c r="N548" s="1120">
        <f>3+528</f>
        <v>531</v>
      </c>
      <c r="O548" s="1020" t="str">
        <f>IFERROR(Таблица47[[#This Row],[Количество хлыстов]]-Таблица47[[#This Row],[Обработано в 1С]]-Таблица47[[#This Row],[Корректировка]],"")</f>
        <v/>
      </c>
      <c r="P548" s="638" t="str">
        <f>IFERROR((((Таблица47[[#This Row],[Осталось сделать, хлыст]]*Таблица47[[#This Row],[длина]])*Таблица47[[#This Row],[Периметр]])/28),"")</f>
        <v/>
      </c>
      <c r="Q548" s="1068" t="s">
        <v>2657</v>
      </c>
      <c r="R548" s="1089">
        <f>IFERROR(Таблица47[[#This Row],[Коли-
чество м.п.]]/Таблица47[[#This Row],[Количество хлыстов]],"")</f>
        <v>5.3000000000000007</v>
      </c>
      <c r="S548" s="1083" t="s">
        <v>4806</v>
      </c>
      <c r="T548" s="1083">
        <v>2814.3</v>
      </c>
      <c r="U548" s="1084">
        <v>531</v>
      </c>
      <c r="V548" s="1083">
        <v>0.22270000000000001</v>
      </c>
      <c r="W548" s="1083">
        <v>0.52700000000000002</v>
      </c>
      <c r="X548" s="1083">
        <v>626.74459999999999</v>
      </c>
      <c r="Y548" s="1083">
        <v>1483.1360999999999</v>
      </c>
      <c r="Z548" s="1083">
        <v>81.48</v>
      </c>
      <c r="AA548" s="1083">
        <v>73.209999999999994</v>
      </c>
      <c r="AB548" s="1083">
        <v>328.75</v>
      </c>
      <c r="AC548" s="1085">
        <v>206042.29</v>
      </c>
    </row>
    <row r="549" spans="1:29" s="1021" customFormat="1" ht="15.75" customHeight="1" x14ac:dyDescent="0.25">
      <c r="A549" s="1106" t="s">
        <v>4978</v>
      </c>
      <c r="B549" s="1067">
        <v>383</v>
      </c>
      <c r="C549" s="1067"/>
      <c r="D549" s="1068" t="s">
        <v>34</v>
      </c>
      <c r="E549" s="1068" t="s">
        <v>4807</v>
      </c>
      <c r="F549" s="1069">
        <v>45474</v>
      </c>
      <c r="G549" s="1069"/>
      <c r="H54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49" s="620" t="str">
        <f>CONCATENATE(Таблица47[[#This Row],[№ заявки в 1С]],Таблица47[[#This Row],[Наименование            ]])</f>
        <v>383[64905] 216033, БОК, 6,0 м, сплав АД31Т1, БА</v>
      </c>
      <c r="J54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4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4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49" s="1082"/>
      <c r="N549" s="1120">
        <v>190</v>
      </c>
      <c r="O549" s="1020" t="str">
        <f>IFERROR(Таблица47[[#This Row],[Количество хлыстов]]-Таблица47[[#This Row],[Обработано в 1С]]-Таблица47[[#This Row],[Корректировка]],"")</f>
        <v/>
      </c>
      <c r="P549" s="638" t="str">
        <f>IFERROR((((Таблица47[[#This Row],[Осталось сделать, хлыст]]*Таблица47[[#This Row],[длина]])*Таблица47[[#This Row],[Периметр]])/28),"")</f>
        <v/>
      </c>
      <c r="Q549" s="1068"/>
      <c r="R549" s="1089">
        <f>IFERROR(Таблица47[[#This Row],[Коли-
чество м.п.]]/Таблица47[[#This Row],[Количество хлыстов]],"")</f>
        <v>6</v>
      </c>
      <c r="S549" s="1083" t="s">
        <v>4804</v>
      </c>
      <c r="T549" s="1083">
        <v>1140</v>
      </c>
      <c r="U549" s="1084">
        <v>190</v>
      </c>
      <c r="V549" s="1083">
        <v>0.27610000000000001</v>
      </c>
      <c r="W549" s="1083">
        <v>0.93400000000000005</v>
      </c>
      <c r="X549" s="1083">
        <v>314.75400000000002</v>
      </c>
      <c r="Y549" s="1083">
        <v>1064.76</v>
      </c>
      <c r="Z549" s="1083">
        <v>40.92</v>
      </c>
      <c r="AA549" s="1083">
        <v>90.77</v>
      </c>
      <c r="AB549" s="1083">
        <v>328.75</v>
      </c>
      <c r="AC549" s="1085">
        <v>103475.38</v>
      </c>
    </row>
    <row r="550" spans="1:29" s="1021" customFormat="1" ht="15.75" customHeight="1" x14ac:dyDescent="0.25">
      <c r="A550" s="1106" t="s">
        <v>4978</v>
      </c>
      <c r="B550" s="1067">
        <v>384</v>
      </c>
      <c r="C550" s="1067"/>
      <c r="D550" s="1068" t="s">
        <v>34</v>
      </c>
      <c r="E550" s="1068" t="s">
        <v>4718</v>
      </c>
      <c r="F550" s="1069">
        <v>45474</v>
      </c>
      <c r="G550" s="1069"/>
      <c r="H550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0" s="620" t="str">
        <f>CONCATENATE(Таблица47[[#This Row],[№ заявки в 1С]],Таблица47[[#This Row],[Наименование            ]])</f>
        <v>384[75893] 220450, 2,0м, АД31 Т1, БА, уп в мини-пачки</v>
      </c>
      <c r="J550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50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50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50" s="1082"/>
      <c r="N550" s="1120">
        <v>1589</v>
      </c>
      <c r="O550" s="1020" t="str">
        <f>IFERROR(Таблица47[[#This Row],[Количество хлыстов]]-Таблица47[[#This Row],[Обработано в 1С]]-Таблица47[[#This Row],[Корректировка]],"")</f>
        <v/>
      </c>
      <c r="P550" s="638" t="str">
        <f>IFERROR((((Таблица47[[#This Row],[Осталось сделать, хлыст]]*Таблица47[[#This Row],[длина]])*Таблица47[[#This Row],[Периметр]])/28),"")</f>
        <v/>
      </c>
      <c r="Q550" s="1068"/>
      <c r="R550" s="1089">
        <f>IFERROR(Таблица47[[#This Row],[Коли-
чество м.п.]]/Таблица47[[#This Row],[Количество хлыстов]],"")</f>
        <v>2</v>
      </c>
      <c r="S550" s="1083" t="s">
        <v>4717</v>
      </c>
      <c r="T550" s="1083">
        <v>3178</v>
      </c>
      <c r="U550" s="1084">
        <v>1589</v>
      </c>
      <c r="V550" s="1083">
        <v>0.13039999999999999</v>
      </c>
      <c r="W550" s="1083">
        <v>0.19400000000000001</v>
      </c>
      <c r="X550" s="1083">
        <v>414.41120000000001</v>
      </c>
      <c r="Y550" s="1083">
        <v>616.53200000000004</v>
      </c>
      <c r="Z550" s="1083">
        <v>53.87</v>
      </c>
      <c r="AA550" s="1083">
        <v>43.49</v>
      </c>
      <c r="AB550" s="1083">
        <v>333.5</v>
      </c>
      <c r="AC550" s="1085">
        <v>138206.14000000001</v>
      </c>
    </row>
    <row r="551" spans="1:29" ht="15.75" customHeight="1" x14ac:dyDescent="0.25">
      <c r="A551" s="427" t="s">
        <v>4678</v>
      </c>
      <c r="B551" s="309">
        <v>385</v>
      </c>
      <c r="C551" s="309" t="s">
        <v>4753</v>
      </c>
      <c r="D551" s="303" t="s">
        <v>34</v>
      </c>
      <c r="E551" s="303" t="s">
        <v>861</v>
      </c>
      <c r="F551" s="528">
        <v>45475</v>
      </c>
      <c r="G551" s="528"/>
      <c r="H55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1" s="522" t="str">
        <f>CONCATENATE(Таблица47[[#This Row],[№ заявки в 1С]],Таблица47[[#This Row],[Наименование            ]])</f>
        <v>385[90467] Д Основания ТИС-Р-3 (профиль 1111-116), 475мм, БА</v>
      </c>
      <c r="J55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440</v>
      </c>
      <c r="K55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440</v>
      </c>
      <c r="L55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440</v>
      </c>
      <c r="M551" s="635"/>
      <c r="N551" s="1119">
        <v>440</v>
      </c>
      <c r="O551" s="1013">
        <f>IFERROR(Таблица47[[#This Row],[Количество хлыстов]]-Таблица47[[#This Row],[Обработано в 1С]]-Таблица47[[#This Row],[Корректировка]],"")</f>
        <v>0</v>
      </c>
      <c r="P551" s="638">
        <f>IFERROR((((Таблица47[[#This Row],[Осталось сделать, хлыст]]*Таблица47[[#This Row],[длина]])*Таблица47[[#This Row],[Периметр]])/28),"")</f>
        <v>0</v>
      </c>
      <c r="Q551" s="303"/>
      <c r="R551" s="991">
        <f>IFERROR(Таблица47[[#This Row],[Коли-
чество м.п.]]/Таблица47[[#This Row],[Количество хлыстов]],"")</f>
        <v>1</v>
      </c>
      <c r="S551" s="639" t="s">
        <v>5083</v>
      </c>
      <c r="T551" s="639">
        <v>440</v>
      </c>
      <c r="U551" s="640">
        <v>440</v>
      </c>
      <c r="V551" s="639">
        <v>0.66020000000000001</v>
      </c>
      <c r="W551" s="639">
        <v>2.6480000000000001</v>
      </c>
      <c r="X551" s="639">
        <v>290.488</v>
      </c>
      <c r="Y551" s="639">
        <v>1165.1199999999999</v>
      </c>
      <c r="Z551" s="639">
        <v>37.76</v>
      </c>
      <c r="AA551" s="639">
        <v>599.24</v>
      </c>
      <c r="AB551" s="639">
        <v>907.67</v>
      </c>
      <c r="AC551" s="641">
        <v>263667</v>
      </c>
    </row>
    <row r="552" spans="1:29" ht="15.75" customHeight="1" x14ac:dyDescent="0.25">
      <c r="A552" s="427" t="s">
        <v>4678</v>
      </c>
      <c r="B552" s="309">
        <v>385</v>
      </c>
      <c r="C552" s="309" t="s">
        <v>4753</v>
      </c>
      <c r="D552" s="303" t="s">
        <v>34</v>
      </c>
      <c r="E552" s="303" t="s">
        <v>861</v>
      </c>
      <c r="F552" s="528">
        <v>45475</v>
      </c>
      <c r="G552" s="528"/>
      <c r="H55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2" s="522" t="str">
        <f>CONCATENATE(Таблица47[[#This Row],[№ заявки в 1С]],Таблица47[[#This Row],[Наименование            ]])</f>
        <v>385[90466] Д Основания ТИС-Р-2А (профиль 1111-116), 320мм БА</v>
      </c>
      <c r="J55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242</v>
      </c>
      <c r="K55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242</v>
      </c>
      <c r="L55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242</v>
      </c>
      <c r="M552" s="635"/>
      <c r="N552" s="1119">
        <v>242</v>
      </c>
      <c r="O552" s="1013">
        <f>IFERROR(Таблица47[[#This Row],[Количество хлыстов]]-Таблица47[[#This Row],[Обработано в 1С]]-Таблица47[[#This Row],[Корректировка]],"")</f>
        <v>0</v>
      </c>
      <c r="P552" s="638">
        <f>IFERROR((((Таблица47[[#This Row],[Осталось сделать, хлыст]]*Таблица47[[#This Row],[длина]])*Таблица47[[#This Row],[Периметр]])/28),"")</f>
        <v>0</v>
      </c>
      <c r="Q552" s="303"/>
      <c r="R552" s="991">
        <f>IFERROR(Таблица47[[#This Row],[Коли-
чество м.п.]]/Таблица47[[#This Row],[Количество хлыстов]],"")</f>
        <v>1</v>
      </c>
      <c r="S552" s="639" t="s">
        <v>5084</v>
      </c>
      <c r="T552" s="639">
        <v>242</v>
      </c>
      <c r="U552" s="640">
        <v>242</v>
      </c>
      <c r="V552" s="639">
        <v>0.44479999999999997</v>
      </c>
      <c r="W552" s="639">
        <v>1.784</v>
      </c>
      <c r="X552" s="639">
        <v>107.6416</v>
      </c>
      <c r="Y552" s="639">
        <v>431.72800000000001</v>
      </c>
      <c r="Z552" s="639">
        <v>13.99</v>
      </c>
      <c r="AA552" s="639">
        <v>455.7</v>
      </c>
      <c r="AB552" s="639">
        <v>1024.5</v>
      </c>
      <c r="AC552" s="641">
        <v>110279</v>
      </c>
    </row>
    <row r="553" spans="1:29" s="1021" customFormat="1" ht="15.75" customHeight="1" x14ac:dyDescent="0.25">
      <c r="A553" s="1106" t="s">
        <v>4978</v>
      </c>
      <c r="B553" s="1067">
        <v>386</v>
      </c>
      <c r="C553" s="1067"/>
      <c r="D553" s="1068" t="s">
        <v>13</v>
      </c>
      <c r="E553" s="1068" t="s">
        <v>556</v>
      </c>
      <c r="F553" s="1069">
        <v>45476</v>
      </c>
      <c r="G553" s="1069"/>
      <c r="H55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3" s="620" t="str">
        <f>CONCATENATE(Таблица47[[#This Row],[№ заявки в 1С]],Таблица47[[#This Row],[Наименование            ]])</f>
        <v>386[73119] 1606-01,  3,0 м, БА сплав: АД 31 состояние Т1</v>
      </c>
      <c r="J55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5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5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53" s="1082"/>
      <c r="N553" s="1120">
        <v>694</v>
      </c>
      <c r="O553" s="1020" t="str">
        <f>IFERROR(Таблица47[[#This Row],[Количество хлыстов]]-Таблица47[[#This Row],[Обработано в 1С]]-Таблица47[[#This Row],[Корректировка]],"")</f>
        <v/>
      </c>
      <c r="P553" s="638" t="str">
        <f>IFERROR((((Таблица47[[#This Row],[Осталось сделать, хлыст]]*Таблица47[[#This Row],[длина]])*Таблица47[[#This Row],[Периметр]])/28),"")</f>
        <v/>
      </c>
      <c r="Q553" s="1068"/>
      <c r="R553" s="1089">
        <f>IFERROR(Таблица47[[#This Row],[Коли-
чество м.п.]]/Таблица47[[#This Row],[Количество хлыстов]],"")</f>
        <v>3</v>
      </c>
      <c r="S553" s="1083" t="s">
        <v>5170</v>
      </c>
      <c r="T553" s="1083">
        <v>2082</v>
      </c>
      <c r="U553" s="1084">
        <v>694</v>
      </c>
      <c r="V553" s="1083">
        <v>0.20200000000000001</v>
      </c>
      <c r="W553" s="1083">
        <v>0.51400000000000001</v>
      </c>
      <c r="X553" s="1083">
        <v>420.56400000000002</v>
      </c>
      <c r="Y553" s="1083">
        <v>1070.1479999999999</v>
      </c>
      <c r="Z553" s="1083">
        <v>54.67</v>
      </c>
      <c r="AA553" s="1083">
        <v>64.44</v>
      </c>
      <c r="AB553" s="1083">
        <v>319</v>
      </c>
      <c r="AC553" s="1085">
        <v>134164.07999999999</v>
      </c>
    </row>
    <row r="554" spans="1:29" s="1021" customFormat="1" ht="15.75" customHeight="1" x14ac:dyDescent="0.25">
      <c r="A554" s="1106" t="s">
        <v>4978</v>
      </c>
      <c r="B554" s="1067">
        <v>387</v>
      </c>
      <c r="C554" s="1067"/>
      <c r="D554" s="1068" t="s">
        <v>13</v>
      </c>
      <c r="E554" s="1068" t="s">
        <v>556</v>
      </c>
      <c r="F554" s="1069">
        <v>45476</v>
      </c>
      <c r="G554" s="1069"/>
      <c r="H55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4" s="620" t="str">
        <f>CONCATENATE(Таблица47[[#This Row],[№ заявки в 1С]],Таблица47[[#This Row],[Наименование            ]])</f>
        <v>387[73120] 1606-02,  3,0 м, БА сплав: АД 31 состояние Т1</v>
      </c>
      <c r="J55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5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5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54" s="1082"/>
      <c r="N554" s="1120">
        <v>151</v>
      </c>
      <c r="O554" s="1020" t="str">
        <f>IFERROR(Таблица47[[#This Row],[Количество хлыстов]]-Таблица47[[#This Row],[Обработано в 1С]]-Таблица47[[#This Row],[Корректировка]],"")</f>
        <v/>
      </c>
      <c r="P554" s="638" t="str">
        <f>IFERROR((((Таблица47[[#This Row],[Осталось сделать, хлыст]]*Таблица47[[#This Row],[длина]])*Таблица47[[#This Row],[Периметр]])/28),"")</f>
        <v/>
      </c>
      <c r="Q554" s="1068"/>
      <c r="R554" s="1089">
        <f>IFERROR(Таблица47[[#This Row],[Коли-
чество м.п.]]/Таблица47[[#This Row],[Количество хлыстов]],"")</f>
        <v>3</v>
      </c>
      <c r="S554" s="1083" t="s">
        <v>5193</v>
      </c>
      <c r="T554" s="1083">
        <v>453</v>
      </c>
      <c r="U554" s="1084">
        <v>151</v>
      </c>
      <c r="V554" s="1083">
        <v>0.25569999999999998</v>
      </c>
      <c r="W554" s="1083">
        <v>1.3</v>
      </c>
      <c r="X554" s="1083">
        <v>115.8321</v>
      </c>
      <c r="Y554" s="1083">
        <v>588.9</v>
      </c>
      <c r="Z554" s="1083">
        <v>15.06</v>
      </c>
      <c r="AA554" s="1083">
        <v>81.569999999999993</v>
      </c>
      <c r="AB554" s="1083">
        <v>319</v>
      </c>
      <c r="AC554" s="1085">
        <v>36950.44</v>
      </c>
    </row>
    <row r="555" spans="1:29" ht="15.75" customHeight="1" x14ac:dyDescent="0.25">
      <c r="A555" s="427" t="s">
        <v>4678</v>
      </c>
      <c r="B555" s="309">
        <v>388</v>
      </c>
      <c r="C555" s="309" t="s">
        <v>4753</v>
      </c>
      <c r="D555" s="303" t="s">
        <v>13</v>
      </c>
      <c r="E555" s="303" t="s">
        <v>30</v>
      </c>
      <c r="F555" s="528">
        <v>45476</v>
      </c>
      <c r="G555" s="528">
        <v>45513</v>
      </c>
      <c r="H55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5" s="522" t="str">
        <f>CONCATENATE(Таблица47[[#This Row],[№ заявки в 1С]],Таблица47[[#This Row],[Наименование            ]])</f>
        <v>388[89938] балка Ад-35 Д, L=5005</v>
      </c>
      <c r="J55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55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86</v>
      </c>
      <c r="L55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86</v>
      </c>
      <c r="M555" s="635"/>
      <c r="N555" s="635">
        <f>44+42</f>
        <v>86</v>
      </c>
      <c r="O555" s="1013">
        <f>IFERROR(Таблица47[[#This Row],[Количество хлыстов]]-Таблица47[[#This Row],[Обработано в 1С]]-Таблица47[[#This Row],[Корректировка]],"")</f>
        <v>0</v>
      </c>
      <c r="P555" s="638">
        <f>IFERROR((((Таблица47[[#This Row],[Осталось сделать, хлыст]]*Таблица47[[#This Row],[длина]])*Таблица47[[#This Row],[Периметр]])/28),"")</f>
        <v>0</v>
      </c>
      <c r="Q555" s="303"/>
      <c r="R555" s="991">
        <f>IFERROR(Таблица47[[#This Row],[Коли-
чество м.п.]]/Таблица47[[#This Row],[Количество хлыстов]],"")</f>
        <v>1</v>
      </c>
      <c r="S555" s="639" t="s">
        <v>5056</v>
      </c>
      <c r="T555" s="639">
        <v>86</v>
      </c>
      <c r="U555" s="640">
        <v>86</v>
      </c>
      <c r="V555" s="639">
        <v>1.587</v>
      </c>
      <c r="W555" s="639">
        <v>20.561</v>
      </c>
      <c r="X555" s="639">
        <v>136.482</v>
      </c>
      <c r="Y555" s="639">
        <v>1768.2460000000001</v>
      </c>
      <c r="Z555" s="639">
        <v>17.739999999999998</v>
      </c>
      <c r="AA555" s="639">
        <v>2750</v>
      </c>
      <c r="AB555" s="639">
        <v>1732.83</v>
      </c>
      <c r="AC555" s="641">
        <v>236500</v>
      </c>
    </row>
    <row r="556" spans="1:29" ht="15.75" customHeight="1" x14ac:dyDescent="0.25">
      <c r="A556" s="427" t="s">
        <v>4678</v>
      </c>
      <c r="B556" s="309">
        <v>388</v>
      </c>
      <c r="C556" s="309" t="s">
        <v>4753</v>
      </c>
      <c r="D556" s="303" t="s">
        <v>13</v>
      </c>
      <c r="E556" s="303" t="s">
        <v>30</v>
      </c>
      <c r="F556" s="528">
        <v>45476</v>
      </c>
      <c r="G556" s="528">
        <v>45513</v>
      </c>
      <c r="H55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6" s="522" t="str">
        <f>CONCATENATE(Таблица47[[#This Row],[№ заявки в 1С]],Таблица47[[#This Row],[Наименование            ]])</f>
        <v>388[89940] балка Ад-35 Д, L=5135</v>
      </c>
      <c r="J55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56</v>
      </c>
      <c r="K55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56</v>
      </c>
      <c r="L55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56</v>
      </c>
      <c r="M556" s="635"/>
      <c r="N556" s="635">
        <f>40+16</f>
        <v>56</v>
      </c>
      <c r="O556" s="1013">
        <f>IFERROR(Таблица47[[#This Row],[Количество хлыстов]]-Таблица47[[#This Row],[Обработано в 1С]]-Таблица47[[#This Row],[Корректировка]],"")</f>
        <v>0</v>
      </c>
      <c r="P556" s="638">
        <f>IFERROR((((Таблица47[[#This Row],[Осталось сделать, хлыст]]*Таблица47[[#This Row],[длина]])*Таблица47[[#This Row],[Периметр]])/28),"")</f>
        <v>0</v>
      </c>
      <c r="Q556" s="303"/>
      <c r="R556" s="991">
        <f>IFERROR(Таблица47[[#This Row],[Коли-
чество м.п.]]/Таблица47[[#This Row],[Количество хлыстов]],"")</f>
        <v>1</v>
      </c>
      <c r="S556" s="639" t="s">
        <v>5058</v>
      </c>
      <c r="T556" s="639">
        <v>56</v>
      </c>
      <c r="U556" s="640">
        <v>56</v>
      </c>
      <c r="V556" s="639">
        <v>1.6279999999999999</v>
      </c>
      <c r="W556" s="639">
        <v>21.094999999999999</v>
      </c>
      <c r="X556" s="639">
        <v>91.168000000000006</v>
      </c>
      <c r="Y556" s="639">
        <v>1181.32</v>
      </c>
      <c r="Z556" s="639">
        <v>11.85</v>
      </c>
      <c r="AA556" s="639">
        <v>2700</v>
      </c>
      <c r="AB556" s="639">
        <v>1658.48</v>
      </c>
      <c r="AC556" s="641">
        <v>151200</v>
      </c>
    </row>
    <row r="557" spans="1:29" ht="15.75" customHeight="1" x14ac:dyDescent="0.25">
      <c r="A557" s="427" t="s">
        <v>4678</v>
      </c>
      <c r="B557" s="309">
        <v>388</v>
      </c>
      <c r="C557" s="309" t="s">
        <v>4753</v>
      </c>
      <c r="D557" s="303" t="s">
        <v>13</v>
      </c>
      <c r="E557" s="303" t="s">
        <v>30</v>
      </c>
      <c r="F557" s="528">
        <v>45476</v>
      </c>
      <c r="G557" s="528">
        <v>45513</v>
      </c>
      <c r="H55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7" s="522" t="str">
        <f>CONCATENATE(Таблица47[[#This Row],[№ заявки в 1С]],Таблица47[[#This Row],[Наименование            ]])</f>
        <v>388[90213] балка Ад-35 Д, L=5090</v>
      </c>
      <c r="J55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55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</v>
      </c>
      <c r="L55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</v>
      </c>
      <c r="M557" s="635"/>
      <c r="N557" s="635">
        <v>2</v>
      </c>
      <c r="O557" s="1013">
        <f>IFERROR(Таблица47[[#This Row],[Количество хлыстов]]-Таблица47[[#This Row],[Обработано в 1С]]-Таблица47[[#This Row],[Корректировка]],"")</f>
        <v>0</v>
      </c>
      <c r="P557" s="638">
        <f>IFERROR((((Таблица47[[#This Row],[Осталось сделать, хлыст]]*Таблица47[[#This Row],[длина]])*Таблица47[[#This Row],[Периметр]])/28),"")</f>
        <v>0</v>
      </c>
      <c r="Q557" s="303"/>
      <c r="R557" s="991">
        <f>IFERROR(Таблица47[[#This Row],[Коли-
чество м.п.]]/Таблица47[[#This Row],[Количество хлыстов]],"")</f>
        <v>1</v>
      </c>
      <c r="S557" s="639" t="s">
        <v>5057</v>
      </c>
      <c r="T557" s="639">
        <v>2</v>
      </c>
      <c r="U557" s="640">
        <v>2</v>
      </c>
      <c r="V557" s="639">
        <v>1.6140000000000001</v>
      </c>
      <c r="W557" s="639">
        <v>20.91</v>
      </c>
      <c r="X557" s="639">
        <v>3.2280000000000002</v>
      </c>
      <c r="Y557" s="639">
        <v>41.82</v>
      </c>
      <c r="Z557" s="639">
        <v>0.42</v>
      </c>
      <c r="AA557" s="639">
        <v>2600</v>
      </c>
      <c r="AB557" s="639">
        <v>1610.9</v>
      </c>
      <c r="AC557" s="641">
        <v>5200</v>
      </c>
    </row>
    <row r="558" spans="1:29" ht="15.75" customHeight="1" x14ac:dyDescent="0.25">
      <c r="A558" s="427" t="s">
        <v>4678</v>
      </c>
      <c r="B558" s="309">
        <v>388</v>
      </c>
      <c r="C558" s="309" t="s">
        <v>4753</v>
      </c>
      <c r="D558" s="303" t="s">
        <v>13</v>
      </c>
      <c r="E558" s="303" t="s">
        <v>30</v>
      </c>
      <c r="F558" s="528">
        <v>45476</v>
      </c>
      <c r="G558" s="528">
        <v>45513</v>
      </c>
      <c r="H55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8" s="522" t="str">
        <f>CONCATENATE(Таблица47[[#This Row],[№ заявки в 1С]],Таблица47[[#This Row],[Наименование            ]])</f>
        <v>388[89937] балка Ад-35 Д, L=4940</v>
      </c>
      <c r="J55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</v>
      </c>
      <c r="K55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</v>
      </c>
      <c r="L55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558" s="635"/>
      <c r="N558" s="635">
        <v>6</v>
      </c>
      <c r="O558" s="1013">
        <f>IFERROR(Таблица47[[#This Row],[Количество хлыстов]]-Таблица47[[#This Row],[Обработано в 1С]]-Таблица47[[#This Row],[Корректировка]],"")</f>
        <v>6</v>
      </c>
      <c r="P558" s="638">
        <f>IFERROR((((Таблица47[[#This Row],[Осталось сделать, хлыст]]*Таблица47[[#This Row],[длина]])*Таблица47[[#This Row],[Периметр]])/28),"")</f>
        <v>0.33557142857142858</v>
      </c>
      <c r="Q558" s="303" t="s">
        <v>5257</v>
      </c>
      <c r="R558" s="991">
        <f>IFERROR(Таблица47[[#This Row],[Коли-
чество м.п.]]/Таблица47[[#This Row],[Количество хлыстов]],"")</f>
        <v>1</v>
      </c>
      <c r="S558" s="639" t="s">
        <v>5055</v>
      </c>
      <c r="T558" s="639">
        <v>6</v>
      </c>
      <c r="U558" s="640">
        <v>6</v>
      </c>
      <c r="V558" s="639">
        <v>1.5660000000000001</v>
      </c>
      <c r="W558" s="639">
        <v>20.294</v>
      </c>
      <c r="X558" s="639">
        <v>9.3960000000000008</v>
      </c>
      <c r="Y558" s="639">
        <v>121.764</v>
      </c>
      <c r="Z558" s="639">
        <v>1.22</v>
      </c>
      <c r="AA558" s="639">
        <v>2500</v>
      </c>
      <c r="AB558" s="639">
        <v>1596.42</v>
      </c>
      <c r="AC558" s="641">
        <v>15000</v>
      </c>
    </row>
    <row r="559" spans="1:29" ht="15.75" customHeight="1" x14ac:dyDescent="0.25">
      <c r="A559" s="427" t="s">
        <v>4678</v>
      </c>
      <c r="B559" s="309">
        <v>388</v>
      </c>
      <c r="C559" s="309" t="s">
        <v>4753</v>
      </c>
      <c r="D559" s="303" t="s">
        <v>13</v>
      </c>
      <c r="E559" s="303" t="s">
        <v>30</v>
      </c>
      <c r="F559" s="528">
        <v>45476</v>
      </c>
      <c r="G559" s="528">
        <v>45513</v>
      </c>
      <c r="H559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59" s="522" t="str">
        <f>CONCATENATE(Таблица47[[#This Row],[№ заявки в 1С]],Таблица47[[#This Row],[Наименование            ]])</f>
        <v>388[90977] балка Ад-35 Д, L=4755</v>
      </c>
      <c r="J55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</v>
      </c>
      <c r="K55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55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559" s="635"/>
      <c r="N559" s="635">
        <v>4</v>
      </c>
      <c r="O559" s="1013">
        <f>IFERROR(Таблица47[[#This Row],[Количество хлыстов]]-Таблица47[[#This Row],[Обработано в 1С]]-Таблица47[[#This Row],[Корректировка]],"")</f>
        <v>0</v>
      </c>
      <c r="P559" s="638">
        <f>IFERROR((((Таблица47[[#This Row],[Осталось сделать, хлыст]]*Таблица47[[#This Row],[длина]])*Таблица47[[#This Row],[Периметр]])/28),"")</f>
        <v>0</v>
      </c>
      <c r="Q559" s="303"/>
      <c r="R559" s="991">
        <f>IFERROR(Таблица47[[#This Row],[Коли-
чество м.п.]]/Таблица47[[#This Row],[Количество хлыстов]],"")</f>
        <v>1</v>
      </c>
      <c r="S559" s="639" t="s">
        <v>5139</v>
      </c>
      <c r="T559" s="639">
        <v>4</v>
      </c>
      <c r="U559" s="640">
        <v>4</v>
      </c>
      <c r="V559" s="639">
        <v>0.317</v>
      </c>
      <c r="W559" s="639">
        <v>4.1079999999999997</v>
      </c>
      <c r="X559" s="639">
        <v>1.268</v>
      </c>
      <c r="Y559" s="639">
        <v>16.431999999999999</v>
      </c>
      <c r="Z559" s="639">
        <v>0.16</v>
      </c>
      <c r="AA559" s="639">
        <v>2400</v>
      </c>
      <c r="AB559" s="639">
        <v>7570.98</v>
      </c>
      <c r="AC559" s="641">
        <v>9600</v>
      </c>
    </row>
    <row r="560" spans="1:29" ht="15.75" customHeight="1" x14ac:dyDescent="0.25">
      <c r="A560" s="427" t="s">
        <v>4678</v>
      </c>
      <c r="B560" s="309">
        <v>388</v>
      </c>
      <c r="C560" s="309" t="s">
        <v>4753</v>
      </c>
      <c r="D560" s="303" t="s">
        <v>13</v>
      </c>
      <c r="E560" s="303" t="s">
        <v>30</v>
      </c>
      <c r="F560" s="528">
        <v>45476</v>
      </c>
      <c r="G560" s="528">
        <v>45513</v>
      </c>
      <c r="H560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0" s="522" t="str">
        <f>CONCATENATE(Таблица47[[#This Row],[№ заявки в 1С]],Таблица47[[#This Row],[Наименование            ]])</f>
        <v>388[89935] балка Ад-35 Д, L=4570</v>
      </c>
      <c r="J56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</v>
      </c>
      <c r="K56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</v>
      </c>
      <c r="L56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</v>
      </c>
      <c r="M560" s="635">
        <v>8</v>
      </c>
      <c r="N560" s="635">
        <v>4</v>
      </c>
      <c r="O560" s="1013">
        <f>IFERROR(Таблица47[[#This Row],[Количество хлыстов]]-Таблица47[[#This Row],[Обработано в 1С]]-Таблица47[[#This Row],[Корректировка]],"")</f>
        <v>-8</v>
      </c>
      <c r="P560" s="638">
        <f>IFERROR((((Таблица47[[#This Row],[Осталось сделать, хлыст]]*Таблица47[[#This Row],[длина]])*Таблица47[[#This Row],[Периметр]])/28),"")</f>
        <v>-0.41400000000000003</v>
      </c>
      <c r="Q560" s="303" t="s">
        <v>5256</v>
      </c>
      <c r="R560" s="991">
        <f>IFERROR(Таблица47[[#This Row],[Коли-
чество м.п.]]/Таблица47[[#This Row],[Количество хлыстов]],"")</f>
        <v>1</v>
      </c>
      <c r="S560" s="639" t="s">
        <v>5054</v>
      </c>
      <c r="T560" s="639">
        <v>12</v>
      </c>
      <c r="U560" s="640">
        <v>12</v>
      </c>
      <c r="V560" s="639">
        <v>1.4490000000000001</v>
      </c>
      <c r="W560" s="639">
        <v>18.774000000000001</v>
      </c>
      <c r="X560" s="639">
        <v>17.388000000000002</v>
      </c>
      <c r="Y560" s="639">
        <v>225.28800000000001</v>
      </c>
      <c r="Z560" s="639">
        <v>2.2599999999999998</v>
      </c>
      <c r="AA560" s="639">
        <v>2300</v>
      </c>
      <c r="AB560" s="639">
        <v>1587.3</v>
      </c>
      <c r="AC560" s="641">
        <v>27600</v>
      </c>
    </row>
    <row r="561" spans="1:29" ht="15.75" customHeight="1" x14ac:dyDescent="0.25">
      <c r="A561" s="427" t="s">
        <v>4678</v>
      </c>
      <c r="B561" s="309">
        <v>388</v>
      </c>
      <c r="C561" s="309" t="s">
        <v>4753</v>
      </c>
      <c r="D561" s="303" t="s">
        <v>13</v>
      </c>
      <c r="E561" s="303" t="s">
        <v>30</v>
      </c>
      <c r="F561" s="528">
        <v>45476</v>
      </c>
      <c r="G561" s="528">
        <v>45513</v>
      </c>
      <c r="H561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1" s="522" t="str">
        <f>CONCATENATE(Таблица47[[#This Row],[№ заявки в 1С]],Таблица47[[#This Row],[Наименование            ]])</f>
        <v>388[89936] балка Ад-35 Д, L=4677</v>
      </c>
      <c r="J56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</v>
      </c>
      <c r="K56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56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561" s="635"/>
      <c r="N561" s="635">
        <v>4</v>
      </c>
      <c r="O561" s="1013">
        <f>IFERROR(Таблица47[[#This Row],[Количество хлыстов]]-Таблица47[[#This Row],[Обработано в 1С]]-Таблица47[[#This Row],[Корректировка]],"")</f>
        <v>0</v>
      </c>
      <c r="P561" s="638">
        <f>IFERROR((((Таблица47[[#This Row],[Осталось сделать, хлыст]]*Таблица47[[#This Row],[длина]])*Таблица47[[#This Row],[Периметр]])/28),"")</f>
        <v>0</v>
      </c>
      <c r="Q561" s="303"/>
      <c r="R561" s="991">
        <f>IFERROR(Таблица47[[#This Row],[Коли-
чество м.п.]]/Таблица47[[#This Row],[Количество хлыстов]],"")</f>
        <v>1</v>
      </c>
      <c r="S561" s="639" t="s">
        <v>5136</v>
      </c>
      <c r="T561" s="639">
        <v>4</v>
      </c>
      <c r="U561" s="640">
        <v>4</v>
      </c>
      <c r="V561" s="639">
        <v>0.317</v>
      </c>
      <c r="W561" s="639">
        <v>4.1079999999999997</v>
      </c>
      <c r="X561" s="639">
        <v>1.268</v>
      </c>
      <c r="Y561" s="639">
        <v>16.431999999999999</v>
      </c>
      <c r="Z561" s="639">
        <v>0.16</v>
      </c>
      <c r="AA561" s="639">
        <v>2350</v>
      </c>
      <c r="AB561" s="639">
        <v>7413.25</v>
      </c>
      <c r="AC561" s="641">
        <v>9400</v>
      </c>
    </row>
    <row r="562" spans="1:29" ht="15.75" customHeight="1" x14ac:dyDescent="0.25">
      <c r="A562" s="427" t="s">
        <v>4678</v>
      </c>
      <c r="B562" s="309">
        <v>388</v>
      </c>
      <c r="C562" s="309" t="s">
        <v>4753</v>
      </c>
      <c r="D562" s="303" t="s">
        <v>13</v>
      </c>
      <c r="E562" s="303" t="s">
        <v>30</v>
      </c>
      <c r="F562" s="528">
        <v>45476</v>
      </c>
      <c r="G562" s="528">
        <v>45513</v>
      </c>
      <c r="H562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2" s="522" t="str">
        <f>CONCATENATE(Таблица47[[#This Row],[№ заявки в 1С]],Таблица47[[#This Row],[Наименование            ]])</f>
        <v>388[89934] балка Ад-35 Д, L=4042</v>
      </c>
      <c r="J56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</v>
      </c>
      <c r="K56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56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562" s="635"/>
      <c r="N562" s="635">
        <v>4</v>
      </c>
      <c r="O562" s="1013">
        <f>IFERROR(Таблица47[[#This Row],[Количество хлыстов]]-Таблица47[[#This Row],[Обработано в 1С]]-Таблица47[[#This Row],[Корректировка]],"")</f>
        <v>0</v>
      </c>
      <c r="P562" s="638">
        <f>IFERROR((((Таблица47[[#This Row],[Осталось сделать, хлыст]]*Таблица47[[#This Row],[длина]])*Таблица47[[#This Row],[Периметр]])/28),"")</f>
        <v>0</v>
      </c>
      <c r="Q562" s="303"/>
      <c r="R562" s="991">
        <f>IFERROR(Таблица47[[#This Row],[Коли-
чество м.п.]]/Таблица47[[#This Row],[Количество хлыстов]],"")</f>
        <v>1</v>
      </c>
      <c r="S562" s="639" t="s">
        <v>5137</v>
      </c>
      <c r="T562" s="639">
        <v>4</v>
      </c>
      <c r="U562" s="640">
        <v>4</v>
      </c>
      <c r="V562" s="639">
        <v>0.317</v>
      </c>
      <c r="W562" s="639">
        <v>4.1079999999999997</v>
      </c>
      <c r="X562" s="639">
        <v>1.268</v>
      </c>
      <c r="Y562" s="639">
        <v>16.431999999999999</v>
      </c>
      <c r="Z562" s="639">
        <v>0.16</v>
      </c>
      <c r="AA562" s="639">
        <v>2000</v>
      </c>
      <c r="AB562" s="639">
        <v>6309.15</v>
      </c>
      <c r="AC562" s="641">
        <v>8000</v>
      </c>
    </row>
    <row r="563" spans="1:29" ht="15.75" customHeight="1" x14ac:dyDescent="0.25">
      <c r="A563" s="427" t="s">
        <v>4678</v>
      </c>
      <c r="B563" s="309">
        <v>388</v>
      </c>
      <c r="C563" s="309" t="s">
        <v>4753</v>
      </c>
      <c r="D563" s="303" t="s">
        <v>13</v>
      </c>
      <c r="E563" s="303" t="s">
        <v>30</v>
      </c>
      <c r="F563" s="528">
        <v>45476</v>
      </c>
      <c r="G563" s="528"/>
      <c r="H563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3" s="522" t="str">
        <f>CONCATENATE(Таблица47[[#This Row],[№ заявки в 1С]],Таблица47[[#This Row],[Наименование            ]])</f>
        <v>388[90214] балка Ад-35 Д, L=4200</v>
      </c>
      <c r="J56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56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56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563" s="635"/>
      <c r="N563" s="635">
        <v>1</v>
      </c>
      <c r="O563" s="1013">
        <f>IFERROR(Таблица47[[#This Row],[Количество хлыстов]]-Таблица47[[#This Row],[Обработано в 1С]]-Таблица47[[#This Row],[Корректировка]],"")</f>
        <v>0</v>
      </c>
      <c r="P563" s="638">
        <f>IFERROR((((Таблица47[[#This Row],[Осталось сделать, хлыст]]*Таблица47[[#This Row],[длина]])*Таблица47[[#This Row],[Периметр]])/28),"")</f>
        <v>0</v>
      </c>
      <c r="Q563" s="303"/>
      <c r="R563" s="991">
        <f>IFERROR(Таблица47[[#This Row],[Коли-
чество м.п.]]/Таблица47[[#This Row],[Количество хлыстов]],"")</f>
        <v>2</v>
      </c>
      <c r="S563" s="639" t="s">
        <v>5053</v>
      </c>
      <c r="T563" s="639">
        <v>2</v>
      </c>
      <c r="U563" s="640">
        <v>1</v>
      </c>
      <c r="V563" s="639">
        <v>1.3320000000000001</v>
      </c>
      <c r="W563" s="639">
        <v>17.254000000000001</v>
      </c>
      <c r="X563" s="639">
        <v>2.6640000000000001</v>
      </c>
      <c r="Y563" s="639">
        <v>34.508000000000003</v>
      </c>
      <c r="Z563" s="639">
        <v>0.35</v>
      </c>
      <c r="AA563" s="639">
        <v>2200</v>
      </c>
      <c r="AB563" s="639">
        <v>1651.65</v>
      </c>
      <c r="AC563" s="641">
        <v>4400</v>
      </c>
    </row>
    <row r="564" spans="1:29" ht="15.75" customHeight="1" x14ac:dyDescent="0.25">
      <c r="A564" s="427" t="s">
        <v>4678</v>
      </c>
      <c r="B564" s="309">
        <v>388</v>
      </c>
      <c r="C564" s="309" t="s">
        <v>4753</v>
      </c>
      <c r="D564" s="303" t="s">
        <v>13</v>
      </c>
      <c r="E564" s="303" t="s">
        <v>30</v>
      </c>
      <c r="F564" s="528">
        <v>45476</v>
      </c>
      <c r="G564" s="528"/>
      <c r="H564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4" s="522" t="str">
        <f>CONCATENATE(Таблица47[[#This Row],[№ заявки в 1С]],Таблица47[[#This Row],[Наименование            ]])</f>
        <v>388[90215] балка Ад-35 Д, L=3950</v>
      </c>
      <c r="J56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56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56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564" s="635"/>
      <c r="N564" s="635">
        <v>1</v>
      </c>
      <c r="O564" s="1013">
        <f>IFERROR(Таблица47[[#This Row],[Количество хлыстов]]-Таблица47[[#This Row],[Обработано в 1С]]-Таблица47[[#This Row],[Корректировка]],"")</f>
        <v>0</v>
      </c>
      <c r="P564" s="638">
        <f>IFERROR((((Таблица47[[#This Row],[Осталось сделать, хлыст]]*Таблица47[[#This Row],[длина]])*Таблица47[[#This Row],[Периметр]])/28),"")</f>
        <v>0</v>
      </c>
      <c r="Q564" s="303"/>
      <c r="R564" s="991">
        <f>IFERROR(Таблица47[[#This Row],[Коли-
чество м.п.]]/Таблица47[[#This Row],[Количество хлыстов]],"")</f>
        <v>2</v>
      </c>
      <c r="S564" s="639" t="s">
        <v>5052</v>
      </c>
      <c r="T564" s="639">
        <v>2</v>
      </c>
      <c r="U564" s="640">
        <v>1</v>
      </c>
      <c r="V564" s="639">
        <v>1.2529999999999999</v>
      </c>
      <c r="W564" s="639">
        <v>16.227</v>
      </c>
      <c r="X564" s="639">
        <v>2.5059999999999998</v>
      </c>
      <c r="Y564" s="639">
        <v>32.454000000000001</v>
      </c>
      <c r="Z564" s="639">
        <v>0.33</v>
      </c>
      <c r="AA564" s="639">
        <v>1900</v>
      </c>
      <c r="AB564" s="639">
        <v>1516.36</v>
      </c>
      <c r="AC564" s="641">
        <v>3800</v>
      </c>
    </row>
    <row r="565" spans="1:29" ht="15.75" customHeight="1" x14ac:dyDescent="0.25">
      <c r="A565" s="427" t="s">
        <v>4678</v>
      </c>
      <c r="B565" s="309">
        <v>388</v>
      </c>
      <c r="C565" s="309" t="s">
        <v>4753</v>
      </c>
      <c r="D565" s="303" t="s">
        <v>13</v>
      </c>
      <c r="E565" s="303" t="s">
        <v>30</v>
      </c>
      <c r="F565" s="528">
        <v>45476</v>
      </c>
      <c r="G565" s="528"/>
      <c r="H565" s="112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5" s="522" t="str">
        <f>CONCATENATE(Таблица47[[#This Row],[№ заявки в 1С]],Таблица47[[#This Row],[Наименование            ]])</f>
        <v>388[89933] балка Ад-35 Д, L=3085</v>
      </c>
      <c r="J56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</v>
      </c>
      <c r="K56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</v>
      </c>
      <c r="L56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</v>
      </c>
      <c r="M565" s="635"/>
      <c r="N565" s="635">
        <v>18</v>
      </c>
      <c r="O565" s="1013">
        <f>IFERROR(Таблица47[[#This Row],[Количество хлыстов]]-Таблица47[[#This Row],[Обработано в 1С]]-Таблица47[[#This Row],[Корректировка]],"")</f>
        <v>0</v>
      </c>
      <c r="P565" s="638">
        <f>IFERROR((((Таблица47[[#This Row],[Осталось сделать, хлыст]]*Таблица47[[#This Row],[длина]])*Таблица47[[#This Row],[Периметр]])/28),"")</f>
        <v>0</v>
      </c>
      <c r="Q565" s="303"/>
      <c r="R565" s="991">
        <f>IFERROR(Таблица47[[#This Row],[Коли-
чество м.п.]]/Таблица47[[#This Row],[Количество хлыстов]],"")</f>
        <v>1</v>
      </c>
      <c r="S565" s="639" t="s">
        <v>5051</v>
      </c>
      <c r="T565" s="639">
        <v>18</v>
      </c>
      <c r="U565" s="640">
        <v>18</v>
      </c>
      <c r="V565" s="639">
        <v>0.97799999999999998</v>
      </c>
      <c r="W565" s="639">
        <v>12.673999999999999</v>
      </c>
      <c r="X565" s="639">
        <v>17.603999999999999</v>
      </c>
      <c r="Y565" s="639">
        <v>228.13200000000001</v>
      </c>
      <c r="Z565" s="639">
        <v>2.29</v>
      </c>
      <c r="AA565" s="639">
        <v>1611</v>
      </c>
      <c r="AB565" s="639">
        <v>1647.24</v>
      </c>
      <c r="AC565" s="641">
        <v>28998</v>
      </c>
    </row>
    <row r="566" spans="1:29" ht="15.75" customHeight="1" x14ac:dyDescent="0.25">
      <c r="A566" s="427" t="s">
        <v>4678</v>
      </c>
      <c r="B566" s="309">
        <v>388</v>
      </c>
      <c r="C566" s="309" t="s">
        <v>4753</v>
      </c>
      <c r="D566" s="303" t="s">
        <v>13</v>
      </c>
      <c r="E566" s="303" t="s">
        <v>30</v>
      </c>
      <c r="F566" s="528">
        <v>45476</v>
      </c>
      <c r="G566" s="528"/>
      <c r="H56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6" s="522" t="str">
        <f>CONCATENATE(Таблица47[[#This Row],[№ заявки в 1С]],Таблица47[[#This Row],[Наименование            ]])</f>
        <v>388[89644] балка Ад-35 Д, L=1070</v>
      </c>
      <c r="J56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</v>
      </c>
      <c r="K56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</v>
      </c>
      <c r="L56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</v>
      </c>
      <c r="M566" s="635"/>
      <c r="N566" s="635">
        <v>14</v>
      </c>
      <c r="O566" s="1013">
        <f>IFERROR(Таблица47[[#This Row],[Количество хлыстов]]-Таблица47[[#This Row],[Обработано в 1С]]-Таблица47[[#This Row],[Корректировка]],"")</f>
        <v>0</v>
      </c>
      <c r="P566" s="638">
        <f>IFERROR((((Таблица47[[#This Row],[Осталось сделать, хлыст]]*Таблица47[[#This Row],[длина]])*Таблица47[[#This Row],[Периметр]])/28),"")</f>
        <v>0</v>
      </c>
      <c r="Q566" s="303"/>
      <c r="R566" s="991">
        <f>IFERROR(Таблица47[[#This Row],[Коли-
чество м.п.]]/Таблица47[[#This Row],[Количество хлыстов]],"")</f>
        <v>1</v>
      </c>
      <c r="S566" s="639" t="s">
        <v>5047</v>
      </c>
      <c r="T566" s="639">
        <v>14</v>
      </c>
      <c r="U566" s="640">
        <v>14</v>
      </c>
      <c r="V566" s="639">
        <v>0.34</v>
      </c>
      <c r="W566" s="639">
        <v>4.3959999999999999</v>
      </c>
      <c r="X566" s="639">
        <v>4.76</v>
      </c>
      <c r="Y566" s="639">
        <v>61.543999999999997</v>
      </c>
      <c r="Z566" s="639">
        <v>0.62</v>
      </c>
      <c r="AA566" s="639">
        <v>800</v>
      </c>
      <c r="AB566" s="639">
        <v>2352.94</v>
      </c>
      <c r="AC566" s="641">
        <v>11200</v>
      </c>
    </row>
    <row r="567" spans="1:29" ht="15.75" customHeight="1" x14ac:dyDescent="0.25">
      <c r="A567" s="427" t="s">
        <v>4678</v>
      </c>
      <c r="B567" s="309">
        <v>388</v>
      </c>
      <c r="C567" s="309" t="s">
        <v>4753</v>
      </c>
      <c r="D567" s="303" t="s">
        <v>13</v>
      </c>
      <c r="E567" s="303" t="s">
        <v>30</v>
      </c>
      <c r="F567" s="528">
        <v>45476</v>
      </c>
      <c r="G567" s="528"/>
      <c r="H56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7" s="522" t="str">
        <f>CONCATENATE(Таблица47[[#This Row],[№ заявки в 1С]],Таблица47[[#This Row],[Наименование            ]])</f>
        <v>388[90216] балка Ад-35 Д, L=1361</v>
      </c>
      <c r="J56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</v>
      </c>
      <c r="K56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</v>
      </c>
      <c r="L56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</v>
      </c>
      <c r="M567" s="635"/>
      <c r="N567" s="635">
        <v>2</v>
      </c>
      <c r="O567" s="1013">
        <f>IFERROR(Таблица47[[#This Row],[Количество хлыстов]]-Таблица47[[#This Row],[Обработано в 1С]]-Таблица47[[#This Row],[Корректировка]],"")</f>
        <v>0</v>
      </c>
      <c r="P567" s="638">
        <f>IFERROR((((Таблица47[[#This Row],[Осталось сделать, хлыст]]*Таблица47[[#This Row],[длина]])*Таблица47[[#This Row],[Периметр]])/28),"")</f>
        <v>0</v>
      </c>
      <c r="Q567" s="303"/>
      <c r="R567" s="991">
        <f>IFERROR(Таблица47[[#This Row],[Коли-
чество м.п.]]/Таблица47[[#This Row],[Количество хлыстов]],"")</f>
        <v>1</v>
      </c>
      <c r="S567" s="639" t="s">
        <v>5048</v>
      </c>
      <c r="T567" s="639">
        <v>2</v>
      </c>
      <c r="U567" s="640">
        <v>2</v>
      </c>
      <c r="V567" s="639">
        <v>0.432</v>
      </c>
      <c r="W567" s="639">
        <v>5.5910000000000002</v>
      </c>
      <c r="X567" s="639">
        <v>0.86399999999999999</v>
      </c>
      <c r="Y567" s="639">
        <v>11.182</v>
      </c>
      <c r="Z567" s="639">
        <v>0.11</v>
      </c>
      <c r="AA567" s="639">
        <v>700</v>
      </c>
      <c r="AB567" s="639">
        <v>1620.37</v>
      </c>
      <c r="AC567" s="641">
        <v>1400</v>
      </c>
    </row>
    <row r="568" spans="1:29" ht="15.75" customHeight="1" x14ac:dyDescent="0.25">
      <c r="A568" s="427" t="s">
        <v>4678</v>
      </c>
      <c r="B568" s="309">
        <v>388</v>
      </c>
      <c r="C568" s="309" t="s">
        <v>4753</v>
      </c>
      <c r="D568" s="303" t="s">
        <v>13</v>
      </c>
      <c r="E568" s="303" t="s">
        <v>30</v>
      </c>
      <c r="F568" s="528">
        <v>45476</v>
      </c>
      <c r="G568" s="528"/>
      <c r="H56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8" s="522" t="str">
        <f>CONCATENATE(Таблица47[[#This Row],[№ заявки в 1С]],Таблица47[[#This Row],[Наименование            ]])</f>
        <v>388[89646] балка Ад-35 Д, L=1370</v>
      </c>
      <c r="J56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56</v>
      </c>
      <c r="K56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56</v>
      </c>
      <c r="L56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56</v>
      </c>
      <c r="M568" s="635"/>
      <c r="N568" s="635">
        <v>56</v>
      </c>
      <c r="O568" s="1013">
        <f>IFERROR(Таблица47[[#This Row],[Количество хлыстов]]-Таблица47[[#This Row],[Обработано в 1С]]-Таблица47[[#This Row],[Корректировка]],"")</f>
        <v>0</v>
      </c>
      <c r="P568" s="638">
        <f>IFERROR((((Таблица47[[#This Row],[Осталось сделать, хлыст]]*Таблица47[[#This Row],[длина]])*Таблица47[[#This Row],[Периметр]])/28),"")</f>
        <v>0</v>
      </c>
      <c r="Q568" s="303"/>
      <c r="R568" s="991">
        <f>IFERROR(Таблица47[[#This Row],[Коли-
чество м.п.]]/Таблица47[[#This Row],[Количество хлыстов]],"")</f>
        <v>1</v>
      </c>
      <c r="S568" s="639" t="s">
        <v>5049</v>
      </c>
      <c r="T568" s="639">
        <v>56</v>
      </c>
      <c r="U568" s="640">
        <v>56</v>
      </c>
      <c r="V568" s="639">
        <v>0.435</v>
      </c>
      <c r="W568" s="639">
        <v>5.6280000000000001</v>
      </c>
      <c r="X568" s="639">
        <v>24.36</v>
      </c>
      <c r="Y568" s="639">
        <v>315.16800000000001</v>
      </c>
      <c r="Z568" s="639">
        <v>3.17</v>
      </c>
      <c r="AA568" s="639">
        <v>900</v>
      </c>
      <c r="AB568" s="639">
        <v>2068.9699999999998</v>
      </c>
      <c r="AC568" s="641">
        <v>50400</v>
      </c>
    </row>
    <row r="569" spans="1:29" ht="15.75" customHeight="1" x14ac:dyDescent="0.25">
      <c r="A569" s="427" t="s">
        <v>4678</v>
      </c>
      <c r="B569" s="309">
        <v>388</v>
      </c>
      <c r="C569" s="309" t="s">
        <v>4753</v>
      </c>
      <c r="D569" s="303" t="s">
        <v>13</v>
      </c>
      <c r="E569" s="303" t="s">
        <v>30</v>
      </c>
      <c r="F569" s="528">
        <v>45476</v>
      </c>
      <c r="G569" s="528"/>
      <c r="H56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69" s="522" t="str">
        <f>CONCATENATE(Таблица47[[#This Row],[№ заявки в 1С]],Таблица47[[#This Row],[Наименование            ]])</f>
        <v>388[89921] балка Ад-35 Д, L=2036</v>
      </c>
      <c r="J56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</v>
      </c>
      <c r="K56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56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569" s="635"/>
      <c r="N569" s="635">
        <v>4</v>
      </c>
      <c r="O569" s="1013">
        <f>IFERROR(Таблица47[[#This Row],[Количество хлыстов]]-Таблица47[[#This Row],[Обработано в 1С]]-Таблица47[[#This Row],[Корректировка]],"")</f>
        <v>0</v>
      </c>
      <c r="P569" s="638">
        <f>IFERROR((((Таблица47[[#This Row],[Осталось сделать, хлыст]]*Таблица47[[#This Row],[длина]])*Таблица47[[#This Row],[Периметр]])/28),"")</f>
        <v>0</v>
      </c>
      <c r="Q569" s="303"/>
      <c r="R569" s="991">
        <f>IFERROR(Таблица47[[#This Row],[Коли-
чество м.п.]]/Таблица47[[#This Row],[Количество хлыстов]],"")</f>
        <v>1</v>
      </c>
      <c r="S569" s="639" t="s">
        <v>5138</v>
      </c>
      <c r="T569" s="639">
        <v>4</v>
      </c>
      <c r="U569" s="640">
        <v>4</v>
      </c>
      <c r="V569" s="639">
        <v>0.317</v>
      </c>
      <c r="W569" s="639">
        <v>4.1079999999999997</v>
      </c>
      <c r="X569" s="639">
        <v>1.268</v>
      </c>
      <c r="Y569" s="639">
        <v>16.431999999999999</v>
      </c>
      <c r="Z569" s="639">
        <v>0.16</v>
      </c>
      <c r="AA569" s="639">
        <v>1200</v>
      </c>
      <c r="AB569" s="639">
        <v>3785.49</v>
      </c>
      <c r="AC569" s="641">
        <v>4800</v>
      </c>
    </row>
    <row r="570" spans="1:29" ht="15.75" customHeight="1" x14ac:dyDescent="0.25">
      <c r="A570" s="427" t="s">
        <v>4678</v>
      </c>
      <c r="B570" s="309">
        <v>388</v>
      </c>
      <c r="C570" s="309" t="s">
        <v>4753</v>
      </c>
      <c r="D570" s="303" t="s">
        <v>13</v>
      </c>
      <c r="E570" s="303" t="s">
        <v>30</v>
      </c>
      <c r="F570" s="528">
        <v>45476</v>
      </c>
      <c r="G570" s="528"/>
      <c r="H57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0" s="522" t="str">
        <f>CONCATENATE(Таблица47[[#This Row],[№ заявки в 1С]],Таблица47[[#This Row],[Наименование            ]])</f>
        <v>388[90220] балка Ад-35 Д, L=700</v>
      </c>
      <c r="J57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</v>
      </c>
      <c r="K57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</v>
      </c>
      <c r="L57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</v>
      </c>
      <c r="M570" s="635">
        <v>4</v>
      </c>
      <c r="N570" s="635">
        <v>6</v>
      </c>
      <c r="O570" s="1013">
        <f>IFERROR(Таблица47[[#This Row],[Количество хлыстов]]-Таблица47[[#This Row],[Обработано в 1С]]-Таблица47[[#This Row],[Корректировка]],"")</f>
        <v>-4</v>
      </c>
      <c r="P570" s="638">
        <f>IFERROR((((Таблица47[[#This Row],[Осталось сделать, хлыст]]*Таблица47[[#This Row],[длина]])*Таблица47[[#This Row],[Периметр]])/28),"")</f>
        <v>-1.9028571428571426E-2</v>
      </c>
      <c r="Q570" s="303" t="s">
        <v>5256</v>
      </c>
      <c r="R570" s="991">
        <f>IFERROR(Таблица47[[#This Row],[Коли-
чество м.п.]]/Таблица47[[#This Row],[Количество хлыстов]],"")</f>
        <v>0.6</v>
      </c>
      <c r="S570" s="639" t="s">
        <v>5045</v>
      </c>
      <c r="T570" s="639">
        <v>6</v>
      </c>
      <c r="U570" s="640">
        <v>10</v>
      </c>
      <c r="V570" s="639">
        <v>0.222</v>
      </c>
      <c r="W570" s="639">
        <v>2.8759999999999999</v>
      </c>
      <c r="X570" s="639">
        <v>1.3320000000000001</v>
      </c>
      <c r="Y570" s="639">
        <v>17.256</v>
      </c>
      <c r="Z570" s="639">
        <v>0.17</v>
      </c>
      <c r="AA570" s="639">
        <v>500</v>
      </c>
      <c r="AB570" s="639">
        <v>2252.25</v>
      </c>
      <c r="AC570" s="641">
        <v>3000</v>
      </c>
    </row>
    <row r="571" spans="1:29" ht="15.75" customHeight="1" x14ac:dyDescent="0.25">
      <c r="A571" s="427" t="s">
        <v>4678</v>
      </c>
      <c r="B571" s="309">
        <v>388</v>
      </c>
      <c r="C571" s="309" t="s">
        <v>4753</v>
      </c>
      <c r="D571" s="303" t="s">
        <v>13</v>
      </c>
      <c r="E571" s="303" t="s">
        <v>30</v>
      </c>
      <c r="F571" s="528">
        <v>45476</v>
      </c>
      <c r="G571" s="528"/>
      <c r="H5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1" s="522" t="str">
        <f>CONCATENATE(Таблица47[[#This Row],[№ заявки в 1С]],Таблица47[[#This Row],[Наименование            ]])</f>
        <v>388[89648] балка Ад-35 Д, L=300</v>
      </c>
      <c r="J57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220</v>
      </c>
      <c r="K57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220</v>
      </c>
      <c r="L57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220</v>
      </c>
      <c r="M571" s="635">
        <v>4</v>
      </c>
      <c r="N571" s="635">
        <v>216</v>
      </c>
      <c r="O571" s="1013">
        <f>IFERROR(Таблица47[[#This Row],[Количество хлыстов]]-Таблица47[[#This Row],[Обработано в 1С]]-Таблица47[[#This Row],[Корректировка]],"")</f>
        <v>-4</v>
      </c>
      <c r="P571" s="638">
        <f>IFERROR((((Таблица47[[#This Row],[Осталось сделать, хлыст]]*Таблица47[[#This Row],[длина]])*Таблица47[[#This Row],[Периметр]])/28),"")</f>
        <v>-1.3464935064935065E-2</v>
      </c>
      <c r="Q571" s="303" t="s">
        <v>5256</v>
      </c>
      <c r="R571" s="991">
        <f>IFERROR(Таблица47[[#This Row],[Коли-
чество м.п.]]/Таблица47[[#This Row],[Количество хлыстов]],"")</f>
        <v>0.98181818181818181</v>
      </c>
      <c r="S571" s="639" t="s">
        <v>5044</v>
      </c>
      <c r="T571" s="639">
        <v>216</v>
      </c>
      <c r="U571" s="640">
        <v>220</v>
      </c>
      <c r="V571" s="639">
        <v>9.6000000000000002E-2</v>
      </c>
      <c r="W571" s="639">
        <v>1.2330000000000001</v>
      </c>
      <c r="X571" s="639">
        <v>20.736000000000001</v>
      </c>
      <c r="Y571" s="639">
        <v>266.32799999999997</v>
      </c>
      <c r="Z571" s="639">
        <v>2.7</v>
      </c>
      <c r="AA571" s="639">
        <v>400</v>
      </c>
      <c r="AB571" s="639">
        <v>4166.67</v>
      </c>
      <c r="AC571" s="641">
        <v>86400</v>
      </c>
    </row>
    <row r="572" spans="1:29" ht="15.75" x14ac:dyDescent="0.25">
      <c r="A572" s="427" t="s">
        <v>4678</v>
      </c>
      <c r="B572" s="1126">
        <v>389</v>
      </c>
      <c r="C572" s="1126" t="s">
        <v>4753</v>
      </c>
      <c r="D572" s="1127" t="s">
        <v>13</v>
      </c>
      <c r="E572" s="1127" t="s">
        <v>30</v>
      </c>
      <c r="F572" s="1129">
        <v>45476</v>
      </c>
      <c r="G572" s="528">
        <v>45576</v>
      </c>
      <c r="H57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2" s="522" t="str">
        <f>CONCATENATE(Таблица47[[#This Row],[№ заявки в 1С]],Таблица47[[#This Row],[Наименование            ]])</f>
        <v>389[92081] Полоса Амг3 3000*100*1 Д</v>
      </c>
      <c r="J57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2" s="635"/>
      <c r="N572" s="1119">
        <v>240</v>
      </c>
      <c r="O572" s="1013" t="str">
        <f>IFERROR(Таблица47[[#This Row],[Количество хлыстов]]-Таблица47[[#This Row],[Обработано в 1С]]-Таблица47[[#This Row],[Корректировка]],"")</f>
        <v/>
      </c>
      <c r="P572" s="638" t="str">
        <f>IFERROR((((Таблица47[[#This Row],[Осталось сделать, хлыст]]*Таблица47[[#This Row],[длина]])*Таблица47[[#This Row],[Периметр]])/28),"")</f>
        <v/>
      </c>
      <c r="Q572" s="303"/>
      <c r="R572" s="991">
        <f>IFERROR(Таблица47[[#This Row],[Коли-
чество м.п.]]/Таблица47[[#This Row],[Количество хлыстов]],"")</f>
        <v>1</v>
      </c>
      <c r="S572" s="639" t="s">
        <v>5470</v>
      </c>
      <c r="T572" s="639">
        <v>240</v>
      </c>
      <c r="U572" s="640">
        <v>240</v>
      </c>
      <c r="V572" s="639">
        <v>0.60599999999999998</v>
      </c>
      <c r="W572" s="639">
        <v>0.8</v>
      </c>
      <c r="X572" s="639">
        <v>145.44</v>
      </c>
      <c r="Y572" s="639">
        <v>192</v>
      </c>
      <c r="Z572" s="639">
        <v>18.91</v>
      </c>
      <c r="AA572" s="639">
        <v>519.17999999999995</v>
      </c>
      <c r="AB572" s="639">
        <v>856.72</v>
      </c>
      <c r="AC572" s="641">
        <v>124602</v>
      </c>
    </row>
    <row r="573" spans="1:29" ht="15.75" customHeight="1" x14ac:dyDescent="0.25">
      <c r="A573" s="427" t="s">
        <v>4678</v>
      </c>
      <c r="B573" s="1126">
        <v>390</v>
      </c>
      <c r="C573" s="1126" t="s">
        <v>4753</v>
      </c>
      <c r="D573" s="1127" t="s">
        <v>13</v>
      </c>
      <c r="E573" s="1127" t="s">
        <v>30</v>
      </c>
      <c r="F573" s="1129">
        <v>45476</v>
      </c>
      <c r="G573" s="528">
        <v>45576</v>
      </c>
      <c r="H57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3" s="522" t="str">
        <f>CONCATENATE(Таблица47[[#This Row],[№ заявки в 1С]],Таблица47[[#This Row],[Наименование            ]])</f>
        <v>390[91589] Полоса Амг3 2305*912*1,5 Д,</v>
      </c>
      <c r="J57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3" s="635"/>
      <c r="N573" s="1119">
        <v>16</v>
      </c>
      <c r="O573" s="1013" t="str">
        <f>IFERROR(Таблица47[[#This Row],[Количество хлыстов]]-Таблица47[[#This Row],[Обработано в 1С]]-Таблица47[[#This Row],[Корректировка]],"")</f>
        <v/>
      </c>
      <c r="P573" s="638" t="str">
        <f>IFERROR((((Таблица47[[#This Row],[Осталось сделать, хлыст]]*Таблица47[[#This Row],[длина]])*Таблица47[[#This Row],[Периметр]])/28),"")</f>
        <v/>
      </c>
      <c r="Q573" s="303"/>
      <c r="R573" s="991">
        <f>IFERROR(Таблица47[[#This Row],[Коли-
чество м.п.]]/Таблица47[[#This Row],[Количество хлыстов]],"")</f>
        <v>1</v>
      </c>
      <c r="S573" s="639" t="s">
        <v>5194</v>
      </c>
      <c r="T573" s="639">
        <v>16</v>
      </c>
      <c r="U573" s="640">
        <v>16</v>
      </c>
      <c r="V573" s="639">
        <v>4.21</v>
      </c>
      <c r="W573" s="639">
        <v>8.4190000000000005</v>
      </c>
      <c r="X573" s="639">
        <v>67.36</v>
      </c>
      <c r="Y573" s="639">
        <v>134.70400000000001</v>
      </c>
      <c r="Z573" s="639">
        <v>8.76</v>
      </c>
      <c r="AA573" s="639">
        <v>5200</v>
      </c>
      <c r="AB573" s="639">
        <v>1235.1500000000001</v>
      </c>
      <c r="AC573" s="641">
        <v>83200</v>
      </c>
    </row>
    <row r="574" spans="1:29" ht="15.75" customHeight="1" x14ac:dyDescent="0.25">
      <c r="A574" s="427" t="s">
        <v>4678</v>
      </c>
      <c r="B574" s="1126">
        <v>390</v>
      </c>
      <c r="C574" s="1126" t="s">
        <v>4753</v>
      </c>
      <c r="D574" s="1127" t="s">
        <v>13</v>
      </c>
      <c r="E574" s="1127" t="s">
        <v>30</v>
      </c>
      <c r="F574" s="1129">
        <v>45476</v>
      </c>
      <c r="G574" s="528">
        <v>45576</v>
      </c>
      <c r="H57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4" s="522" t="str">
        <f>CONCATENATE(Таблица47[[#This Row],[№ заявки в 1С]],Таблица47[[#This Row],[Наименование            ]])</f>
        <v>390[91587] Полоса Амг3 2069,5*1154,5*1,5 Д</v>
      </c>
      <c r="J57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4" s="635"/>
      <c r="N574" s="1119">
        <v>16</v>
      </c>
      <c r="O574" s="1013" t="str">
        <f>IFERROR(Таблица47[[#This Row],[Количество хлыстов]]-Таблица47[[#This Row],[Обработано в 1С]]-Таблица47[[#This Row],[Корректировка]],"")</f>
        <v/>
      </c>
      <c r="P574" s="638" t="str">
        <f>IFERROR((((Таблица47[[#This Row],[Осталось сделать, хлыст]]*Таблица47[[#This Row],[длина]])*Таблица47[[#This Row],[Периметр]])/28),"")</f>
        <v/>
      </c>
      <c r="Q574" s="303"/>
      <c r="R574" s="991">
        <f>IFERROR(Таблица47[[#This Row],[Коли-
чество м.п.]]/Таблица47[[#This Row],[Количество хлыстов]],"")</f>
        <v>1</v>
      </c>
      <c r="S574" s="639" t="s">
        <v>5195</v>
      </c>
      <c r="T574" s="639">
        <v>16</v>
      </c>
      <c r="U574" s="640">
        <v>16</v>
      </c>
      <c r="V574" s="639">
        <v>4.78</v>
      </c>
      <c r="W574" s="639">
        <v>9.5649999999999995</v>
      </c>
      <c r="X574" s="639">
        <v>76.48</v>
      </c>
      <c r="Y574" s="639">
        <v>153.04</v>
      </c>
      <c r="Z574" s="639">
        <v>9.94</v>
      </c>
      <c r="AA574" s="639">
        <v>4100</v>
      </c>
      <c r="AB574" s="639">
        <v>857.74</v>
      </c>
      <c r="AC574" s="641">
        <v>65600</v>
      </c>
    </row>
    <row r="575" spans="1:29" ht="15.75" customHeight="1" x14ac:dyDescent="0.25">
      <c r="A575" s="427" t="s">
        <v>4678</v>
      </c>
      <c r="B575" s="1126">
        <v>390</v>
      </c>
      <c r="C575" s="1126" t="s">
        <v>4753</v>
      </c>
      <c r="D575" s="1127" t="s">
        <v>13</v>
      </c>
      <c r="E575" s="1127" t="s">
        <v>30</v>
      </c>
      <c r="F575" s="1129">
        <v>45476</v>
      </c>
      <c r="G575" s="528">
        <v>45576</v>
      </c>
      <c r="H57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5" s="522" t="str">
        <f>CONCATENATE(Таблица47[[#This Row],[№ заявки в 1С]],Таблица47[[#This Row],[Наименование            ]])</f>
        <v>390[91586] Полоса Амг3 1330*1152*1,5 Д,</v>
      </c>
      <c r="J575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5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5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5" s="635"/>
      <c r="N575" s="1119">
        <v>16</v>
      </c>
      <c r="O575" s="1013" t="str">
        <f>IFERROR(Таблица47[[#This Row],[Количество хлыстов]]-Таблица47[[#This Row],[Обработано в 1С]]-Таблица47[[#This Row],[Корректировка]],"")</f>
        <v/>
      </c>
      <c r="P575" s="638" t="str">
        <f>IFERROR((((Таблица47[[#This Row],[Осталось сделать, хлыст]]*Таблица47[[#This Row],[длина]])*Таблица47[[#This Row],[Периметр]])/28),"")</f>
        <v/>
      </c>
      <c r="Q575" s="303"/>
      <c r="R575" s="991">
        <f>IFERROR(Таблица47[[#This Row],[Коли-
чество м.п.]]/Таблица47[[#This Row],[Количество хлыстов]],"")</f>
        <v>1</v>
      </c>
      <c r="S575" s="639" t="s">
        <v>5196</v>
      </c>
      <c r="T575" s="639">
        <v>16</v>
      </c>
      <c r="U575" s="640">
        <v>16</v>
      </c>
      <c r="V575" s="639">
        <v>3.07</v>
      </c>
      <c r="W575" s="639">
        <v>6.1360000000000001</v>
      </c>
      <c r="X575" s="639">
        <v>49.12</v>
      </c>
      <c r="Y575" s="639">
        <v>98.176000000000002</v>
      </c>
      <c r="Z575" s="639">
        <v>6.39</v>
      </c>
      <c r="AA575" s="639">
        <v>3600</v>
      </c>
      <c r="AB575" s="639">
        <v>1172.6400000000001</v>
      </c>
      <c r="AC575" s="641">
        <v>57600</v>
      </c>
    </row>
    <row r="576" spans="1:29" ht="15.75" customHeight="1" x14ac:dyDescent="0.25">
      <c r="A576" s="427" t="s">
        <v>4678</v>
      </c>
      <c r="B576" s="1126">
        <v>390</v>
      </c>
      <c r="C576" s="1126" t="s">
        <v>4753</v>
      </c>
      <c r="D576" s="1127" t="s">
        <v>13</v>
      </c>
      <c r="E576" s="1127" t="s">
        <v>30</v>
      </c>
      <c r="F576" s="1129">
        <v>45476</v>
      </c>
      <c r="G576" s="528">
        <v>45576</v>
      </c>
      <c r="H57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6" s="522" t="str">
        <f>CONCATENATE(Таблица47[[#This Row],[№ заявки в 1С]],Таблица47[[#This Row],[Наименование            ]])</f>
        <v>390[91588] Полоса Амг3 1089*912*1,5 Д</v>
      </c>
      <c r="J576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6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6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6" s="635"/>
      <c r="N576" s="1119">
        <v>16</v>
      </c>
      <c r="O576" s="1013" t="str">
        <f>IFERROR(Таблица47[[#This Row],[Количество хлыстов]]-Таблица47[[#This Row],[Обработано в 1С]]-Таблица47[[#This Row],[Корректировка]],"")</f>
        <v/>
      </c>
      <c r="P576" s="638" t="str">
        <f>IFERROR((((Таблица47[[#This Row],[Осталось сделать, хлыст]]*Таблица47[[#This Row],[длина]])*Таблица47[[#This Row],[Периметр]])/28),"")</f>
        <v/>
      </c>
      <c r="Q576" s="303"/>
      <c r="R576" s="991">
        <f>IFERROR(Таблица47[[#This Row],[Коли-
чество м.п.]]/Таблица47[[#This Row],[Количество хлыстов]],"")</f>
        <v>1</v>
      </c>
      <c r="S576" s="639" t="s">
        <v>5197</v>
      </c>
      <c r="T576" s="639">
        <v>16</v>
      </c>
      <c r="U576" s="640">
        <v>16</v>
      </c>
      <c r="V576" s="639">
        <v>2</v>
      </c>
      <c r="W576" s="639">
        <v>3.9780000000000002</v>
      </c>
      <c r="X576" s="639">
        <v>32</v>
      </c>
      <c r="Y576" s="639">
        <v>63.648000000000003</v>
      </c>
      <c r="Z576" s="639">
        <v>4.16</v>
      </c>
      <c r="AA576" s="639">
        <v>3300</v>
      </c>
      <c r="AB576" s="639">
        <v>1650</v>
      </c>
      <c r="AC576" s="641">
        <v>52800</v>
      </c>
    </row>
    <row r="577" spans="1:29" ht="15.75" customHeight="1" x14ac:dyDescent="0.25">
      <c r="A577" s="427" t="s">
        <v>4678</v>
      </c>
      <c r="B577" s="1126">
        <v>390</v>
      </c>
      <c r="C577" s="1126" t="s">
        <v>4753</v>
      </c>
      <c r="D577" s="1127" t="s">
        <v>13</v>
      </c>
      <c r="E577" s="1127" t="s">
        <v>30</v>
      </c>
      <c r="F577" s="1129">
        <v>45476</v>
      </c>
      <c r="G577" s="528">
        <v>45576</v>
      </c>
      <c r="H57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7" s="522" t="str">
        <f>CONCATENATE(Таблица47[[#This Row],[№ заявки в 1С]],Таблица47[[#This Row],[Наименование            ]])</f>
        <v>390[91590] Полоса Амг3 996*618*1,5 Д</v>
      </c>
      <c r="J57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7" s="635"/>
      <c r="N577" s="1119">
        <v>16</v>
      </c>
      <c r="O577" s="1013" t="str">
        <f>IFERROR(Таблица47[[#This Row],[Количество хлыстов]]-Таблица47[[#This Row],[Обработано в 1С]]-Таблица47[[#This Row],[Корректировка]],"")</f>
        <v/>
      </c>
      <c r="P577" s="638" t="str">
        <f>IFERROR((((Таблица47[[#This Row],[Осталось сделать, хлыст]]*Таблица47[[#This Row],[длина]])*Таблица47[[#This Row],[Периметр]])/28),"")</f>
        <v/>
      </c>
      <c r="Q577" s="303"/>
      <c r="R577" s="991">
        <f>IFERROR(Таблица47[[#This Row],[Коли-
чество м.п.]]/Таблица47[[#This Row],[Количество хлыстов]],"")</f>
        <v>1</v>
      </c>
      <c r="S577" s="639" t="s">
        <v>5198</v>
      </c>
      <c r="T577" s="639">
        <v>16</v>
      </c>
      <c r="U577" s="640">
        <v>16</v>
      </c>
      <c r="V577" s="639">
        <v>1.24</v>
      </c>
      <c r="W577" s="639">
        <v>2.46</v>
      </c>
      <c r="X577" s="639">
        <v>19.84</v>
      </c>
      <c r="Y577" s="639">
        <v>39.36</v>
      </c>
      <c r="Z577" s="639">
        <v>2.58</v>
      </c>
      <c r="AA577" s="639">
        <v>3100</v>
      </c>
      <c r="AB577" s="639">
        <v>2500</v>
      </c>
      <c r="AC577" s="641">
        <v>49600</v>
      </c>
    </row>
    <row r="578" spans="1:29" ht="15.75" customHeight="1" x14ac:dyDescent="0.25">
      <c r="A578" s="427" t="s">
        <v>4678</v>
      </c>
      <c r="B578" s="1126">
        <v>391</v>
      </c>
      <c r="C578" s="1126" t="s">
        <v>4753</v>
      </c>
      <c r="D578" s="1127" t="s">
        <v>13</v>
      </c>
      <c r="E578" s="1127" t="s">
        <v>30</v>
      </c>
      <c r="F578" s="1129">
        <v>45476</v>
      </c>
      <c r="G578" s="528">
        <v>45576</v>
      </c>
      <c r="H57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8" s="522" t="str">
        <f>CONCATENATE(Таблица47[[#This Row],[№ заявки в 1С]],Таблица47[[#This Row],[Наименование            ]])</f>
        <v>391[89956] ПКФ (177 5050 Д L=1100 АД31Т1</v>
      </c>
      <c r="J57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7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7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78" s="635"/>
      <c r="N578" s="1119">
        <v>44</v>
      </c>
      <c r="O578" s="1013" t="str">
        <f>IFERROR(Таблица47[[#This Row],[Количество хлыстов]]-Таблица47[[#This Row],[Обработано в 1С]]-Таблица47[[#This Row],[Корректировка]],"")</f>
        <v/>
      </c>
      <c r="P578" s="638" t="str">
        <f>IFERROR((((Таблица47[[#This Row],[Осталось сделать, хлыст]]*Таблица47[[#This Row],[длина]])*Таблица47[[#This Row],[Периметр]])/28),"")</f>
        <v/>
      </c>
      <c r="Q578" s="303"/>
      <c r="R578" s="991">
        <f>IFERROR(Таблица47[[#This Row],[Коли-
чество м.п.]]/Таблица47[[#This Row],[Количество хлыстов]],"")</f>
        <v>1</v>
      </c>
      <c r="S578" s="639" t="s">
        <v>5140</v>
      </c>
      <c r="T578" s="639">
        <v>44</v>
      </c>
      <c r="U578" s="639">
        <v>44</v>
      </c>
      <c r="V578" s="639">
        <v>0.17249999999999999</v>
      </c>
      <c r="W578" s="639">
        <v>0.81499999999999995</v>
      </c>
      <c r="X578" s="639">
        <v>7.59</v>
      </c>
      <c r="Y578" s="639">
        <v>35.86</v>
      </c>
      <c r="Z578" s="639">
        <v>0.99</v>
      </c>
      <c r="AA578" s="639">
        <v>230</v>
      </c>
      <c r="AB578" s="639">
        <v>1210.53</v>
      </c>
      <c r="AC578" s="641">
        <v>10120</v>
      </c>
    </row>
    <row r="579" spans="1:29" ht="15.75" customHeight="1" x14ac:dyDescent="0.25">
      <c r="A579" s="427" t="s">
        <v>4678</v>
      </c>
      <c r="B579" s="1126">
        <v>391</v>
      </c>
      <c r="C579" s="1126" t="s">
        <v>4753</v>
      </c>
      <c r="D579" s="1127" t="s">
        <v>13</v>
      </c>
      <c r="E579" s="1127" t="s">
        <v>30</v>
      </c>
      <c r="F579" s="1129">
        <v>45476</v>
      </c>
      <c r="G579" s="528">
        <v>45576</v>
      </c>
      <c r="H57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79" s="522" t="str">
        <f>CONCATENATE(Таблица47[[#This Row],[№ заявки в 1С]],Таблица47[[#This Row],[Наименование            ]])</f>
        <v>391[89957] ПКФ (176) 5033 Д L=1100 АД31Т1</v>
      </c>
      <c r="J57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44</v>
      </c>
      <c r="K57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44</v>
      </c>
      <c r="L57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44</v>
      </c>
      <c r="M579" s="635"/>
      <c r="N579" s="1119">
        <v>44</v>
      </c>
      <c r="O579" s="1013">
        <f>IFERROR(Таблица47[[#This Row],[Количество хлыстов]]-Таблица47[[#This Row],[Обработано в 1С]]-Таблица47[[#This Row],[Корректировка]],"")</f>
        <v>0</v>
      </c>
      <c r="P579" s="638">
        <f>IFERROR((((Таблица47[[#This Row],[Осталось сделать, хлыст]]*Таблица47[[#This Row],[длина]])*Таблица47[[#This Row],[Периметр]])/28),"")</f>
        <v>0</v>
      </c>
      <c r="Q579" s="303"/>
      <c r="R579" s="991">
        <f>IFERROR(Таблица47[[#This Row],[Коли-
чество м.п.]]/Таблица47[[#This Row],[Количество хлыстов]],"")</f>
        <v>1</v>
      </c>
      <c r="S579" s="639" t="s">
        <v>5141</v>
      </c>
      <c r="T579" s="639">
        <v>44</v>
      </c>
      <c r="U579" s="639">
        <v>44</v>
      </c>
      <c r="V579" s="639">
        <v>0.1701</v>
      </c>
      <c r="W579" s="639">
        <v>0.76500000000000001</v>
      </c>
      <c r="X579" s="639">
        <v>7.4843999999999999</v>
      </c>
      <c r="Y579" s="639">
        <v>33.659999999999997</v>
      </c>
      <c r="Z579" s="639">
        <v>0.97</v>
      </c>
      <c r="AA579" s="639">
        <v>230</v>
      </c>
      <c r="AB579" s="639">
        <v>1223.4000000000001</v>
      </c>
      <c r="AC579" s="641">
        <v>10120</v>
      </c>
    </row>
    <row r="580" spans="1:29" ht="15.75" customHeight="1" x14ac:dyDescent="0.25">
      <c r="A580" s="427" t="s">
        <v>4678</v>
      </c>
      <c r="B580" s="1126">
        <v>391</v>
      </c>
      <c r="C580" s="1126" t="s">
        <v>4753</v>
      </c>
      <c r="D580" s="1127" t="s">
        <v>13</v>
      </c>
      <c r="E580" s="1127" t="s">
        <v>30</v>
      </c>
      <c r="F580" s="1129">
        <v>45476</v>
      </c>
      <c r="G580" s="528">
        <v>45576</v>
      </c>
      <c r="H58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0" s="522" t="str">
        <f>CONCATENATE(Таблица47[[#This Row],[№ заявки в 1С]],Таблица47[[#This Row],[Наименование            ]])</f>
        <v>391[89958] ПКФ (177) 5050 Д L=1250 АД31Т1</v>
      </c>
      <c r="J58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58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58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580" s="635"/>
      <c r="N580" s="1119">
        <v>8</v>
      </c>
      <c r="O580" s="1013">
        <f>IFERROR(Таблица47[[#This Row],[Количество хлыстов]]-Таблица47[[#This Row],[Обработано в 1С]]-Таблица47[[#This Row],[Корректировка]],"")</f>
        <v>0</v>
      </c>
      <c r="P580" s="638">
        <f>IFERROR((((Таблица47[[#This Row],[Осталось сделать, хлыст]]*Таблица47[[#This Row],[длина]])*Таблица47[[#This Row],[Периметр]])/28),"")</f>
        <v>0</v>
      </c>
      <c r="Q580" s="303"/>
      <c r="R580" s="991">
        <f>IFERROR(Таблица47[[#This Row],[Коли-
чество м.п.]]/Таблица47[[#This Row],[Количество хлыстов]],"")</f>
        <v>1</v>
      </c>
      <c r="S580" s="639" t="s">
        <v>5142</v>
      </c>
      <c r="T580" s="639">
        <v>8</v>
      </c>
      <c r="U580" s="639">
        <v>8</v>
      </c>
      <c r="V580" s="639">
        <v>0.17249999999999999</v>
      </c>
      <c r="W580" s="639">
        <v>0.81499999999999995</v>
      </c>
      <c r="X580" s="639">
        <v>1.38</v>
      </c>
      <c r="Y580" s="639">
        <v>6.52</v>
      </c>
      <c r="Z580" s="639">
        <v>0.18</v>
      </c>
      <c r="AA580" s="639">
        <v>313</v>
      </c>
      <c r="AB580" s="639">
        <v>1449.07</v>
      </c>
      <c r="AC580" s="641">
        <v>2504</v>
      </c>
    </row>
    <row r="581" spans="1:29" ht="15.75" customHeight="1" x14ac:dyDescent="0.25">
      <c r="A581" s="427" t="s">
        <v>4678</v>
      </c>
      <c r="B581" s="1126">
        <v>391</v>
      </c>
      <c r="C581" s="1126" t="s">
        <v>4753</v>
      </c>
      <c r="D581" s="1127" t="s">
        <v>13</v>
      </c>
      <c r="E581" s="1127" t="s">
        <v>30</v>
      </c>
      <c r="F581" s="1129">
        <v>45476</v>
      </c>
      <c r="G581" s="528">
        <v>45576</v>
      </c>
      <c r="H58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1" s="522" t="str">
        <f>CONCATENATE(Таблица47[[#This Row],[№ заявки в 1С]],Таблица47[[#This Row],[Наименование            ]])</f>
        <v>391[89959] ПКФ (176) 5033 Д L=1250 АД31Т1</v>
      </c>
      <c r="J58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58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58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581" s="635"/>
      <c r="N581" s="1119">
        <v>8</v>
      </c>
      <c r="O581" s="1013">
        <f>IFERROR(Таблица47[[#This Row],[Количество хлыстов]]-Таблица47[[#This Row],[Обработано в 1С]]-Таблица47[[#This Row],[Корректировка]],"")</f>
        <v>0</v>
      </c>
      <c r="P581" s="638">
        <f>IFERROR((((Таблица47[[#This Row],[Осталось сделать, хлыст]]*Таблица47[[#This Row],[длина]])*Таблица47[[#This Row],[Периметр]])/28),"")</f>
        <v>0</v>
      </c>
      <c r="Q581" s="303"/>
      <c r="R581" s="991">
        <f>IFERROR(Таблица47[[#This Row],[Коли-
чество м.п.]]/Таблица47[[#This Row],[Количество хлыстов]],"")</f>
        <v>1</v>
      </c>
      <c r="S581" s="639" t="s">
        <v>5143</v>
      </c>
      <c r="T581" s="639">
        <v>8</v>
      </c>
      <c r="U581" s="639">
        <v>8</v>
      </c>
      <c r="V581" s="639">
        <v>0.1701</v>
      </c>
      <c r="W581" s="639">
        <v>0.76500000000000001</v>
      </c>
      <c r="X581" s="639">
        <v>1.3608</v>
      </c>
      <c r="Y581" s="639">
        <v>6.12</v>
      </c>
      <c r="Z581" s="639">
        <v>0.18</v>
      </c>
      <c r="AA581" s="639">
        <v>313</v>
      </c>
      <c r="AB581" s="639">
        <v>1469.48</v>
      </c>
      <c r="AC581" s="641">
        <v>2504</v>
      </c>
    </row>
    <row r="582" spans="1:29" ht="15.75" customHeight="1" x14ac:dyDescent="0.25">
      <c r="A582" s="427" t="s">
        <v>4678</v>
      </c>
      <c r="B582" s="1126">
        <v>391</v>
      </c>
      <c r="C582" s="1126" t="s">
        <v>4753</v>
      </c>
      <c r="D582" s="1127" t="s">
        <v>13</v>
      </c>
      <c r="E582" s="1127" t="s">
        <v>30</v>
      </c>
      <c r="F582" s="1129">
        <v>45476</v>
      </c>
      <c r="G582" s="528">
        <v>45576</v>
      </c>
      <c r="H58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2" s="522" t="str">
        <f>CONCATENATE(Таблица47[[#This Row],[№ заявки в 1С]],Таблица47[[#This Row],[Наименование            ]])</f>
        <v>391[89960] ПКФ (177) 5050 Д L=1560 АД31Т1</v>
      </c>
      <c r="J58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104</v>
      </c>
      <c r="K58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104</v>
      </c>
      <c r="L58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104</v>
      </c>
      <c r="M582" s="635"/>
      <c r="N582" s="1119">
        <v>104</v>
      </c>
      <c r="O582" s="1013">
        <f>IFERROR(Таблица47[[#This Row],[Количество хлыстов]]-Таблица47[[#This Row],[Обработано в 1С]]-Таблица47[[#This Row],[Корректировка]],"")</f>
        <v>0</v>
      </c>
      <c r="P582" s="638">
        <f>IFERROR((((Таблица47[[#This Row],[Осталось сделать, хлыст]]*Таблица47[[#This Row],[длина]])*Таблица47[[#This Row],[Периметр]])/28),"")</f>
        <v>0</v>
      </c>
      <c r="Q582" s="303"/>
      <c r="R582" s="991">
        <f>IFERROR(Таблица47[[#This Row],[Коли-
чество м.п.]]/Таблица47[[#This Row],[Количество хлыстов]],"")</f>
        <v>1</v>
      </c>
      <c r="S582" s="639" t="s">
        <v>5144</v>
      </c>
      <c r="T582" s="639">
        <v>104</v>
      </c>
      <c r="U582" s="639">
        <v>104</v>
      </c>
      <c r="V582" s="639">
        <v>0.17249999999999999</v>
      </c>
      <c r="W582" s="639">
        <v>0.81499999999999995</v>
      </c>
      <c r="X582" s="639">
        <v>17.940000000000001</v>
      </c>
      <c r="Y582" s="639">
        <v>84.76</v>
      </c>
      <c r="Z582" s="639">
        <v>2.33</v>
      </c>
      <c r="AA582" s="639">
        <v>335</v>
      </c>
      <c r="AB582" s="639">
        <v>1240.74</v>
      </c>
      <c r="AC582" s="641">
        <v>34840</v>
      </c>
    </row>
    <row r="583" spans="1:29" ht="15.75" customHeight="1" x14ac:dyDescent="0.25">
      <c r="A583" s="427" t="s">
        <v>4678</v>
      </c>
      <c r="B583" s="1126">
        <v>391</v>
      </c>
      <c r="C583" s="1126" t="s">
        <v>4753</v>
      </c>
      <c r="D583" s="1127" t="s">
        <v>13</v>
      </c>
      <c r="E583" s="1127" t="s">
        <v>30</v>
      </c>
      <c r="F583" s="1129">
        <v>45476</v>
      </c>
      <c r="G583" s="528">
        <v>45576</v>
      </c>
      <c r="H5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3" s="522" t="str">
        <f>CONCATENATE(Таблица47[[#This Row],[№ заявки в 1С]],Таблица47[[#This Row],[Наименование            ]])</f>
        <v>391[89961] ПКФ (176) 5033 Д L=1560 АД31Т1</v>
      </c>
      <c r="J58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104</v>
      </c>
      <c r="K58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104</v>
      </c>
      <c r="L58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104</v>
      </c>
      <c r="M583" s="635"/>
      <c r="N583" s="1119">
        <v>104</v>
      </c>
      <c r="O583" s="1013">
        <f>IFERROR(Таблица47[[#This Row],[Количество хлыстов]]-Таблица47[[#This Row],[Обработано в 1С]]-Таблица47[[#This Row],[Корректировка]],"")</f>
        <v>0</v>
      </c>
      <c r="P583" s="638">
        <f>IFERROR((((Таблица47[[#This Row],[Осталось сделать, хлыст]]*Таблица47[[#This Row],[длина]])*Таблица47[[#This Row],[Периметр]])/28),"")</f>
        <v>0</v>
      </c>
      <c r="Q583" s="303"/>
      <c r="R583" s="991">
        <f>IFERROR(Таблица47[[#This Row],[Коли-
чество м.п.]]/Таблица47[[#This Row],[Количество хлыстов]],"")</f>
        <v>1</v>
      </c>
      <c r="S583" s="639" t="s">
        <v>5145</v>
      </c>
      <c r="T583" s="639">
        <v>104</v>
      </c>
      <c r="U583" s="639">
        <v>104</v>
      </c>
      <c r="V583" s="639">
        <v>0.1701</v>
      </c>
      <c r="W583" s="639">
        <v>0.76500000000000001</v>
      </c>
      <c r="X583" s="639">
        <v>17.6904</v>
      </c>
      <c r="Y583" s="639">
        <v>79.56</v>
      </c>
      <c r="Z583" s="639">
        <v>2.2999999999999998</v>
      </c>
      <c r="AA583" s="639">
        <v>335</v>
      </c>
      <c r="AB583" s="639">
        <v>1259.4000000000001</v>
      </c>
      <c r="AC583" s="641">
        <v>34840</v>
      </c>
    </row>
    <row r="584" spans="1:29" ht="15.75" customHeight="1" x14ac:dyDescent="0.25">
      <c r="A584" s="427" t="s">
        <v>4678</v>
      </c>
      <c r="B584" s="309">
        <v>392</v>
      </c>
      <c r="C584" s="309"/>
      <c r="D584" s="303" t="s">
        <v>34</v>
      </c>
      <c r="E584" s="303" t="s">
        <v>893</v>
      </c>
      <c r="F584" s="528">
        <v>45476</v>
      </c>
      <c r="G584" s="528"/>
      <c r="H58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4" s="522" t="str">
        <f>CONCATENATE(Таблица47[[#This Row],[№ заявки в 1С]],Таблица47[[#This Row],[Наименование            ]])</f>
        <v>392[57128] 0306-74, 6,0м, 6063 Т6, упаковка Т-5, БА</v>
      </c>
      <c r="J58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65</v>
      </c>
      <c r="K58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65</v>
      </c>
      <c r="L58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65</v>
      </c>
      <c r="M584" s="635"/>
      <c r="N584" s="1119">
        <v>65</v>
      </c>
      <c r="O584" s="1013">
        <f>IFERROR(Таблица47[[#This Row],[Количество хлыстов]]-Таблица47[[#This Row],[Обработано в 1С]]-Таблица47[[#This Row],[Корректировка]],"")</f>
        <v>0</v>
      </c>
      <c r="P584" s="638">
        <f>IFERROR((((Таблица47[[#This Row],[Осталось сделать, хлыст]]*Таблица47[[#This Row],[длина]])*Таблица47[[#This Row],[Периметр]])/28),"")</f>
        <v>0</v>
      </c>
      <c r="Q584" s="303"/>
      <c r="R584" s="991">
        <f>IFERROR(Таблица47[[#This Row],[Коли-
чество м.п.]]/Таблица47[[#This Row],[Количество хлыстов]],"")</f>
        <v>6</v>
      </c>
      <c r="S584" s="639" t="s">
        <v>4682</v>
      </c>
      <c r="T584" s="639">
        <v>390</v>
      </c>
      <c r="U584" s="640">
        <v>65</v>
      </c>
      <c r="V584" s="639">
        <v>0.35859999999999997</v>
      </c>
      <c r="W584" s="639">
        <v>1.518</v>
      </c>
      <c r="X584" s="639">
        <v>139.85400000000001</v>
      </c>
      <c r="Y584" s="639">
        <v>592.02</v>
      </c>
      <c r="Z584" s="639">
        <v>18.18</v>
      </c>
      <c r="AA584" s="639">
        <v>141.65</v>
      </c>
      <c r="AB584" s="639">
        <v>395</v>
      </c>
      <c r="AC584" s="641">
        <v>55242.33</v>
      </c>
    </row>
    <row r="585" spans="1:29" ht="15.75" customHeight="1" x14ac:dyDescent="0.25">
      <c r="A585" s="427" t="s">
        <v>4678</v>
      </c>
      <c r="B585" s="309">
        <v>393</v>
      </c>
      <c r="C585" s="309"/>
      <c r="D585" s="303" t="s">
        <v>34</v>
      </c>
      <c r="E585" s="303" t="s">
        <v>328</v>
      </c>
      <c r="F585" s="528">
        <v>45476</v>
      </c>
      <c r="G585" s="528"/>
      <c r="H58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5" s="522" t="str">
        <f>CONCATENATE(Таблица47[[#This Row],[№ заявки в 1С]],Таблица47[[#This Row],[Наименование            ]])</f>
        <v>393[70484] 1506-77 (АА-2050-85), 6,0м, 6063 Т6, упаковка Т-5, без покрытия</v>
      </c>
      <c r="J58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356</v>
      </c>
      <c r="K58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356</v>
      </c>
      <c r="L58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350</v>
      </c>
      <c r="M585" s="635">
        <v>6</v>
      </c>
      <c r="N585" s="1119">
        <v>350</v>
      </c>
      <c r="O585" s="1013">
        <f>IFERROR(Таблица47[[#This Row],[Количество хлыстов]]-Таблица47[[#This Row],[Обработано в 1С]]-Таблица47[[#This Row],[Корректировка]],"")</f>
        <v>0</v>
      </c>
      <c r="P585" s="638">
        <f>IFERROR((((Таблица47[[#This Row],[Осталось сделать, хлыст]]*Таблица47[[#This Row],[длина]])*Таблица47[[#This Row],[Периметр]])/28),"")</f>
        <v>0</v>
      </c>
      <c r="Q585" s="303" t="s">
        <v>5324</v>
      </c>
      <c r="R585" s="991">
        <f>IFERROR(Таблица47[[#This Row],[Коли-
чество м.п.]]/Таблица47[[#This Row],[Количество хлыстов]],"")</f>
        <v>6</v>
      </c>
      <c r="S585" s="639" t="s">
        <v>4813</v>
      </c>
      <c r="T585" s="639">
        <v>2136</v>
      </c>
      <c r="U585" s="640">
        <v>356</v>
      </c>
      <c r="V585" s="639">
        <v>0.30919999999999997</v>
      </c>
      <c r="W585" s="639">
        <v>1.101</v>
      </c>
      <c r="X585" s="639">
        <v>660.45119999999997</v>
      </c>
      <c r="Y585" s="639">
        <v>2351.7359999999999</v>
      </c>
      <c r="Z585" s="639">
        <v>85.86</v>
      </c>
      <c r="AA585" s="639">
        <v>134.5</v>
      </c>
      <c r="AB585" s="639">
        <v>435</v>
      </c>
      <c r="AC585" s="641">
        <v>287292</v>
      </c>
    </row>
    <row r="586" spans="1:29" ht="15.75" customHeight="1" x14ac:dyDescent="0.25">
      <c r="A586" s="427" t="s">
        <v>4678</v>
      </c>
      <c r="B586" s="309">
        <v>394</v>
      </c>
      <c r="C586" s="309"/>
      <c r="D586" s="303" t="s">
        <v>34</v>
      </c>
      <c r="E586" s="303" t="s">
        <v>19</v>
      </c>
      <c r="F586" s="528">
        <v>45476</v>
      </c>
      <c r="G586" s="528"/>
      <c r="H58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6" s="522" t="str">
        <f>CONCATENATE(Таблица47[[#This Row],[№ заявки в 1С]],Таблица47[[#This Row],[Наименование            ]])</f>
        <v>394[91034] 1506-79, 3,6м, 6063 Т6, упак.Т5, БА</v>
      </c>
      <c r="J58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284</v>
      </c>
      <c r="K58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284</v>
      </c>
      <c r="L58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283</v>
      </c>
      <c r="M586" s="635">
        <v>1</v>
      </c>
      <c r="N586" s="1119">
        <v>283</v>
      </c>
      <c r="O586" s="1013">
        <f>IFERROR(Таблица47[[#This Row],[Количество хлыстов]]-Таблица47[[#This Row],[Обработано в 1С]]-Таблица47[[#This Row],[Корректировка]],"")</f>
        <v>0</v>
      </c>
      <c r="P586" s="638">
        <f>IFERROR((((Таблица47[[#This Row],[Осталось сделать, хлыст]]*Таблица47[[#This Row],[длина]])*Таблица47[[#This Row],[Периметр]])/28),"")</f>
        <v>0</v>
      </c>
      <c r="Q586" s="303" t="s">
        <v>559</v>
      </c>
      <c r="R586" s="991">
        <f>IFERROR(Таблица47[[#This Row],[Коли-
чество м.п.]]/Таблица47[[#This Row],[Количество хлыстов]],"")</f>
        <v>3.6</v>
      </c>
      <c r="S586" s="639" t="s">
        <v>5158</v>
      </c>
      <c r="T586" s="639">
        <v>1022.4</v>
      </c>
      <c r="U586" s="640">
        <v>284</v>
      </c>
      <c r="V586" s="639">
        <v>0.3402</v>
      </c>
      <c r="W586" s="639">
        <v>1.4530000000000001</v>
      </c>
      <c r="X586" s="639">
        <v>347.82049999999998</v>
      </c>
      <c r="Y586" s="639">
        <v>1485.5472</v>
      </c>
      <c r="Z586" s="639">
        <v>45.22</v>
      </c>
      <c r="AA586" s="639">
        <v>136.76</v>
      </c>
      <c r="AB586" s="639">
        <v>402</v>
      </c>
      <c r="AC586" s="641">
        <v>139823.82999999999</v>
      </c>
    </row>
    <row r="587" spans="1:29" ht="15.75" customHeight="1" x14ac:dyDescent="0.25">
      <c r="A587" s="427" t="s">
        <v>4678</v>
      </c>
      <c r="B587" s="309">
        <v>395</v>
      </c>
      <c r="C587" s="309"/>
      <c r="D587" s="303" t="s">
        <v>34</v>
      </c>
      <c r="E587" s="303" t="s">
        <v>3404</v>
      </c>
      <c r="F587" s="528">
        <v>45476</v>
      </c>
      <c r="G587" s="528"/>
      <c r="H58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7" s="522" t="str">
        <f>CONCATENATE(Таблица47[[#This Row],[№ заявки в 1С]],Таблица47[[#This Row],[Наименование            ]])</f>
        <v>395[81578] 1706-68, 6,0м, 6063 Т1, упаковка Т-5, БА</v>
      </c>
      <c r="J58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481</v>
      </c>
      <c r="K58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481</v>
      </c>
      <c r="L58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477</v>
      </c>
      <c r="M587" s="635">
        <v>4</v>
      </c>
      <c r="N587" s="1119">
        <v>477</v>
      </c>
      <c r="O587" s="1013">
        <f>IFERROR(Таблица47[[#This Row],[Количество хлыстов]]-Таблица47[[#This Row],[Обработано в 1С]]-Таблица47[[#This Row],[Корректировка]],"")</f>
        <v>0</v>
      </c>
      <c r="P587" s="638">
        <f>IFERROR((((Таблица47[[#This Row],[Осталось сделать, хлыст]]*Таблица47[[#This Row],[длина]])*Таблица47[[#This Row],[Периметр]])/28),"")</f>
        <v>0</v>
      </c>
      <c r="Q587" s="303" t="s">
        <v>3080</v>
      </c>
      <c r="R587" s="991">
        <f>IFERROR(Таблица47[[#This Row],[Коли-
чество м.п.]]/Таблица47[[#This Row],[Количество хлыстов]],"")</f>
        <v>6</v>
      </c>
      <c r="S587" s="639" t="s">
        <v>4582</v>
      </c>
      <c r="T587" s="639">
        <v>2886</v>
      </c>
      <c r="U587" s="640">
        <v>481</v>
      </c>
      <c r="V587" s="639">
        <v>0.10100000000000001</v>
      </c>
      <c r="W587" s="639">
        <v>0.30599999999999999</v>
      </c>
      <c r="X587" s="639">
        <v>291.48599999999999</v>
      </c>
      <c r="Y587" s="639">
        <v>883.11599999999999</v>
      </c>
      <c r="Z587" s="639">
        <v>37.89</v>
      </c>
      <c r="AA587" s="639">
        <v>44.14</v>
      </c>
      <c r="AB587" s="639">
        <v>437</v>
      </c>
      <c r="AC587" s="641">
        <v>127379.38</v>
      </c>
    </row>
    <row r="588" spans="1:29" ht="15.75" customHeight="1" x14ac:dyDescent="0.25">
      <c r="A588" s="427" t="s">
        <v>4678</v>
      </c>
      <c r="B588" s="309" t="s">
        <v>5200</v>
      </c>
      <c r="C588" s="309"/>
      <c r="D588" s="303" t="s">
        <v>34</v>
      </c>
      <c r="E588" s="303" t="s">
        <v>5201</v>
      </c>
      <c r="F588" s="528">
        <v>45476</v>
      </c>
      <c r="G588" s="528"/>
      <c r="H58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8" s="522" t="str">
        <f>CONCATENATE(Таблица47[[#This Row],[№ заявки в 1С]],Таблица47[[#This Row],[Наименование            ]])</f>
        <v>STR000173[89971] 2606-68, 3,1м, 6063 Т6, уп.Т5, без покрытия</v>
      </c>
      <c r="J58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45</v>
      </c>
      <c r="K58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45</v>
      </c>
      <c r="L58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45</v>
      </c>
      <c r="M588" s="635"/>
      <c r="N588" s="1119">
        <v>45</v>
      </c>
      <c r="O588" s="1013">
        <f>IFERROR(Таблица47[[#This Row],[Количество хлыстов]]-Таблица47[[#This Row],[Обработано в 1С]]-Таблица47[[#This Row],[Корректировка]],"")</f>
        <v>0</v>
      </c>
      <c r="P588" s="638">
        <f>IFERROR((((Таблица47[[#This Row],[Осталось сделать, хлыст]]*Таблица47[[#This Row],[длина]])*Таблица47[[#This Row],[Периметр]])/28),"")</f>
        <v>0</v>
      </c>
      <c r="Q588" s="303"/>
      <c r="R588" s="991">
        <f>IFERROR(Таблица47[[#This Row],[Коли-
чество м.п.]]/Таблица47[[#This Row],[Количество хлыстов]],"")</f>
        <v>3.1</v>
      </c>
      <c r="S588" s="639" t="s">
        <v>5199</v>
      </c>
      <c r="T588" s="639">
        <v>139.5</v>
      </c>
      <c r="U588" s="640">
        <v>45</v>
      </c>
      <c r="V588" s="639">
        <v>0.2046</v>
      </c>
      <c r="W588" s="639">
        <v>0.92700000000000005</v>
      </c>
      <c r="X588" s="639">
        <v>28.541699999999999</v>
      </c>
      <c r="Y588" s="639">
        <v>129.31649999999999</v>
      </c>
      <c r="Z588" s="639">
        <v>3.71</v>
      </c>
      <c r="AA588" s="639">
        <v>101.89</v>
      </c>
      <c r="AB588" s="639">
        <v>498</v>
      </c>
      <c r="AC588" s="641">
        <v>14213.77</v>
      </c>
    </row>
    <row r="589" spans="1:29" ht="15.75" customHeight="1" x14ac:dyDescent="0.25">
      <c r="A589" s="427" t="s">
        <v>4678</v>
      </c>
      <c r="B589" s="309">
        <v>396</v>
      </c>
      <c r="C589" s="309" t="s">
        <v>4753</v>
      </c>
      <c r="D589" s="303" t="s">
        <v>13</v>
      </c>
      <c r="E589" s="303" t="s">
        <v>3791</v>
      </c>
      <c r="F589" s="528">
        <v>45478</v>
      </c>
      <c r="G589" s="528">
        <v>45509</v>
      </c>
      <c r="H58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89" s="522" t="str">
        <f>CONCATENATE(Таблица47[[#This Row],[№ заявки в 1С]],Таблица47[[#This Row],[Наименование            ]])</f>
        <v>396[91637] Крышка профиля ЛК60, 6+6 мм, 5м, АД31</v>
      </c>
      <c r="J58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200</v>
      </c>
      <c r="K58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200</v>
      </c>
      <c r="L58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100</v>
      </c>
      <c r="M589" s="635">
        <v>100</v>
      </c>
      <c r="N589" s="1119">
        <v>100</v>
      </c>
      <c r="O589" s="1013">
        <f>IFERROR(Таблица47[[#This Row],[Количество хлыстов]]-Таблица47[[#This Row],[Обработано в 1С]]-Таблица47[[#This Row],[Корректировка]],"")</f>
        <v>0</v>
      </c>
      <c r="P589" s="638">
        <f>IFERROR((((Таблица47[[#This Row],[Осталось сделать, хлыст]]*Таблица47[[#This Row],[длина]])*Таблица47[[#This Row],[Периметр]])/28),"")</f>
        <v>0</v>
      </c>
      <c r="Q589" s="303" t="s">
        <v>5247</v>
      </c>
      <c r="R589" s="991">
        <f>IFERROR(Таблица47[[#This Row],[Коли-
чество м.п.]]/Таблица47[[#This Row],[Количество хлыстов]],"")</f>
        <v>5</v>
      </c>
      <c r="S589" s="639" t="s">
        <v>5204</v>
      </c>
      <c r="T589" s="639">
        <v>1000</v>
      </c>
      <c r="U589" s="640">
        <v>200</v>
      </c>
      <c r="V589" s="639">
        <v>0.08</v>
      </c>
      <c r="W589" s="639">
        <v>0.16</v>
      </c>
      <c r="X589" s="639">
        <v>80</v>
      </c>
      <c r="Y589" s="639">
        <v>160</v>
      </c>
      <c r="Z589" s="639">
        <v>10.4</v>
      </c>
      <c r="AA589" s="639">
        <v>91.92</v>
      </c>
      <c r="AB589" s="639">
        <v>1149</v>
      </c>
      <c r="AC589" s="641">
        <v>91920</v>
      </c>
    </row>
    <row r="590" spans="1:29" ht="15.75" customHeight="1" x14ac:dyDescent="0.25">
      <c r="A590" s="427" t="s">
        <v>4678</v>
      </c>
      <c r="B590" s="309">
        <v>397</v>
      </c>
      <c r="C590" s="309" t="s">
        <v>4753</v>
      </c>
      <c r="D590" s="303" t="s">
        <v>4858</v>
      </c>
      <c r="E590" s="303" t="s">
        <v>5206</v>
      </c>
      <c r="F590" s="528">
        <v>45478</v>
      </c>
      <c r="G590" s="528"/>
      <c r="H59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0" s="522" t="str">
        <f>CONCATENATE(Таблица47[[#This Row],[№ заявки в 1С]],Таблица47[[#This Row],[Наименование            ]])</f>
        <v>397[91645] труба 200х50х2мм Д, 2,0м БА</v>
      </c>
      <c r="J59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33</v>
      </c>
      <c r="K59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33</v>
      </c>
      <c r="L59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33</v>
      </c>
      <c r="M590" s="635"/>
      <c r="N590" s="1119">
        <v>33</v>
      </c>
      <c r="O590" s="1013">
        <f>IFERROR(Таблица47[[#This Row],[Количество хлыстов]]-Таблица47[[#This Row],[Обработано в 1С]]-Таблица47[[#This Row],[Корректировка]],"")</f>
        <v>0</v>
      </c>
      <c r="P590" s="638">
        <f>IFERROR((((Таблица47[[#This Row],[Осталось сделать, хлыст]]*Таблица47[[#This Row],[длина]])*Таблица47[[#This Row],[Периметр]])/28),"")</f>
        <v>0</v>
      </c>
      <c r="Q590" s="303"/>
      <c r="R590" s="991">
        <f>IFERROR(Таблица47[[#This Row],[Коли-
чество м.п.]]/Таблица47[[#This Row],[Количество хлыстов]],"")</f>
        <v>2</v>
      </c>
      <c r="S590" s="639" t="s">
        <v>5205</v>
      </c>
      <c r="T590" s="639">
        <v>66</v>
      </c>
      <c r="U590" s="640">
        <v>33</v>
      </c>
      <c r="V590" s="639">
        <v>0.5</v>
      </c>
      <c r="W590" s="639">
        <v>2.6669999999999998</v>
      </c>
      <c r="X590" s="639">
        <v>33</v>
      </c>
      <c r="Y590" s="639">
        <v>176.02199999999999</v>
      </c>
      <c r="Z590" s="639">
        <v>4.29</v>
      </c>
      <c r="AA590" s="639">
        <v>319.08999999999997</v>
      </c>
      <c r="AB590" s="639">
        <v>638.17999999999995</v>
      </c>
      <c r="AC590" s="641">
        <v>21060</v>
      </c>
    </row>
    <row r="591" spans="1:29" ht="15.75" customHeight="1" x14ac:dyDescent="0.25">
      <c r="A591" s="427" t="s">
        <v>4678</v>
      </c>
      <c r="B591" s="309">
        <v>398</v>
      </c>
      <c r="C591" s="309"/>
      <c r="D591" s="303" t="s">
        <v>13</v>
      </c>
      <c r="E591" s="303" t="s">
        <v>4247</v>
      </c>
      <c r="F591" s="528">
        <v>45478</v>
      </c>
      <c r="G591" s="528"/>
      <c r="H59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1" s="522" t="str">
        <f>CONCATENATE(Таблица47[[#This Row],[№ заявки в 1С]],Таблица47[[#This Row],[Наименование            ]])</f>
        <v>398[76221] 220650 (1606-52, АВА-3665) бортовой боковой 3,2м сплав 6063 Т6</v>
      </c>
      <c r="J59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148</v>
      </c>
      <c r="K59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148</v>
      </c>
      <c r="L59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145</v>
      </c>
      <c r="M591" s="635">
        <v>3</v>
      </c>
      <c r="N591" s="1119">
        <v>145</v>
      </c>
      <c r="O591" s="1013">
        <f>IFERROR(Таблица47[[#This Row],[Количество хлыстов]]-Таблица47[[#This Row],[Обработано в 1С]]-Таблица47[[#This Row],[Корректировка]],"")</f>
        <v>0</v>
      </c>
      <c r="P591" s="638">
        <f>IFERROR((((Таблица47[[#This Row],[Осталось сделать, хлыст]]*Таблица47[[#This Row],[длина]])*Таблица47[[#This Row],[Периметр]])/28),"")</f>
        <v>0</v>
      </c>
      <c r="Q591" s="303"/>
      <c r="R591" s="991">
        <f>IFERROR(Таблица47[[#This Row],[Коли-
чество м.п.]]/Таблица47[[#This Row],[Количество хлыстов]],"")</f>
        <v>3.2</v>
      </c>
      <c r="S591" s="639" t="s">
        <v>4459</v>
      </c>
      <c r="T591" s="639">
        <v>473.6</v>
      </c>
      <c r="U591" s="640">
        <v>148</v>
      </c>
      <c r="V591" s="639">
        <v>0.31</v>
      </c>
      <c r="W591" s="639">
        <v>1.2010000000000001</v>
      </c>
      <c r="X591" s="639">
        <v>146.816</v>
      </c>
      <c r="Y591" s="639">
        <v>568.79359999999997</v>
      </c>
      <c r="Z591" s="639">
        <v>19.09</v>
      </c>
      <c r="AA591" s="639">
        <v>159.96</v>
      </c>
      <c r="AB591" s="639">
        <v>516</v>
      </c>
      <c r="AC591" s="641">
        <v>75757.06</v>
      </c>
    </row>
    <row r="592" spans="1:29" ht="15.75" customHeight="1" x14ac:dyDescent="0.25">
      <c r="A592" s="427" t="s">
        <v>4678</v>
      </c>
      <c r="B592" s="309">
        <v>399</v>
      </c>
      <c r="C592" s="309"/>
      <c r="D592" s="303" t="s">
        <v>13</v>
      </c>
      <c r="E592" s="303" t="s">
        <v>4247</v>
      </c>
      <c r="F592" s="528">
        <v>45478</v>
      </c>
      <c r="G592" s="528"/>
      <c r="H59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2" s="522" t="str">
        <f>CONCATENATE(Таблица47[[#This Row],[№ заявки в 1С]],Таблица47[[#This Row],[Наименование            ]])</f>
        <v>399[88517] 220650 (1606-52) бортовой боковой 4,4м сплав 6063 Т6</v>
      </c>
      <c r="J59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99</v>
      </c>
      <c r="K59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99</v>
      </c>
      <c r="L59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99</v>
      </c>
      <c r="M592" s="635"/>
      <c r="N592" s="1119">
        <v>99</v>
      </c>
      <c r="O592" s="1013">
        <f>IFERROR(Таблица47[[#This Row],[Количество хлыстов]]-Таблица47[[#This Row],[Обработано в 1С]]-Таблица47[[#This Row],[Корректировка]],"")</f>
        <v>0</v>
      </c>
      <c r="P592" s="638">
        <f>IFERROR((((Таблица47[[#This Row],[Осталось сделать, хлыст]]*Таблица47[[#This Row],[длина]])*Таблица47[[#This Row],[Периметр]])/28),"")</f>
        <v>0</v>
      </c>
      <c r="Q592" s="303"/>
      <c r="R592" s="991">
        <f>IFERROR(Таблица47[[#This Row],[Коли-
чество м.п.]]/Таблица47[[#This Row],[Количество хлыстов]],"")</f>
        <v>4.4000000000000004</v>
      </c>
      <c r="S592" s="639" t="s">
        <v>4662</v>
      </c>
      <c r="T592" s="639">
        <v>435.6</v>
      </c>
      <c r="U592" s="640">
        <v>99</v>
      </c>
      <c r="V592" s="639">
        <v>0.31</v>
      </c>
      <c r="W592" s="639">
        <v>1.2010000000000001</v>
      </c>
      <c r="X592" s="639">
        <v>135.036</v>
      </c>
      <c r="Y592" s="639">
        <v>523.15560000000005</v>
      </c>
      <c r="Z592" s="639">
        <v>17.55</v>
      </c>
      <c r="AA592" s="639">
        <v>159.96</v>
      </c>
      <c r="AB592" s="639">
        <v>516</v>
      </c>
      <c r="AC592" s="641">
        <v>69678.58</v>
      </c>
    </row>
    <row r="593" spans="1:29" ht="15.75" customHeight="1" x14ac:dyDescent="0.25">
      <c r="A593" s="427" t="s">
        <v>4678</v>
      </c>
      <c r="B593" s="1070">
        <v>400</v>
      </c>
      <c r="C593" s="1070"/>
      <c r="D593" s="200" t="s">
        <v>13</v>
      </c>
      <c r="E593" s="200" t="s">
        <v>3819</v>
      </c>
      <c r="F593" s="201">
        <v>45478</v>
      </c>
      <c r="G593" s="528"/>
      <c r="H59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3" s="522" t="str">
        <f>CONCATENATE(Таблица47[[#This Row],[№ заявки в 1С]],Таблица47[[#This Row],[Наименование            ]])</f>
        <v>400[77780] автоуголок 250*40мм (1706-75, 97101) 6,0м, сплав 6063 Т6 +  упаковка А5</v>
      </c>
      <c r="J59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49</v>
      </c>
      <c r="K59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49</v>
      </c>
      <c r="L59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49</v>
      </c>
      <c r="M593" s="635"/>
      <c r="N593" s="1119">
        <v>49</v>
      </c>
      <c r="O593" s="1013">
        <f>IFERROR(Таблица47[[#This Row],[Количество хлыстов]]-Таблица47[[#This Row],[Обработано в 1С]]-Таблица47[[#This Row],[Корректировка]],"")</f>
        <v>0</v>
      </c>
      <c r="P593" s="638">
        <f>IFERROR((((Таблица47[[#This Row],[Осталось сделать, хлыст]]*Таблица47[[#This Row],[длина]])*Таблица47[[#This Row],[Периметр]])/28),"")</f>
        <v>0</v>
      </c>
      <c r="Q593" s="303"/>
      <c r="R593" s="991">
        <f>IFERROR(Таблица47[[#This Row],[Коли-
чество м.п.]]/Таблица47[[#This Row],[Количество хлыстов]],"")</f>
        <v>6</v>
      </c>
      <c r="S593" s="639" t="s">
        <v>5216</v>
      </c>
      <c r="T593" s="639">
        <v>294</v>
      </c>
      <c r="U593" s="640">
        <v>49</v>
      </c>
      <c r="V593" s="639">
        <v>0.60040000000000004</v>
      </c>
      <c r="W593" s="639">
        <v>2.5739999999999998</v>
      </c>
      <c r="X593" s="639">
        <v>176.51759999999999</v>
      </c>
      <c r="Y593" s="639">
        <v>756.75599999999997</v>
      </c>
      <c r="Z593" s="639">
        <v>22.95</v>
      </c>
      <c r="AA593" s="639">
        <v>261.17</v>
      </c>
      <c r="AB593" s="639">
        <v>435</v>
      </c>
      <c r="AC593" s="641">
        <v>76785.16</v>
      </c>
    </row>
    <row r="594" spans="1:29" customFormat="1" ht="15.75" customHeight="1" x14ac:dyDescent="0.25">
      <c r="A594" s="427" t="s">
        <v>4678</v>
      </c>
      <c r="B594" s="309">
        <v>400</v>
      </c>
      <c r="C594" s="1169"/>
      <c r="D594" s="1170" t="s">
        <v>4858</v>
      </c>
      <c r="E594" s="1170" t="s">
        <v>4734</v>
      </c>
      <c r="F594" s="1171">
        <v>45478</v>
      </c>
      <c r="G594" s="1171"/>
      <c r="H594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4" s="903" t="str">
        <f>CONCATENATE(Таблица47[[#This Row],[№ заявки в 1С]],Таблица47[[#This Row],[Наименование            ]])</f>
        <v>400[69916] автоуголок 50*50 мм (97082) 6,0м,  сплав 6063 Т6 + упаковка А5</v>
      </c>
      <c r="J594" s="115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93</v>
      </c>
      <c r="K594" s="115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148</v>
      </c>
      <c r="L594" s="115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55</v>
      </c>
      <c r="M594" s="1155">
        <v>93</v>
      </c>
      <c r="N594" s="393">
        <v>55</v>
      </c>
      <c r="O594" s="1001">
        <f>IFERROR(Таблица47[[#This Row],[Количество хлыстов]]-Таблица47[[#This Row],[Обработано в 1С]]-Таблица47[[#This Row],[Корректировка]],"")</f>
        <v>0</v>
      </c>
      <c r="P594" s="638">
        <f>IFERROR((((Таблица47[[#This Row],[Осталось сделать, хлыст]]*Таблица47[[#This Row],[длина]])*Таблица47[[#This Row],[Периметр]])/28),"")</f>
        <v>0</v>
      </c>
      <c r="Q594" s="159" t="s">
        <v>5855</v>
      </c>
      <c r="R594" s="280">
        <f>IFERROR(Таблица47[[#This Row],[Коли-
чество м.п.]]/Таблица47[[#This Row],[Количество хлыстов]],"")</f>
        <v>6</v>
      </c>
      <c r="S594" s="525" t="s">
        <v>4727</v>
      </c>
      <c r="T594" s="525">
        <v>888</v>
      </c>
      <c r="U594" s="526">
        <v>148</v>
      </c>
      <c r="V594" s="525">
        <v>0.1938</v>
      </c>
      <c r="W594" s="525">
        <v>0.63600000000000001</v>
      </c>
      <c r="X594" s="525">
        <v>172.09440000000001</v>
      </c>
      <c r="Y594" s="525">
        <v>564.76800000000003</v>
      </c>
      <c r="Z594" s="525">
        <v>22.37</v>
      </c>
      <c r="AA594" s="525">
        <v>84.3</v>
      </c>
      <c r="AB594" s="525">
        <v>435</v>
      </c>
      <c r="AC594" s="527">
        <v>74861.06</v>
      </c>
    </row>
    <row r="595" spans="1:29" ht="15.75" customHeight="1" x14ac:dyDescent="0.25">
      <c r="A595" s="427" t="s">
        <v>4678</v>
      </c>
      <c r="B595" s="309" t="s">
        <v>5208</v>
      </c>
      <c r="C595" s="309"/>
      <c r="D595" s="303" t="s">
        <v>34</v>
      </c>
      <c r="E595" s="303" t="s">
        <v>16</v>
      </c>
      <c r="F595" s="528">
        <v>45481</v>
      </c>
      <c r="G595" s="528"/>
      <c r="H59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5" s="522" t="str">
        <f>CONCATENATE(Таблица47[[#This Row],[№ заявки в 1С]],Таблица47[[#This Row],[Наименование            ]])</f>
        <v>OPT000721[13620] 0106-290 (6158), 6,0м, 6063 Т1, тип 1, упаковка Т-5, БА</v>
      </c>
      <c r="J59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104</v>
      </c>
      <c r="K59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104</v>
      </c>
      <c r="L59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104</v>
      </c>
      <c r="M595" s="635"/>
      <c r="N595" s="1119">
        <v>104</v>
      </c>
      <c r="O595" s="1013">
        <f>IFERROR(Таблица47[[#This Row],[Количество хлыстов]]-Таблица47[[#This Row],[Обработано в 1С]]-Таблица47[[#This Row],[Корректировка]],"")</f>
        <v>0</v>
      </c>
      <c r="P595" s="638">
        <f>IFERROR((((Таблица47[[#This Row],[Осталось сделать, хлыст]]*Таблица47[[#This Row],[длина]])*Таблица47[[#This Row],[Периметр]])/28),"")</f>
        <v>0</v>
      </c>
      <c r="Q595" s="303"/>
      <c r="R595" s="991">
        <f>IFERROR(Таблица47[[#This Row],[Коли-
чество м.п.]]/Таблица47[[#This Row],[Количество хлыстов]],"")</f>
        <v>6</v>
      </c>
      <c r="S595" s="639" t="s">
        <v>5693</v>
      </c>
      <c r="T595" s="639">
        <v>624</v>
      </c>
      <c r="U595" s="640">
        <v>104</v>
      </c>
      <c r="V595" s="639">
        <v>0.29970000000000002</v>
      </c>
      <c r="W595" s="639">
        <v>1.6739999999999999</v>
      </c>
      <c r="X595" s="639">
        <v>187.0128</v>
      </c>
      <c r="Y595" s="639">
        <v>1044.576</v>
      </c>
      <c r="Z595" s="639">
        <v>24.31</v>
      </c>
      <c r="AA595" s="639">
        <v>130.37</v>
      </c>
      <c r="AB595" s="639">
        <v>435</v>
      </c>
      <c r="AC595" s="641">
        <v>81350.570000000007</v>
      </c>
    </row>
    <row r="596" spans="1:29" customFormat="1" ht="15.75" customHeight="1" x14ac:dyDescent="0.25">
      <c r="A596" s="924" t="s">
        <v>4678</v>
      </c>
      <c r="B596" s="925" t="s">
        <v>3537</v>
      </c>
      <c r="C596" s="925"/>
      <c r="D596" s="926" t="s">
        <v>34</v>
      </c>
      <c r="E596" s="926" t="s">
        <v>16</v>
      </c>
      <c r="F596" s="927">
        <v>45481</v>
      </c>
      <c r="G596" s="927"/>
      <c r="H59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6" s="928" t="str">
        <f>CONCATENATE(Таблица47[[#This Row],[№ заявки в 1С]],Таблица47[[#This Row],[Наименование            ]])</f>
        <v>OPT000722[38435] 0506-20, 6,0м, 6063 Т1, упаковка Т-5, под анод тип 1, БА</v>
      </c>
      <c r="J596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190</v>
      </c>
      <c r="K596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190</v>
      </c>
      <c r="L596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190</v>
      </c>
      <c r="M596" s="928"/>
      <c r="N596" s="937">
        <v>190</v>
      </c>
      <c r="O596" s="1001">
        <f>IFERROR(Таблица47[[#This Row],[Количество хлыстов]]-Таблица47[[#This Row],[Обработано в 1С]]-Таблица47[[#This Row],[Корректировка]],"")</f>
        <v>0</v>
      </c>
      <c r="P596" s="638">
        <f>IFERROR((((Таблица47[[#This Row],[Осталось сделать, хлыст]]*Таблица47[[#This Row],[длина]])*Таблица47[[#This Row],[Периметр]])/28),"")</f>
        <v>0</v>
      </c>
      <c r="Q596" s="926"/>
      <c r="R596" s="938">
        <f>IFERROR(Таблица47[[#This Row],[Коли-
чество м.п.]]/Таблица47[[#This Row],[Количество хлыстов]],"")</f>
        <v>6</v>
      </c>
      <c r="S596" s="933" t="s">
        <v>2730</v>
      </c>
      <c r="T596" s="933">
        <v>1140</v>
      </c>
      <c r="U596" s="934">
        <v>190</v>
      </c>
      <c r="V596" s="933">
        <v>0.3498</v>
      </c>
      <c r="W596" s="933">
        <v>1.425</v>
      </c>
      <c r="X596" s="933">
        <v>398.77199999999999</v>
      </c>
      <c r="Y596" s="933">
        <v>1624.5</v>
      </c>
      <c r="Z596" s="933">
        <v>51.84</v>
      </c>
      <c r="AA596" s="933">
        <v>152.16</v>
      </c>
      <c r="AB596" s="933">
        <v>435</v>
      </c>
      <c r="AC596" s="935">
        <v>173465.82</v>
      </c>
    </row>
    <row r="597" spans="1:29" ht="15.75" customHeight="1" x14ac:dyDescent="0.25">
      <c r="A597" s="427" t="s">
        <v>4678</v>
      </c>
      <c r="B597" s="309">
        <v>403</v>
      </c>
      <c r="C597" s="309" t="s">
        <v>4753</v>
      </c>
      <c r="D597" s="303" t="s">
        <v>13</v>
      </c>
      <c r="E597" s="303" t="s">
        <v>292</v>
      </c>
      <c r="F597" s="528">
        <v>45504</v>
      </c>
      <c r="G597" s="201">
        <v>45519</v>
      </c>
      <c r="H597" s="200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7" s="522" t="str">
        <f>CONCATENATE(Таблица47[[#This Row],[№ заявки в 1С]],Таблица47[[#This Row],[Наименование            ]])</f>
        <v>403[89733] ПМ47 (Д), 5м, сплав 6063</v>
      </c>
      <c r="J59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9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9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97" s="635"/>
      <c r="N597" s="1119">
        <v>480</v>
      </c>
      <c r="O597" s="1013" t="str">
        <f>IFERROR(Таблица47[[#This Row],[Количество хлыстов]]-Таблица47[[#This Row],[Обработано в 1С]]-Таблица47[[#This Row],[Корректировка]],"")</f>
        <v/>
      </c>
      <c r="P597" s="638" t="str">
        <f>IFERROR((((Таблица47[[#This Row],[Осталось сделать, хлыст]]*Таблица47[[#This Row],[длина]])*Таблица47[[#This Row],[Периметр]])/28),"")</f>
        <v/>
      </c>
      <c r="Q597" s="303"/>
      <c r="R597" s="991">
        <f>IFERROR(Таблица47[[#This Row],[Коли-
чество м.п.]]/Таблица47[[#This Row],[Количество хлыстов]],"")</f>
        <v>5</v>
      </c>
      <c r="S597" s="639" t="s">
        <v>5259</v>
      </c>
      <c r="T597" s="639">
        <v>2400</v>
      </c>
      <c r="U597" s="640">
        <v>480</v>
      </c>
      <c r="V597" s="639">
        <v>5.3999999999999999E-2</v>
      </c>
      <c r="W597" s="639">
        <v>0.16</v>
      </c>
      <c r="X597" s="639">
        <v>129.6</v>
      </c>
      <c r="Y597" s="639">
        <v>328.8</v>
      </c>
      <c r="Z597" s="639">
        <v>16.850000000000001</v>
      </c>
      <c r="AA597" s="639">
        <v>44.79</v>
      </c>
      <c r="AB597" s="639">
        <v>829.48</v>
      </c>
      <c r="AC597" s="641">
        <v>107500</v>
      </c>
    </row>
    <row r="598" spans="1:29" s="1021" customFormat="1" ht="15.75" customHeight="1" x14ac:dyDescent="0.25">
      <c r="A598" s="1106" t="s">
        <v>4978</v>
      </c>
      <c r="B598" s="1067">
        <v>404</v>
      </c>
      <c r="C598" s="1067"/>
      <c r="D598" s="1068" t="s">
        <v>13</v>
      </c>
      <c r="E598" s="1068" t="s">
        <v>4725</v>
      </c>
      <c r="F598" s="1069">
        <v>45483</v>
      </c>
      <c r="G598" s="1069"/>
      <c r="H59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8" s="620" t="str">
        <f>CONCATENATE(Таблица47[[#This Row],[№ заявки в 1С]],Таблица47[[#This Row],[Наименование            ]])</f>
        <v>404[866] автоуголок 150*55*3мм (0106-153 ) 6,0м АД31 Т1 уп. Т5</v>
      </c>
      <c r="J59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59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59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598" s="1082"/>
      <c r="N598" s="1120">
        <v>117</v>
      </c>
      <c r="O598" s="1020" t="str">
        <f>IFERROR(Таблица47[[#This Row],[Количество хлыстов]]-Таблица47[[#This Row],[Обработано в 1С]]-Таблица47[[#This Row],[Корректировка]],"")</f>
        <v/>
      </c>
      <c r="P598" s="638" t="str">
        <f>IFERROR((((Таблица47[[#This Row],[Осталось сделать, хлыст]]*Таблица47[[#This Row],[длина]])*Таблица47[[#This Row],[Периметр]])/28),"")</f>
        <v/>
      </c>
      <c r="Q598" s="1068"/>
      <c r="R598" s="1089">
        <f>IFERROR(Таблица47[[#This Row],[Коли-
чество м.п.]]/Таблица47[[#This Row],[Количество хлыстов]],"")</f>
        <v>6</v>
      </c>
      <c r="S598" s="1083" t="s">
        <v>4834</v>
      </c>
      <c r="T598" s="1083">
        <v>702</v>
      </c>
      <c r="U598" s="1084">
        <v>117</v>
      </c>
      <c r="V598" s="1083">
        <v>0.42199999999999999</v>
      </c>
      <c r="W598" s="1083">
        <v>1.389</v>
      </c>
      <c r="X598" s="1083">
        <v>296.24400000000003</v>
      </c>
      <c r="Y598" s="1083">
        <v>975.07799999999997</v>
      </c>
      <c r="Z598" s="1083">
        <v>38.51</v>
      </c>
      <c r="AA598" s="1083">
        <v>99.17</v>
      </c>
      <c r="AB598" s="1083">
        <v>235</v>
      </c>
      <c r="AC598" s="1085">
        <v>69617.34</v>
      </c>
    </row>
    <row r="599" spans="1:29" ht="15.75" customHeight="1" x14ac:dyDescent="0.25">
      <c r="A599" s="427" t="s">
        <v>4678</v>
      </c>
      <c r="B599" s="309">
        <v>405</v>
      </c>
      <c r="C599" s="309"/>
      <c r="D599" s="303" t="s">
        <v>13</v>
      </c>
      <c r="E599" s="303" t="s">
        <v>2973</v>
      </c>
      <c r="F599" s="528">
        <v>45483</v>
      </c>
      <c r="G599" s="528">
        <v>45506</v>
      </c>
      <c r="H59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599" s="522" t="str">
        <f>CONCATENATE(Таблица47[[#This Row],[№ заявки в 1С]],Таблица47[[#This Row],[Наименование            ]])</f>
        <v>405[77502] 0706-85 4,9 м, сплав 6063Кр, сост Т1, уп. Т5</v>
      </c>
      <c r="J59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</v>
      </c>
      <c r="K59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</v>
      </c>
      <c r="L59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</v>
      </c>
      <c r="M599" s="635"/>
      <c r="N599" s="1119">
        <v>16</v>
      </c>
      <c r="O599" s="1013">
        <f>IFERROR(Таблица47[[#This Row],[Количество хлыстов]]-Таблица47[[#This Row],[Обработано в 1С]]-Таблица47[[#This Row],[Корректировка]],"")</f>
        <v>0</v>
      </c>
      <c r="P599" s="638">
        <f>IFERROR((((Таблица47[[#This Row],[Осталось сделать, хлыст]]*Таблица47[[#This Row],[длина]])*Таблица47[[#This Row],[Периметр]])/28),"")</f>
        <v>0</v>
      </c>
      <c r="Q599" s="303"/>
      <c r="R599" s="991">
        <f>IFERROR(Таблица47[[#This Row],[Коли-
чество м.п.]]/Таблица47[[#This Row],[Количество хлыстов]],"")</f>
        <v>4.9000000000000004</v>
      </c>
      <c r="S599" s="639" t="s">
        <v>1751</v>
      </c>
      <c r="T599" s="639">
        <v>78.400000000000006</v>
      </c>
      <c r="U599" s="640">
        <v>16</v>
      </c>
      <c r="V599" s="639">
        <v>0.66659999999999997</v>
      </c>
      <c r="W599" s="639">
        <v>1.994</v>
      </c>
      <c r="X599" s="639">
        <v>52.261400000000002</v>
      </c>
      <c r="Y599" s="639">
        <v>156.3296</v>
      </c>
      <c r="Z599" s="639">
        <v>6.79</v>
      </c>
      <c r="AA599" s="639">
        <v>289.97000000000003</v>
      </c>
      <c r="AB599" s="639">
        <v>435</v>
      </c>
      <c r="AC599" s="641">
        <v>22733.73</v>
      </c>
    </row>
    <row r="600" spans="1:29" ht="15.75" customHeight="1" x14ac:dyDescent="0.25">
      <c r="A600" s="238" t="s">
        <v>4678</v>
      </c>
      <c r="B600" s="1070">
        <v>406</v>
      </c>
      <c r="C600" s="1070"/>
      <c r="D600" s="200" t="s">
        <v>13</v>
      </c>
      <c r="E600" s="200" t="s">
        <v>156</v>
      </c>
      <c r="F600" s="201">
        <v>45483</v>
      </c>
      <c r="G600" s="528"/>
      <c r="H6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0" s="522" t="str">
        <f>CONCATENATE(Таблица47[[#This Row],[№ заявки в 1С]],Таблица47[[#This Row],[Наименование            ]])</f>
        <v>406[30688] 0706-92 6,0м, 6063</v>
      </c>
      <c r="J60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0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0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00" s="635"/>
      <c r="N600" s="1119">
        <v>71</v>
      </c>
      <c r="O600" s="1013" t="str">
        <f>IFERROR(Таблица47[[#This Row],[Количество хлыстов]]-Таблица47[[#This Row],[Обработано в 1С]]-Таблица47[[#This Row],[Корректировка]],"")</f>
        <v/>
      </c>
      <c r="P600" s="638" t="str">
        <f>IFERROR((((Таблица47[[#This Row],[Осталось сделать, хлыст]]*Таблица47[[#This Row],[длина]])*Таблица47[[#This Row],[Периметр]])/28),"")</f>
        <v/>
      </c>
      <c r="Q600" s="303"/>
      <c r="R600" s="991">
        <f>IFERROR(Таблица47[[#This Row],[Коли-
чество м.п.]]/Таблица47[[#This Row],[Количество хлыстов]],"")</f>
        <v>6</v>
      </c>
      <c r="S600" s="639" t="s">
        <v>5209</v>
      </c>
      <c r="T600" s="639">
        <v>426</v>
      </c>
      <c r="U600" s="640">
        <v>71</v>
      </c>
      <c r="V600" s="639">
        <v>0.33</v>
      </c>
      <c r="W600" s="639">
        <v>1.278</v>
      </c>
      <c r="X600" s="639">
        <v>140.58000000000001</v>
      </c>
      <c r="Y600" s="639">
        <v>544.428</v>
      </c>
      <c r="Z600" s="639">
        <v>18.28</v>
      </c>
      <c r="AA600" s="639">
        <v>132</v>
      </c>
      <c r="AB600" s="639">
        <v>400</v>
      </c>
      <c r="AC600" s="641">
        <v>56232</v>
      </c>
    </row>
    <row r="601" spans="1:29" s="1021" customFormat="1" ht="15.75" customHeight="1" x14ac:dyDescent="0.25">
      <c r="A601" s="1106" t="s">
        <v>4978</v>
      </c>
      <c r="B601" s="1067">
        <v>407</v>
      </c>
      <c r="C601" s="1067"/>
      <c r="D601" s="1068" t="s">
        <v>13</v>
      </c>
      <c r="E601" s="1068" t="s">
        <v>556</v>
      </c>
      <c r="F601" s="1069">
        <v>45483</v>
      </c>
      <c r="G601" s="1069"/>
      <c r="H601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1" s="620" t="str">
        <f>CONCATENATE(Таблица47[[#This Row],[№ заявки в 1С]],Таблица47[[#This Row],[Наименование            ]])</f>
        <v>407[73119] 1606-01,  3,0 м, БА сплав: АД 31 состояние Т1</v>
      </c>
      <c r="J601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01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01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01" s="1082"/>
      <c r="N601" s="1120">
        <v>791</v>
      </c>
      <c r="O601" s="1020" t="str">
        <f>IFERROR(Таблица47[[#This Row],[Количество хлыстов]]-Таблица47[[#This Row],[Обработано в 1С]]-Таблица47[[#This Row],[Корректировка]],"")</f>
        <v/>
      </c>
      <c r="P601" s="638" t="str">
        <f>IFERROR((((Таблица47[[#This Row],[Осталось сделать, хлыст]]*Таблица47[[#This Row],[длина]])*Таблица47[[#This Row],[Периметр]])/28),"")</f>
        <v/>
      </c>
      <c r="Q601" s="1068"/>
      <c r="R601" s="1089">
        <f>IFERROR(Таблица47[[#This Row],[Коли-
чество м.п.]]/Таблица47[[#This Row],[Количество хлыстов]],"")</f>
        <v>3</v>
      </c>
      <c r="S601" s="1083" t="s">
        <v>5170</v>
      </c>
      <c r="T601" s="1083">
        <v>2373</v>
      </c>
      <c r="U601" s="1084">
        <v>791</v>
      </c>
      <c r="V601" s="1083">
        <v>0.20200000000000001</v>
      </c>
      <c r="W601" s="1083">
        <v>0.51400000000000001</v>
      </c>
      <c r="X601" s="1083">
        <v>479.346</v>
      </c>
      <c r="Y601" s="1083">
        <v>1219.722</v>
      </c>
      <c r="Z601" s="1083">
        <v>62.32</v>
      </c>
      <c r="AA601" s="1083">
        <v>64.44</v>
      </c>
      <c r="AB601" s="1083">
        <v>319</v>
      </c>
      <c r="AC601" s="1085">
        <v>152916.12</v>
      </c>
    </row>
    <row r="602" spans="1:29" s="1021" customFormat="1" ht="15.75" customHeight="1" x14ac:dyDescent="0.25">
      <c r="A602" s="1106" t="s">
        <v>4978</v>
      </c>
      <c r="B602" s="1067">
        <v>408</v>
      </c>
      <c r="C602" s="1067"/>
      <c r="D602" s="1068" t="s">
        <v>13</v>
      </c>
      <c r="E602" s="1068" t="s">
        <v>557</v>
      </c>
      <c r="F602" s="1069">
        <v>45483</v>
      </c>
      <c r="G602" s="1069"/>
      <c r="H60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2" s="620" t="str">
        <f>CONCATENATE(Таблица47[[#This Row],[№ заявки в 1С]],Таблица47[[#This Row],[Наименование            ]])</f>
        <v>408[84153] 1706-80 (плинтус скрытый 60) 2,45 м, АД31 Т1</v>
      </c>
      <c r="J60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0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0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02" s="1082"/>
      <c r="N602" s="1120">
        <v>430</v>
      </c>
      <c r="O602" s="1020" t="str">
        <f>IFERROR(Таблица47[[#This Row],[Количество хлыстов]]-Таблица47[[#This Row],[Обработано в 1С]]-Таблица47[[#This Row],[Корректировка]],"")</f>
        <v/>
      </c>
      <c r="P602" s="638" t="str">
        <f>IFERROR((((Таблица47[[#This Row],[Осталось сделать, хлыст]]*Таблица47[[#This Row],[длина]])*Таблица47[[#This Row],[Периметр]])/28),"")</f>
        <v/>
      </c>
      <c r="Q602" s="1068"/>
      <c r="R602" s="1089">
        <f>IFERROR(Таблица47[[#This Row],[Коли-
чество м.п.]]/Таблица47[[#This Row],[Количество хлыстов]],"")</f>
        <v>2.4500000000000002</v>
      </c>
      <c r="S602" s="1083" t="s">
        <v>3942</v>
      </c>
      <c r="T602" s="1083">
        <v>1053.5</v>
      </c>
      <c r="U602" s="1084">
        <v>430</v>
      </c>
      <c r="V602" s="1083">
        <v>0.1507</v>
      </c>
      <c r="W602" s="1083">
        <v>0.39300000000000002</v>
      </c>
      <c r="X602" s="1083">
        <v>158.76249999999999</v>
      </c>
      <c r="Y602" s="1083">
        <v>414.02550000000002</v>
      </c>
      <c r="Z602" s="1083">
        <v>20.64</v>
      </c>
      <c r="AA602" s="1083">
        <v>44.31</v>
      </c>
      <c r="AB602" s="1083">
        <v>294</v>
      </c>
      <c r="AC602" s="1085">
        <v>46680.59</v>
      </c>
    </row>
    <row r="603" spans="1:29" s="1021" customFormat="1" ht="15.75" customHeight="1" x14ac:dyDescent="0.25">
      <c r="A603" s="1106" t="s">
        <v>4978</v>
      </c>
      <c r="B603" s="1067">
        <v>409</v>
      </c>
      <c r="C603" s="1067"/>
      <c r="D603" s="1068" t="s">
        <v>34</v>
      </c>
      <c r="E603" s="1068" t="s">
        <v>4807</v>
      </c>
      <c r="F603" s="1069">
        <v>45483</v>
      </c>
      <c r="G603" s="1069"/>
      <c r="H60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3" s="620" t="str">
        <f>CONCATENATE(Таблица47[[#This Row],[№ заявки в 1С]],Таблица47[[#This Row],[Наименование            ]])</f>
        <v>409[75789] 215234, рама-ручка R10/R8, 5.6 м, сплав 6060 Т66, БА</v>
      </c>
      <c r="J60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0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0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03" s="1082">
        <v>3</v>
      </c>
      <c r="N603" s="1120">
        <f>256+3</f>
        <v>259</v>
      </c>
      <c r="O603" s="1020" t="str">
        <f>IFERROR(Таблица47[[#This Row],[Количество хлыстов]]-Таблица47[[#This Row],[Обработано в 1С]]-Таблица47[[#This Row],[Корректировка]],"")</f>
        <v/>
      </c>
      <c r="P603" s="638" t="str">
        <f>IFERROR((((Таблица47[[#This Row],[Осталось сделать, хлыст]]*Таблица47[[#This Row],[длина]])*Таблица47[[#This Row],[Периметр]])/28),"")</f>
        <v/>
      </c>
      <c r="Q603" s="1068" t="s">
        <v>2657</v>
      </c>
      <c r="R603" s="1089">
        <f>IFERROR(Таблица47[[#This Row],[Коли-
чество м.п.]]/Таблица47[[#This Row],[Количество хлыстов]],"")</f>
        <v>5.6000000000000005</v>
      </c>
      <c r="S603" s="1083" t="s">
        <v>4898</v>
      </c>
      <c r="T603" s="1083">
        <v>1467.2</v>
      </c>
      <c r="U603" s="1084">
        <v>262</v>
      </c>
      <c r="V603" s="1083">
        <v>0.1734</v>
      </c>
      <c r="W603" s="1083">
        <v>0.38200000000000001</v>
      </c>
      <c r="X603" s="1083">
        <v>254.41249999999999</v>
      </c>
      <c r="Y603" s="1083">
        <v>560.47040000000004</v>
      </c>
      <c r="Z603" s="1083">
        <v>33.07</v>
      </c>
      <c r="AA603" s="1083">
        <v>57.01</v>
      </c>
      <c r="AB603" s="1083">
        <v>328.75</v>
      </c>
      <c r="AC603" s="1085">
        <v>83638.100000000006</v>
      </c>
    </row>
    <row r="604" spans="1:29" ht="15.75" customHeight="1" x14ac:dyDescent="0.25">
      <c r="A604" s="427" t="s">
        <v>4678</v>
      </c>
      <c r="B604" s="309">
        <v>410</v>
      </c>
      <c r="C604" s="309"/>
      <c r="D604" s="303" t="s">
        <v>13</v>
      </c>
      <c r="E604" s="303" t="s">
        <v>657</v>
      </c>
      <c r="F604" s="528">
        <v>45484</v>
      </c>
      <c r="G604" s="528">
        <v>45506</v>
      </c>
      <c r="H60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4" s="522" t="str">
        <f>CONCATENATE(Таблица47[[#This Row],[№ заявки в 1С]],Таблица47[[#This Row],[Наименование            ]])</f>
        <v>410[68773] 0906-71, 5,8 м, сплав 6063 КР Т1</v>
      </c>
      <c r="J60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102</v>
      </c>
      <c r="K60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102</v>
      </c>
      <c r="L60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102</v>
      </c>
      <c r="M604" s="635"/>
      <c r="N604" s="1119">
        <v>102</v>
      </c>
      <c r="O604" s="1013">
        <f>IFERROR(Таблица47[[#This Row],[Количество хлыстов]]-Таблица47[[#This Row],[Обработано в 1С]]-Таблица47[[#This Row],[Корректировка]],"")</f>
        <v>0</v>
      </c>
      <c r="P604" s="638">
        <f>IFERROR((((Таблица47[[#This Row],[Осталось сделать, хлыст]]*Таблица47[[#This Row],[длина]])*Таблица47[[#This Row],[Периметр]])/28),"")</f>
        <v>0</v>
      </c>
      <c r="Q604" s="303"/>
      <c r="R604" s="991">
        <f>IFERROR(Таблица47[[#This Row],[Коли-
чество м.п.]]/Таблица47[[#This Row],[Количество хлыстов]],"")</f>
        <v>5.8</v>
      </c>
      <c r="S604" s="639" t="s">
        <v>2963</v>
      </c>
      <c r="T604" s="639">
        <v>591.6</v>
      </c>
      <c r="U604" s="640">
        <v>102</v>
      </c>
      <c r="V604" s="639">
        <v>0.1724</v>
      </c>
      <c r="W604" s="639">
        <v>0.41499999999999998</v>
      </c>
      <c r="X604" s="639">
        <v>101.9918</v>
      </c>
      <c r="Y604" s="639">
        <v>245.51400000000001</v>
      </c>
      <c r="Z604" s="639">
        <v>13.26</v>
      </c>
      <c r="AA604" s="639">
        <v>74.989999999999995</v>
      </c>
      <c r="AB604" s="639">
        <v>435</v>
      </c>
      <c r="AC604" s="641">
        <v>44366.45</v>
      </c>
    </row>
    <row r="605" spans="1:29" ht="15.75" customHeight="1" x14ac:dyDescent="0.25">
      <c r="A605" s="427" t="s">
        <v>4678</v>
      </c>
      <c r="B605" s="309">
        <v>411</v>
      </c>
      <c r="C605" s="309"/>
      <c r="D605" s="303" t="s">
        <v>34</v>
      </c>
      <c r="E605" s="303" t="s">
        <v>3404</v>
      </c>
      <c r="F605" s="528">
        <v>45484</v>
      </c>
      <c r="G605" s="528"/>
      <c r="H60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5" s="522" t="str">
        <f>CONCATENATE(Таблица47[[#This Row],[№ заявки в 1С]],Таблица47[[#This Row],[Наименование            ]])</f>
        <v>411[81578] 1706-68, 6,0м, 6063 Т1, упаковка Т-5, БА</v>
      </c>
      <c r="J60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462</v>
      </c>
      <c r="K60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462</v>
      </c>
      <c r="L60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462</v>
      </c>
      <c r="M605" s="635"/>
      <c r="N605" s="1119">
        <v>462</v>
      </c>
      <c r="O605" s="1013">
        <f>IFERROR(Таблица47[[#This Row],[Количество хлыстов]]-Таблица47[[#This Row],[Обработано в 1С]]-Таблица47[[#This Row],[Корректировка]],"")</f>
        <v>0</v>
      </c>
      <c r="P605" s="638">
        <f>IFERROR((((Таблица47[[#This Row],[Осталось сделать, хлыст]]*Таблица47[[#This Row],[длина]])*Таблица47[[#This Row],[Периметр]])/28),"")</f>
        <v>0</v>
      </c>
      <c r="Q605" s="303"/>
      <c r="R605" s="991">
        <f>IFERROR(Таблица47[[#This Row],[Коли-
чество м.п.]]/Таблица47[[#This Row],[Количество хлыстов]],"")</f>
        <v>6</v>
      </c>
      <c r="S605" s="639" t="s">
        <v>4582</v>
      </c>
      <c r="T605" s="639">
        <v>2772</v>
      </c>
      <c r="U605" s="640">
        <v>462</v>
      </c>
      <c r="V605" s="639">
        <v>0.10100000000000001</v>
      </c>
      <c r="W605" s="639">
        <v>0.30599999999999999</v>
      </c>
      <c r="X605" s="639">
        <v>279.97199999999998</v>
      </c>
      <c r="Y605" s="639">
        <v>848.23199999999997</v>
      </c>
      <c r="Z605" s="639">
        <v>36.4</v>
      </c>
      <c r="AA605" s="639">
        <v>44.14</v>
      </c>
      <c r="AB605" s="639">
        <v>437</v>
      </c>
      <c r="AC605" s="641">
        <v>122347.76</v>
      </c>
    </row>
    <row r="606" spans="1:29" ht="15.75" customHeight="1" x14ac:dyDescent="0.25">
      <c r="A606" s="427" t="s">
        <v>4678</v>
      </c>
      <c r="B606" s="309">
        <v>411</v>
      </c>
      <c r="C606" s="309"/>
      <c r="D606" s="303" t="s">
        <v>34</v>
      </c>
      <c r="E606" s="303" t="s">
        <v>3404</v>
      </c>
      <c r="F606" s="528">
        <v>45484</v>
      </c>
      <c r="G606" s="528"/>
      <c r="H60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6" s="522" t="str">
        <f>CONCATENATE(Таблица47[[#This Row],[№ заявки в 1С]],Таблица47[[#This Row],[Наименование            ]])</f>
        <v>411[81738] 1706-70, 6,0м, 6063 Т1, упаковка Т-5, БА</v>
      </c>
      <c r="J60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204</v>
      </c>
      <c r="K60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204</v>
      </c>
      <c r="L60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204</v>
      </c>
      <c r="M606" s="635"/>
      <c r="N606" s="1119">
        <v>204</v>
      </c>
      <c r="O606" s="1013">
        <f>IFERROR(Таблица47[[#This Row],[Количество хлыстов]]-Таблица47[[#This Row],[Обработано в 1С]]-Таблица47[[#This Row],[Корректировка]],"")</f>
        <v>0</v>
      </c>
      <c r="P606" s="638">
        <f>IFERROR((((Таблица47[[#This Row],[Осталось сделать, хлыст]]*Таблица47[[#This Row],[длина]])*Таблица47[[#This Row],[Периметр]])/28),"")</f>
        <v>0</v>
      </c>
      <c r="Q606" s="303"/>
      <c r="R606" s="991">
        <f>IFERROR(Таблица47[[#This Row],[Коли-
чество м.п.]]/Таблица47[[#This Row],[Количество хлыстов]],"")</f>
        <v>6</v>
      </c>
      <c r="S606" s="639" t="s">
        <v>4378</v>
      </c>
      <c r="T606" s="639">
        <v>1224</v>
      </c>
      <c r="U606" s="640">
        <v>204</v>
      </c>
      <c r="V606" s="639">
        <v>0.25169999999999998</v>
      </c>
      <c r="W606" s="639">
        <v>0.56699999999999995</v>
      </c>
      <c r="X606" s="639">
        <v>308.08080000000001</v>
      </c>
      <c r="Y606" s="639">
        <v>694.00800000000004</v>
      </c>
      <c r="Z606" s="639">
        <v>40.049999999999997</v>
      </c>
      <c r="AA606" s="639">
        <v>93.13</v>
      </c>
      <c r="AB606" s="639">
        <v>370</v>
      </c>
      <c r="AC606" s="641">
        <v>113989.9</v>
      </c>
    </row>
    <row r="607" spans="1:29" ht="15.75" customHeight="1" x14ac:dyDescent="0.25">
      <c r="A607" s="427" t="s">
        <v>4678</v>
      </c>
      <c r="B607" s="309">
        <v>411</v>
      </c>
      <c r="C607" s="309"/>
      <c r="D607" s="303" t="s">
        <v>34</v>
      </c>
      <c r="E607" s="303" t="s">
        <v>3404</v>
      </c>
      <c r="F607" s="528">
        <v>45484</v>
      </c>
      <c r="G607" s="528"/>
      <c r="H60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7" s="928" t="str">
        <f>CONCATENATE(Таблица47[[#This Row],[№ заявки в 1С]],Таблица47[[#This Row],[Наименование            ]])</f>
        <v>411[89435] 2606-56, 6,0м, 6063 Т6, уп.Т5, БА</v>
      </c>
      <c r="J60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128</v>
      </c>
      <c r="K60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128</v>
      </c>
      <c r="L60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128</v>
      </c>
      <c r="M607" s="635"/>
      <c r="N607" s="1119">
        <v>128</v>
      </c>
      <c r="O607" s="1013">
        <f>IFERROR(Таблица47[[#This Row],[Количество хлыстов]]-Таблица47[[#This Row],[Обработано в 1С]]-Таблица47[[#This Row],[Корректировка]],"")</f>
        <v>0</v>
      </c>
      <c r="P607" s="638">
        <f>IFERROR((((Таблица47[[#This Row],[Осталось сделать, хлыст]]*Таблица47[[#This Row],[длина]])*Таблица47[[#This Row],[Периметр]])/28),"")</f>
        <v>0</v>
      </c>
      <c r="Q607" s="303"/>
      <c r="R607" s="991">
        <f>IFERROR(Таблица47[[#This Row],[Коли-
чество м.п.]]/Таблица47[[#This Row],[Количество хлыстов]],"")</f>
        <v>6</v>
      </c>
      <c r="S607" s="639" t="s">
        <v>4998</v>
      </c>
      <c r="T607" s="639">
        <v>768</v>
      </c>
      <c r="U607" s="640">
        <v>128</v>
      </c>
      <c r="V607" s="639">
        <v>0.3075</v>
      </c>
      <c r="W607" s="639">
        <v>0.85</v>
      </c>
      <c r="X607" s="639">
        <v>236.16</v>
      </c>
      <c r="Y607" s="639">
        <v>652.79999999999995</v>
      </c>
      <c r="Z607" s="639">
        <v>30.7</v>
      </c>
      <c r="AA607" s="639">
        <v>113.78</v>
      </c>
      <c r="AB607" s="639">
        <v>370</v>
      </c>
      <c r="AC607" s="641">
        <v>87379.199999999997</v>
      </c>
    </row>
    <row r="608" spans="1:29" ht="15.75" customHeight="1" x14ac:dyDescent="0.25">
      <c r="A608" s="427" t="s">
        <v>4678</v>
      </c>
      <c r="B608" s="309">
        <v>412</v>
      </c>
      <c r="C608" s="309"/>
      <c r="D608" s="303" t="s">
        <v>34</v>
      </c>
      <c r="E608" s="303" t="s">
        <v>328</v>
      </c>
      <c r="F608" s="528">
        <v>45484</v>
      </c>
      <c r="G608" s="528"/>
      <c r="H60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8" s="928" t="str">
        <f>CONCATENATE(Таблица47[[#This Row],[№ заявки в 1С]],Таблица47[[#This Row],[Наименование            ]])</f>
        <v>412[70484] 1506-77 (АА-2050-85), 6,0м, 6063 Т6, упаковка Т-5, без покрытия</v>
      </c>
      <c r="J60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149</v>
      </c>
      <c r="K60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149</v>
      </c>
      <c r="L60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145</v>
      </c>
      <c r="M608" s="635">
        <v>4</v>
      </c>
      <c r="N608" s="1119">
        <v>145</v>
      </c>
      <c r="O608" s="1013">
        <f>IFERROR(Таблица47[[#This Row],[Количество хлыстов]]-Таблица47[[#This Row],[Обработано в 1С]]-Таблица47[[#This Row],[Корректировка]],"")</f>
        <v>0</v>
      </c>
      <c r="P608" s="638">
        <f>IFERROR((((Таблица47[[#This Row],[Осталось сделать, хлыст]]*Таблица47[[#This Row],[длина]])*Таблица47[[#This Row],[Периметр]])/28),"")</f>
        <v>0</v>
      </c>
      <c r="Q608" s="303" t="s">
        <v>5688</v>
      </c>
      <c r="R608" s="991">
        <f>IFERROR(Таблица47[[#This Row],[Коли-
чество м.п.]]/Таблица47[[#This Row],[Количество хлыстов]],"")</f>
        <v>6</v>
      </c>
      <c r="S608" s="639" t="s">
        <v>4813</v>
      </c>
      <c r="T608" s="639">
        <v>894</v>
      </c>
      <c r="U608" s="640">
        <v>149</v>
      </c>
      <c r="V608" s="639">
        <v>0.30919999999999997</v>
      </c>
      <c r="W608" s="639">
        <v>1.101</v>
      </c>
      <c r="X608" s="639">
        <v>276.4248</v>
      </c>
      <c r="Y608" s="639">
        <v>984.29399999999998</v>
      </c>
      <c r="Z608" s="639">
        <v>35.94</v>
      </c>
      <c r="AA608" s="639">
        <v>134.5</v>
      </c>
      <c r="AB608" s="639">
        <v>435</v>
      </c>
      <c r="AC608" s="641">
        <v>120243</v>
      </c>
    </row>
    <row r="609" spans="1:29" ht="15.75" customHeight="1" x14ac:dyDescent="0.25">
      <c r="A609" s="427" t="s">
        <v>4678</v>
      </c>
      <c r="B609" s="309">
        <v>413</v>
      </c>
      <c r="C609" s="309"/>
      <c r="D609" s="303" t="s">
        <v>34</v>
      </c>
      <c r="E609" s="303" t="s">
        <v>19</v>
      </c>
      <c r="F609" s="528">
        <v>45484</v>
      </c>
      <c r="G609" s="310"/>
      <c r="H609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09" s="645" t="str">
        <f>CONCATENATE(Таблица47[[#This Row],[№ заявки в 1С]],Таблица47[[#This Row],[Наименование            ]])</f>
        <v>413[91034] 1506-79, 3,6м, 6063 Т6, упак.Т5, БА</v>
      </c>
      <c r="J609" s="110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405</v>
      </c>
      <c r="K609" s="110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405</v>
      </c>
      <c r="L609" s="110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405</v>
      </c>
      <c r="M609" s="1102"/>
      <c r="N609" s="1103">
        <v>405</v>
      </c>
      <c r="O609" s="1013">
        <f>IFERROR(Таблица47[[#This Row],[Количество хлыстов]]-Таблица47[[#This Row],[Обработано в 1С]]-Таблица47[[#This Row],[Корректировка]],"")</f>
        <v>0</v>
      </c>
      <c r="P609" s="638">
        <f>IFERROR((((Таблица47[[#This Row],[Осталось сделать, хлыст]]*Таблица47[[#This Row],[длина]])*Таблица47[[#This Row],[Периметр]])/28),"")</f>
        <v>0</v>
      </c>
      <c r="Q609" s="304"/>
      <c r="R609" s="991">
        <f>IFERROR(Таблица47[[#This Row],[Коли-
чество м.п.]]/Таблица47[[#This Row],[Количество хлыстов]],"")</f>
        <v>3.6</v>
      </c>
      <c r="S609" s="991" t="s">
        <v>5158</v>
      </c>
      <c r="T609" s="991">
        <v>1458</v>
      </c>
      <c r="U609" s="1018">
        <v>405</v>
      </c>
      <c r="V609" s="991">
        <v>0.3402</v>
      </c>
      <c r="W609" s="991">
        <v>1.4530000000000001</v>
      </c>
      <c r="X609" s="991">
        <v>496.01159999999999</v>
      </c>
      <c r="Y609" s="991">
        <v>2118.4740000000002</v>
      </c>
      <c r="Z609" s="991">
        <v>64.48</v>
      </c>
      <c r="AA609" s="991">
        <v>136.76</v>
      </c>
      <c r="AB609" s="991">
        <v>402</v>
      </c>
      <c r="AC609" s="1019">
        <v>199396.08</v>
      </c>
    </row>
    <row r="610" spans="1:29" ht="15.75" customHeight="1" x14ac:dyDescent="0.25">
      <c r="A610" s="427" t="s">
        <v>4678</v>
      </c>
      <c r="B610" s="309" t="s">
        <v>5210</v>
      </c>
      <c r="C610" s="309"/>
      <c r="D610" s="303" t="s">
        <v>34</v>
      </c>
      <c r="E610" s="303" t="s">
        <v>16</v>
      </c>
      <c r="F610" s="528">
        <v>45484</v>
      </c>
      <c r="G610" s="528"/>
      <c r="H61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0" s="928" t="str">
        <f>CONCATENATE(Таблица47[[#This Row],[№ заявки в 1С]],Таблица47[[#This Row],[Наименование            ]])</f>
        <v>OPT000753[11564] 0106-235, 6,0м, 6063 Т6, упаковка Т-5, под анод тип 2, БА (прессовать на плюсовом допуске)</v>
      </c>
      <c r="J61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53</v>
      </c>
      <c r="K61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53</v>
      </c>
      <c r="L61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48</v>
      </c>
      <c r="M610" s="635">
        <v>5</v>
      </c>
      <c r="N610" s="1119">
        <v>48</v>
      </c>
      <c r="O610" s="1013">
        <f>IFERROR(Таблица47[[#This Row],[Количество хлыстов]]-Таблица47[[#This Row],[Обработано в 1С]]-Таблица47[[#This Row],[Корректировка]],"")</f>
        <v>0</v>
      </c>
      <c r="P610" s="638">
        <f>IFERROR((((Таблица47[[#This Row],[Осталось сделать, хлыст]]*Таблица47[[#This Row],[длина]])*Таблица47[[#This Row],[Периметр]])/28),"")</f>
        <v>0</v>
      </c>
      <c r="Q610" s="303" t="s">
        <v>5095</v>
      </c>
      <c r="R610" s="991">
        <f>IFERROR(Таблица47[[#This Row],[Коли-
чество м.п.]]/Таблица47[[#This Row],[Количество хлыстов]],"")</f>
        <v>6</v>
      </c>
      <c r="S610" s="639" t="s">
        <v>2581</v>
      </c>
      <c r="T610" s="639">
        <v>318</v>
      </c>
      <c r="U610" s="640">
        <v>53</v>
      </c>
      <c r="V610" s="639">
        <v>0.56989999999999996</v>
      </c>
      <c r="W610" s="639">
        <v>1.304</v>
      </c>
      <c r="X610" s="639">
        <v>181.22819999999999</v>
      </c>
      <c r="Y610" s="639">
        <v>414.67200000000003</v>
      </c>
      <c r="Z610" s="639">
        <v>23.56</v>
      </c>
      <c r="AA610" s="639">
        <v>324.83999999999997</v>
      </c>
      <c r="AB610" s="639">
        <v>570</v>
      </c>
      <c r="AC610" s="641">
        <v>103299.12</v>
      </c>
    </row>
    <row r="611" spans="1:29" customFormat="1" ht="15.75" customHeight="1" x14ac:dyDescent="0.25">
      <c r="A611" s="924" t="s">
        <v>4678</v>
      </c>
      <c r="B611" s="925" t="s">
        <v>3579</v>
      </c>
      <c r="C611" s="925"/>
      <c r="D611" s="926" t="s">
        <v>34</v>
      </c>
      <c r="E611" s="926" t="s">
        <v>16</v>
      </c>
      <c r="F611" s="927">
        <v>45484</v>
      </c>
      <c r="G611" s="927"/>
      <c r="H611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1" s="928" t="str">
        <f>CONCATENATE(Таблица47[[#This Row],[№ заявки в 1С]],Таблица47[[#This Row],[Наименование            ]])</f>
        <v>OPT000754[38435] 0506-20, 6,0м, 6063 Т1, упаковка Т-5, под анод тип 1, БА</v>
      </c>
      <c r="J611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325</v>
      </c>
      <c r="K611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325</v>
      </c>
      <c r="L611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325</v>
      </c>
      <c r="M611" s="928"/>
      <c r="N611" s="937">
        <v>325</v>
      </c>
      <c r="O611" s="1001">
        <f>IFERROR(Таблица47[[#This Row],[Количество хлыстов]]-Таблица47[[#This Row],[Обработано в 1С]]-Таблица47[[#This Row],[Корректировка]],"")</f>
        <v>0</v>
      </c>
      <c r="P611" s="638">
        <f>IFERROR((((Таблица47[[#This Row],[Осталось сделать, хлыст]]*Таблица47[[#This Row],[длина]])*Таблица47[[#This Row],[Периметр]])/28),"")</f>
        <v>0</v>
      </c>
      <c r="Q611" s="926"/>
      <c r="R611" s="938">
        <f>IFERROR(Таблица47[[#This Row],[Коли-
чество м.п.]]/Таблица47[[#This Row],[Количество хлыстов]],"")</f>
        <v>6</v>
      </c>
      <c r="S611" s="933" t="s">
        <v>2730</v>
      </c>
      <c r="T611" s="933">
        <v>1950</v>
      </c>
      <c r="U611" s="934">
        <v>325</v>
      </c>
      <c r="V611" s="933">
        <v>0.3498</v>
      </c>
      <c r="W611" s="933">
        <v>1.425</v>
      </c>
      <c r="X611" s="933">
        <v>682.11</v>
      </c>
      <c r="Y611" s="933">
        <v>2778.75</v>
      </c>
      <c r="Z611" s="933">
        <v>88.67</v>
      </c>
      <c r="AA611" s="933">
        <v>152.16</v>
      </c>
      <c r="AB611" s="933">
        <v>435</v>
      </c>
      <c r="AC611" s="935">
        <v>296712</v>
      </c>
    </row>
    <row r="612" spans="1:29" customFormat="1" ht="15.75" customHeight="1" x14ac:dyDescent="0.25">
      <c r="A612" s="924" t="s">
        <v>4678</v>
      </c>
      <c r="B612" s="925" t="s">
        <v>3580</v>
      </c>
      <c r="C612" s="925"/>
      <c r="D612" s="926" t="s">
        <v>34</v>
      </c>
      <c r="E612" s="926" t="s">
        <v>16</v>
      </c>
      <c r="F612" s="927">
        <v>45484</v>
      </c>
      <c r="G612" s="927"/>
      <c r="H612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2" s="928" t="str">
        <f>CONCATENATE(Таблица47[[#This Row],[№ заявки в 1С]],Таблица47[[#This Row],[Наименование            ]])</f>
        <v>OPT000755[38436] 0506-21, 6,0м, 6063 Т1, тип 1, упаковка Т-5, БА</v>
      </c>
      <c r="J612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146</v>
      </c>
      <c r="K612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146</v>
      </c>
      <c r="L612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146</v>
      </c>
      <c r="M612" s="928"/>
      <c r="N612" s="937">
        <v>146</v>
      </c>
      <c r="O612" s="1001">
        <f>IFERROR(Таблица47[[#This Row],[Количество хлыстов]]-Таблица47[[#This Row],[Обработано в 1С]]-Таблица47[[#This Row],[Корректировка]],"")</f>
        <v>0</v>
      </c>
      <c r="P612" s="638">
        <f>IFERROR((((Таблица47[[#This Row],[Осталось сделать, хлыст]]*Таблица47[[#This Row],[длина]])*Таблица47[[#This Row],[Периметр]])/28),"")</f>
        <v>0</v>
      </c>
      <c r="Q612" s="926"/>
      <c r="R612" s="938">
        <f>IFERROR(Таблица47[[#This Row],[Коли-
чество м.п.]]/Таблица47[[#This Row],[Количество хлыстов]],"")</f>
        <v>6</v>
      </c>
      <c r="S612" s="933" t="s">
        <v>2469</v>
      </c>
      <c r="T612" s="933">
        <v>876</v>
      </c>
      <c r="U612" s="934">
        <v>146</v>
      </c>
      <c r="V612" s="933">
        <v>0.70820000000000005</v>
      </c>
      <c r="W612" s="933">
        <v>3.4609999999999999</v>
      </c>
      <c r="X612" s="933">
        <v>620.38319999999999</v>
      </c>
      <c r="Y612" s="933">
        <v>3031.8359999999998</v>
      </c>
      <c r="Z612" s="933">
        <v>80.650000000000006</v>
      </c>
      <c r="AA612" s="933">
        <v>308.07</v>
      </c>
      <c r="AB612" s="933">
        <v>435</v>
      </c>
      <c r="AC612" s="935">
        <v>269866.69</v>
      </c>
    </row>
    <row r="613" spans="1:29" ht="15.75" customHeight="1" x14ac:dyDescent="0.25">
      <c r="A613" s="238" t="s">
        <v>4678</v>
      </c>
      <c r="B613" s="1070">
        <v>401</v>
      </c>
      <c r="C613" s="1070"/>
      <c r="D613" s="200" t="s">
        <v>13</v>
      </c>
      <c r="E613" s="200" t="s">
        <v>289</v>
      </c>
      <c r="F613" s="201">
        <v>45484</v>
      </c>
      <c r="G613" s="528">
        <v>45505</v>
      </c>
      <c r="H61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3" s="522" t="str">
        <f>CONCATENATE(Таблица47[[#This Row],[№ заявки в 1С]],Таблица47[[#This Row],[Наименование            ]])</f>
        <v>401[90881] Крыло большое (Д)</v>
      </c>
      <c r="J61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24</v>
      </c>
      <c r="K61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24</v>
      </c>
      <c r="L61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24</v>
      </c>
      <c r="M613" s="635"/>
      <c r="N613" s="1119">
        <v>24</v>
      </c>
      <c r="O613" s="1013">
        <f>IFERROR(Таблица47[[#This Row],[Количество хлыстов]]-Таблица47[[#This Row],[Обработано в 1С]]-Таблица47[[#This Row],[Корректировка]],"")</f>
        <v>0</v>
      </c>
      <c r="P613" s="638">
        <f>IFERROR((((Таблица47[[#This Row],[Осталось сделать, хлыст]]*Таблица47[[#This Row],[длина]])*Таблица47[[#This Row],[Периметр]])/28),"")</f>
        <v>0</v>
      </c>
      <c r="Q613" s="303"/>
      <c r="R613" s="991">
        <f>IFERROR(Таблица47[[#This Row],[Коли-
чество м.п.]]/Таблица47[[#This Row],[Количество хлыстов]],"")</f>
        <v>1</v>
      </c>
      <c r="S613" s="639" t="s">
        <v>5118</v>
      </c>
      <c r="T613" s="639">
        <v>24</v>
      </c>
      <c r="U613" s="640">
        <v>24</v>
      </c>
      <c r="V613" s="639">
        <v>0.45</v>
      </c>
      <c r="W613" s="639">
        <v>2.6</v>
      </c>
      <c r="X613" s="639">
        <v>10.8</v>
      </c>
      <c r="Y613" s="639">
        <v>62.4</v>
      </c>
      <c r="Z613" s="639">
        <v>1.4</v>
      </c>
      <c r="AA613" s="639">
        <v>2769.17</v>
      </c>
      <c r="AB613" s="639">
        <v>6153.7</v>
      </c>
      <c r="AC613" s="641">
        <v>66460</v>
      </c>
    </row>
    <row r="614" spans="1:29" ht="15.75" customHeight="1" x14ac:dyDescent="0.25">
      <c r="A614" s="427" t="s">
        <v>4678</v>
      </c>
      <c r="B614" s="309">
        <v>414</v>
      </c>
      <c r="C614" s="309"/>
      <c r="D614" s="303" t="s">
        <v>34</v>
      </c>
      <c r="E614" s="303" t="s">
        <v>861</v>
      </c>
      <c r="F614" s="528">
        <v>45488</v>
      </c>
      <c r="G614" s="528"/>
      <c r="H61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4" s="522" t="str">
        <f>CONCATENATE(Таблица47[[#This Row],[№ заявки в 1С]],Таблица47[[#This Row],[Наименование            ]])</f>
        <v>414[69453] 1506-44 (АВА-7225), 6,0м, 6063 Т1, тип 1,  упак. Т5, БА</v>
      </c>
      <c r="J61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88</v>
      </c>
      <c r="K61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88</v>
      </c>
      <c r="L61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88</v>
      </c>
      <c r="M614" s="635"/>
      <c r="N614" s="1119">
        <v>88</v>
      </c>
      <c r="O614" s="1013">
        <f>IFERROR(Таблица47[[#This Row],[Количество хлыстов]]-Таблица47[[#This Row],[Обработано в 1С]]-Таблица47[[#This Row],[Корректировка]],"")</f>
        <v>0</v>
      </c>
      <c r="P614" s="638">
        <f>IFERROR((((Таблица47[[#This Row],[Осталось сделать, хлыст]]*Таблица47[[#This Row],[длина]])*Таблица47[[#This Row],[Периметр]])/28),"")</f>
        <v>0</v>
      </c>
      <c r="Q614" s="303"/>
      <c r="R614" s="991">
        <f>IFERROR(Таблица47[[#This Row],[Коли-
чество м.п.]]/Таблица47[[#This Row],[Количество хлыстов]],"")</f>
        <v>6</v>
      </c>
      <c r="S614" s="639" t="s">
        <v>4393</v>
      </c>
      <c r="T614" s="639">
        <v>528</v>
      </c>
      <c r="U614" s="640">
        <v>88</v>
      </c>
      <c r="V614" s="639">
        <v>0.47389999999999999</v>
      </c>
      <c r="W614" s="639">
        <v>1.355</v>
      </c>
      <c r="X614" s="639">
        <v>250.2192</v>
      </c>
      <c r="Y614" s="639">
        <v>715.44</v>
      </c>
      <c r="Z614" s="639">
        <v>32.53</v>
      </c>
      <c r="AA614" s="639">
        <v>187.19</v>
      </c>
      <c r="AB614" s="639">
        <v>395</v>
      </c>
      <c r="AC614" s="641">
        <v>98836.58</v>
      </c>
    </row>
    <row r="615" spans="1:29" ht="15.75" customHeight="1" x14ac:dyDescent="0.25">
      <c r="A615" s="427" t="s">
        <v>4678</v>
      </c>
      <c r="B615" s="309">
        <v>415</v>
      </c>
      <c r="C615" s="309"/>
      <c r="D615" s="303" t="s">
        <v>34</v>
      </c>
      <c r="E615" s="303" t="s">
        <v>3404</v>
      </c>
      <c r="F615" s="528">
        <v>45488</v>
      </c>
      <c r="G615" s="528"/>
      <c r="H61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5" s="928" t="str">
        <f>CONCATENATE(Таблица47[[#This Row],[№ заявки в 1С]],Таблица47[[#This Row],[Наименование            ]])</f>
        <v>415[81578] 1706-68, 6,0м, 6063 Т1, упаковка Т-5, БА</v>
      </c>
      <c r="J61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428</v>
      </c>
      <c r="K61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428</v>
      </c>
      <c r="L61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422</v>
      </c>
      <c r="M615" s="635">
        <v>6</v>
      </c>
      <c r="N615" s="1119">
        <v>422</v>
      </c>
      <c r="O615" s="1013">
        <f>IFERROR(Таблица47[[#This Row],[Количество хлыстов]]-Таблица47[[#This Row],[Обработано в 1С]]-Таблица47[[#This Row],[Корректировка]],"")</f>
        <v>0</v>
      </c>
      <c r="P615" s="638">
        <f>IFERROR((((Таблица47[[#This Row],[Осталось сделать, хлыст]]*Таблица47[[#This Row],[длина]])*Таблица47[[#This Row],[Периметр]])/28),"")</f>
        <v>0</v>
      </c>
      <c r="Q615" s="303" t="s">
        <v>5686</v>
      </c>
      <c r="R615" s="991">
        <f>IFERROR(Таблица47[[#This Row],[Коли-
чество м.п.]]/Таблица47[[#This Row],[Количество хлыстов]],"")</f>
        <v>6</v>
      </c>
      <c r="S615" s="639" t="s">
        <v>4582</v>
      </c>
      <c r="T615" s="639">
        <v>2568</v>
      </c>
      <c r="U615" s="640">
        <v>428</v>
      </c>
      <c r="V615" s="639">
        <v>0.10100000000000001</v>
      </c>
      <c r="W615" s="639">
        <v>0.30599999999999999</v>
      </c>
      <c r="X615" s="639">
        <v>259.36799999999999</v>
      </c>
      <c r="Y615" s="639">
        <v>785.80799999999999</v>
      </c>
      <c r="Z615" s="639">
        <v>33.72</v>
      </c>
      <c r="AA615" s="639">
        <v>44.14</v>
      </c>
      <c r="AB615" s="639">
        <v>437</v>
      </c>
      <c r="AC615" s="641">
        <v>113343.82</v>
      </c>
    </row>
    <row r="616" spans="1:29" ht="15.75" customHeight="1" x14ac:dyDescent="0.25">
      <c r="A616" s="427" t="s">
        <v>4678</v>
      </c>
      <c r="B616" s="309">
        <v>415</v>
      </c>
      <c r="C616" s="309"/>
      <c r="D616" s="303" t="s">
        <v>34</v>
      </c>
      <c r="E616" s="303" t="s">
        <v>3404</v>
      </c>
      <c r="F616" s="528">
        <v>45488</v>
      </c>
      <c r="G616" s="528"/>
      <c r="H61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6" s="522" t="str">
        <f>CONCATENATE(Таблица47[[#This Row],[№ заявки в 1С]],Таблица47[[#This Row],[Наименование            ]])</f>
        <v>415[81738] 1706-70, 6,0м, 6063 Т1, упаковка Т-5, БА</v>
      </c>
      <c r="J61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185</v>
      </c>
      <c r="K61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185</v>
      </c>
      <c r="L61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185</v>
      </c>
      <c r="M616" s="635"/>
      <c r="N616" s="1119">
        <v>185</v>
      </c>
      <c r="O616" s="1013">
        <f>IFERROR(Таблица47[[#This Row],[Количество хлыстов]]-Таблица47[[#This Row],[Обработано в 1С]]-Таблица47[[#This Row],[Корректировка]],"")</f>
        <v>0</v>
      </c>
      <c r="P616" s="638">
        <f>IFERROR((((Таблица47[[#This Row],[Осталось сделать, хлыст]]*Таблица47[[#This Row],[длина]])*Таблица47[[#This Row],[Периметр]])/28),"")</f>
        <v>0</v>
      </c>
      <c r="Q616" s="303"/>
      <c r="R616" s="991">
        <f>IFERROR(Таблица47[[#This Row],[Коли-
чество м.п.]]/Таблица47[[#This Row],[Количество хлыстов]],"")</f>
        <v>6</v>
      </c>
      <c r="S616" s="639" t="s">
        <v>4378</v>
      </c>
      <c r="T616" s="639">
        <v>1110</v>
      </c>
      <c r="U616" s="640">
        <v>185</v>
      </c>
      <c r="V616" s="639">
        <v>0.25169999999999998</v>
      </c>
      <c r="W616" s="639">
        <v>0.56699999999999995</v>
      </c>
      <c r="X616" s="639">
        <v>279.387</v>
      </c>
      <c r="Y616" s="639">
        <v>629.37</v>
      </c>
      <c r="Z616" s="639">
        <v>36.32</v>
      </c>
      <c r="AA616" s="639">
        <v>93.13</v>
      </c>
      <c r="AB616" s="639">
        <v>370</v>
      </c>
      <c r="AC616" s="641">
        <v>103373.19</v>
      </c>
    </row>
    <row r="617" spans="1:29" ht="15.75" customHeight="1" x14ac:dyDescent="0.25">
      <c r="A617" s="427" t="s">
        <v>4678</v>
      </c>
      <c r="B617" s="309" t="s">
        <v>5212</v>
      </c>
      <c r="C617" s="309"/>
      <c r="D617" s="303" t="s">
        <v>34</v>
      </c>
      <c r="E617" s="303" t="s">
        <v>16</v>
      </c>
      <c r="F617" s="528">
        <v>45488</v>
      </c>
      <c r="G617" s="528"/>
      <c r="H61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7" s="522" t="str">
        <f>CONCATENATE(Таблица47[[#This Row],[№ заявки в 1С]],Таблица47[[#This Row],[Наименование            ]])</f>
        <v>OPT000761[13620] 0106-290 (6158), 6,0м, 6063 Т1, тип 1, упаковка Т-5, БА</v>
      </c>
      <c r="J61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268</v>
      </c>
      <c r="K61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268</v>
      </c>
      <c r="L61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250</v>
      </c>
      <c r="M617" s="635">
        <v>18</v>
      </c>
      <c r="N617" s="1119">
        <v>250</v>
      </c>
      <c r="O617" s="1013">
        <f>IFERROR(Таблица47[[#This Row],[Количество хлыстов]]-Таблица47[[#This Row],[Обработано в 1С]]-Таблица47[[#This Row],[Корректировка]],"")</f>
        <v>0</v>
      </c>
      <c r="P617" s="638">
        <f>IFERROR((((Таблица47[[#This Row],[Осталось сделать, хлыст]]*Таблица47[[#This Row],[длина]])*Таблица47[[#This Row],[Периметр]])/28),"")</f>
        <v>0</v>
      </c>
      <c r="Q617" s="303" t="s">
        <v>5286</v>
      </c>
      <c r="R617" s="991">
        <f>IFERROR(Таблица47[[#This Row],[Коли-
чество м.п.]]/Таблица47[[#This Row],[Количество хлыстов]],"")</f>
        <v>6</v>
      </c>
      <c r="S617" s="639" t="s">
        <v>5693</v>
      </c>
      <c r="T617" s="639">
        <v>1608</v>
      </c>
      <c r="U617" s="640">
        <v>268</v>
      </c>
      <c r="V617" s="639">
        <v>0.29970000000000002</v>
      </c>
      <c r="W617" s="639">
        <v>1.6739999999999999</v>
      </c>
      <c r="X617" s="639">
        <v>481.91759999999999</v>
      </c>
      <c r="Y617" s="639">
        <v>2691.7919999999999</v>
      </c>
      <c r="Z617" s="639">
        <v>62.65</v>
      </c>
      <c r="AA617" s="639">
        <v>130.37</v>
      </c>
      <c r="AB617" s="639">
        <v>435</v>
      </c>
      <c r="AC617" s="641">
        <v>209634.96</v>
      </c>
    </row>
    <row r="618" spans="1:29" ht="15.75" customHeight="1" x14ac:dyDescent="0.25">
      <c r="A618" s="427" t="s">
        <v>4678</v>
      </c>
      <c r="B618" s="309">
        <v>416</v>
      </c>
      <c r="C618" s="309" t="s">
        <v>4753</v>
      </c>
      <c r="D618" s="303" t="s">
        <v>4858</v>
      </c>
      <c r="E618" s="303" t="s">
        <v>2399</v>
      </c>
      <c r="F618" s="528">
        <v>45488</v>
      </c>
      <c r="G618" s="528"/>
      <c r="H61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8" s="522" t="str">
        <f>CONCATENATE(Таблица47[[#This Row],[№ заявки в 1С]],Таблица47[[#This Row],[Наименование            ]])</f>
        <v>416[91534] Корпус_КУДР.676621.015.01-01 (1418мм) 6063</v>
      </c>
      <c r="J61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400</v>
      </c>
      <c r="K61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400</v>
      </c>
      <c r="L61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400</v>
      </c>
      <c r="M618" s="635"/>
      <c r="N618" s="1119">
        <v>400</v>
      </c>
      <c r="O618" s="1013">
        <f>IFERROR(Таблица47[[#This Row],[Количество хлыстов]]-Таблица47[[#This Row],[Обработано в 1С]]-Таблица47[[#This Row],[Корректировка]],"")</f>
        <v>0</v>
      </c>
      <c r="P618" s="638">
        <f>IFERROR((((Таблица47[[#This Row],[Осталось сделать, хлыст]]*Таблица47[[#This Row],[длина]])*Таблица47[[#This Row],[Периметр]])/28),"")</f>
        <v>0</v>
      </c>
      <c r="Q618" s="303"/>
      <c r="R618" s="991">
        <f>IFERROR(Таблица47[[#This Row],[Коли-
чество м.п.]]/Таблица47[[#This Row],[Количество хлыстов]],"")</f>
        <v>1.4180000000000001</v>
      </c>
      <c r="S618" s="639" t="s">
        <v>5214</v>
      </c>
      <c r="T618" s="639">
        <v>567.20000000000005</v>
      </c>
      <c r="U618" s="640">
        <v>400</v>
      </c>
      <c r="V618" s="639">
        <v>0.05</v>
      </c>
      <c r="W618" s="639">
        <v>0.12</v>
      </c>
      <c r="X618" s="639">
        <v>28.36</v>
      </c>
      <c r="Y618" s="639">
        <v>68.063999999999993</v>
      </c>
      <c r="Z618" s="639">
        <v>3.69</v>
      </c>
      <c r="AA618" s="639">
        <v>82.1</v>
      </c>
      <c r="AB618" s="639">
        <v>1642</v>
      </c>
      <c r="AC618" s="641">
        <v>46567.12</v>
      </c>
    </row>
    <row r="619" spans="1:29" ht="15.75" customHeight="1" x14ac:dyDescent="0.25">
      <c r="A619" s="427" t="s">
        <v>4678</v>
      </c>
      <c r="B619" s="309">
        <v>416</v>
      </c>
      <c r="C619" s="309" t="s">
        <v>4753</v>
      </c>
      <c r="D619" s="303" t="s">
        <v>4858</v>
      </c>
      <c r="E619" s="303" t="s">
        <v>5213</v>
      </c>
      <c r="F619" s="528">
        <v>45488</v>
      </c>
      <c r="G619" s="528"/>
      <c r="H61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19" s="522" t="str">
        <f>CONCATENATE(Таблица47[[#This Row],[№ заявки в 1С]],Таблица47[[#This Row],[Наименование            ]])</f>
        <v>416[91532] Корпус_КУДР.676621.015.01 (1885мм) 6063</v>
      </c>
      <c r="J61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850</v>
      </c>
      <c r="K61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350</v>
      </c>
      <c r="L61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1200</v>
      </c>
      <c r="M619" s="635"/>
      <c r="N619" s="1119">
        <v>1200</v>
      </c>
      <c r="O619" s="1013">
        <f>IFERROR(Таблица47[[#This Row],[Количество хлыстов]]-Таблица47[[#This Row],[Обработано в 1С]]-Таблица47[[#This Row],[Корректировка]],"")</f>
        <v>0</v>
      </c>
      <c r="P619" s="638">
        <f>IFERROR((((Таблица47[[#This Row],[Осталось сделать, хлыст]]*Таблица47[[#This Row],[длина]])*Таблица47[[#This Row],[Периметр]])/28),"")</f>
        <v>0</v>
      </c>
      <c r="Q619" s="303"/>
      <c r="R619" s="991">
        <f>IFERROR(Таблица47[[#This Row],[Коли-
чество м.п.]]/Таблица47[[#This Row],[Количество хлыстов]],"")</f>
        <v>1.885</v>
      </c>
      <c r="S619" s="639" t="s">
        <v>5215</v>
      </c>
      <c r="T619" s="639">
        <v>2262</v>
      </c>
      <c r="U619" s="640">
        <v>1200</v>
      </c>
      <c r="V619" s="639">
        <v>0.05</v>
      </c>
      <c r="W619" s="639">
        <v>0.16</v>
      </c>
      <c r="X619" s="639">
        <v>113.1</v>
      </c>
      <c r="Y619" s="639">
        <v>361.92</v>
      </c>
      <c r="Z619" s="639">
        <v>14.7</v>
      </c>
      <c r="AA619" s="639">
        <v>91.8</v>
      </c>
      <c r="AB619" s="639">
        <v>1836</v>
      </c>
      <c r="AC619" s="641">
        <v>207651.6</v>
      </c>
    </row>
    <row r="620" spans="1:29" ht="15.75" customHeight="1" x14ac:dyDescent="0.25">
      <c r="A620" s="427" t="s">
        <v>4678</v>
      </c>
      <c r="B620" s="309">
        <v>417</v>
      </c>
      <c r="C620" s="309"/>
      <c r="D620" s="304" t="s">
        <v>34</v>
      </c>
      <c r="E620" s="304" t="s">
        <v>79</v>
      </c>
      <c r="F620" s="310">
        <v>45488</v>
      </c>
      <c r="G620" s="310"/>
      <c r="H620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0" s="645" t="str">
        <f>CONCATENATE(Таблица47[[#This Row],[№ заявки в 1С]],Таблица47[[#This Row],[Наименование            ]])</f>
        <v>417[34579] 0906-44 (АТ-6052), 6,0м, БА с перфорацией</v>
      </c>
      <c r="J620" s="110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295</v>
      </c>
      <c r="K620" s="110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295</v>
      </c>
      <c r="L620" s="110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283</v>
      </c>
      <c r="M620" s="1102">
        <v>12</v>
      </c>
      <c r="N620" s="1103">
        <v>283</v>
      </c>
      <c r="O620" s="1013">
        <f>IFERROR(Таблица47[[#This Row],[Количество хлыстов]]-Таблица47[[#This Row],[Обработано в 1С]]-Таблица47[[#This Row],[Корректировка]],"")</f>
        <v>0</v>
      </c>
      <c r="P620" s="638">
        <f>IFERROR((((Таблица47[[#This Row],[Осталось сделать, хлыст]]*Таблица47[[#This Row],[длина]])*Таблица47[[#This Row],[Периметр]])/28),"")</f>
        <v>0</v>
      </c>
      <c r="Q620" s="304" t="s">
        <v>5223</v>
      </c>
      <c r="R620" s="991">
        <f>IFERROR(Таблица47[[#This Row],[Коли-
чество м.п.]]/Таблица47[[#This Row],[Количество хлыстов]],"")</f>
        <v>6</v>
      </c>
      <c r="S620" s="991" t="s">
        <v>78</v>
      </c>
      <c r="T620" s="991">
        <v>1770</v>
      </c>
      <c r="U620" s="1018">
        <v>295</v>
      </c>
      <c r="V620" s="991">
        <v>0.20230000000000001</v>
      </c>
      <c r="W620" s="991">
        <v>0.499</v>
      </c>
      <c r="X620" s="991">
        <v>358.07100000000003</v>
      </c>
      <c r="Y620" s="991">
        <v>883.23</v>
      </c>
      <c r="Z620" s="991">
        <v>46.55</v>
      </c>
      <c r="AA620" s="991">
        <v>74.849999999999994</v>
      </c>
      <c r="AB620" s="991">
        <v>370</v>
      </c>
      <c r="AC620" s="1019">
        <v>132486.26999999999</v>
      </c>
    </row>
    <row r="621" spans="1:29" customFormat="1" ht="15.75" customHeight="1" x14ac:dyDescent="0.25">
      <c r="A621" s="171" t="s">
        <v>4678</v>
      </c>
      <c r="B621" s="625">
        <v>419</v>
      </c>
      <c r="C621" s="625"/>
      <c r="D621" s="163" t="s">
        <v>13</v>
      </c>
      <c r="E621" s="142" t="s">
        <v>4734</v>
      </c>
      <c r="F621" s="172">
        <v>45490</v>
      </c>
      <c r="G621" s="148"/>
      <c r="H621" s="145" t="s">
        <v>677</v>
      </c>
      <c r="I621" s="645" t="str">
        <f>CONCATENATE(Таблица47[[#This Row],[№ заявки в 1С]],Таблица47[[#This Row],[Наименование            ]])</f>
        <v>419[77780] автоуголок 250*40мм (1706-75, 97101) 6,0м, сплав 6063 Т6 +  упаковка А5</v>
      </c>
      <c r="J621" s="64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621" s="64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621" s="64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621" s="645"/>
      <c r="N621" s="394"/>
      <c r="O621" s="1001">
        <f>IFERROR(Таблица47[[#This Row],[Количество хлыстов]]-Таблица47[[#This Row],[Обработано в 1С]]-Таблица47[[#This Row],[Корректировка]],"")</f>
        <v>18</v>
      </c>
      <c r="P621" s="638">
        <f>IFERROR((((Таблица47[[#This Row],[Осталось сделать, хлыст]]*Таблица47[[#This Row],[длина]])*Таблица47[[#This Row],[Периметр]])/28),"")</f>
        <v>2.3158285714285718</v>
      </c>
      <c r="Q621" s="145"/>
      <c r="R621" s="280">
        <f>IFERROR(Таблица47[[#This Row],[Коли-
чество м.п.]]/Таблица47[[#This Row],[Количество хлыстов]],"")</f>
        <v>6</v>
      </c>
      <c r="S621" s="280" t="s">
        <v>5216</v>
      </c>
      <c r="T621" s="280">
        <v>108</v>
      </c>
      <c r="U621" s="322">
        <v>18</v>
      </c>
      <c r="V621" s="280">
        <v>0.60040000000000004</v>
      </c>
      <c r="W621" s="280">
        <v>2.5739999999999998</v>
      </c>
      <c r="X621" s="280">
        <v>64.843199999999996</v>
      </c>
      <c r="Y621" s="280">
        <v>277.99200000000002</v>
      </c>
      <c r="Z621" s="280">
        <v>8.43</v>
      </c>
      <c r="AA621" s="280">
        <v>243.16</v>
      </c>
      <c r="AB621" s="280">
        <v>405</v>
      </c>
      <c r="AC621" s="397">
        <v>26261.279999999999</v>
      </c>
    </row>
    <row r="622" spans="1:29" s="1021" customFormat="1" ht="15.75" customHeight="1" x14ac:dyDescent="0.25">
      <c r="A622" s="1106" t="s">
        <v>4978</v>
      </c>
      <c r="B622" s="1067">
        <v>420</v>
      </c>
      <c r="C622" s="1067"/>
      <c r="D622" s="1068" t="s">
        <v>34</v>
      </c>
      <c r="E622" s="1068" t="s">
        <v>4807</v>
      </c>
      <c r="F622" s="1069">
        <v>45490</v>
      </c>
      <c r="G622" s="1069"/>
      <c r="H62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2" s="620" t="str">
        <f>CONCATENATE(Таблица47[[#This Row],[№ заявки в 1С]],Таблица47[[#This Row],[Наименование            ]])</f>
        <v>420[50071] 216004, рама, 5,3 м, сплав АД 31 Т1 , упаковка А3</v>
      </c>
      <c r="J62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2" s="1082"/>
      <c r="N622" s="1120">
        <f>694+6</f>
        <v>700</v>
      </c>
      <c r="O622" s="1020" t="str">
        <f>IFERROR(Таблица47[[#This Row],[Количество хлыстов]]-Таблица47[[#This Row],[Обработано в 1С]]-Таблица47[[#This Row],[Корректировка]],"")</f>
        <v/>
      </c>
      <c r="P622" s="638" t="str">
        <f>IFERROR((((Таблица47[[#This Row],[Осталось сделать, хлыст]]*Таблица47[[#This Row],[длина]])*Таблица47[[#This Row],[Периметр]])/28),"")</f>
        <v/>
      </c>
      <c r="Q622" s="1068" t="s">
        <v>4401</v>
      </c>
      <c r="R622" s="1089">
        <f>IFERROR(Таблица47[[#This Row],[Коли-
чество м.п.]]/Таблица47[[#This Row],[Количество хлыстов]],"")</f>
        <v>5.3</v>
      </c>
      <c r="S622" s="1083" t="s">
        <v>4806</v>
      </c>
      <c r="T622" s="1083">
        <v>3710</v>
      </c>
      <c r="U622" s="1084">
        <v>700</v>
      </c>
      <c r="V622" s="1083">
        <v>0.22270000000000001</v>
      </c>
      <c r="W622" s="1083">
        <v>0.52700000000000002</v>
      </c>
      <c r="X622" s="1083">
        <v>826.21699999999998</v>
      </c>
      <c r="Y622" s="1083">
        <v>1955.17</v>
      </c>
      <c r="Z622" s="1083">
        <v>107.41</v>
      </c>
      <c r="AA622" s="1083">
        <v>73.209999999999994</v>
      </c>
      <c r="AB622" s="1083">
        <v>328.75</v>
      </c>
      <c r="AC622" s="1085">
        <v>271618.84000000003</v>
      </c>
    </row>
    <row r="623" spans="1:29" s="1021" customFormat="1" ht="15.75" x14ac:dyDescent="0.25">
      <c r="A623" s="1106" t="s">
        <v>4978</v>
      </c>
      <c r="B623" s="1067">
        <v>420</v>
      </c>
      <c r="C623" s="1067"/>
      <c r="D623" s="1068" t="s">
        <v>34</v>
      </c>
      <c r="E623" s="1068" t="s">
        <v>4807</v>
      </c>
      <c r="F623" s="1069">
        <v>45490</v>
      </c>
      <c r="G623" s="1069"/>
      <c r="H62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3" s="620" t="str">
        <f>CONCATENATE(Таблица47[[#This Row],[№ заявки в 1С]],Таблица47[[#This Row],[Наименование            ]])</f>
        <v>420[41109] 216073, НИЖНЯЯ БАЛКА, 5,75 м, сплав АД31Т1, БА</v>
      </c>
      <c r="J62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3" s="1082">
        <v>8</v>
      </c>
      <c r="N623" s="1120">
        <v>140</v>
      </c>
      <c r="O623" s="1020" t="str">
        <f>IFERROR(Таблица47[[#This Row],[Количество хлыстов]]-Таблица47[[#This Row],[Обработано в 1С]]-Таблица47[[#This Row],[Корректировка]],"")</f>
        <v/>
      </c>
      <c r="P623" s="638" t="str">
        <f>IFERROR((((Таблица47[[#This Row],[Осталось сделать, хлыст]]*Таблица47[[#This Row],[длина]])*Таблица47[[#This Row],[Периметр]])/28),"")</f>
        <v/>
      </c>
      <c r="Q623" s="1068"/>
      <c r="R623" s="1089">
        <f>IFERROR(Таблица47[[#This Row],[Коли-
чество м.п.]]/Таблица47[[#This Row],[Количество хлыстов]],"")</f>
        <v>5.75</v>
      </c>
      <c r="S623" s="1083" t="s">
        <v>4989</v>
      </c>
      <c r="T623" s="1083">
        <v>851</v>
      </c>
      <c r="U623" s="1084">
        <v>148</v>
      </c>
      <c r="V623" s="1083">
        <v>0.32119999999999999</v>
      </c>
      <c r="W623" s="1083">
        <v>0.622</v>
      </c>
      <c r="X623" s="1083">
        <v>273.34120000000001</v>
      </c>
      <c r="Y623" s="1083">
        <v>529.322</v>
      </c>
      <c r="Z623" s="1083">
        <v>35.53</v>
      </c>
      <c r="AA623" s="1083">
        <v>73.209999999999994</v>
      </c>
      <c r="AB623" s="1083">
        <v>328.75</v>
      </c>
      <c r="AC623" s="1085">
        <v>62301.71</v>
      </c>
    </row>
    <row r="624" spans="1:29" s="1021" customFormat="1" ht="15.75" customHeight="1" x14ac:dyDescent="0.25">
      <c r="A624" s="1106" t="s">
        <v>4978</v>
      </c>
      <c r="B624" s="1067">
        <v>420</v>
      </c>
      <c r="C624" s="1067"/>
      <c r="D624" s="1068" t="s">
        <v>34</v>
      </c>
      <c r="E624" s="1068" t="s">
        <v>4807</v>
      </c>
      <c r="F624" s="1069">
        <v>45490</v>
      </c>
      <c r="G624" s="1069"/>
      <c r="H62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4" s="620" t="str">
        <f>CONCATENATE(Таблица47[[#This Row],[№ заявки в 1С]],Таблица47[[#This Row],[Наименование            ]])</f>
        <v>420[41108] 216074, ВЕРХНЯЯ БАЛКА, 5,95 м, сплав АД31Т1, БА</v>
      </c>
      <c r="J62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4" s="1082">
        <v>1</v>
      </c>
      <c r="N624" s="1120">
        <v>69</v>
      </c>
      <c r="O624" s="1020" t="str">
        <f>IFERROR(Таблица47[[#This Row],[Количество хлыстов]]-Таблица47[[#This Row],[Обработано в 1С]]-Таблица47[[#This Row],[Корректировка]],"")</f>
        <v/>
      </c>
      <c r="P624" s="638" t="str">
        <f>IFERROR((((Таблица47[[#This Row],[Осталось сделать, хлыст]]*Таблица47[[#This Row],[длина]])*Таблица47[[#This Row],[Периметр]])/28),"")</f>
        <v/>
      </c>
      <c r="Q624" s="1068" t="s">
        <v>559</v>
      </c>
      <c r="R624" s="1089">
        <f>IFERROR(Таблица47[[#This Row],[Коли-
чество м.п.]]/Таблица47[[#This Row],[Количество хлыстов]],"")</f>
        <v>5.95</v>
      </c>
      <c r="S624" s="1083" t="s">
        <v>4805</v>
      </c>
      <c r="T624" s="1083">
        <v>416.5</v>
      </c>
      <c r="U624" s="1084">
        <v>70</v>
      </c>
      <c r="V624" s="1083">
        <v>0.58020000000000005</v>
      </c>
      <c r="W624" s="1083">
        <v>1.306</v>
      </c>
      <c r="X624" s="1083">
        <v>241.6533</v>
      </c>
      <c r="Y624" s="1083">
        <v>543.94899999999996</v>
      </c>
      <c r="Z624" s="1083">
        <v>31.41</v>
      </c>
      <c r="AA624" s="1083">
        <v>73.209999999999994</v>
      </c>
      <c r="AB624" s="1083">
        <v>328.75</v>
      </c>
      <c r="AC624" s="1085">
        <v>30491.97</v>
      </c>
    </row>
    <row r="625" spans="1:29" s="1021" customFormat="1" ht="15.75" customHeight="1" x14ac:dyDescent="0.25">
      <c r="A625" s="1106" t="s">
        <v>4978</v>
      </c>
      <c r="B625" s="1067" t="s">
        <v>5219</v>
      </c>
      <c r="C625" s="1067"/>
      <c r="D625" s="1068" t="s">
        <v>34</v>
      </c>
      <c r="E625" s="1068" t="s">
        <v>5218</v>
      </c>
      <c r="F625" s="1069">
        <v>45490</v>
      </c>
      <c r="G625" s="1069"/>
      <c r="H62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5" s="620" t="str">
        <f>CONCATENATE(Таблица47[[#This Row],[№ заявки в 1С]],Таблица47[[#This Row],[Наименование            ]])</f>
        <v>OPT000769[24798] ФС-Д-001, Крышка декоративная ригельная, (0253-10 или ТП-5014М), 6,0м, БА</v>
      </c>
      <c r="J62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5" s="1082"/>
      <c r="N625" s="1120">
        <v>12</v>
      </c>
      <c r="O625" s="1020" t="str">
        <f>IFERROR(Таблица47[[#This Row],[Количество хлыстов]]-Таблица47[[#This Row],[Обработано в 1С]]-Таблица47[[#This Row],[Корректировка]],"")</f>
        <v/>
      </c>
      <c r="P625" s="638" t="str">
        <f>IFERROR((((Таблица47[[#This Row],[Осталось сделать, хлыст]]*Таблица47[[#This Row],[длина]])*Таблица47[[#This Row],[Периметр]])/28),"")</f>
        <v/>
      </c>
      <c r="Q625" s="1068"/>
      <c r="R625" s="1089">
        <f>IFERROR(Таблица47[[#This Row],[Коли-
чество м.п.]]/Таблица47[[#This Row],[Количество хлыстов]],"")</f>
        <v>6</v>
      </c>
      <c r="S625" s="1083" t="s">
        <v>5217</v>
      </c>
      <c r="T625" s="1083">
        <v>72</v>
      </c>
      <c r="U625" s="1084">
        <v>12</v>
      </c>
      <c r="V625" s="1083">
        <v>0.1396</v>
      </c>
      <c r="W625" s="1083">
        <v>0.22700000000000001</v>
      </c>
      <c r="X625" s="1083">
        <v>10.0512</v>
      </c>
      <c r="Y625" s="1083">
        <v>16.344000000000001</v>
      </c>
      <c r="Z625" s="1083">
        <v>1.31</v>
      </c>
      <c r="AA625" s="1083">
        <v>56.25</v>
      </c>
      <c r="AB625" s="1083">
        <v>402.94</v>
      </c>
      <c r="AC625" s="1085">
        <v>4050</v>
      </c>
    </row>
    <row r="626" spans="1:29" customFormat="1" ht="15.75" customHeight="1" x14ac:dyDescent="0.25">
      <c r="A626" s="924" t="s">
        <v>4678</v>
      </c>
      <c r="B626" s="925">
        <v>421</v>
      </c>
      <c r="C626" s="925"/>
      <c r="D626" s="926" t="s">
        <v>34</v>
      </c>
      <c r="E626" s="926" t="s">
        <v>3404</v>
      </c>
      <c r="F626" s="927">
        <v>45491</v>
      </c>
      <c r="G626" s="927"/>
      <c r="H62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Забронирован</v>
      </c>
      <c r="I626" s="928" t="str">
        <f>CONCATENATE(Таблица47[[#This Row],[№ заявки в 1С]],Таблица47[[#This Row],[Наименование            ]])</f>
        <v>421[90452] 2606-58, 6,0м, чёрный анод 10мкм без дроби, упак.стрейч</v>
      </c>
      <c r="J626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67</v>
      </c>
      <c r="K626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67</v>
      </c>
      <c r="L626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626" s="928"/>
      <c r="N626" s="937"/>
      <c r="O626" s="1001">
        <f>IFERROR(Таблица47[[#This Row],[Количество хлыстов]]-Таблица47[[#This Row],[Обработано в 1С]]-Таблица47[[#This Row],[Корректировка]],"")</f>
        <v>67</v>
      </c>
      <c r="P626" s="638">
        <f>IFERROR((((Таблица47[[#This Row],[Осталось сделать, хлыст]]*Таблица47[[#This Row],[длина]])*Таблица47[[#This Row],[Периметр]])/28),"")</f>
        <v>2.7034500000000001</v>
      </c>
      <c r="Q626" s="926" t="s">
        <v>5260</v>
      </c>
      <c r="R626" s="938">
        <f>IFERROR(Таблица47[[#This Row],[Коли-
чество м.п.]]/Таблица47[[#This Row],[Количество хлыстов]],"")</f>
        <v>6</v>
      </c>
      <c r="S626" s="933" t="s">
        <v>5220</v>
      </c>
      <c r="T626" s="933">
        <v>402</v>
      </c>
      <c r="U626" s="934">
        <v>67</v>
      </c>
      <c r="V626" s="933">
        <v>0.1883</v>
      </c>
      <c r="W626" s="933">
        <v>0.318</v>
      </c>
      <c r="X626" s="933">
        <v>75.696600000000004</v>
      </c>
      <c r="Y626" s="933">
        <v>127.836</v>
      </c>
      <c r="Z626" s="933">
        <v>9.84</v>
      </c>
      <c r="AA626" s="933">
        <v>114.3</v>
      </c>
      <c r="AB626" s="933">
        <v>607</v>
      </c>
      <c r="AC626" s="935">
        <v>45947.839999999997</v>
      </c>
    </row>
    <row r="627" spans="1:29" ht="15.75" customHeight="1" x14ac:dyDescent="0.25">
      <c r="A627" s="427" t="s">
        <v>4678</v>
      </c>
      <c r="B627" s="309">
        <v>422</v>
      </c>
      <c r="C627" s="309"/>
      <c r="D627" s="303" t="s">
        <v>13</v>
      </c>
      <c r="E627" s="303" t="s">
        <v>892</v>
      </c>
      <c r="F627" s="528">
        <v>45492</v>
      </c>
      <c r="G627" s="201"/>
      <c r="H62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7" s="522" t="str">
        <f>CONCATENATE(Таблица47[[#This Row],[№ заявки в 1С]],Таблица47[[#This Row],[Наименование            ]])</f>
        <v>422[81357] 1606-37 (АВА-7227), 4,45 м, сплав 6063 КР Т6, упаковка Т-5</v>
      </c>
      <c r="J62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135</v>
      </c>
      <c r="K62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135</v>
      </c>
      <c r="L62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133.99999999999997</v>
      </c>
      <c r="M627" s="635">
        <v>1</v>
      </c>
      <c r="N627" s="1119">
        <v>134</v>
      </c>
      <c r="O627" s="1013">
        <f>IFERROR(Таблица47[[#This Row],[Количество хлыстов]]-Таблица47[[#This Row],[Обработано в 1С]]-Таблица47[[#This Row],[Корректировка]],"")</f>
        <v>2.8421709430404007E-14</v>
      </c>
      <c r="P627" s="638">
        <f>IFERROR((((Таблица47[[#This Row],[Осталось сделать, хлыст]]*Таблица47[[#This Row],[длина]])*Таблица47[[#This Row],[Периметр]])/28),"")</f>
        <v>1.1974624466607308E-15</v>
      </c>
      <c r="Q627" s="303" t="s">
        <v>5267</v>
      </c>
      <c r="R627" s="991">
        <f>IFERROR(Таблица47[[#This Row],[Коли-
чество м.п.]]/Таблица47[[#This Row],[Количество хлыстов]],"")</f>
        <v>4.45</v>
      </c>
      <c r="S627" s="639" t="s">
        <v>4276</v>
      </c>
      <c r="T627" s="639">
        <v>600.75</v>
      </c>
      <c r="U627" s="640">
        <v>135</v>
      </c>
      <c r="V627" s="639">
        <v>0.2651</v>
      </c>
      <c r="W627" s="639">
        <v>0.82099999999999995</v>
      </c>
      <c r="X627" s="639">
        <v>159.25880000000001</v>
      </c>
      <c r="Y627" s="639">
        <v>493.2158</v>
      </c>
      <c r="Z627" s="639">
        <v>20.7</v>
      </c>
      <c r="AA627" s="639">
        <v>136.53</v>
      </c>
      <c r="AB627" s="639">
        <v>515</v>
      </c>
      <c r="AC627" s="641">
        <v>82018.289999999994</v>
      </c>
    </row>
    <row r="628" spans="1:29" ht="15.75" x14ac:dyDescent="0.25">
      <c r="A628" s="1130" t="s">
        <v>4678</v>
      </c>
      <c r="B628" s="1126">
        <v>423</v>
      </c>
      <c r="C628" s="1126" t="s">
        <v>4753</v>
      </c>
      <c r="D628" s="1127" t="s">
        <v>13</v>
      </c>
      <c r="E628" s="1127" t="s">
        <v>30</v>
      </c>
      <c r="F628" s="1129">
        <v>45496</v>
      </c>
      <c r="G628" s="528">
        <v>45576</v>
      </c>
      <c r="H62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8" s="522" t="str">
        <f>CONCATENATE(Таблица47[[#This Row],[№ заявки в 1С]],Таблица47[[#This Row],[Наименование            ]])</f>
        <v>423[92081] Полоса Амг3 3000*100*1 Д</v>
      </c>
      <c r="J628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8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8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8" s="635"/>
      <c r="N628" s="1119">
        <v>172</v>
      </c>
      <c r="O628" s="1013" t="str">
        <f>IFERROR(Таблица47[[#This Row],[Количество хлыстов]]-Таблица47[[#This Row],[Обработано в 1С]]-Таблица47[[#This Row],[Корректировка]],"")</f>
        <v/>
      </c>
      <c r="P628" s="638" t="str">
        <f>IFERROR((((Таблица47[[#This Row],[Осталось сделать, хлыст]]*Таблица47[[#This Row],[длина]])*Таблица47[[#This Row],[Периметр]])/28),"")</f>
        <v/>
      </c>
      <c r="Q628" s="303"/>
      <c r="R628" s="991">
        <f>IFERROR(Таблица47[[#This Row],[Коли-
чество м.п.]]/Таблица47[[#This Row],[Количество хлыстов]],"")</f>
        <v>1</v>
      </c>
      <c r="S628" s="639" t="s">
        <v>5470</v>
      </c>
      <c r="T628" s="639">
        <v>172</v>
      </c>
      <c r="U628" s="640">
        <v>172</v>
      </c>
      <c r="V628" s="639">
        <v>0.60599999999999998</v>
      </c>
      <c r="W628" s="639">
        <v>0.8</v>
      </c>
      <c r="X628" s="639">
        <v>104.232</v>
      </c>
      <c r="Y628" s="639">
        <v>137.6</v>
      </c>
      <c r="Z628" s="639">
        <v>13.55</v>
      </c>
      <c r="AA628" s="639">
        <v>608.37</v>
      </c>
      <c r="AB628" s="639">
        <v>1003.91</v>
      </c>
      <c r="AC628" s="641">
        <v>104640</v>
      </c>
    </row>
    <row r="629" spans="1:29" ht="15.75" customHeight="1" x14ac:dyDescent="0.25">
      <c r="A629" s="427" t="s">
        <v>4678</v>
      </c>
      <c r="B629" s="309">
        <v>424</v>
      </c>
      <c r="C629" s="309"/>
      <c r="D629" s="303" t="s">
        <v>13</v>
      </c>
      <c r="E629" s="303" t="s">
        <v>5222</v>
      </c>
      <c r="F629" s="528">
        <v>45496</v>
      </c>
      <c r="G629" s="528">
        <v>45509</v>
      </c>
      <c r="H62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29" s="522" t="str">
        <f>CONCATENATE(Таблица47[[#This Row],[№ заявки в 1С]],Таблица47[[#This Row],[Наименование            ]])</f>
        <v>424[865] автополоса 155*4мм (0106-152)  6,0м  60631 Т6  уп Т5</v>
      </c>
      <c r="J62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2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2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29" s="635">
        <v>4</v>
      </c>
      <c r="N629" s="1119">
        <v>253</v>
      </c>
      <c r="O629" s="1013" t="str">
        <f>IFERROR(Таблица47[[#This Row],[Количество хлыстов]]-Таблица47[[#This Row],[Обработано в 1С]]-Таблица47[[#This Row],[Корректировка]],"")</f>
        <v/>
      </c>
      <c r="P629" s="638" t="str">
        <f>IFERROR((((Таблица47[[#This Row],[Осталось сделать, хлыст]]*Таблица47[[#This Row],[длина]])*Таблица47[[#This Row],[Периметр]])/28),"")</f>
        <v/>
      </c>
      <c r="Q629" s="303" t="s">
        <v>5086</v>
      </c>
      <c r="R629" s="991">
        <f>IFERROR(Таблица47[[#This Row],[Коли-
чество м.п.]]/Таблица47[[#This Row],[Количество хлыстов]],"")</f>
        <v>6</v>
      </c>
      <c r="S629" s="639" t="s">
        <v>4748</v>
      </c>
      <c r="T629" s="639">
        <v>1542</v>
      </c>
      <c r="U629" s="640">
        <v>257</v>
      </c>
      <c r="V629" s="639">
        <v>0.33660000000000001</v>
      </c>
      <c r="W629" s="639">
        <v>1.2350000000000001</v>
      </c>
      <c r="X629" s="639">
        <v>519.03719999999998</v>
      </c>
      <c r="Y629" s="639">
        <v>1904.37</v>
      </c>
      <c r="Z629" s="639">
        <v>67.47</v>
      </c>
      <c r="AA629" s="639">
        <v>136.32</v>
      </c>
      <c r="AB629" s="639">
        <v>405</v>
      </c>
      <c r="AC629" s="641">
        <v>210210.07</v>
      </c>
    </row>
    <row r="630" spans="1:29" ht="15.75" customHeight="1" x14ac:dyDescent="0.25">
      <c r="A630" s="427" t="s">
        <v>4678</v>
      </c>
      <c r="B630" s="309">
        <v>425</v>
      </c>
      <c r="C630" s="309"/>
      <c r="D630" s="303" t="s">
        <v>13</v>
      </c>
      <c r="E630" s="303" t="s">
        <v>156</v>
      </c>
      <c r="F630" s="528">
        <v>45496</v>
      </c>
      <c r="G630" s="528">
        <v>45506</v>
      </c>
      <c r="H63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0" s="522" t="str">
        <f>CONCATENATE(Таблица47[[#This Row],[№ заявки в 1С]],Таблица47[[#This Row],[Наименование            ]])</f>
        <v>425[48347] 1406-77, 3,0м, сплав 6063 Кр</v>
      </c>
      <c r="J63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864</v>
      </c>
      <c r="K63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864</v>
      </c>
      <c r="L63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864</v>
      </c>
      <c r="M630" s="635"/>
      <c r="N630" s="1119">
        <v>864</v>
      </c>
      <c r="O630" s="1013">
        <f>IFERROR(Таблица47[[#This Row],[Количество хлыстов]]-Таблица47[[#This Row],[Обработано в 1С]]-Таблица47[[#This Row],[Корректировка]],"")</f>
        <v>0</v>
      </c>
      <c r="P630" s="638">
        <f>IFERROR((((Таблица47[[#This Row],[Осталось сделать, хлыст]]*Таблица47[[#This Row],[длина]])*Таблица47[[#This Row],[Периметр]])/28),"")</f>
        <v>0</v>
      </c>
      <c r="Q630" s="303"/>
      <c r="R630" s="991">
        <f>IFERROR(Таблица47[[#This Row],[Коли-
чество м.п.]]/Таблица47[[#This Row],[Количество хлыстов]],"")</f>
        <v>3</v>
      </c>
      <c r="S630" s="639" t="s">
        <v>2234</v>
      </c>
      <c r="T630" s="639">
        <v>2592</v>
      </c>
      <c r="U630" s="640">
        <v>864</v>
      </c>
      <c r="V630" s="639">
        <v>5.3600000000000002E-2</v>
      </c>
      <c r="W630" s="639">
        <v>0.20200000000000001</v>
      </c>
      <c r="X630" s="639">
        <v>138.93119999999999</v>
      </c>
      <c r="Y630" s="639">
        <v>523.58399999999995</v>
      </c>
      <c r="Z630" s="639">
        <v>18.059999999999999</v>
      </c>
      <c r="AA630" s="639">
        <v>27.6</v>
      </c>
      <c r="AB630" s="639">
        <v>515</v>
      </c>
      <c r="AC630" s="641">
        <v>71539.199999999997</v>
      </c>
    </row>
    <row r="631" spans="1:29" ht="15.75" customHeight="1" x14ac:dyDescent="0.25">
      <c r="A631" s="427" t="s">
        <v>4678</v>
      </c>
      <c r="B631" s="309">
        <v>426</v>
      </c>
      <c r="C631" s="309"/>
      <c r="D631" s="303" t="s">
        <v>13</v>
      </c>
      <c r="E631" s="303" t="s">
        <v>2973</v>
      </c>
      <c r="F631" s="528">
        <v>45496</v>
      </c>
      <c r="G631" s="528">
        <v>45506</v>
      </c>
      <c r="H63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1" s="522" t="str">
        <f>CONCATENATE(Таблица47[[#This Row],[№ заявки в 1С]],Таблица47[[#This Row],[Наименование            ]])</f>
        <v>426[77502] 0706-85 4,9 м, сплав 6063Кр, сост Т1, уп. Т5</v>
      </c>
      <c r="J63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</v>
      </c>
      <c r="K63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</v>
      </c>
      <c r="L63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27</v>
      </c>
      <c r="M631" s="635">
        <v>5</v>
      </c>
      <c r="N631" s="1119">
        <v>27</v>
      </c>
      <c r="O631" s="1013">
        <f>IFERROR(Таблица47[[#This Row],[Количество хлыстов]]-Таблица47[[#This Row],[Обработано в 1С]]-Таблица47[[#This Row],[Корректировка]],"")</f>
        <v>0</v>
      </c>
      <c r="P631" s="638">
        <f>IFERROR((((Таблица47[[#This Row],[Осталось сделать, хлыст]]*Таблица47[[#This Row],[длина]])*Таблица47[[#This Row],[Периметр]])/28),"")</f>
        <v>0</v>
      </c>
      <c r="Q631" s="303" t="s">
        <v>4761</v>
      </c>
      <c r="R631" s="991">
        <f>IFERROR(Таблица47[[#This Row],[Коли-
чество м.п.]]/Таблица47[[#This Row],[Количество хлыстов]],"")</f>
        <v>4.9000000000000004</v>
      </c>
      <c r="S631" s="639" t="s">
        <v>1751</v>
      </c>
      <c r="T631" s="639">
        <v>156.80000000000001</v>
      </c>
      <c r="U631" s="640">
        <v>32</v>
      </c>
      <c r="V631" s="639">
        <v>0.66659999999999997</v>
      </c>
      <c r="W631" s="639">
        <v>1.994</v>
      </c>
      <c r="X631" s="639">
        <v>104.52290000000001</v>
      </c>
      <c r="Y631" s="639">
        <v>312.6592</v>
      </c>
      <c r="Z631" s="639">
        <v>13.59</v>
      </c>
      <c r="AA631" s="639">
        <v>289.97000000000003</v>
      </c>
      <c r="AB631" s="639">
        <v>435</v>
      </c>
      <c r="AC631" s="641">
        <v>45467.45</v>
      </c>
    </row>
    <row r="632" spans="1:29" ht="15.75" customHeight="1" x14ac:dyDescent="0.25">
      <c r="A632" s="427" t="s">
        <v>4678</v>
      </c>
      <c r="B632" s="309">
        <v>428</v>
      </c>
      <c r="C632" s="309" t="s">
        <v>4753</v>
      </c>
      <c r="D632" s="303" t="s">
        <v>34</v>
      </c>
      <c r="E632" s="303" t="s">
        <v>4467</v>
      </c>
      <c r="F632" s="528">
        <v>45497</v>
      </c>
      <c r="G632" s="528"/>
      <c r="H63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2" s="522" t="str">
        <f>CONCATENATE(Таблица47[[#This Row],[№ заявки в 1С]],Таблица47[[#This Row],[Наименование            ]])</f>
        <v>428[90988] Д 30х30 B-Rxtr 6,05м, БА</v>
      </c>
      <c r="J63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44</v>
      </c>
      <c r="K63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44</v>
      </c>
      <c r="L63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44</v>
      </c>
      <c r="M632" s="635"/>
      <c r="N632" s="1119">
        <v>44</v>
      </c>
      <c r="O632" s="1013">
        <f>IFERROR(Таблица47[[#This Row],[Количество хлыстов]]-Таблица47[[#This Row],[Обработано в 1С]]-Таблица47[[#This Row],[Корректировка]],"")</f>
        <v>0</v>
      </c>
      <c r="P632" s="638">
        <f>IFERROR((((Таблица47[[#This Row],[Осталось сделать, хлыст]]*Таблица47[[#This Row],[длина]])*Таблица47[[#This Row],[Периметр]])/28),"")</f>
        <v>0</v>
      </c>
      <c r="Q632" s="303"/>
      <c r="R632" s="991">
        <f>IFERROR(Таблица47[[#This Row],[Коли-
чество м.п.]]/Таблица47[[#This Row],[Количество хлыстов]],"")</f>
        <v>6.05</v>
      </c>
      <c r="S632" s="639" t="s">
        <v>5134</v>
      </c>
      <c r="T632" s="639">
        <v>266.2</v>
      </c>
      <c r="U632" s="640">
        <v>44</v>
      </c>
      <c r="V632" s="639">
        <v>0.2319</v>
      </c>
      <c r="W632" s="639">
        <v>0.84599999999999997</v>
      </c>
      <c r="X632" s="639">
        <v>61.7318</v>
      </c>
      <c r="Y632" s="639">
        <v>225.20519999999999</v>
      </c>
      <c r="Z632" s="639">
        <v>8.0299999999999994</v>
      </c>
      <c r="AA632" s="639">
        <v>192.41</v>
      </c>
      <c r="AB632" s="639">
        <v>829.72</v>
      </c>
      <c r="AC632" s="641">
        <v>51220</v>
      </c>
    </row>
    <row r="633" spans="1:29" ht="15.75" customHeight="1" x14ac:dyDescent="0.25">
      <c r="A633" s="427" t="s">
        <v>4678</v>
      </c>
      <c r="B633" s="309">
        <v>428</v>
      </c>
      <c r="C633" s="309" t="s">
        <v>4753</v>
      </c>
      <c r="D633" s="303" t="s">
        <v>34</v>
      </c>
      <c r="E633" s="303" t="s">
        <v>4467</v>
      </c>
      <c r="F633" s="528">
        <v>45497</v>
      </c>
      <c r="G633" s="528"/>
      <c r="H63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3" s="522" t="str">
        <f>CONCATENATE(Таблица47[[#This Row],[№ заявки в 1С]],Таблица47[[#This Row],[Наименование            ]])</f>
        <v>428[90989] д 40х40 B-Rxtr, 6,05м БА</v>
      </c>
      <c r="J63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24</v>
      </c>
      <c r="K63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24</v>
      </c>
      <c r="L63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24</v>
      </c>
      <c r="M633" s="635"/>
      <c r="N633" s="1119">
        <v>24</v>
      </c>
      <c r="O633" s="1013">
        <f>IFERROR(Таблица47[[#This Row],[Количество хлыстов]]-Таблица47[[#This Row],[Обработано в 1С]]-Таблица47[[#This Row],[Корректировка]],"")</f>
        <v>0</v>
      </c>
      <c r="P633" s="638">
        <f>IFERROR((((Таблица47[[#This Row],[Осталось сделать, хлыст]]*Таблица47[[#This Row],[длина]])*Таблица47[[#This Row],[Периметр]])/28),"")</f>
        <v>0</v>
      </c>
      <c r="Q633" s="303"/>
      <c r="R633" s="991">
        <f>IFERROR(Таблица47[[#This Row],[Коли-
чество м.п.]]/Таблица47[[#This Row],[Количество хлыстов]],"")</f>
        <v>6.05</v>
      </c>
      <c r="S633" s="639" t="s">
        <v>5135</v>
      </c>
      <c r="T633" s="639">
        <v>145.19999999999999</v>
      </c>
      <c r="U633" s="640">
        <v>24</v>
      </c>
      <c r="V633" s="639">
        <v>0.30940000000000001</v>
      </c>
      <c r="W633" s="639">
        <v>1.49</v>
      </c>
      <c r="X633" s="639">
        <v>44.924900000000001</v>
      </c>
      <c r="Y633" s="639">
        <v>216.34800000000001</v>
      </c>
      <c r="Z633" s="639">
        <v>5.84</v>
      </c>
      <c r="AA633" s="639">
        <v>271.35000000000002</v>
      </c>
      <c r="AB633" s="639">
        <v>877.02</v>
      </c>
      <c r="AC633" s="641">
        <v>39400</v>
      </c>
    </row>
    <row r="634" spans="1:29" ht="15.75" customHeight="1" x14ac:dyDescent="0.25">
      <c r="A634" s="427" t="s">
        <v>4678</v>
      </c>
      <c r="B634" s="309">
        <v>430</v>
      </c>
      <c r="C634" s="309"/>
      <c r="D634" s="303" t="s">
        <v>13</v>
      </c>
      <c r="E634" s="303" t="s">
        <v>657</v>
      </c>
      <c r="F634" s="528">
        <v>45498</v>
      </c>
      <c r="G634" s="528">
        <v>45506</v>
      </c>
      <c r="H63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4" s="522" t="str">
        <f>CONCATENATE(Таблица47[[#This Row],[№ заявки в 1С]],Таблица47[[#This Row],[Наименование            ]])</f>
        <v>430[68773] 0906-71, 5,8 м, сплав 6063 КР Т1</v>
      </c>
      <c r="J63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351</v>
      </c>
      <c r="K63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351</v>
      </c>
      <c r="L63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351</v>
      </c>
      <c r="M634" s="635"/>
      <c r="N634" s="1119">
        <v>351</v>
      </c>
      <c r="O634" s="1013">
        <f>IFERROR(Таблица47[[#This Row],[Количество хлыстов]]-Таблица47[[#This Row],[Обработано в 1С]]-Таблица47[[#This Row],[Корректировка]],"")</f>
        <v>0</v>
      </c>
      <c r="P634" s="638">
        <f>IFERROR((((Таблица47[[#This Row],[Осталось сделать, хлыст]]*Таблица47[[#This Row],[длина]])*Таблица47[[#This Row],[Периметр]])/28),"")</f>
        <v>0</v>
      </c>
      <c r="Q634" s="303"/>
      <c r="R634" s="991">
        <f>IFERROR(Таблица47[[#This Row],[Коли-
чество м.п.]]/Таблица47[[#This Row],[Количество хлыстов]],"")</f>
        <v>5.8</v>
      </c>
      <c r="S634" s="639" t="s">
        <v>2963</v>
      </c>
      <c r="T634" s="639">
        <v>2035.8</v>
      </c>
      <c r="U634" s="640">
        <v>351</v>
      </c>
      <c r="V634" s="639">
        <v>0.1724</v>
      </c>
      <c r="W634" s="639">
        <v>0.41499999999999998</v>
      </c>
      <c r="X634" s="639">
        <v>350.97190000000001</v>
      </c>
      <c r="Y634" s="639">
        <v>844.85699999999997</v>
      </c>
      <c r="Z634" s="639">
        <v>45.63</v>
      </c>
      <c r="AA634" s="639">
        <v>74.989999999999995</v>
      </c>
      <c r="AB634" s="639">
        <v>435</v>
      </c>
      <c r="AC634" s="641">
        <v>152672.79</v>
      </c>
    </row>
    <row r="635" spans="1:29" ht="15.75" customHeight="1" x14ac:dyDescent="0.25">
      <c r="A635" s="427" t="s">
        <v>4678</v>
      </c>
      <c r="B635" s="309">
        <v>431</v>
      </c>
      <c r="C635" s="309"/>
      <c r="D635" s="303" t="s">
        <v>13</v>
      </c>
      <c r="E635" s="303" t="s">
        <v>892</v>
      </c>
      <c r="F635" s="528">
        <v>45499</v>
      </c>
      <c r="G635" s="528">
        <v>45518</v>
      </c>
      <c r="H63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5" s="522" t="str">
        <f>CONCATENATE(Таблица47[[#This Row],[№ заявки в 1С]],Таблица47[[#This Row],[Наименование            ]])</f>
        <v>431[76552] 1606-38 (197.05) 5,15 м, сплав 6063 КР Т6</v>
      </c>
      <c r="J63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96</v>
      </c>
      <c r="K63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96</v>
      </c>
      <c r="L63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94.000000000000014</v>
      </c>
      <c r="M635" s="635">
        <v>2</v>
      </c>
      <c r="N635" s="1119">
        <v>94</v>
      </c>
      <c r="O635" s="1013">
        <f>IFERROR(Таблица47[[#This Row],[Количество хлыстов]]-Таблица47[[#This Row],[Обработано в 1С]]-Таблица47[[#This Row],[Корректировка]],"")</f>
        <v>-1.4210854715202004E-14</v>
      </c>
      <c r="P635" s="638">
        <f>IFERROR((((Таблица47[[#This Row],[Осталось сделать, хлыст]]*Таблица47[[#This Row],[длина]])*Таблица47[[#This Row],[Периметр]])/28),"")</f>
        <v>-4.1271621041362647E-16</v>
      </c>
      <c r="Q635" s="303" t="s">
        <v>5263</v>
      </c>
      <c r="R635" s="991">
        <f>IFERROR(Таблица47[[#This Row],[Коли-
чество м.п.]]/Таблица47[[#This Row],[Количество хлыстов]],"")</f>
        <v>5.1499999999999995</v>
      </c>
      <c r="S635" s="957" t="s">
        <v>1975</v>
      </c>
      <c r="T635" s="639">
        <v>494.4</v>
      </c>
      <c r="U635" s="640">
        <v>96</v>
      </c>
      <c r="V635" s="639">
        <v>0.15790000000000001</v>
      </c>
      <c r="W635" s="639">
        <v>0.309</v>
      </c>
      <c r="X635" s="639">
        <v>78.065799999999996</v>
      </c>
      <c r="Y635" s="639">
        <v>152.7696</v>
      </c>
      <c r="Z635" s="639">
        <v>10.15</v>
      </c>
      <c r="AA635" s="639">
        <v>68.69</v>
      </c>
      <c r="AB635" s="639">
        <v>435</v>
      </c>
      <c r="AC635" s="641">
        <v>33958.61</v>
      </c>
    </row>
    <row r="636" spans="1:29" ht="15.75" customHeight="1" x14ac:dyDescent="0.25">
      <c r="A636" s="427" t="s">
        <v>4678</v>
      </c>
      <c r="B636" s="309">
        <v>432</v>
      </c>
      <c r="C636" s="309"/>
      <c r="D636" s="303" t="s">
        <v>34</v>
      </c>
      <c r="E636" s="303" t="s">
        <v>19</v>
      </c>
      <c r="F636" s="528">
        <v>45499</v>
      </c>
      <c r="G636" s="528"/>
      <c r="H63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6" s="522" t="str">
        <f>CONCATENATE(Таблица47[[#This Row],[№ заявки в 1С]],Таблица47[[#This Row],[Наименование            ]])</f>
        <v>432[91034] 1506-79, 3,6м, 6063 Т6, упак.Т5, БА</v>
      </c>
      <c r="J63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323</v>
      </c>
      <c r="K63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323</v>
      </c>
      <c r="L63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320.00000000000006</v>
      </c>
      <c r="M636" s="635">
        <v>3</v>
      </c>
      <c r="N636" s="1119">
        <v>320</v>
      </c>
      <c r="O636" s="1013">
        <f>IFERROR(Таблица47[[#This Row],[Количество хлыстов]]-Таблица47[[#This Row],[Обработано в 1С]]-Таблица47[[#This Row],[Корректировка]],"")</f>
        <v>-5.6843418860808015E-14</v>
      </c>
      <c r="P636" s="638">
        <f>IFERROR((((Таблица47[[#This Row],[Осталось сделать, хлыст]]*Таблица47[[#This Row],[длина]])*Таблица47[[#This Row],[Периметр]])/28),"")</f>
        <v>-2.4863311409717422E-15</v>
      </c>
      <c r="Q636" s="303" t="s">
        <v>5278</v>
      </c>
      <c r="R636" s="991">
        <f>IFERROR(Таблица47[[#This Row],[Коли-
чество м.п.]]/Таблица47[[#This Row],[Количество хлыстов]],"")</f>
        <v>3.5999999999999996</v>
      </c>
      <c r="S636" s="639" t="s">
        <v>5158</v>
      </c>
      <c r="T636" s="639">
        <v>1162.8</v>
      </c>
      <c r="U636" s="640">
        <v>323</v>
      </c>
      <c r="V636" s="639">
        <v>0.3402</v>
      </c>
      <c r="W636" s="639">
        <v>1.4530000000000001</v>
      </c>
      <c r="X636" s="639">
        <v>395.58460000000002</v>
      </c>
      <c r="Y636" s="639">
        <v>1689.5483999999999</v>
      </c>
      <c r="Z636" s="639">
        <v>51.43</v>
      </c>
      <c r="AA636" s="639">
        <v>136.76</v>
      </c>
      <c r="AB636" s="639">
        <v>402</v>
      </c>
      <c r="AC636" s="641">
        <v>159024.99</v>
      </c>
    </row>
    <row r="637" spans="1:29" s="906" customFormat="1" ht="15.75" customHeight="1" x14ac:dyDescent="0.25">
      <c r="A637" s="949" t="s">
        <v>4678</v>
      </c>
      <c r="B637" s="901">
        <v>433</v>
      </c>
      <c r="C637" s="901"/>
      <c r="D637" s="524" t="s">
        <v>34</v>
      </c>
      <c r="E637" s="524" t="s">
        <v>79</v>
      </c>
      <c r="F637" s="943">
        <v>45499</v>
      </c>
      <c r="G637" s="943"/>
      <c r="H637" s="52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7" s="522" t="str">
        <f>CONCATENATE(Таблица47[[#This Row],[№ заявки в 1С]],Таблица47[[#This Row],[Наименование            ]])</f>
        <v>433[92063] 0906-44, 6,05м, с перфорацией, БА</v>
      </c>
      <c r="J637" s="994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637" s="994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637" s="994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637" s="994">
        <v>27</v>
      </c>
      <c r="N637" s="995"/>
      <c r="O637" s="1003">
        <f>IFERROR(Таблица47[[#This Row],[Количество хлыстов]]-Таблица47[[#This Row],[Обработано в 1С]]-Таблица47[[#This Row],[Корректировка]],"")</f>
        <v>0</v>
      </c>
      <c r="P637" s="996">
        <f>IFERROR((((Таблица47[[#This Row],[Осталось сделать, хлыст]]*Таблица47[[#This Row],[длина]])*Таблица47[[#This Row],[Периметр]])/28),"")</f>
        <v>0</v>
      </c>
      <c r="Q637" s="524" t="s">
        <v>2776</v>
      </c>
      <c r="R637" s="997">
        <f>IFERROR(Таблица47[[#This Row],[Коли-
чество м.п.]]/Таблица47[[#This Row],[Количество хлыстов]],"")</f>
        <v>6.05</v>
      </c>
      <c r="S637" s="998" t="s">
        <v>5319</v>
      </c>
      <c r="T637" s="998">
        <v>163.35</v>
      </c>
      <c r="U637" s="999">
        <v>27</v>
      </c>
      <c r="V637" s="998">
        <v>0.20230000000000001</v>
      </c>
      <c r="W637" s="998">
        <v>0.499</v>
      </c>
      <c r="X637" s="998">
        <v>33.045699999999997</v>
      </c>
      <c r="Y637" s="998">
        <v>81.511700000000005</v>
      </c>
      <c r="Z637" s="998">
        <v>4.3</v>
      </c>
      <c r="AA637" s="998">
        <v>74.849999999999994</v>
      </c>
      <c r="AB637" s="998">
        <v>370</v>
      </c>
      <c r="AC637" s="1000">
        <v>12226.91</v>
      </c>
    </row>
    <row r="638" spans="1:29" customFormat="1" ht="15.75" customHeight="1" x14ac:dyDescent="0.25">
      <c r="A638" s="924" t="s">
        <v>4678</v>
      </c>
      <c r="B638" s="925">
        <v>434</v>
      </c>
      <c r="C638" s="925"/>
      <c r="D638" s="926" t="s">
        <v>34</v>
      </c>
      <c r="E638" s="926" t="s">
        <v>3404</v>
      </c>
      <c r="F638" s="927">
        <v>45499</v>
      </c>
      <c r="G638" s="927"/>
      <c r="H638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8" s="928" t="str">
        <f>CONCATENATE(Таблица47[[#This Row],[№ заявки в 1С]],Таблица47[[#This Row],[Наименование            ]])</f>
        <v>434[81579] 1706-69, 6,0м, 6063 Т6, упаковка Т-5, БА</v>
      </c>
      <c r="J638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364</v>
      </c>
      <c r="K638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364</v>
      </c>
      <c r="L638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354</v>
      </c>
      <c r="M638" s="928">
        <v>10</v>
      </c>
      <c r="N638" s="937">
        <v>354</v>
      </c>
      <c r="O638" s="1001">
        <f>IFERROR(Таблица47[[#This Row],[Количество хлыстов]]-Таблица47[[#This Row],[Обработано в 1С]]-Таблица47[[#This Row],[Корректировка]],"")</f>
        <v>0</v>
      </c>
      <c r="P638" s="638">
        <f>IFERROR((((Таблица47[[#This Row],[Осталось сделать, хлыст]]*Таблица47[[#This Row],[длина]])*Таблица47[[#This Row],[Периметр]])/28),"")</f>
        <v>0</v>
      </c>
      <c r="Q638" s="926" t="s">
        <v>5825</v>
      </c>
      <c r="R638" s="938">
        <f>IFERROR(Таблица47[[#This Row],[Коли-
чество м.п.]]/Таблица47[[#This Row],[Количество хлыстов]],"")</f>
        <v>6</v>
      </c>
      <c r="S638" s="933" t="s">
        <v>4994</v>
      </c>
      <c r="T638" s="933">
        <v>2184</v>
      </c>
      <c r="U638" s="934">
        <v>364</v>
      </c>
      <c r="V638" s="933">
        <v>0.21959999999999999</v>
      </c>
      <c r="W638" s="933">
        <v>0.35</v>
      </c>
      <c r="X638" s="933">
        <v>479.60640000000001</v>
      </c>
      <c r="Y638" s="933">
        <v>764.4</v>
      </c>
      <c r="Z638" s="933">
        <v>62.35</v>
      </c>
      <c r="AA638" s="933">
        <v>81.25</v>
      </c>
      <c r="AB638" s="933">
        <v>370</v>
      </c>
      <c r="AC638" s="935">
        <v>177454.37</v>
      </c>
    </row>
    <row r="639" spans="1:29" ht="15.75" customHeight="1" x14ac:dyDescent="0.25">
      <c r="A639" s="427" t="s">
        <v>4678</v>
      </c>
      <c r="B639" s="309">
        <v>434</v>
      </c>
      <c r="C639" s="309"/>
      <c r="D639" s="303" t="s">
        <v>34</v>
      </c>
      <c r="E639" s="303" t="s">
        <v>3404</v>
      </c>
      <c r="F639" s="528">
        <v>45499</v>
      </c>
      <c r="G639" s="528"/>
      <c r="H63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39" s="928" t="str">
        <f>CONCATENATE(Таблица47[[#This Row],[№ заявки в 1С]],Таблица47[[#This Row],[Наименование            ]])</f>
        <v>434[89435] 2606-56, 6,0м, 6063 Т6, уп.Т5, БА</v>
      </c>
      <c r="J63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</v>
      </c>
      <c r="K63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</v>
      </c>
      <c r="L63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40</v>
      </c>
      <c r="M639" s="635"/>
      <c r="N639" s="1119">
        <v>40</v>
      </c>
      <c r="O639" s="1013">
        <f>IFERROR(Таблица47[[#This Row],[Количество хлыстов]]-Таблица47[[#This Row],[Обработано в 1С]]-Таблица47[[#This Row],[Корректировка]],"")</f>
        <v>0</v>
      </c>
      <c r="P639" s="638">
        <f>IFERROR((((Таблица47[[#This Row],[Осталось сделать, хлыст]]*Таблица47[[#This Row],[длина]])*Таблица47[[#This Row],[Периметр]])/28),"")</f>
        <v>0</v>
      </c>
      <c r="Q639" s="303"/>
      <c r="R639" s="991">
        <f>IFERROR(Таблица47[[#This Row],[Коли-
чество м.п.]]/Таблица47[[#This Row],[Количество хлыстов]],"")</f>
        <v>6</v>
      </c>
      <c r="S639" s="639" t="s">
        <v>4998</v>
      </c>
      <c r="T639" s="639">
        <v>240</v>
      </c>
      <c r="U639" s="640">
        <v>40</v>
      </c>
      <c r="V639" s="639">
        <v>0.3075</v>
      </c>
      <c r="W639" s="639">
        <v>0.85</v>
      </c>
      <c r="X639" s="639">
        <v>73.8</v>
      </c>
      <c r="Y639" s="639">
        <v>204</v>
      </c>
      <c r="Z639" s="639">
        <v>9.59</v>
      </c>
      <c r="AA639" s="639">
        <v>113.78</v>
      </c>
      <c r="AB639" s="639">
        <v>370</v>
      </c>
      <c r="AC639" s="641">
        <v>27306</v>
      </c>
    </row>
    <row r="640" spans="1:29" ht="15.75" customHeight="1" x14ac:dyDescent="0.25">
      <c r="A640" s="427" t="s">
        <v>4678</v>
      </c>
      <c r="B640" s="309">
        <v>437</v>
      </c>
      <c r="C640" s="309"/>
      <c r="D640" s="303" t="s">
        <v>34</v>
      </c>
      <c r="E640" s="303" t="s">
        <v>3404</v>
      </c>
      <c r="F640" s="528">
        <v>45502</v>
      </c>
      <c r="G640" s="528"/>
      <c r="H6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0" s="928" t="str">
        <f>CONCATENATE(Таблица47[[#This Row],[№ заявки в 1С]],Таблица47[[#This Row],[Наименование            ]])</f>
        <v>437[81738] 1706-70, 6,0м, 6063 Т1, упаковка Т-5, БА</v>
      </c>
      <c r="J64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232</v>
      </c>
      <c r="K64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232</v>
      </c>
      <c r="L64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226</v>
      </c>
      <c r="M640" s="635">
        <v>6</v>
      </c>
      <c r="N640" s="1119">
        <v>226</v>
      </c>
      <c r="O640" s="1013">
        <f>IFERROR(Таблица47[[#This Row],[Количество хлыстов]]-Таблица47[[#This Row],[Обработано в 1С]]-Таблица47[[#This Row],[Корректировка]],"")</f>
        <v>0</v>
      </c>
      <c r="P640" s="638">
        <f>IFERROR((((Таблица47[[#This Row],[Осталось сделать, хлыст]]*Таблица47[[#This Row],[длина]])*Таблица47[[#This Row],[Периметр]])/28),"")</f>
        <v>0</v>
      </c>
      <c r="Q640" s="303" t="s">
        <v>5696</v>
      </c>
      <c r="R640" s="991">
        <f>IFERROR(Таблица47[[#This Row],[Коли-
чество м.п.]]/Таблица47[[#This Row],[Количество хлыстов]],"")</f>
        <v>6</v>
      </c>
      <c r="S640" s="639" t="s">
        <v>4378</v>
      </c>
      <c r="T640" s="639">
        <v>1392</v>
      </c>
      <c r="U640" s="640">
        <v>232</v>
      </c>
      <c r="V640" s="639">
        <v>0.25169999999999998</v>
      </c>
      <c r="W640" s="639">
        <v>0.56699999999999995</v>
      </c>
      <c r="X640" s="639">
        <v>350.3664</v>
      </c>
      <c r="Y640" s="639">
        <v>789.26400000000001</v>
      </c>
      <c r="Z640" s="639">
        <v>45.55</v>
      </c>
      <c r="AA640" s="639">
        <v>93.13</v>
      </c>
      <c r="AB640" s="639">
        <v>370</v>
      </c>
      <c r="AC640" s="641">
        <v>129635.57</v>
      </c>
    </row>
    <row r="641" spans="1:29" customFormat="1" ht="15.75" customHeight="1" x14ac:dyDescent="0.25">
      <c r="A641" s="924" t="s">
        <v>4678</v>
      </c>
      <c r="B641" s="925" t="s">
        <v>5224</v>
      </c>
      <c r="C641" s="925"/>
      <c r="D641" s="926" t="s">
        <v>34</v>
      </c>
      <c r="E641" s="926" t="s">
        <v>16</v>
      </c>
      <c r="F641" s="927">
        <v>45502</v>
      </c>
      <c r="G641" s="927"/>
      <c r="H641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1" s="928" t="str">
        <f>CONCATENATE(Таблица47[[#This Row],[№ заявки в 1С]],Таблица47[[#This Row],[Наименование            ]])</f>
        <v>OPT000794[11564] 0106-235, 6,0м, 6063 Т6, упаковка Т-5, под анод тип 2, БА (прессовать на плюсовом допуске)</v>
      </c>
      <c r="J641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67</v>
      </c>
      <c r="K641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67</v>
      </c>
      <c r="L641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67</v>
      </c>
      <c r="M641" s="928"/>
      <c r="N641" s="937">
        <v>67</v>
      </c>
      <c r="O641" s="1001">
        <f>IFERROR(Таблица47[[#This Row],[Количество хлыстов]]-Таблица47[[#This Row],[Обработано в 1С]]-Таблица47[[#This Row],[Корректировка]],"")</f>
        <v>0</v>
      </c>
      <c r="P641" s="638">
        <f>IFERROR((((Таблица47[[#This Row],[Осталось сделать, хлыст]]*Таблица47[[#This Row],[длина]])*Таблица47[[#This Row],[Периметр]])/28),"")</f>
        <v>0</v>
      </c>
      <c r="Q641" s="926"/>
      <c r="R641" s="938">
        <f>IFERROR(Таблица47[[#This Row],[Коли-
чество м.п.]]/Таблица47[[#This Row],[Количество хлыстов]],"")</f>
        <v>6</v>
      </c>
      <c r="S641" s="933" t="s">
        <v>2581</v>
      </c>
      <c r="T641" s="933">
        <v>402</v>
      </c>
      <c r="U641" s="934">
        <v>67</v>
      </c>
      <c r="V641" s="933">
        <v>0.56989999999999996</v>
      </c>
      <c r="W641" s="933">
        <v>1.304</v>
      </c>
      <c r="X641" s="933">
        <v>229.09979999999999</v>
      </c>
      <c r="Y641" s="933">
        <v>524.20799999999997</v>
      </c>
      <c r="Z641" s="933">
        <v>29.78</v>
      </c>
      <c r="AA641" s="933">
        <v>324.83999999999997</v>
      </c>
      <c r="AB641" s="933">
        <v>570</v>
      </c>
      <c r="AC641" s="935">
        <v>130585.68</v>
      </c>
    </row>
    <row r="642" spans="1:29" ht="60.75" customHeight="1" x14ac:dyDescent="0.25">
      <c r="A642" s="427" t="s">
        <v>4678</v>
      </c>
      <c r="B642" s="309" t="s">
        <v>5225</v>
      </c>
      <c r="C642" s="309"/>
      <c r="D642" s="303" t="s">
        <v>34</v>
      </c>
      <c r="E642" s="303" t="s">
        <v>16</v>
      </c>
      <c r="F642" s="528">
        <v>45502</v>
      </c>
      <c r="G642" s="528"/>
      <c r="H64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2" s="928" t="str">
        <f>CONCATENATE(Таблица47[[#This Row],[№ заявки в 1С]],Таблица47[[#This Row],[Наименование            ]])</f>
        <v>OPT000795[13620] 0106-290 (6158), 6,0м, 6063 Т1, тип 1, упаковка Т-5, БА</v>
      </c>
      <c r="J64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136</v>
      </c>
      <c r="K64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136</v>
      </c>
      <c r="L64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134</v>
      </c>
      <c r="M642" s="635">
        <v>2</v>
      </c>
      <c r="N642" s="1119">
        <v>134</v>
      </c>
      <c r="O642" s="1013">
        <f>IFERROR(Таблица47[[#This Row],[Количество хлыстов]]-Таблица47[[#This Row],[Обработано в 1С]]-Таблица47[[#This Row],[Корректировка]],"")</f>
        <v>0</v>
      </c>
      <c r="P642" s="638">
        <f>IFERROR((((Таблица47[[#This Row],[Осталось сделать, хлыст]]*Таблица47[[#This Row],[длина]])*Таблица47[[#This Row],[Периметр]])/28),"")</f>
        <v>0</v>
      </c>
      <c r="Q642" s="1081" t="s">
        <v>5345</v>
      </c>
      <c r="R642" s="991">
        <f>IFERROR(Таблица47[[#This Row],[Коли-
чество м.п.]]/Таблица47[[#This Row],[Количество хлыстов]],"")</f>
        <v>6</v>
      </c>
      <c r="S642" s="639" t="s">
        <v>5693</v>
      </c>
      <c r="T642" s="639">
        <v>816</v>
      </c>
      <c r="U642" s="640">
        <v>136</v>
      </c>
      <c r="V642" s="639">
        <v>0.29970000000000002</v>
      </c>
      <c r="W642" s="639">
        <v>1.6739999999999999</v>
      </c>
      <c r="X642" s="639">
        <v>244.55520000000001</v>
      </c>
      <c r="Y642" s="639">
        <v>1365.9839999999999</v>
      </c>
      <c r="Z642" s="639">
        <v>31.79</v>
      </c>
      <c r="AA642" s="639">
        <v>130.37</v>
      </c>
      <c r="AB642" s="639">
        <v>435</v>
      </c>
      <c r="AC642" s="641">
        <v>106381.92</v>
      </c>
    </row>
    <row r="643" spans="1:29" customFormat="1" ht="15.75" customHeight="1" x14ac:dyDescent="0.25">
      <c r="A643" s="924" t="s">
        <v>4678</v>
      </c>
      <c r="B643" s="925" t="s">
        <v>5226</v>
      </c>
      <c r="C643" s="925"/>
      <c r="D643" s="926" t="s">
        <v>34</v>
      </c>
      <c r="E643" s="926" t="s">
        <v>16</v>
      </c>
      <c r="F643" s="927">
        <v>45502</v>
      </c>
      <c r="G643" s="927"/>
      <c r="H643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3" s="928" t="str">
        <f>CONCATENATE(Таблица47[[#This Row],[№ заявки в 1С]],Таблица47[[#This Row],[Наименование            ]])</f>
        <v>OPT000796[38436] 0506-21, 6,0м, 6063 Т1, тип 1, упаковка Т-5, БА</v>
      </c>
      <c r="J643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166</v>
      </c>
      <c r="K643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166</v>
      </c>
      <c r="L643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166</v>
      </c>
      <c r="M643" s="928"/>
      <c r="N643" s="937">
        <v>166</v>
      </c>
      <c r="O643" s="1001">
        <f>IFERROR(Таблица47[[#This Row],[Количество хлыстов]]-Таблица47[[#This Row],[Обработано в 1С]]-Таблица47[[#This Row],[Корректировка]],"")</f>
        <v>0</v>
      </c>
      <c r="P643" s="638">
        <f>IFERROR((((Таблица47[[#This Row],[Осталось сделать, хлыст]]*Таблица47[[#This Row],[длина]])*Таблица47[[#This Row],[Периметр]])/28),"")</f>
        <v>0</v>
      </c>
      <c r="Q643" s="926"/>
      <c r="R643" s="938">
        <f>IFERROR(Таблица47[[#This Row],[Коли-
чество м.п.]]/Таблица47[[#This Row],[Количество хлыстов]],"")</f>
        <v>6</v>
      </c>
      <c r="S643" s="933" t="s">
        <v>2469</v>
      </c>
      <c r="T643" s="933">
        <v>996</v>
      </c>
      <c r="U643" s="934">
        <v>166</v>
      </c>
      <c r="V643" s="933">
        <v>0.70820000000000005</v>
      </c>
      <c r="W643" s="933">
        <v>3.4609999999999999</v>
      </c>
      <c r="X643" s="933">
        <v>705.36720000000003</v>
      </c>
      <c r="Y643" s="933">
        <v>3447.1559999999999</v>
      </c>
      <c r="Z643" s="933">
        <v>91.7</v>
      </c>
      <c r="AA643" s="933">
        <v>308.07</v>
      </c>
      <c r="AB643" s="933">
        <v>435</v>
      </c>
      <c r="AC643" s="935">
        <v>306837.71999999997</v>
      </c>
    </row>
    <row r="644" spans="1:29" s="1021" customFormat="1" ht="15.75" customHeight="1" x14ac:dyDescent="0.25">
      <c r="A644" s="1106" t="s">
        <v>4978</v>
      </c>
      <c r="B644" s="1067">
        <v>438</v>
      </c>
      <c r="C644" s="1067"/>
      <c r="D644" s="1068" t="s">
        <v>13</v>
      </c>
      <c r="E644" s="1068" t="s">
        <v>556</v>
      </c>
      <c r="F644" s="1069">
        <v>45502</v>
      </c>
      <c r="G644" s="1069"/>
      <c r="H64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4" s="620" t="str">
        <f>CONCATENATE(Таблица47[[#This Row],[№ заявки в 1С]],Таблица47[[#This Row],[Наименование            ]])</f>
        <v>438[30617] 0706-99, 6,0м, АД 31, сост.Т1, упаковка Т3</v>
      </c>
      <c r="J64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4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4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44" s="1082"/>
      <c r="N644" s="1120">
        <v>126</v>
      </c>
      <c r="O644" s="1020" t="str">
        <f>IFERROR(Таблица47[[#This Row],[Количество хлыстов]]-Таблица47[[#This Row],[Обработано в 1С]]-Таблица47[[#This Row],[Корректировка]],"")</f>
        <v/>
      </c>
      <c r="P644" s="638" t="str">
        <f>IFERROR((((Таблица47[[#This Row],[Осталось сделать, хлыст]]*Таблица47[[#This Row],[длина]])*Таблица47[[#This Row],[Периметр]])/28),"")</f>
        <v/>
      </c>
      <c r="Q644" s="1068"/>
      <c r="R644" s="1089">
        <f>IFERROR(Таблица47[[#This Row],[Коли-
чество м.п.]]/Таблица47[[#This Row],[Количество хлыстов]],"")</f>
        <v>6</v>
      </c>
      <c r="S644" s="1083" t="s">
        <v>5227</v>
      </c>
      <c r="T644" s="1083">
        <v>756</v>
      </c>
      <c r="U644" s="1084">
        <v>126</v>
      </c>
      <c r="V644" s="1083">
        <v>0.33710000000000001</v>
      </c>
      <c r="W644" s="1083">
        <v>0.90700000000000003</v>
      </c>
      <c r="X644" s="1083">
        <v>254.8476</v>
      </c>
      <c r="Y644" s="1083">
        <v>685.69200000000001</v>
      </c>
      <c r="Z644" s="1083">
        <v>33.130000000000003</v>
      </c>
      <c r="AA644" s="1083">
        <v>91.02</v>
      </c>
      <c r="AB644" s="1083">
        <v>270</v>
      </c>
      <c r="AC644" s="1085">
        <v>68808.850000000006</v>
      </c>
    </row>
    <row r="645" spans="1:29" s="1021" customFormat="1" ht="15.75" customHeight="1" x14ac:dyDescent="0.25">
      <c r="A645" s="1106" t="s">
        <v>4978</v>
      </c>
      <c r="B645" s="1067">
        <v>438</v>
      </c>
      <c r="C645" s="1067"/>
      <c r="D645" s="1068" t="s">
        <v>13</v>
      </c>
      <c r="E645" s="1068" t="s">
        <v>556</v>
      </c>
      <c r="F645" s="1069">
        <v>45502</v>
      </c>
      <c r="G645" s="1069"/>
      <c r="H64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5" s="620" t="str">
        <f>CONCATENATE(Таблица47[[#This Row],[№ заявки в 1С]],Таблица47[[#This Row],[Наименование            ]])</f>
        <v>438[30853] 0906-04, 6,0м, сплав АД 31 Т1</v>
      </c>
      <c r="J64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4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4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45" s="1082"/>
      <c r="N645" s="1120">
        <v>99</v>
      </c>
      <c r="O645" s="1020" t="str">
        <f>IFERROR(Таблица47[[#This Row],[Количество хлыстов]]-Таблица47[[#This Row],[Обработано в 1С]]-Таблица47[[#This Row],[Корректировка]],"")</f>
        <v/>
      </c>
      <c r="P645" s="638" t="str">
        <f>IFERROR((((Таблица47[[#This Row],[Осталось сделать, хлыст]]*Таблица47[[#This Row],[длина]])*Таблица47[[#This Row],[Периметр]])/28),"")</f>
        <v/>
      </c>
      <c r="Q645" s="1068"/>
      <c r="R645" s="1089">
        <f>IFERROR(Таблица47[[#This Row],[Коли-
чество м.п.]]/Таблица47[[#This Row],[Количество хлыстов]],"")</f>
        <v>6</v>
      </c>
      <c r="S645" s="1083" t="s">
        <v>5228</v>
      </c>
      <c r="T645" s="1083">
        <v>594</v>
      </c>
      <c r="U645" s="1084">
        <v>99</v>
      </c>
      <c r="V645" s="1083">
        <v>0.46110000000000001</v>
      </c>
      <c r="W645" s="1083">
        <v>1.22</v>
      </c>
      <c r="X645" s="1083">
        <v>273.89339999999999</v>
      </c>
      <c r="Y645" s="1083">
        <v>724.68</v>
      </c>
      <c r="Z645" s="1083">
        <v>35.61</v>
      </c>
      <c r="AA645" s="1083">
        <v>124.5</v>
      </c>
      <c r="AB645" s="1083">
        <v>270</v>
      </c>
      <c r="AC645" s="1085">
        <v>73951.22</v>
      </c>
    </row>
    <row r="646" spans="1:29" s="1021" customFormat="1" ht="15.75" customHeight="1" x14ac:dyDescent="0.25">
      <c r="A646" s="1106" t="s">
        <v>4978</v>
      </c>
      <c r="B646" s="1067">
        <v>438</v>
      </c>
      <c r="C646" s="1067"/>
      <c r="D646" s="1068" t="s">
        <v>13</v>
      </c>
      <c r="E646" s="1068" t="s">
        <v>556</v>
      </c>
      <c r="F646" s="1069">
        <v>45502</v>
      </c>
      <c r="G646" s="1069"/>
      <c r="H64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6" s="620" t="str">
        <f>CONCATENATE(Таблица47[[#This Row],[№ заявки в 1С]],Таблица47[[#This Row],[Наименование            ]])</f>
        <v>438[30652] 0706-98, 6,0м, сплав АД 31, состТ1, упаковка Т3</v>
      </c>
      <c r="J64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4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4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46" s="1082"/>
      <c r="N646" s="1120">
        <v>67</v>
      </c>
      <c r="O646" s="1020" t="str">
        <f>IFERROR(Таблица47[[#This Row],[Количество хлыстов]]-Таблица47[[#This Row],[Обработано в 1С]]-Таблица47[[#This Row],[Корректировка]],"")</f>
        <v/>
      </c>
      <c r="P646" s="638" t="str">
        <f>IFERROR((((Таблица47[[#This Row],[Осталось сделать, хлыст]]*Таблица47[[#This Row],[длина]])*Таблица47[[#This Row],[Периметр]])/28),"")</f>
        <v/>
      </c>
      <c r="Q646" s="1068"/>
      <c r="R646" s="1089">
        <f>IFERROR(Таблица47[[#This Row],[Коли-
чество м.п.]]/Таблица47[[#This Row],[Количество хлыстов]],"")</f>
        <v>6</v>
      </c>
      <c r="S646" s="1083" t="s">
        <v>5229</v>
      </c>
      <c r="T646" s="1083">
        <v>402</v>
      </c>
      <c r="U646" s="1084">
        <v>67</v>
      </c>
      <c r="V646" s="1083">
        <v>0.4511</v>
      </c>
      <c r="W646" s="1083">
        <v>1.204</v>
      </c>
      <c r="X646" s="1083">
        <v>181.34219999999999</v>
      </c>
      <c r="Y646" s="1083">
        <v>484.00799999999998</v>
      </c>
      <c r="Z646" s="1083">
        <v>23.57</v>
      </c>
      <c r="AA646" s="1083">
        <v>121.8</v>
      </c>
      <c r="AB646" s="1083">
        <v>270</v>
      </c>
      <c r="AC646" s="1085">
        <v>48962.39</v>
      </c>
    </row>
    <row r="647" spans="1:29" s="1021" customFormat="1" ht="15.75" customHeight="1" x14ac:dyDescent="0.25">
      <c r="A647" s="1106" t="s">
        <v>4978</v>
      </c>
      <c r="B647" s="1067">
        <v>439</v>
      </c>
      <c r="C647" s="1067"/>
      <c r="D647" s="1068" t="s">
        <v>13</v>
      </c>
      <c r="E647" s="1068" t="s">
        <v>5239</v>
      </c>
      <c r="F647" s="1069">
        <v>45502</v>
      </c>
      <c r="G647" s="1069"/>
      <c r="H64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47" s="620" t="str">
        <f>CONCATENATE(Таблица47[[#This Row],[№ заявки в 1С]],Таблица47[[#This Row],[Наименование            ]])</f>
        <v>439[866] автоуголок 150*55*3мм (0106-153 ) 6,0м АД31 Т1 уп. Т5</v>
      </c>
      <c r="J64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4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4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47" s="1082"/>
      <c r="N647" s="1120">
        <v>66</v>
      </c>
      <c r="O647" s="1020" t="str">
        <f>IFERROR(Таблица47[[#This Row],[Количество хлыстов]]-Таблица47[[#This Row],[Обработано в 1С]]-Таблица47[[#This Row],[Корректировка]],"")</f>
        <v/>
      </c>
      <c r="P647" s="638" t="str">
        <f>IFERROR((((Таблица47[[#This Row],[Осталось сделать, хлыст]]*Таблица47[[#This Row],[длина]])*Таблица47[[#This Row],[Периметр]])/28),"")</f>
        <v/>
      </c>
      <c r="Q647" s="1068"/>
      <c r="R647" s="1089">
        <f>IFERROR(Таблица47[[#This Row],[Коли-
чество м.п.]]/Таблица47[[#This Row],[Количество хлыстов]],"")</f>
        <v>6</v>
      </c>
      <c r="S647" s="1083" t="s">
        <v>4834</v>
      </c>
      <c r="T647" s="1083">
        <v>396</v>
      </c>
      <c r="U647" s="1084">
        <v>66</v>
      </c>
      <c r="V647" s="1083">
        <v>0.42199999999999999</v>
      </c>
      <c r="W647" s="1083">
        <v>1.389</v>
      </c>
      <c r="X647" s="1083">
        <v>167.11199999999999</v>
      </c>
      <c r="Y647" s="1083">
        <v>550.04399999999998</v>
      </c>
      <c r="Z647" s="1083">
        <v>21.72</v>
      </c>
      <c r="AA647" s="1083">
        <v>99.17</v>
      </c>
      <c r="AB647" s="1083">
        <v>235</v>
      </c>
      <c r="AC647" s="1085">
        <v>39271.32</v>
      </c>
    </row>
    <row r="648" spans="1:29" customFormat="1" ht="15.75" customHeight="1" x14ac:dyDescent="0.25">
      <c r="A648" s="147" t="s">
        <v>4678</v>
      </c>
      <c r="B648" s="521">
        <v>440</v>
      </c>
      <c r="C648" s="521" t="s">
        <v>4753</v>
      </c>
      <c r="D648" s="142" t="s">
        <v>13</v>
      </c>
      <c r="E648" s="142" t="s">
        <v>5230</v>
      </c>
      <c r="F648" s="143">
        <v>45502</v>
      </c>
      <c r="G648" s="143"/>
      <c r="H648" s="1005" t="s">
        <v>677</v>
      </c>
      <c r="I648" s="522" t="str">
        <f>CONCATENATE(Таблица47[[#This Row],[№ заявки в 1С]],Таблица47[[#This Row],[Наименование            ]])</f>
        <v>440[92044] А28 (Д),  6м, 6060 Т6</v>
      </c>
      <c r="J648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546</v>
      </c>
      <c r="K648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546</v>
      </c>
      <c r="L648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546</v>
      </c>
      <c r="M648" s="522"/>
      <c r="N648" s="393">
        <f>70+420+56</f>
        <v>546</v>
      </c>
      <c r="O648" s="1001">
        <f>IFERROR(Таблица47[[#This Row],[Количество хлыстов]]-Таблица47[[#This Row],[Обработано в 1С]]-Таблица47[[#This Row],[Корректировка]],"")</f>
        <v>361</v>
      </c>
      <c r="P648" s="638">
        <f>IFERROR((((Таблица47[[#This Row],[Осталось сделать, хлыст]]*Таблица47[[#This Row],[длина]])*Таблица47[[#This Row],[Периметр]])/28),"")</f>
        <v>20.963785714285713</v>
      </c>
      <c r="Q648" s="142"/>
      <c r="R648" s="280">
        <f>IFERROR(Таблица47[[#This Row],[Коли-
чество м.п.]]/Таблица47[[#This Row],[Количество хлыстов]],"")</f>
        <v>6</v>
      </c>
      <c r="S648" s="525" t="s">
        <v>5231</v>
      </c>
      <c r="T648" s="525">
        <v>5442</v>
      </c>
      <c r="U648" s="526">
        <v>907</v>
      </c>
      <c r="V648" s="525">
        <v>0.27100000000000002</v>
      </c>
      <c r="W648" s="525">
        <v>1.2569999999999999</v>
      </c>
      <c r="X648" s="525">
        <v>1474.7819999999999</v>
      </c>
      <c r="Y648" s="525">
        <v>6840.5940000000001</v>
      </c>
      <c r="Z648" s="525">
        <v>191.72</v>
      </c>
      <c r="AA648" s="525">
        <v>106</v>
      </c>
      <c r="AB648" s="525">
        <v>391.14</v>
      </c>
      <c r="AC648" s="527">
        <v>576840</v>
      </c>
    </row>
    <row r="649" spans="1:29" ht="15.75" customHeight="1" x14ac:dyDescent="0.25">
      <c r="A649" s="427" t="s">
        <v>4678</v>
      </c>
      <c r="B649" s="309">
        <v>440</v>
      </c>
      <c r="C649" s="309" t="s">
        <v>4753</v>
      </c>
      <c r="D649" s="303" t="s">
        <v>13</v>
      </c>
      <c r="E649" s="303" t="s">
        <v>5230</v>
      </c>
      <c r="F649" s="528">
        <v>45504</v>
      </c>
      <c r="G649" s="528"/>
      <c r="H649" s="303" t="s">
        <v>23</v>
      </c>
      <c r="I649" s="522" t="str">
        <f>CONCATENATE(Таблица47[[#This Row],[№ заявки в 1С]],Таблица47[[#This Row],[Наименование            ]])</f>
        <v>440[92124] А-967.1 (Д), 6м, 6060Т6</v>
      </c>
      <c r="J649" s="635">
        <v>78</v>
      </c>
      <c r="K649" s="635">
        <v>78</v>
      </c>
      <c r="L649" s="635">
        <v>78</v>
      </c>
      <c r="M649" s="635"/>
      <c r="N649" s="1119"/>
      <c r="O649" s="1013">
        <f>IFERROR(Таблица47[[#This Row],[Количество хлыстов]]-Таблица47[[#This Row],[Обработано в 1С]]-Таблица47[[#This Row],[Корректировка]],"")</f>
        <v>0</v>
      </c>
      <c r="P649" s="638">
        <f>IFERROR((((Таблица47[[#This Row],[Осталось сделать, хлыст]]*Таблица47[[#This Row],[длина]])*Таблица47[[#This Row],[Периметр]])/28),"")</f>
        <v>0</v>
      </c>
      <c r="Q649" s="303" t="s">
        <v>5246</v>
      </c>
      <c r="R649" s="991">
        <f>IFERROR(Таблица47[[#This Row],[Коли-
чество м.п.]]/Таблица47[[#This Row],[Количество хлыстов]],"")</f>
        <v>6</v>
      </c>
      <c r="S649" s="639" t="s">
        <v>5240</v>
      </c>
      <c r="T649" s="639">
        <v>468</v>
      </c>
      <c r="U649" s="640">
        <v>78</v>
      </c>
      <c r="V649" s="639">
        <v>0.83199999999999996</v>
      </c>
      <c r="W649" s="639">
        <v>1.9359999999999999</v>
      </c>
      <c r="X649" s="639">
        <v>389.37599999999998</v>
      </c>
      <c r="Y649" s="639">
        <v>906.048</v>
      </c>
      <c r="Z649" s="639">
        <v>50.62</v>
      </c>
      <c r="AA649" s="639">
        <v>364.17</v>
      </c>
      <c r="AB649" s="639">
        <v>437.7</v>
      </c>
      <c r="AC649" s="641">
        <v>170430</v>
      </c>
    </row>
    <row r="650" spans="1:29" ht="15.75" customHeight="1" x14ac:dyDescent="0.25">
      <c r="A650" s="238" t="s">
        <v>4678</v>
      </c>
      <c r="B650" s="309">
        <v>441</v>
      </c>
      <c r="C650" s="309"/>
      <c r="D650" s="303" t="s">
        <v>13</v>
      </c>
      <c r="E650" s="303" t="s">
        <v>892</v>
      </c>
      <c r="F650" s="528">
        <v>45503</v>
      </c>
      <c r="G650" s="528"/>
      <c r="H65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0" s="522" t="str">
        <f>CONCATENATE(Таблица47[[#This Row],[№ заявки в 1С]],Таблица47[[#This Row],[Наименование            ]])</f>
        <v>441[81357] 1606-37 (АВА-7227), 4,45 м, сплав 6063 КР Т6, упаковка Т-5</v>
      </c>
      <c r="J65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1105</v>
      </c>
      <c r="K65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1105</v>
      </c>
      <c r="L65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1093</v>
      </c>
      <c r="M650" s="635">
        <v>12</v>
      </c>
      <c r="N650" s="1119">
        <f>189+163+269+472</f>
        <v>1093</v>
      </c>
      <c r="O650" s="1013">
        <f>IFERROR(Таблица47[[#This Row],[Количество хлыстов]]-Таблица47[[#This Row],[Обработано в 1С]]-Таблица47[[#This Row],[Корректировка]],"")</f>
        <v>0</v>
      </c>
      <c r="P650" s="638">
        <f>IFERROR((((Таблица47[[#This Row],[Осталось сделать, хлыст]]*Таблица47[[#This Row],[длина]])*Таблица47[[#This Row],[Периметр]])/28),"")</f>
        <v>0</v>
      </c>
      <c r="Q650" s="303" t="s">
        <v>5251</v>
      </c>
      <c r="R650" s="991">
        <f>IFERROR(Таблица47[[#This Row],[Коли-
чество м.п.]]/Таблица47[[#This Row],[Количество хлыстов]],"")</f>
        <v>4.45</v>
      </c>
      <c r="S650" s="639" t="s">
        <v>4276</v>
      </c>
      <c r="T650" s="639">
        <v>4917.25</v>
      </c>
      <c r="U650" s="640">
        <v>1105</v>
      </c>
      <c r="V650" s="639">
        <v>0.2651</v>
      </c>
      <c r="W650" s="639">
        <v>0.82099999999999995</v>
      </c>
      <c r="X650" s="639">
        <v>1303.5630000000001</v>
      </c>
      <c r="Y650" s="639">
        <v>4037.0623000000001</v>
      </c>
      <c r="Z650" s="639">
        <v>169.46</v>
      </c>
      <c r="AA650" s="639">
        <v>136.53</v>
      </c>
      <c r="AB650" s="639">
        <v>515</v>
      </c>
      <c r="AC650" s="641">
        <v>671334.93</v>
      </c>
    </row>
    <row r="651" spans="1:29" ht="15.75" customHeight="1" x14ac:dyDescent="0.25">
      <c r="A651" s="238" t="s">
        <v>4678</v>
      </c>
      <c r="B651" s="1070">
        <v>441</v>
      </c>
      <c r="C651" s="1070"/>
      <c r="D651" s="200" t="s">
        <v>13</v>
      </c>
      <c r="E651" s="200" t="s">
        <v>892</v>
      </c>
      <c r="F651" s="201">
        <v>45503</v>
      </c>
      <c r="G651" s="528"/>
      <c r="H65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1" s="522" t="str">
        <f>CONCATENATE(Таблица47[[#This Row],[№ заявки в 1С]],Таблица47[[#This Row],[Наименование            ]])</f>
        <v>441[81356] 1606-37 (АВА-7227), 5,05 м, сплав 6063 КР Т6, упаковка Т-5</v>
      </c>
      <c r="J65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5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5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51" s="635">
        <v>20</v>
      </c>
      <c r="N651" s="1119">
        <v>342</v>
      </c>
      <c r="O651" s="1013" t="str">
        <f>IFERROR(Таблица47[[#This Row],[Количество хлыстов]]-Таблица47[[#This Row],[Обработано в 1С]]-Таблица47[[#This Row],[Корректировка]],"")</f>
        <v/>
      </c>
      <c r="P651" s="638" t="str">
        <f>IFERROR((((Таблица47[[#This Row],[Осталось сделать, хлыст]]*Таблица47[[#This Row],[длина]])*Таблица47[[#This Row],[Периметр]])/28),"")</f>
        <v/>
      </c>
      <c r="Q651" s="303" t="s">
        <v>5279</v>
      </c>
      <c r="R651" s="991">
        <f>IFERROR(Таблица47[[#This Row],[Коли-
чество м.п.]]/Таблица47[[#This Row],[Количество хлыстов]],"")</f>
        <v>5.05</v>
      </c>
      <c r="S651" s="639" t="s">
        <v>4275</v>
      </c>
      <c r="T651" s="639">
        <v>1828.1</v>
      </c>
      <c r="U651" s="640">
        <v>362</v>
      </c>
      <c r="V651" s="639">
        <v>0.2651</v>
      </c>
      <c r="W651" s="639">
        <v>0.82099999999999995</v>
      </c>
      <c r="X651" s="639">
        <v>484.6293</v>
      </c>
      <c r="Y651" s="639">
        <v>1500.8701000000001</v>
      </c>
      <c r="Z651" s="639">
        <v>63</v>
      </c>
      <c r="AA651" s="639">
        <v>136.53</v>
      </c>
      <c r="AB651" s="639">
        <v>515</v>
      </c>
      <c r="AC651" s="641">
        <v>249584.09</v>
      </c>
    </row>
    <row r="652" spans="1:29" ht="15.75" customHeight="1" x14ac:dyDescent="0.25">
      <c r="A652" s="427" t="s">
        <v>4678</v>
      </c>
      <c r="B652" s="309">
        <v>442</v>
      </c>
      <c r="C652" s="309" t="s">
        <v>4753</v>
      </c>
      <c r="D652" s="303" t="s">
        <v>13</v>
      </c>
      <c r="E652" s="303" t="s">
        <v>5238</v>
      </c>
      <c r="F652" s="528">
        <v>45503</v>
      </c>
      <c r="G652" s="528"/>
      <c r="H65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2" s="522" t="str">
        <f>CONCATENATE(Таблица47[[#This Row],[№ заявки в 1С]],Таблица47[[#This Row],[Наименование            ]])</f>
        <v>442[92011] НПЧ 703, 89*45 (стойка) Д, 2,3м, АД31</v>
      </c>
      <c r="J65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84</v>
      </c>
      <c r="K65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84</v>
      </c>
      <c r="L65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84</v>
      </c>
      <c r="M652" s="635"/>
      <c r="N652" s="1119">
        <v>84</v>
      </c>
      <c r="O652" s="1013">
        <f>IFERROR(Таблица47[[#This Row],[Количество хлыстов]]-Таблица47[[#This Row],[Обработано в 1С]]-Таблица47[[#This Row],[Корректировка]],"")</f>
        <v>0</v>
      </c>
      <c r="P652" s="638">
        <f>IFERROR((((Таблица47[[#This Row],[Осталось сделать, хлыст]]*Таблица47[[#This Row],[длина]])*Таблица47[[#This Row],[Периметр]])/28),"")</f>
        <v>0</v>
      </c>
      <c r="Q652" s="303"/>
      <c r="R652" s="991">
        <f>IFERROR(Таблица47[[#This Row],[Коли-
чество м.п.]]/Таблица47[[#This Row],[Количество хлыстов]],"")</f>
        <v>2.2999999999999998</v>
      </c>
      <c r="S652" s="639" t="s">
        <v>5232</v>
      </c>
      <c r="T652" s="639">
        <v>193.2</v>
      </c>
      <c r="U652" s="640">
        <v>84</v>
      </c>
      <c r="V652" s="639">
        <v>0.41</v>
      </c>
      <c r="W652" s="639">
        <v>1.974</v>
      </c>
      <c r="X652" s="639">
        <v>79.212000000000003</v>
      </c>
      <c r="Y652" s="639">
        <v>381.3768</v>
      </c>
      <c r="Z652" s="639">
        <v>10.3</v>
      </c>
      <c r="AA652" s="639">
        <v>500</v>
      </c>
      <c r="AB652" s="639">
        <v>1219.51</v>
      </c>
      <c r="AC652" s="641">
        <v>96600</v>
      </c>
    </row>
    <row r="653" spans="1:29" ht="15.75" customHeight="1" x14ac:dyDescent="0.25">
      <c r="A653" s="427" t="s">
        <v>4678</v>
      </c>
      <c r="B653" s="309">
        <v>442</v>
      </c>
      <c r="C653" s="309" t="s">
        <v>4753</v>
      </c>
      <c r="D653" s="303" t="s">
        <v>13</v>
      </c>
      <c r="E653" s="303" t="s">
        <v>5238</v>
      </c>
      <c r="F653" s="528">
        <v>45503</v>
      </c>
      <c r="G653" s="528"/>
      <c r="H65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3" s="522" t="str">
        <f>CONCATENATE(Таблица47[[#This Row],[№ заявки в 1С]],Таблица47[[#This Row],[Наименование            ]])</f>
        <v>442[92013] НПЧ 703, 89*45 (обвязка 3*3) Д, 2,81м, АД31</v>
      </c>
      <c r="J65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</v>
      </c>
      <c r="K65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65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653" s="635"/>
      <c r="N653" s="1119">
        <v>4</v>
      </c>
      <c r="O653" s="1013">
        <f>IFERROR(Таблица47[[#This Row],[Количество хлыстов]]-Таблица47[[#This Row],[Обработано в 1С]]-Таблица47[[#This Row],[Корректировка]],"")</f>
        <v>0</v>
      </c>
      <c r="P653" s="638">
        <f>IFERROR((((Таблица47[[#This Row],[Осталось сделать, хлыст]]*Таблица47[[#This Row],[длина]])*Таблица47[[#This Row],[Периметр]])/28),"")</f>
        <v>0</v>
      </c>
      <c r="Q653" s="303"/>
      <c r="R653" s="991">
        <f>IFERROR(Таблица47[[#This Row],[Коли-
чество м.п.]]/Таблица47[[#This Row],[Количество хлыстов]],"")</f>
        <v>2.81</v>
      </c>
      <c r="S653" s="639" t="s">
        <v>5233</v>
      </c>
      <c r="T653" s="639">
        <v>11.24</v>
      </c>
      <c r="U653" s="640">
        <v>4</v>
      </c>
      <c r="V653" s="639">
        <v>0.41</v>
      </c>
      <c r="W653" s="639">
        <v>1.974</v>
      </c>
      <c r="X653" s="639">
        <v>4.6083999999999996</v>
      </c>
      <c r="Y653" s="639">
        <v>22.187799999999999</v>
      </c>
      <c r="Z653" s="639">
        <v>0.6</v>
      </c>
      <c r="AA653" s="639">
        <v>400</v>
      </c>
      <c r="AB653" s="639">
        <v>975.61</v>
      </c>
      <c r="AC653" s="641">
        <v>4496</v>
      </c>
    </row>
    <row r="654" spans="1:29" ht="15.75" customHeight="1" x14ac:dyDescent="0.25">
      <c r="A654" s="427" t="s">
        <v>4678</v>
      </c>
      <c r="B654" s="309">
        <v>442</v>
      </c>
      <c r="C654" s="309" t="s">
        <v>4753</v>
      </c>
      <c r="D654" s="303" t="s">
        <v>13</v>
      </c>
      <c r="E654" s="303" t="s">
        <v>5238</v>
      </c>
      <c r="F654" s="528">
        <v>45503</v>
      </c>
      <c r="G654" s="528"/>
      <c r="H65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4" s="522" t="str">
        <f>CONCATENATE(Таблица47[[#This Row],[№ заявки в 1С]],Таблица47[[#This Row],[Наименование            ]])</f>
        <v>442[92015] НПЧ 703, 89*45 (обвязка 5*5) Д, 4,805м, АД31</v>
      </c>
      <c r="J65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72</v>
      </c>
      <c r="K65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72</v>
      </c>
      <c r="L65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72</v>
      </c>
      <c r="M654" s="635"/>
      <c r="N654" s="1119">
        <v>72</v>
      </c>
      <c r="O654" s="1013">
        <f>IFERROR(Таблица47[[#This Row],[Количество хлыстов]]-Таблица47[[#This Row],[Обработано в 1С]]-Таблица47[[#This Row],[Корректировка]],"")</f>
        <v>0</v>
      </c>
      <c r="P654" s="638">
        <f>IFERROR((((Таблица47[[#This Row],[Осталось сделать, хлыст]]*Таблица47[[#This Row],[длина]])*Таблица47[[#This Row],[Периметр]])/28),"")</f>
        <v>0</v>
      </c>
      <c r="Q654" s="303"/>
      <c r="R654" s="991">
        <f>IFERROR(Таблица47[[#This Row],[Коли-
чество м.п.]]/Таблица47[[#This Row],[Количество хлыстов]],"")</f>
        <v>4.8049999999999997</v>
      </c>
      <c r="S654" s="639" t="s">
        <v>5234</v>
      </c>
      <c r="T654" s="639">
        <v>345.96</v>
      </c>
      <c r="U654" s="640">
        <v>72</v>
      </c>
      <c r="V654" s="639">
        <v>0.41</v>
      </c>
      <c r="W654" s="639">
        <v>1.974</v>
      </c>
      <c r="X654" s="639">
        <v>141.84360000000001</v>
      </c>
      <c r="Y654" s="639">
        <v>682.92499999999995</v>
      </c>
      <c r="Z654" s="639">
        <v>18.440000000000001</v>
      </c>
      <c r="AA654" s="639">
        <v>200</v>
      </c>
      <c r="AB654" s="639">
        <v>487.8</v>
      </c>
      <c r="AC654" s="641">
        <v>69192</v>
      </c>
    </row>
    <row r="655" spans="1:29" ht="15.75" customHeight="1" x14ac:dyDescent="0.25">
      <c r="A655" s="427" t="s">
        <v>4678</v>
      </c>
      <c r="B655" s="309">
        <v>442</v>
      </c>
      <c r="C655" s="309" t="s">
        <v>4753</v>
      </c>
      <c r="D655" s="303" t="s">
        <v>13</v>
      </c>
      <c r="E655" s="303" t="s">
        <v>5238</v>
      </c>
      <c r="F655" s="528">
        <v>45503</v>
      </c>
      <c r="G655" s="528"/>
      <c r="H65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5" s="522" t="str">
        <f>CONCATENATE(Таблица47[[#This Row],[№ заявки в 1С]],Таблица47[[#This Row],[Наименование            ]])</f>
        <v>442[92017] НПЧ 703, 89*45 (стойка деревяная) Д, 3м, АД31</v>
      </c>
      <c r="J65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24</v>
      </c>
      <c r="K65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24</v>
      </c>
      <c r="L65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24</v>
      </c>
      <c r="M655" s="635"/>
      <c r="N655" s="1119">
        <v>24</v>
      </c>
      <c r="O655" s="1013">
        <f>IFERROR(Таблица47[[#This Row],[Количество хлыстов]]-Таблица47[[#This Row],[Обработано в 1С]]-Таблица47[[#This Row],[Корректировка]],"")</f>
        <v>0</v>
      </c>
      <c r="P655" s="638">
        <f>IFERROR((((Таблица47[[#This Row],[Осталось сделать, хлыст]]*Таблица47[[#This Row],[длина]])*Таблица47[[#This Row],[Периметр]])/28),"")</f>
        <v>0</v>
      </c>
      <c r="Q655" s="303"/>
      <c r="R655" s="991">
        <f>IFERROR(Таблица47[[#This Row],[Коли-
чество м.п.]]/Таблица47[[#This Row],[Количество хлыстов]],"")</f>
        <v>3</v>
      </c>
      <c r="S655" s="639" t="s">
        <v>5235</v>
      </c>
      <c r="T655" s="639">
        <v>72</v>
      </c>
      <c r="U655" s="640">
        <v>24</v>
      </c>
      <c r="V655" s="639">
        <v>0.41</v>
      </c>
      <c r="W655" s="639">
        <v>1.974</v>
      </c>
      <c r="X655" s="639">
        <v>29.52</v>
      </c>
      <c r="Y655" s="639">
        <v>142.12799999999999</v>
      </c>
      <c r="Z655" s="639">
        <v>3.84</v>
      </c>
      <c r="AA655" s="639">
        <v>545</v>
      </c>
      <c r="AB655" s="639">
        <v>1329.27</v>
      </c>
      <c r="AC655" s="641">
        <v>39240</v>
      </c>
    </row>
    <row r="656" spans="1:29" ht="15.75" customHeight="1" x14ac:dyDescent="0.25">
      <c r="A656" s="427" t="s">
        <v>4678</v>
      </c>
      <c r="B656" s="309">
        <v>442</v>
      </c>
      <c r="C656" s="309" t="s">
        <v>4753</v>
      </c>
      <c r="D656" s="303" t="s">
        <v>13</v>
      </c>
      <c r="E656" s="303" t="s">
        <v>5238</v>
      </c>
      <c r="F656" s="528">
        <v>45503</v>
      </c>
      <c r="G656" s="528"/>
      <c r="H65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6" s="522" t="str">
        <f>CONCATENATE(Таблица47[[#This Row],[№ заявки в 1С]],Таблица47[[#This Row],[Наименование            ]])</f>
        <v>442[92019] НПЧ 2857-А, 110*68 (обвязка) Д, 5,764м,АД31</v>
      </c>
      <c r="J656" s="635">
        <v>4</v>
      </c>
      <c r="K656" s="635">
        <v>4</v>
      </c>
      <c r="L656" s="635">
        <v>4</v>
      </c>
      <c r="M656" s="635"/>
      <c r="N656" s="1119">
        <v>4</v>
      </c>
      <c r="O656" s="1013">
        <f>IFERROR(Таблица47[[#This Row],[Количество хлыстов]]-Таблица47[[#This Row],[Обработано в 1С]]-Таблица47[[#This Row],[Корректировка]],"")</f>
        <v>0</v>
      </c>
      <c r="P656" s="638">
        <f>IFERROR((((Таблица47[[#This Row],[Осталось сделать, хлыст]]*Таблица47[[#This Row],[длина]])*Таблица47[[#This Row],[Периметр]])/28),"")</f>
        <v>0</v>
      </c>
      <c r="Q656" s="303"/>
      <c r="R656" s="991">
        <f>IFERROR(Таблица47[[#This Row],[Коли-
чество м.п.]]/Таблица47[[#This Row],[Количество хлыстов]],"")</f>
        <v>5.7640000000000002</v>
      </c>
      <c r="S656" s="639" t="s">
        <v>5236</v>
      </c>
      <c r="T656" s="639">
        <v>23.056000000000001</v>
      </c>
      <c r="U656" s="640">
        <v>4</v>
      </c>
      <c r="V656" s="639">
        <v>0.54</v>
      </c>
      <c r="W656" s="639">
        <v>3.7120000000000002</v>
      </c>
      <c r="X656" s="639">
        <v>12.450200000000001</v>
      </c>
      <c r="Y656" s="639">
        <v>85.5839</v>
      </c>
      <c r="Z656" s="639">
        <v>1.62</v>
      </c>
      <c r="AA656" s="639">
        <v>100</v>
      </c>
      <c r="AB656" s="639">
        <v>185.19</v>
      </c>
      <c r="AC656" s="641">
        <v>2305.6</v>
      </c>
    </row>
    <row r="657" spans="1:29" ht="15.75" customHeight="1" x14ac:dyDescent="0.25">
      <c r="A657" s="427" t="s">
        <v>4678</v>
      </c>
      <c r="B657" s="309">
        <v>442</v>
      </c>
      <c r="C657" s="309" t="s">
        <v>4753</v>
      </c>
      <c r="D657" s="303" t="s">
        <v>13</v>
      </c>
      <c r="E657" s="303" t="s">
        <v>5238</v>
      </c>
      <c r="F657" s="528">
        <v>45503</v>
      </c>
      <c r="G657" s="201"/>
      <c r="H65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7" s="522" t="str">
        <f>CONCATENATE(Таблица47[[#This Row],[№ заявки в 1С]],Таблица47[[#This Row],[Наименование            ]])</f>
        <v>442[92021] НПЧ 2857-А, 110*68 (стойка) Д, 2,98м, АД31</v>
      </c>
      <c r="J65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</v>
      </c>
      <c r="K65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65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657" s="635"/>
      <c r="N657" s="1119">
        <v>4</v>
      </c>
      <c r="O657" s="1013">
        <f>IFERROR(Таблица47[[#This Row],[Количество хлыстов]]-Таблица47[[#This Row],[Обработано в 1С]]-Таблица47[[#This Row],[Корректировка]],"")</f>
        <v>0</v>
      </c>
      <c r="P657" s="638">
        <f>IFERROR((((Таблица47[[#This Row],[Осталось сделать, хлыст]]*Таблица47[[#This Row],[длина]])*Таблица47[[#This Row],[Периметр]])/28),"")</f>
        <v>0</v>
      </c>
      <c r="Q657" s="303"/>
      <c r="R657" s="991">
        <f>IFERROR(Таблица47[[#This Row],[Коли-
чество м.п.]]/Таблица47[[#This Row],[Количество хлыстов]],"")</f>
        <v>2.98</v>
      </c>
      <c r="S657" s="639" t="s">
        <v>5237</v>
      </c>
      <c r="T657" s="639">
        <v>11.92</v>
      </c>
      <c r="U657" s="640">
        <v>4</v>
      </c>
      <c r="V657" s="639">
        <v>0.54</v>
      </c>
      <c r="W657" s="639">
        <v>3.7120000000000002</v>
      </c>
      <c r="X657" s="639">
        <v>6.4367999999999999</v>
      </c>
      <c r="Y657" s="639">
        <v>44.247</v>
      </c>
      <c r="Z657" s="639">
        <v>0.84</v>
      </c>
      <c r="AA657" s="639">
        <v>100</v>
      </c>
      <c r="AB657" s="639">
        <v>185.19</v>
      </c>
      <c r="AC657" s="641">
        <v>1192</v>
      </c>
    </row>
    <row r="658" spans="1:29" ht="15.75" customHeight="1" x14ac:dyDescent="0.25">
      <c r="A658" s="427" t="s">
        <v>4678</v>
      </c>
      <c r="B658" s="309">
        <v>443</v>
      </c>
      <c r="C658" s="309" t="s">
        <v>4753</v>
      </c>
      <c r="D658" s="303" t="s">
        <v>13</v>
      </c>
      <c r="E658" s="303" t="s">
        <v>37</v>
      </c>
      <c r="F658" s="528">
        <v>45503</v>
      </c>
      <c r="G658" s="528"/>
      <c r="H65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8" s="522" t="str">
        <f>CONCATENATE(Таблица47[[#This Row],[№ заявки в 1С]],Таблица47[[#This Row],[Наименование            ]])</f>
        <v>443[89409] 650.08 Д , 3,0м, 6063</v>
      </c>
      <c r="J65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468</v>
      </c>
      <c r="K65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468</v>
      </c>
      <c r="L65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459</v>
      </c>
      <c r="M658" s="635">
        <v>9</v>
      </c>
      <c r="N658" s="1119">
        <v>459</v>
      </c>
      <c r="O658" s="1013">
        <f>IFERROR(Таблица47[[#This Row],[Количество хлыстов]]-Таблица47[[#This Row],[Обработано в 1С]]-Таблица47[[#This Row],[Корректировка]],"")</f>
        <v>0</v>
      </c>
      <c r="P658" s="638">
        <f>IFERROR((((Таблица47[[#This Row],[Осталось сделать, хлыст]]*Таблица47[[#This Row],[длина]])*Таблица47[[#This Row],[Периметр]])/28),"")</f>
        <v>0</v>
      </c>
      <c r="Q658" s="303" t="s">
        <v>5316</v>
      </c>
      <c r="R658" s="991">
        <f>IFERROR(Таблица47[[#This Row],[Коли-
чество м.п.]]/Таблица47[[#This Row],[Количество хлыстов]],"")</f>
        <v>3</v>
      </c>
      <c r="S658" s="639" t="s">
        <v>4864</v>
      </c>
      <c r="T658" s="639">
        <v>1404</v>
      </c>
      <c r="U658" s="640">
        <v>468</v>
      </c>
      <c r="V658" s="639">
        <v>0.16700000000000001</v>
      </c>
      <c r="W658" s="639">
        <v>0.40600000000000003</v>
      </c>
      <c r="X658" s="639">
        <v>234.46799999999999</v>
      </c>
      <c r="Y658" s="639">
        <v>570.024</v>
      </c>
      <c r="Z658" s="639">
        <v>30.48</v>
      </c>
      <c r="AA658" s="639">
        <v>126</v>
      </c>
      <c r="AB658" s="639">
        <v>754.49</v>
      </c>
      <c r="AC658" s="641">
        <v>176904</v>
      </c>
    </row>
    <row r="659" spans="1:29" ht="15.75" customHeight="1" x14ac:dyDescent="0.25">
      <c r="A659" s="427" t="s">
        <v>4678</v>
      </c>
      <c r="B659" s="309">
        <v>444</v>
      </c>
      <c r="C659" s="309"/>
      <c r="D659" s="303" t="s">
        <v>13</v>
      </c>
      <c r="E659" s="303" t="s">
        <v>4247</v>
      </c>
      <c r="F659" s="528">
        <v>45504</v>
      </c>
      <c r="G659" s="528"/>
      <c r="H65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59" s="522" t="str">
        <f>CONCATENATE(Таблица47[[#This Row],[№ заявки в 1С]],Таблица47[[#This Row],[Наименование            ]])</f>
        <v>444[76034] 220650 (1606-52, АВА-3665) бортовой боковой 6,0м сплав 6063 Т6</v>
      </c>
      <c r="J65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99</v>
      </c>
      <c r="K65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99</v>
      </c>
      <c r="L65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99</v>
      </c>
      <c r="M659" s="635"/>
      <c r="N659" s="1119">
        <v>99</v>
      </c>
      <c r="O659" s="1013">
        <f>IFERROR(Таблица47[[#This Row],[Количество хлыстов]]-Таблица47[[#This Row],[Обработано в 1С]]-Таблица47[[#This Row],[Корректировка]],"")</f>
        <v>0</v>
      </c>
      <c r="P659" s="638">
        <f>IFERROR((((Таблица47[[#This Row],[Осталось сделать, хлыст]]*Таблица47[[#This Row],[длина]])*Таблица47[[#This Row],[Периметр]])/28),"")</f>
        <v>0</v>
      </c>
      <c r="Q659" s="303"/>
      <c r="R659" s="991">
        <f>IFERROR(Таблица47[[#This Row],[Коли-
чество м.п.]]/Таблица47[[#This Row],[Количество хлыстов]],"")</f>
        <v>6</v>
      </c>
      <c r="S659" s="639" t="s">
        <v>4461</v>
      </c>
      <c r="T659" s="639">
        <v>594</v>
      </c>
      <c r="U659" s="640">
        <v>99</v>
      </c>
      <c r="V659" s="639">
        <v>0.31</v>
      </c>
      <c r="W659" s="639">
        <v>1.2010000000000001</v>
      </c>
      <c r="X659" s="639">
        <v>184.14</v>
      </c>
      <c r="Y659" s="639">
        <v>713.39400000000001</v>
      </c>
      <c r="Z659" s="639">
        <v>23.94</v>
      </c>
      <c r="AA659" s="639">
        <v>125.55</v>
      </c>
      <c r="AB659" s="639">
        <v>405</v>
      </c>
      <c r="AC659" s="641">
        <v>74576.7</v>
      </c>
    </row>
    <row r="660" spans="1:29" customFormat="1" ht="15.75" customHeight="1" x14ac:dyDescent="0.25">
      <c r="A660" s="147" t="s">
        <v>4678</v>
      </c>
      <c r="B660" s="521">
        <v>445</v>
      </c>
      <c r="C660" s="521" t="s">
        <v>4753</v>
      </c>
      <c r="D660" s="142" t="s">
        <v>13</v>
      </c>
      <c r="E660" s="142" t="s">
        <v>5230</v>
      </c>
      <c r="F660" s="143">
        <v>45504</v>
      </c>
      <c r="G660" s="143"/>
      <c r="H660" s="142" t="s">
        <v>677</v>
      </c>
      <c r="I660" s="522" t="str">
        <f>CONCATENATE(Таблица47[[#This Row],[№ заявки в 1С]],Таблица47[[#This Row],[Наименование            ]])</f>
        <v>445[92124] А-967.1 (Д), 6м, 6060Т6</v>
      </c>
      <c r="J660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660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660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660" s="522"/>
      <c r="N660" s="393"/>
      <c r="O660" s="1001">
        <f>IFERROR(Таблица47[[#This Row],[Количество хлыстов]]-Таблица47[[#This Row],[Обработано в 1С]]-Таблица47[[#This Row],[Корректировка]],"")</f>
        <v>78</v>
      </c>
      <c r="P660" s="638">
        <f>IFERROR((((Таблица47[[#This Row],[Осталось сделать, хлыст]]*Таблица47[[#This Row],[длина]])*Таблица47[[#This Row],[Периметр]])/28),"")</f>
        <v>13.906285714285714</v>
      </c>
      <c r="Q660" s="142" t="s">
        <v>5711</v>
      </c>
      <c r="R660" s="280">
        <f>IFERROR(Таблица47[[#This Row],[Коли-
чество м.п.]]/Таблица47[[#This Row],[Количество хлыстов]],"")</f>
        <v>6</v>
      </c>
      <c r="S660" s="525" t="s">
        <v>5240</v>
      </c>
      <c r="T660" s="525">
        <v>468</v>
      </c>
      <c r="U660" s="526">
        <v>78</v>
      </c>
      <c r="V660" s="525">
        <v>0.83199999999999996</v>
      </c>
      <c r="W660" s="525">
        <v>1.9359999999999999</v>
      </c>
      <c r="X660" s="525">
        <v>389.37599999999998</v>
      </c>
      <c r="Y660" s="525">
        <v>906.048</v>
      </c>
      <c r="Z660" s="525">
        <v>50.62</v>
      </c>
      <c r="AA660" s="525">
        <v>364.17</v>
      </c>
      <c r="AB660" s="525">
        <v>437.7</v>
      </c>
      <c r="AC660" s="527">
        <v>170430</v>
      </c>
    </row>
    <row r="661" spans="1:29" customFormat="1" ht="15.75" x14ac:dyDescent="0.25">
      <c r="A661" s="171" t="s">
        <v>4678</v>
      </c>
      <c r="B661" s="625">
        <v>446</v>
      </c>
      <c r="C661" s="625" t="s">
        <v>4753</v>
      </c>
      <c r="D661" s="162" t="s">
        <v>13</v>
      </c>
      <c r="E661" s="162" t="s">
        <v>30</v>
      </c>
      <c r="F661" s="168">
        <v>45505</v>
      </c>
      <c r="G661" s="143"/>
      <c r="H661" s="142" t="s">
        <v>677</v>
      </c>
      <c r="I661" s="522" t="str">
        <f>CONCATENATE(Таблица47[[#This Row],[№ заявки в 1С]],Таблица47[[#This Row],[Наименование            ]])</f>
        <v>446[89946] Полоса Амг3 1070*100*1 Д</v>
      </c>
      <c r="J661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61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61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61" s="522"/>
      <c r="N661" s="393"/>
      <c r="O661" s="1001" t="str">
        <f>IFERROR(Таблица47[[#This Row],[Количество хлыстов]]-Таблица47[[#This Row],[Обработано в 1С]]-Таблица47[[#This Row],[Корректировка]],"")</f>
        <v/>
      </c>
      <c r="P661" s="638" t="str">
        <f>IFERROR((((Таблица47[[#This Row],[Осталось сделать, хлыст]]*Таблица47[[#This Row],[длина]])*Таблица47[[#This Row],[Периметр]])/28),"")</f>
        <v/>
      </c>
      <c r="Q661" s="142"/>
      <c r="R661" s="280">
        <f>IFERROR(Таблица47[[#This Row],[Коли-
чество м.п.]]/Таблица47[[#This Row],[Количество хлыстов]],"")</f>
        <v>1</v>
      </c>
      <c r="S661" s="525" t="s">
        <v>5476</v>
      </c>
      <c r="T661" s="525">
        <v>6</v>
      </c>
      <c r="U661" s="526">
        <v>6</v>
      </c>
      <c r="V661" s="525">
        <v>0.22</v>
      </c>
      <c r="W661" s="525">
        <v>0.28000000000000003</v>
      </c>
      <c r="X661" s="525">
        <v>1.32</v>
      </c>
      <c r="Y661" s="525">
        <v>1.68</v>
      </c>
      <c r="Z661" s="525">
        <v>0.17</v>
      </c>
      <c r="AA661" s="525">
        <v>945</v>
      </c>
      <c r="AB661" s="525">
        <v>4295.45</v>
      </c>
      <c r="AC661" s="527">
        <v>5670</v>
      </c>
    </row>
    <row r="662" spans="1:29" customFormat="1" ht="15.75" x14ac:dyDescent="0.25">
      <c r="A662" s="171" t="s">
        <v>4678</v>
      </c>
      <c r="B662" s="625">
        <v>446</v>
      </c>
      <c r="C662" s="625" t="s">
        <v>4753</v>
      </c>
      <c r="D662" s="162" t="s">
        <v>13</v>
      </c>
      <c r="E662" s="162" t="s">
        <v>30</v>
      </c>
      <c r="F662" s="168">
        <v>45505</v>
      </c>
      <c r="G662" s="143"/>
      <c r="H662" s="142" t="s">
        <v>677</v>
      </c>
      <c r="I662" s="522" t="str">
        <f>CONCATENATE(Таблица47[[#This Row],[№ заявки в 1С]],Таблица47[[#This Row],[Наименование            ]])</f>
        <v>446[89949] Полоса Амг3 4440*100*1 Д</v>
      </c>
      <c r="J662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62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62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62" s="522"/>
      <c r="N662" s="393"/>
      <c r="O662" s="1001" t="str">
        <f>IFERROR(Таблица47[[#This Row],[Количество хлыстов]]-Таблица47[[#This Row],[Обработано в 1С]]-Таблица47[[#This Row],[Корректировка]],"")</f>
        <v/>
      </c>
      <c r="P662" s="638" t="str">
        <f>IFERROR((((Таблица47[[#This Row],[Осталось сделать, хлыст]]*Таблица47[[#This Row],[длина]])*Таблица47[[#This Row],[Периметр]])/28),"")</f>
        <v/>
      </c>
      <c r="Q662" s="142"/>
      <c r="R662" s="280">
        <f>IFERROR(Таблица47[[#This Row],[Коли-
чество м.п.]]/Таблица47[[#This Row],[Количество хлыстов]],"")</f>
        <v>1</v>
      </c>
      <c r="S662" s="525" t="s">
        <v>5477</v>
      </c>
      <c r="T662" s="525">
        <v>4</v>
      </c>
      <c r="U662" s="526">
        <v>4</v>
      </c>
      <c r="V662" s="525">
        <v>0.88</v>
      </c>
      <c r="W662" s="525">
        <v>1.18</v>
      </c>
      <c r="X662" s="525">
        <v>3.52</v>
      </c>
      <c r="Y662" s="525">
        <v>4.72</v>
      </c>
      <c r="Z662" s="525">
        <v>0.46</v>
      </c>
      <c r="AA662" s="525">
        <v>1916</v>
      </c>
      <c r="AB662" s="525">
        <v>2177.27</v>
      </c>
      <c r="AC662" s="527">
        <v>7664</v>
      </c>
    </row>
    <row r="663" spans="1:29" customFormat="1" ht="15.75" x14ac:dyDescent="0.25">
      <c r="A663" s="171" t="s">
        <v>4678</v>
      </c>
      <c r="B663" s="625">
        <v>446</v>
      </c>
      <c r="C663" s="625" t="s">
        <v>4753</v>
      </c>
      <c r="D663" s="162" t="s">
        <v>13</v>
      </c>
      <c r="E663" s="162" t="s">
        <v>30</v>
      </c>
      <c r="F663" s="168">
        <v>45505</v>
      </c>
      <c r="G663" s="143"/>
      <c r="H663" s="142" t="s">
        <v>677</v>
      </c>
      <c r="I663" s="522" t="str">
        <f>CONCATENATE(Таблица47[[#This Row],[№ заявки в 1С]],Таблица47[[#This Row],[Наименование            ]])</f>
        <v>446[89947] Полоса Амг3 4677*100*1 Д</v>
      </c>
      <c r="J663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63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63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63" s="522"/>
      <c r="N663" s="393"/>
      <c r="O663" s="1001" t="str">
        <f>IFERROR(Таблица47[[#This Row],[Количество хлыстов]]-Таблица47[[#This Row],[Обработано в 1С]]-Таблица47[[#This Row],[Корректировка]],"")</f>
        <v/>
      </c>
      <c r="P663" s="638" t="str">
        <f>IFERROR((((Таблица47[[#This Row],[Осталось сделать, хлыст]]*Таблица47[[#This Row],[длина]])*Таблица47[[#This Row],[Периметр]])/28),"")</f>
        <v/>
      </c>
      <c r="Q663" s="142"/>
      <c r="R663" s="280">
        <f>IFERROR(Таблица47[[#This Row],[Коли-
чество м.п.]]/Таблица47[[#This Row],[Количество хлыстов]],"")</f>
        <v>1</v>
      </c>
      <c r="S663" s="525" t="s">
        <v>5478</v>
      </c>
      <c r="T663" s="525">
        <v>8</v>
      </c>
      <c r="U663" s="526">
        <v>8</v>
      </c>
      <c r="V663" s="525">
        <v>0.94</v>
      </c>
      <c r="W663" s="525">
        <v>1.24</v>
      </c>
      <c r="X663" s="525">
        <v>7.52</v>
      </c>
      <c r="Y663" s="525">
        <v>9.92</v>
      </c>
      <c r="Z663" s="525">
        <v>0.98</v>
      </c>
      <c r="AA663" s="525">
        <v>1367</v>
      </c>
      <c r="AB663" s="525">
        <v>1454.26</v>
      </c>
      <c r="AC663" s="527">
        <v>10936</v>
      </c>
    </row>
    <row r="664" spans="1:29" customFormat="1" ht="15.75" x14ac:dyDescent="0.25">
      <c r="A664" s="171" t="s">
        <v>4678</v>
      </c>
      <c r="B664" s="625">
        <v>446</v>
      </c>
      <c r="C664" s="625" t="s">
        <v>4753</v>
      </c>
      <c r="D664" s="162" t="s">
        <v>13</v>
      </c>
      <c r="E664" s="162" t="s">
        <v>30</v>
      </c>
      <c r="F664" s="168">
        <v>45505</v>
      </c>
      <c r="G664" s="143"/>
      <c r="H664" s="142" t="s">
        <v>677</v>
      </c>
      <c r="I664" s="522" t="str">
        <f>CONCATENATE(Таблица47[[#This Row],[№ заявки в 1С]],Таблица47[[#This Row],[Наименование            ]])</f>
        <v>446[89948] Полоса Амг3 4940*100*1 Д</v>
      </c>
      <c r="J664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64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64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64" s="522"/>
      <c r="N664" s="393"/>
      <c r="O664" s="1001" t="str">
        <f>IFERROR(Таблица47[[#This Row],[Количество хлыстов]]-Таблица47[[#This Row],[Обработано в 1С]]-Таблица47[[#This Row],[Корректировка]],"")</f>
        <v/>
      </c>
      <c r="P664" s="638" t="str">
        <f>IFERROR((((Таблица47[[#This Row],[Осталось сделать, хлыст]]*Таблица47[[#This Row],[длина]])*Таблица47[[#This Row],[Периметр]])/28),"")</f>
        <v/>
      </c>
      <c r="Q664" s="142"/>
      <c r="R664" s="280">
        <f>IFERROR(Таблица47[[#This Row],[Коли-
чество м.п.]]/Таблица47[[#This Row],[Количество хлыстов]],"")</f>
        <v>1</v>
      </c>
      <c r="S664" s="525" t="s">
        <v>5479</v>
      </c>
      <c r="T664" s="525">
        <v>4</v>
      </c>
      <c r="U664" s="526">
        <v>4</v>
      </c>
      <c r="V664" s="525">
        <v>0.98</v>
      </c>
      <c r="W664" s="525">
        <v>1.31</v>
      </c>
      <c r="X664" s="525">
        <v>3.92</v>
      </c>
      <c r="Y664" s="525">
        <v>5.24</v>
      </c>
      <c r="Z664" s="525">
        <v>0.51</v>
      </c>
      <c r="AA664" s="525">
        <v>1531</v>
      </c>
      <c r="AB664" s="525">
        <v>1562.24</v>
      </c>
      <c r="AC664" s="527">
        <v>6124</v>
      </c>
    </row>
    <row r="665" spans="1:29" customFormat="1" ht="15.75" x14ac:dyDescent="0.25">
      <c r="A665" s="171" t="s">
        <v>4678</v>
      </c>
      <c r="B665" s="625">
        <v>446</v>
      </c>
      <c r="C665" s="625" t="s">
        <v>4753</v>
      </c>
      <c r="D665" s="162" t="s">
        <v>13</v>
      </c>
      <c r="E665" s="162" t="s">
        <v>30</v>
      </c>
      <c r="F665" s="168">
        <v>45505</v>
      </c>
      <c r="G665" s="143"/>
      <c r="H665" s="142" t="s">
        <v>677</v>
      </c>
      <c r="I665" s="522" t="str">
        <f>CONCATENATE(Таблица47[[#This Row],[№ заявки в 1С]],Таблица47[[#This Row],[Наименование            ]])</f>
        <v>446[89658] Полоса АМГ3 Д, 90*100*1</v>
      </c>
      <c r="J665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65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65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65" s="522"/>
      <c r="N665" s="393"/>
      <c r="O665" s="1001" t="str">
        <f>IFERROR(Таблица47[[#This Row],[Количество хлыстов]]-Таблица47[[#This Row],[Обработано в 1С]]-Таблица47[[#This Row],[Корректировка]],"")</f>
        <v/>
      </c>
      <c r="P665" s="638" t="str">
        <f>IFERROR((((Таблица47[[#This Row],[Осталось сделать, хлыст]]*Таблица47[[#This Row],[длина]])*Таблица47[[#This Row],[Периметр]])/28),"")</f>
        <v/>
      </c>
      <c r="Q665" s="142"/>
      <c r="R665" s="280">
        <f>IFERROR(Таблица47[[#This Row],[Коли-
чество м.п.]]/Таблица47[[#This Row],[Количество хлыстов]],"")</f>
        <v>1</v>
      </c>
      <c r="S665" s="525" t="s">
        <v>5480</v>
      </c>
      <c r="T665" s="525">
        <v>4</v>
      </c>
      <c r="U665" s="526">
        <v>4</v>
      </c>
      <c r="V665" s="525">
        <v>0.20200000000000001</v>
      </c>
      <c r="W665" s="525">
        <v>2.4E-2</v>
      </c>
      <c r="X665" s="525">
        <v>0.80800000000000005</v>
      </c>
      <c r="Y665" s="525">
        <v>9.6000000000000002E-2</v>
      </c>
      <c r="Z665" s="525">
        <v>0.11</v>
      </c>
      <c r="AA665" s="525">
        <v>671.5</v>
      </c>
      <c r="AB665" s="525">
        <v>3324.26</v>
      </c>
      <c r="AC665" s="527">
        <v>2686</v>
      </c>
    </row>
    <row r="666" spans="1:29" customFormat="1" ht="15.75" customHeight="1" x14ac:dyDescent="0.25">
      <c r="A666" s="965" t="s">
        <v>4678</v>
      </c>
      <c r="B666" s="962">
        <v>447</v>
      </c>
      <c r="C666" s="962" t="s">
        <v>4753</v>
      </c>
      <c r="D666" s="963" t="s">
        <v>13</v>
      </c>
      <c r="E666" s="963" t="s">
        <v>5230</v>
      </c>
      <c r="F666" s="964">
        <v>45519</v>
      </c>
      <c r="G666" s="143"/>
      <c r="H66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66" s="522" t="str">
        <f>CONCATENATE(Таблица47[[#This Row],[№ заявки в 1С]],Таблица47[[#This Row],[Наименование            ]])</f>
        <v>447[91475] А24.4 (Д), Профиль, 6м, сплав 6060</v>
      </c>
      <c r="J666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1263</v>
      </c>
      <c r="K666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1263</v>
      </c>
      <c r="L666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1263</v>
      </c>
      <c r="M666" s="522"/>
      <c r="N666" s="393">
        <f>400+405+395+63</f>
        <v>1263</v>
      </c>
      <c r="O666" s="1001">
        <f>IFERROR(Таблица47[[#This Row],[Количество хлыстов]]-Таблица47[[#This Row],[Обработано в 1С]]-Таблица47[[#This Row],[Корректировка]],"")</f>
        <v>0</v>
      </c>
      <c r="P666" s="638">
        <f>IFERROR((((Таблица47[[#This Row],[Осталось сделать, хлыст]]*Таблица47[[#This Row],[длина]])*Таблица47[[#This Row],[Периметр]])/28),"")</f>
        <v>0</v>
      </c>
      <c r="Q666" s="290"/>
      <c r="R666" s="280">
        <f>IFERROR(Таблица47[[#This Row],[Коли-
чество м.п.]]/Таблица47[[#This Row],[Количество хлыстов]],"")</f>
        <v>6</v>
      </c>
      <c r="S666" s="525" t="s">
        <v>5272</v>
      </c>
      <c r="T666" s="525">
        <v>7578</v>
      </c>
      <c r="U666" s="526">
        <v>1263</v>
      </c>
      <c r="V666" s="525">
        <v>0.23</v>
      </c>
      <c r="W666" s="525">
        <v>0.90500000000000003</v>
      </c>
      <c r="X666" s="525">
        <f>Таблица47[[#This Row],[Коли-
чество м.п.]]*Таблица47[[#This Row],[Периметр]]</f>
        <v>1742.94</v>
      </c>
      <c r="Y666" s="525">
        <f>Таблица47[[#This Row],[Коли-
чество м.п.]]*Таблица47[[#This Row],[Вес п.м., кг]]</f>
        <v>6858.09</v>
      </c>
      <c r="Z666" s="525">
        <v>341.4</v>
      </c>
      <c r="AA666" s="525">
        <v>102</v>
      </c>
      <c r="AB666" s="525">
        <v>443.48</v>
      </c>
      <c r="AC666" s="527">
        <f>Таблица47[[#This Row],[Коли-
чество м.п.]]*Таблица47[[#This Row],[Цена м.п. руб]]</f>
        <v>772956</v>
      </c>
    </row>
    <row r="667" spans="1:29" customFormat="1" ht="15.75" customHeight="1" x14ac:dyDescent="0.25">
      <c r="A667" s="147" t="s">
        <v>4678</v>
      </c>
      <c r="B667" s="521">
        <v>447</v>
      </c>
      <c r="C667" s="521" t="s">
        <v>4753</v>
      </c>
      <c r="D667" s="142" t="s">
        <v>13</v>
      </c>
      <c r="E667" s="142" t="s">
        <v>5230</v>
      </c>
      <c r="F667" s="143">
        <v>45519</v>
      </c>
      <c r="G667" s="143"/>
      <c r="H667" s="1005" t="s">
        <v>677</v>
      </c>
      <c r="I667" s="522" t="str">
        <f>CONCATENATE(Таблица47[[#This Row],[№ заявки в 1С]],Таблица47[[#This Row],[Наименование            ]])</f>
        <v>447[92167] Шина 3*30 (Д) 4,6 м, 6060 Т6</v>
      </c>
      <c r="J667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</v>
      </c>
      <c r="K667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</v>
      </c>
      <c r="L667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</v>
      </c>
      <c r="M667" s="522"/>
      <c r="N667" s="393">
        <v>16</v>
      </c>
      <c r="O667" s="1001">
        <f>IFERROR(Таблица47[[#This Row],[Количество хлыстов]]-Таблица47[[#This Row],[Обработано в 1С]]-Таблица47[[#This Row],[Корректировка]],"")</f>
        <v>14</v>
      </c>
      <c r="P667" s="638">
        <f>IFERROR((((Таблица47[[#This Row],[Осталось сделать, хлыст]]*Таблица47[[#This Row],[длина]])*Таблица47[[#This Row],[Периметр]])/28),"")</f>
        <v>0.14581999999999998</v>
      </c>
      <c r="Q667" s="142"/>
      <c r="R667" s="280">
        <f>IFERROR(Таблица47[[#This Row],[Коли-
чество м.п.]]/Таблица47[[#This Row],[Количество хлыстов]],"")</f>
        <v>4.5999999999999996</v>
      </c>
      <c r="S667" s="525" t="s">
        <v>5273</v>
      </c>
      <c r="T667" s="525">
        <v>138</v>
      </c>
      <c r="U667" s="526">
        <v>30</v>
      </c>
      <c r="V667" s="525">
        <v>6.3399999999999998E-2</v>
      </c>
      <c r="W667" s="525">
        <v>0.23799999999999999</v>
      </c>
      <c r="X667" s="525">
        <v>8.7492000000000001</v>
      </c>
      <c r="Y667" s="525">
        <v>32.844000000000001</v>
      </c>
      <c r="Z667" s="525">
        <v>1.1399999999999999</v>
      </c>
      <c r="AA667" s="525">
        <v>98</v>
      </c>
      <c r="AB667" s="525">
        <v>1545.74</v>
      </c>
      <c r="AC667" s="527">
        <v>13524</v>
      </c>
    </row>
    <row r="668" spans="1:29" customFormat="1" ht="15.75" customHeight="1" x14ac:dyDescent="0.25">
      <c r="A668" s="147" t="s">
        <v>4678</v>
      </c>
      <c r="B668" s="521">
        <v>447</v>
      </c>
      <c r="C668" s="521" t="s">
        <v>4753</v>
      </c>
      <c r="D668" s="142" t="s">
        <v>13</v>
      </c>
      <c r="E668" s="142" t="s">
        <v>5230</v>
      </c>
      <c r="F668" s="143">
        <v>45519</v>
      </c>
      <c r="G668" s="143"/>
      <c r="H668" s="1005" t="s">
        <v>677</v>
      </c>
      <c r="I668" s="522" t="str">
        <f>CONCATENATE(Таблица47[[#This Row],[№ заявки в 1С]],Таблица47[[#This Row],[Наименование            ]])</f>
        <v>447[92165] А 03.17 (Д) 4 м, 6060 Т6</v>
      </c>
      <c r="J668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668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668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668" s="522"/>
      <c r="N668" s="393"/>
      <c r="O668" s="1001">
        <f>IFERROR(Таблица47[[#This Row],[Количество хлыстов]]-Таблица47[[#This Row],[Обработано в 1С]]-Таблица47[[#This Row],[Корректировка]],"")</f>
        <v>94</v>
      </c>
      <c r="P668" s="638">
        <f>IFERROR((((Таблица47[[#This Row],[Осталось сделать, хлыст]]*Таблица47[[#This Row],[длина]])*Таблица47[[#This Row],[Периметр]])/28),"")</f>
        <v>29.646257142857142</v>
      </c>
      <c r="Q668" s="142"/>
      <c r="R668" s="280">
        <f>IFERROR(Таблица47[[#This Row],[Коли-
чество м.п.]]/Таблица47[[#This Row],[Количество хлыстов]],"")</f>
        <v>6</v>
      </c>
      <c r="S668" s="525" t="s">
        <v>5274</v>
      </c>
      <c r="T668" s="525">
        <f>6*Таблица47[[#This Row],[Количество хлыстов]]</f>
        <v>564</v>
      </c>
      <c r="U668" s="526">
        <v>94</v>
      </c>
      <c r="V668" s="525">
        <v>1.4718</v>
      </c>
      <c r="W668" s="525">
        <v>5.3</v>
      </c>
      <c r="X668" s="525">
        <v>523.96079999999995</v>
      </c>
      <c r="Y668" s="525">
        <v>1886.8</v>
      </c>
      <c r="Z668" s="525">
        <v>68.11</v>
      </c>
      <c r="AA668" s="525">
        <v>699</v>
      </c>
      <c r="AB668" s="525">
        <v>474.93</v>
      </c>
      <c r="AC668" s="527">
        <v>248844</v>
      </c>
    </row>
    <row r="669" spans="1:29" ht="15.75" customHeight="1" x14ac:dyDescent="0.25">
      <c r="A669" s="427" t="s">
        <v>4678</v>
      </c>
      <c r="B669" s="309">
        <v>447</v>
      </c>
      <c r="C669" s="309" t="s">
        <v>4753</v>
      </c>
      <c r="D669" s="303" t="s">
        <v>13</v>
      </c>
      <c r="E669" s="303" t="s">
        <v>5230</v>
      </c>
      <c r="F669" s="528">
        <v>45519</v>
      </c>
      <c r="G669" s="528">
        <v>45541</v>
      </c>
      <c r="H66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69" s="522" t="str">
        <f>CONCATENATE(Таблица47[[#This Row],[№ заявки в 1С]],Таблица47[[#This Row],[Наименование            ]])</f>
        <v>447[92159] А03.9 (Д) 6м, 6060 Т6</v>
      </c>
      <c r="J66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254</v>
      </c>
      <c r="K66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254</v>
      </c>
      <c r="L66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254</v>
      </c>
      <c r="M669" s="635"/>
      <c r="N669" s="1119">
        <f>44+44+42+80+44</f>
        <v>254</v>
      </c>
      <c r="O669" s="1013">
        <f>IFERROR(Таблица47[[#This Row],[Количество хлыстов]]-Таблица47[[#This Row],[Обработано в 1С]]-Таблица47[[#This Row],[Корректировка]],"")</f>
        <v>0</v>
      </c>
      <c r="P669" s="638">
        <f>IFERROR((((Таблица47[[#This Row],[Осталось сделать, хлыст]]*Таблица47[[#This Row],[длина]])*Таблица47[[#This Row],[Периметр]])/28),"")</f>
        <v>0</v>
      </c>
      <c r="Q669" s="303"/>
      <c r="R669" s="991">
        <f>IFERROR(Таблица47[[#This Row],[Коли-
чество м.п.]]/Таблица47[[#This Row],[Количество хлыстов]],"")</f>
        <v>6</v>
      </c>
      <c r="S669" s="639" t="s">
        <v>5275</v>
      </c>
      <c r="T669" s="639">
        <v>1524</v>
      </c>
      <c r="U669" s="640">
        <v>254</v>
      </c>
      <c r="V669" s="639">
        <v>0.59199999999999997</v>
      </c>
      <c r="W669" s="639">
        <v>1.5840000000000001</v>
      </c>
      <c r="X669" s="639">
        <v>902.20799999999997</v>
      </c>
      <c r="Y669" s="639">
        <v>2414.0160000000001</v>
      </c>
      <c r="Z669" s="639">
        <v>117.29</v>
      </c>
      <c r="AA669" s="639">
        <v>249</v>
      </c>
      <c r="AB669" s="639">
        <v>420.61</v>
      </c>
      <c r="AC669" s="641">
        <v>379476</v>
      </c>
    </row>
    <row r="670" spans="1:29" ht="15.75" customHeight="1" x14ac:dyDescent="0.25">
      <c r="A670" s="238" t="s">
        <v>4678</v>
      </c>
      <c r="B670" s="1070">
        <v>447</v>
      </c>
      <c r="C670" s="1070" t="s">
        <v>4753</v>
      </c>
      <c r="D670" s="200" t="s">
        <v>13</v>
      </c>
      <c r="E670" s="200" t="s">
        <v>5230</v>
      </c>
      <c r="F670" s="201">
        <v>45519</v>
      </c>
      <c r="G670" s="528">
        <v>45541</v>
      </c>
      <c r="H67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0" s="522" t="str">
        <f>CONCATENATE(Таблица47[[#This Row],[№ заявки в 1С]],Таблица47[[#This Row],[Наименование            ]])</f>
        <v>447[92164] А 03.10 (Д) 6 м, 6060 Т6</v>
      </c>
      <c r="J67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67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</v>
      </c>
      <c r="L67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</v>
      </c>
      <c r="M670" s="635"/>
      <c r="N670" s="635">
        <v>36</v>
      </c>
      <c r="O670" s="1013">
        <f>IFERROR(Таблица47[[#This Row],[Количество хлыстов]]-Таблица47[[#This Row],[Обработано в 1С]]-Таблица47[[#This Row],[Корректировка]],"")</f>
        <v>0</v>
      </c>
      <c r="P670" s="638">
        <f>IFERROR((((Таблица47[[#This Row],[Осталось сделать, хлыст]]*Таблица47[[#This Row],[длина]])*Таблица47[[#This Row],[Периметр]])/28),"")</f>
        <v>0</v>
      </c>
      <c r="Q670" s="303"/>
      <c r="R670" s="991">
        <f>IFERROR(Таблица47[[#This Row],[Коли-
чество м.п.]]/Таблица47[[#This Row],[Количество хлыстов]],"")</f>
        <v>6</v>
      </c>
      <c r="S670" s="639" t="s">
        <v>5276</v>
      </c>
      <c r="T670" s="639">
        <f>6*Таблица47[[#This Row],[Количество хлыстов]]</f>
        <v>216</v>
      </c>
      <c r="U670" s="640">
        <v>36</v>
      </c>
      <c r="V670" s="639">
        <v>1.2526999999999999</v>
      </c>
      <c r="W670" s="639">
        <v>3.91</v>
      </c>
      <c r="X670" s="639">
        <f>Таблица47[[#This Row],[Коли-
чество м.п.]]*Таблица47[[#This Row],[Периметр]]</f>
        <v>270.58319999999998</v>
      </c>
      <c r="Y670" s="639">
        <v>656.88</v>
      </c>
      <c r="Z670" s="639">
        <v>27.36</v>
      </c>
      <c r="AA670" s="639">
        <v>421</v>
      </c>
      <c r="AB670" s="639">
        <v>336.07</v>
      </c>
      <c r="AC670" s="641">
        <v>70728</v>
      </c>
    </row>
    <row r="671" spans="1:29" ht="15.75" customHeight="1" x14ac:dyDescent="0.25">
      <c r="A671" s="238" t="s">
        <v>4678</v>
      </c>
      <c r="B671" s="1070">
        <v>447</v>
      </c>
      <c r="C671" s="1070" t="s">
        <v>4753</v>
      </c>
      <c r="D671" s="200" t="s">
        <v>13</v>
      </c>
      <c r="E671" s="200" t="s">
        <v>5230</v>
      </c>
      <c r="F671" s="201">
        <v>45519</v>
      </c>
      <c r="G671" s="528">
        <v>45541</v>
      </c>
      <c r="H6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1" s="522" t="str">
        <f>CONCATENATE(Таблица47[[#This Row],[№ заявки в 1С]],Таблица47[[#This Row],[Наименование            ]])</f>
        <v>447[92166] А24.5 (Д),  6м, 6060 Т6</v>
      </c>
      <c r="J67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</v>
      </c>
      <c r="K67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</v>
      </c>
      <c r="L67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</v>
      </c>
      <c r="M671" s="635"/>
      <c r="N671" s="635">
        <v>9</v>
      </c>
      <c r="O671" s="1013">
        <f>IFERROR(Таблица47[[#This Row],[Количество хлыстов]]-Таблица47[[#This Row],[Обработано в 1С]]-Таблица47[[#This Row],[Корректировка]],"")</f>
        <v>0</v>
      </c>
      <c r="P671" s="638">
        <f>IFERROR((((Таблица47[[#This Row],[Осталось сделать, хлыст]]*Таблица47[[#This Row],[длина]])*Таблица47[[#This Row],[Периметр]])/28),"")</f>
        <v>0</v>
      </c>
      <c r="Q671" s="303"/>
      <c r="R671" s="991">
        <f>IFERROR(Таблица47[[#This Row],[Коли-
чество м.п.]]/Таблица47[[#This Row],[Количество хлыстов]],"")</f>
        <v>6</v>
      </c>
      <c r="S671" s="639" t="s">
        <v>5277</v>
      </c>
      <c r="T671" s="639">
        <v>54</v>
      </c>
      <c r="U671" s="640">
        <v>9</v>
      </c>
      <c r="V671" s="639">
        <v>0.5</v>
      </c>
      <c r="W671" s="639">
        <v>1.08</v>
      </c>
      <c r="X671" s="639">
        <v>27</v>
      </c>
      <c r="Y671" s="639">
        <v>58.32</v>
      </c>
      <c r="Z671" s="639">
        <v>3.51</v>
      </c>
      <c r="AA671" s="639">
        <v>250</v>
      </c>
      <c r="AB671" s="639">
        <v>500</v>
      </c>
      <c r="AC671" s="641">
        <v>13500</v>
      </c>
    </row>
    <row r="672" spans="1:29" ht="15.75" customHeight="1" x14ac:dyDescent="0.25">
      <c r="A672" s="427" t="s">
        <v>4678</v>
      </c>
      <c r="B672" s="309">
        <v>448</v>
      </c>
      <c r="C672" s="309"/>
      <c r="D672" s="303" t="s">
        <v>34</v>
      </c>
      <c r="E672" s="303" t="s">
        <v>79</v>
      </c>
      <c r="F672" s="528">
        <v>45506</v>
      </c>
      <c r="G672" s="528"/>
      <c r="H67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2" s="522" t="str">
        <f>CONCATENATE(Таблица47[[#This Row],[№ заявки в 1С]],Таблица47[[#This Row],[Наименование            ]])</f>
        <v>448[34579] 0906-44 (АТ-6052), 6,0м, БА с перфорацией</v>
      </c>
      <c r="J67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38</v>
      </c>
      <c r="K67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38</v>
      </c>
      <c r="L67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38</v>
      </c>
      <c r="M672" s="635"/>
      <c r="N672" s="1119">
        <v>38</v>
      </c>
      <c r="O672" s="1013">
        <f>IFERROR(Таблица47[[#This Row],[Количество хлыстов]]-Таблица47[[#This Row],[Обработано в 1С]]-Таблица47[[#This Row],[Корректировка]],"")</f>
        <v>0</v>
      </c>
      <c r="P672" s="638">
        <f>IFERROR((((Таблица47[[#This Row],[Осталось сделать, хлыст]]*Таблица47[[#This Row],[длина]])*Таблица47[[#This Row],[Периметр]])/28),"")</f>
        <v>0</v>
      </c>
      <c r="Q672" s="303"/>
      <c r="R672" s="991">
        <f>IFERROR(Таблица47[[#This Row],[Коли-
чество м.п.]]/Таблица47[[#This Row],[Количество хлыстов]],"")</f>
        <v>6</v>
      </c>
      <c r="S672" s="639" t="s">
        <v>78</v>
      </c>
      <c r="T672" s="639">
        <v>228</v>
      </c>
      <c r="U672" s="640">
        <v>38</v>
      </c>
      <c r="V672" s="639">
        <v>0.20230000000000001</v>
      </c>
      <c r="W672" s="639">
        <v>0.499</v>
      </c>
      <c r="X672" s="639">
        <v>46.124400000000001</v>
      </c>
      <c r="Y672" s="639">
        <v>113.77200000000001</v>
      </c>
      <c r="Z672" s="639">
        <v>6</v>
      </c>
      <c r="AA672" s="639">
        <v>74.849999999999994</v>
      </c>
      <c r="AB672" s="639">
        <v>370</v>
      </c>
      <c r="AC672" s="641">
        <v>17065.8</v>
      </c>
    </row>
    <row r="673" spans="1:29" ht="15.75" customHeight="1" x14ac:dyDescent="0.25">
      <c r="A673" s="427" t="s">
        <v>4678</v>
      </c>
      <c r="B673" s="309">
        <v>449</v>
      </c>
      <c r="C673" s="309" t="s">
        <v>4753</v>
      </c>
      <c r="D673" s="303" t="s">
        <v>13</v>
      </c>
      <c r="E673" s="303" t="s">
        <v>4021</v>
      </c>
      <c r="F673" s="528">
        <v>45506</v>
      </c>
      <c r="G673" s="528">
        <v>45541</v>
      </c>
      <c r="H67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3" s="522" t="str">
        <f>CONCATENATE(Таблица47[[#This Row],[№ заявки в 1С]],Таблица47[[#This Row],[Наименование            ]])</f>
        <v>449[89918] Труба АД31Т 25х1х6000 (Д),</v>
      </c>
      <c r="J67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</v>
      </c>
      <c r="K67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</v>
      </c>
      <c r="L67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</v>
      </c>
      <c r="M673" s="635"/>
      <c r="N673" s="1119">
        <v>30</v>
      </c>
      <c r="O673" s="1013">
        <f>IFERROR(Таблица47[[#This Row],[Количество хлыстов]]-Таблица47[[#This Row],[Обработано в 1С]]-Таблица47[[#This Row],[Корректировка]],"")</f>
        <v>0</v>
      </c>
      <c r="P673" s="638">
        <f>IFERROR((((Таблица47[[#This Row],[Осталось сделать, хлыст]]*Таблица47[[#This Row],[длина]])*Таблица47[[#This Row],[Периметр]])/28),"")</f>
        <v>0</v>
      </c>
      <c r="Q673" s="303"/>
      <c r="R673" s="991">
        <f>IFERROR(Таблица47[[#This Row],[Коли-
чество м.п.]]/Таблица47[[#This Row],[Количество хлыстов]],"")</f>
        <v>6</v>
      </c>
      <c r="S673" s="639" t="s">
        <v>4984</v>
      </c>
      <c r="T673" s="639">
        <v>180</v>
      </c>
      <c r="U673" s="640">
        <v>30</v>
      </c>
      <c r="V673" s="639">
        <v>7.9000000000000001E-2</v>
      </c>
      <c r="W673" s="639">
        <v>0.20300000000000001</v>
      </c>
      <c r="X673" s="639">
        <v>14.22</v>
      </c>
      <c r="Y673" s="639">
        <v>36.54</v>
      </c>
      <c r="Z673" s="639">
        <v>1.85</v>
      </c>
      <c r="AA673" s="639">
        <v>100</v>
      </c>
      <c r="AB673" s="639">
        <v>1265.82</v>
      </c>
      <c r="AC673" s="641">
        <v>18000</v>
      </c>
    </row>
    <row r="674" spans="1:29" s="1021" customFormat="1" ht="15.75" customHeight="1" x14ac:dyDescent="0.25">
      <c r="A674" s="1106" t="s">
        <v>4978</v>
      </c>
      <c r="B674" s="1067">
        <v>452</v>
      </c>
      <c r="C674" s="1067"/>
      <c r="D674" s="1068" t="s">
        <v>34</v>
      </c>
      <c r="E674" s="1068" t="s">
        <v>5016</v>
      </c>
      <c r="F674" s="1069">
        <v>45510</v>
      </c>
      <c r="G674" s="1069"/>
      <c r="H67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4" s="620" t="str">
        <f>CONCATENATE(Таблица47[[#This Row],[№ заявки в 1С]],Таблица47[[#This Row],[Наименование            ]])</f>
        <v>452[17167] F16 (0306-26), капельник, 6,0м, БА</v>
      </c>
      <c r="J67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7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7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74" s="1082"/>
      <c r="N674" s="1120">
        <v>40</v>
      </c>
      <c r="O674" s="1020" t="str">
        <f>IFERROR(Таблица47[[#This Row],[Количество хлыстов]]-Таблица47[[#This Row],[Обработано в 1С]]-Таблица47[[#This Row],[Корректировка]],"")</f>
        <v/>
      </c>
      <c r="P674" s="638" t="str">
        <f>IFERROR((((Таблица47[[#This Row],[Осталось сделать, хлыст]]*Таблица47[[#This Row],[длина]])*Таблица47[[#This Row],[Периметр]])/28),"")</f>
        <v/>
      </c>
      <c r="Q674" s="1068"/>
      <c r="R674" s="1089">
        <f>IFERROR(Таблица47[[#This Row],[Коли-
чество м.п.]]/Таблица47[[#This Row],[Количество хлыстов]],"")</f>
        <v>6</v>
      </c>
      <c r="S674" s="1083" t="s">
        <v>4982</v>
      </c>
      <c r="T674" s="1083">
        <v>240</v>
      </c>
      <c r="U674" s="1084">
        <v>40</v>
      </c>
      <c r="V674" s="1083">
        <v>0.1</v>
      </c>
      <c r="W674" s="1083">
        <v>0.13</v>
      </c>
      <c r="X674" s="1083">
        <v>24</v>
      </c>
      <c r="Y674" s="1083">
        <v>31.2</v>
      </c>
      <c r="Z674" s="1083">
        <v>3.12</v>
      </c>
      <c r="AA674" s="1083">
        <v>23.5</v>
      </c>
      <c r="AB674" s="1083">
        <v>235</v>
      </c>
      <c r="AC674" s="1085">
        <v>5640</v>
      </c>
    </row>
    <row r="675" spans="1:29" s="1021" customFormat="1" ht="15.75" customHeight="1" x14ac:dyDescent="0.25">
      <c r="A675" s="1106" t="s">
        <v>4978</v>
      </c>
      <c r="B675" s="1067">
        <v>453</v>
      </c>
      <c r="C675" s="1067"/>
      <c r="D675" s="1068" t="s">
        <v>34</v>
      </c>
      <c r="E675" s="1068" t="s">
        <v>5016</v>
      </c>
      <c r="F675" s="1069">
        <v>45510</v>
      </c>
      <c r="G675" s="1069"/>
      <c r="H67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5" s="620" t="str">
        <f>CONCATENATE(Таблица47[[#This Row],[№ заявки в 1С]],Таблица47[[#This Row],[Наименование            ]])</f>
        <v>453[17167] F16 (0306-26), капельник, 6,0м, БА</v>
      </c>
      <c r="J67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7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7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75" s="1082"/>
      <c r="N675" s="1120">
        <v>35</v>
      </c>
      <c r="O675" s="1020" t="str">
        <f>IFERROR(Таблица47[[#This Row],[Количество хлыстов]]-Таблица47[[#This Row],[Обработано в 1С]]-Таблица47[[#This Row],[Корректировка]],"")</f>
        <v/>
      </c>
      <c r="P675" s="638" t="str">
        <f>IFERROR((((Таблица47[[#This Row],[Осталось сделать, хлыст]]*Таблица47[[#This Row],[длина]])*Таблица47[[#This Row],[Периметр]])/28),"")</f>
        <v/>
      </c>
      <c r="Q675" s="1068"/>
      <c r="R675" s="1089">
        <f>IFERROR(Таблица47[[#This Row],[Коли-
чество м.п.]]/Таблица47[[#This Row],[Количество хлыстов]],"")</f>
        <v>6</v>
      </c>
      <c r="S675" s="1083" t="s">
        <v>4982</v>
      </c>
      <c r="T675" s="1083">
        <v>210</v>
      </c>
      <c r="U675" s="1084">
        <v>35</v>
      </c>
      <c r="V675" s="1083">
        <v>0.1</v>
      </c>
      <c r="W675" s="1083">
        <v>0.13</v>
      </c>
      <c r="X675" s="1083">
        <v>21</v>
      </c>
      <c r="Y675" s="1083">
        <v>27.3</v>
      </c>
      <c r="Z675" s="1083">
        <v>2.73</v>
      </c>
      <c r="AA675" s="1083">
        <v>23.5</v>
      </c>
      <c r="AB675" s="1083">
        <v>235</v>
      </c>
      <c r="AC675" s="1085">
        <v>4935</v>
      </c>
    </row>
    <row r="676" spans="1:29" ht="15.75" customHeight="1" x14ac:dyDescent="0.25">
      <c r="A676" s="427" t="s">
        <v>4678</v>
      </c>
      <c r="B676" s="309">
        <v>454</v>
      </c>
      <c r="C676" s="309"/>
      <c r="D676" s="303" t="s">
        <v>13</v>
      </c>
      <c r="E676" s="303" t="s">
        <v>5250</v>
      </c>
      <c r="F676" s="528">
        <v>45510</v>
      </c>
      <c r="G676" s="528"/>
      <c r="H67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6" s="522" t="str">
        <f>CONCATENATE(Таблица47[[#This Row],[№ заявки в 1С]],Таблица47[[#This Row],[Наименование            ]])</f>
        <v>454[376] А 12 (0072-08) Угловая стойка, 5,0м, 6063 КР</v>
      </c>
      <c r="J67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112</v>
      </c>
      <c r="K67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112</v>
      </c>
      <c r="L67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112</v>
      </c>
      <c r="M676" s="635"/>
      <c r="N676" s="1119">
        <v>112</v>
      </c>
      <c r="O676" s="1013">
        <f>IFERROR(Таблица47[[#This Row],[Количество хлыстов]]-Таблица47[[#This Row],[Обработано в 1С]]-Таблица47[[#This Row],[Корректировка]],"")</f>
        <v>0</v>
      </c>
      <c r="P676" s="638">
        <f>IFERROR((((Таблица47[[#This Row],[Осталось сделать, хлыст]]*Таблица47[[#This Row],[длина]])*Таблица47[[#This Row],[Периметр]])/28),"")</f>
        <v>0</v>
      </c>
      <c r="Q676" s="303"/>
      <c r="R676" s="991">
        <f>IFERROR(Таблица47[[#This Row],[Коли-
чество м.п.]]/Таблица47[[#This Row],[Количество хлыстов]],"")</f>
        <v>5</v>
      </c>
      <c r="S676" s="639" t="s">
        <v>149</v>
      </c>
      <c r="T676" s="639">
        <v>560</v>
      </c>
      <c r="U676" s="640">
        <v>112</v>
      </c>
      <c r="V676" s="639">
        <v>0.18360000000000001</v>
      </c>
      <c r="W676" s="639">
        <v>0.39400000000000002</v>
      </c>
      <c r="X676" s="639">
        <v>102.816</v>
      </c>
      <c r="Y676" s="639">
        <v>220.64</v>
      </c>
      <c r="Z676" s="639">
        <v>13.37</v>
      </c>
      <c r="AA676" s="639">
        <v>79.87</v>
      </c>
      <c r="AB676" s="639">
        <v>435</v>
      </c>
      <c r="AC676" s="641">
        <v>44724.959999999999</v>
      </c>
    </row>
    <row r="677" spans="1:29" ht="15.75" customHeight="1" x14ac:dyDescent="0.25">
      <c r="A677" s="427" t="s">
        <v>4678</v>
      </c>
      <c r="B677" s="309">
        <v>455</v>
      </c>
      <c r="C677" s="309"/>
      <c r="D677" s="303" t="s">
        <v>34</v>
      </c>
      <c r="E677" s="303" t="s">
        <v>14</v>
      </c>
      <c r="F677" s="528">
        <v>45511</v>
      </c>
      <c r="G677" s="528"/>
      <c r="H67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7" s="522" t="str">
        <f>CONCATENATE(Таблица47[[#This Row],[№ заявки в 1С]],Таблица47[[#This Row],[Наименование            ]])</f>
        <v>455[59210] 0906-89, 6,05м, сплав 6063КР Т6, упак.Т5</v>
      </c>
      <c r="J67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344</v>
      </c>
      <c r="K67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344</v>
      </c>
      <c r="L67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343</v>
      </c>
      <c r="M677" s="635">
        <v>1</v>
      </c>
      <c r="N677" s="1119">
        <v>343</v>
      </c>
      <c r="O677" s="1013">
        <f>IFERROR(Таблица47[[#This Row],[Количество хлыстов]]-Таблица47[[#This Row],[Обработано в 1С]]-Таблица47[[#This Row],[Корректировка]],"")</f>
        <v>0</v>
      </c>
      <c r="P677" s="638">
        <f>IFERROR((((Таблица47[[#This Row],[Осталось сделать, хлыст]]*Таблица47[[#This Row],[длина]])*Таблица47[[#This Row],[Периметр]])/28),"")</f>
        <v>0</v>
      </c>
      <c r="Q677" s="303" t="s">
        <v>5258</v>
      </c>
      <c r="R677" s="991">
        <f>IFERROR(Таблица47[[#This Row],[Коли-
чество м.п.]]/Таблица47[[#This Row],[Количество хлыстов]],"")</f>
        <v>6.05</v>
      </c>
      <c r="S677" s="639" t="s">
        <v>5253</v>
      </c>
      <c r="T677" s="639">
        <v>2081.1999999999998</v>
      </c>
      <c r="U677" s="640">
        <v>344</v>
      </c>
      <c r="V677" s="639">
        <v>0.223</v>
      </c>
      <c r="W677" s="639">
        <v>1.0349999999999999</v>
      </c>
      <c r="X677" s="639">
        <v>464.10759999999999</v>
      </c>
      <c r="Y677" s="639">
        <v>2154.0419999999999</v>
      </c>
      <c r="Z677" s="639">
        <v>60.33</v>
      </c>
      <c r="AA677" s="639">
        <v>83.63</v>
      </c>
      <c r="AB677" s="639">
        <v>375</v>
      </c>
      <c r="AC677" s="641">
        <v>174040.35</v>
      </c>
    </row>
    <row r="678" spans="1:29" ht="15.75" customHeight="1" x14ac:dyDescent="0.25">
      <c r="A678" s="427" t="s">
        <v>4678</v>
      </c>
      <c r="B678" s="309">
        <v>456</v>
      </c>
      <c r="C678" s="309"/>
      <c r="D678" s="303" t="s">
        <v>13</v>
      </c>
      <c r="E678" s="303" t="s">
        <v>556</v>
      </c>
      <c r="F678" s="528">
        <v>45511</v>
      </c>
      <c r="G678" s="528">
        <v>45531</v>
      </c>
      <c r="H67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8" s="522" t="str">
        <f>CONCATENATE(Таблица47[[#This Row],[№ заявки в 1С]],Таблица47[[#This Row],[Наименование            ]])</f>
        <v>456[33556] 0906-58 6,0м, 6063 КР Т1 уп. Т-5</v>
      </c>
      <c r="J67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264</v>
      </c>
      <c r="K67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264</v>
      </c>
      <c r="L67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264</v>
      </c>
      <c r="M678" s="635"/>
      <c r="N678" s="1119">
        <v>264</v>
      </c>
      <c r="O678" s="1013">
        <f>IFERROR(Таблица47[[#This Row],[Количество хлыстов]]-Таблица47[[#This Row],[Обработано в 1С]]-Таблица47[[#This Row],[Корректировка]],"")</f>
        <v>0</v>
      </c>
      <c r="P678" s="638">
        <f>IFERROR((((Таблица47[[#This Row],[Осталось сделать, хлыст]]*Таблица47[[#This Row],[длина]])*Таблица47[[#This Row],[Периметр]])/28),"")</f>
        <v>0</v>
      </c>
      <c r="Q678" s="303"/>
      <c r="R678" s="991">
        <f>IFERROR(Таблица47[[#This Row],[Коли-
чество м.п.]]/Таблица47[[#This Row],[Количество хлыстов]],"")</f>
        <v>6</v>
      </c>
      <c r="S678" s="639" t="s">
        <v>2348</v>
      </c>
      <c r="T678" s="639">
        <v>1584</v>
      </c>
      <c r="U678" s="640">
        <v>264</v>
      </c>
      <c r="V678" s="639">
        <v>0.31879999999999997</v>
      </c>
      <c r="W678" s="639">
        <v>0.81100000000000005</v>
      </c>
      <c r="X678" s="639">
        <v>504.97919999999999</v>
      </c>
      <c r="Y678" s="639">
        <v>1284.624</v>
      </c>
      <c r="Z678" s="639">
        <v>65.650000000000006</v>
      </c>
      <c r="AA678" s="639">
        <v>138.68</v>
      </c>
      <c r="AB678" s="639">
        <v>435</v>
      </c>
      <c r="AC678" s="641">
        <v>219665.95</v>
      </c>
    </row>
    <row r="679" spans="1:29" s="1021" customFormat="1" ht="15.75" customHeight="1" x14ac:dyDescent="0.25">
      <c r="A679" s="1106" t="s">
        <v>4978</v>
      </c>
      <c r="B679" s="1067">
        <v>457</v>
      </c>
      <c r="C679" s="1067"/>
      <c r="D679" s="1068" t="s">
        <v>13</v>
      </c>
      <c r="E679" s="1068" t="s">
        <v>556</v>
      </c>
      <c r="F679" s="1069">
        <v>45511</v>
      </c>
      <c r="G679" s="1069"/>
      <c r="H67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79" s="620" t="str">
        <f>CONCATENATE(Таблица47[[#This Row],[№ заявки в 1С]],Таблица47[[#This Row],[Наименование            ]])</f>
        <v>457[73120] 1606-02,  3,0 м, БА сплав: АД 31 состояние Т1</v>
      </c>
      <c r="J679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79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79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79" s="1082"/>
      <c r="N679" s="1120">
        <v>133</v>
      </c>
      <c r="O679" s="1020" t="str">
        <f>IFERROR(Таблица47[[#This Row],[Количество хлыстов]]-Таблица47[[#This Row],[Обработано в 1С]]-Таблица47[[#This Row],[Корректировка]],"")</f>
        <v/>
      </c>
      <c r="P679" s="638" t="str">
        <f>IFERROR((((Таблица47[[#This Row],[Осталось сделать, хлыст]]*Таблица47[[#This Row],[длина]])*Таблица47[[#This Row],[Периметр]])/28),"")</f>
        <v/>
      </c>
      <c r="Q679" s="1068"/>
      <c r="R679" s="1089">
        <f>IFERROR(Таблица47[[#This Row],[Коли-
чество м.п.]]/Таблица47[[#This Row],[Количество хлыстов]],"")</f>
        <v>3</v>
      </c>
      <c r="S679" s="1083" t="s">
        <v>5193</v>
      </c>
      <c r="T679" s="1083">
        <v>399</v>
      </c>
      <c r="U679" s="1084">
        <v>133</v>
      </c>
      <c r="V679" s="1083">
        <v>0.25569999999999998</v>
      </c>
      <c r="W679" s="1083">
        <v>1.3</v>
      </c>
      <c r="X679" s="1083">
        <v>102.0243</v>
      </c>
      <c r="Y679" s="1083">
        <v>518.70000000000005</v>
      </c>
      <c r="Z679" s="1083">
        <v>13.26</v>
      </c>
      <c r="AA679" s="1083"/>
      <c r="AB679" s="1083"/>
      <c r="AC679" s="1085"/>
    </row>
    <row r="680" spans="1:29" ht="15.75" customHeight="1" x14ac:dyDescent="0.25">
      <c r="A680" s="427" t="s">
        <v>4678</v>
      </c>
      <c r="B680" s="309">
        <v>458</v>
      </c>
      <c r="C680" s="309"/>
      <c r="D680" s="303" t="s">
        <v>13</v>
      </c>
      <c r="E680" s="303" t="s">
        <v>892</v>
      </c>
      <c r="F680" s="528">
        <v>45511</v>
      </c>
      <c r="G680" s="528">
        <v>45524</v>
      </c>
      <c r="H68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0" s="522" t="str">
        <f>CONCATENATE(Таблица47[[#This Row],[№ заявки в 1С]],Таблица47[[#This Row],[Наименование            ]])</f>
        <v>458[86901] 2606-14 (замена 2606-06), 5,65 м,  6063 Т1, БА</v>
      </c>
      <c r="J68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130</v>
      </c>
      <c r="K68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130</v>
      </c>
      <c r="L68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128</v>
      </c>
      <c r="M680" s="635">
        <v>5</v>
      </c>
      <c r="N680" s="1119">
        <f>65+60</f>
        <v>125</v>
      </c>
      <c r="O680" s="1013">
        <f>IFERROR(Таблица47[[#This Row],[Количество хлыстов]]-Таблица47[[#This Row],[Обработано в 1С]]-Таблица47[[#This Row],[Корректировка]],"")</f>
        <v>-3</v>
      </c>
      <c r="P680" s="638">
        <f>IFERROR((((Таблица47[[#This Row],[Осталось сделать, хлыст]]*Таблица47[[#This Row],[длина]])*Таблица47[[#This Row],[Периметр]])/28),"")</f>
        <v>-8.8926964285714311E-2</v>
      </c>
      <c r="Q680" s="303" t="s">
        <v>4761</v>
      </c>
      <c r="R680" s="991">
        <f>IFERROR(Таблица47[[#This Row],[Коли-
чество м.п.]]/Таблица47[[#This Row],[Количество хлыстов]],"")</f>
        <v>5.65</v>
      </c>
      <c r="S680" s="639" t="s">
        <v>4446</v>
      </c>
      <c r="T680" s="639">
        <v>734.5</v>
      </c>
      <c r="U680" s="640">
        <v>130</v>
      </c>
      <c r="V680" s="639">
        <v>0.1469</v>
      </c>
      <c r="W680" s="639">
        <v>1.3859999999999999</v>
      </c>
      <c r="X680" s="639">
        <v>107.8981</v>
      </c>
      <c r="Y680" s="639">
        <v>1018.0170000000001</v>
      </c>
      <c r="Z680" s="639">
        <v>14.03</v>
      </c>
      <c r="AA680" s="639"/>
      <c r="AB680" s="639"/>
      <c r="AC680" s="641"/>
    </row>
    <row r="681" spans="1:29" ht="15.75" customHeight="1" x14ac:dyDescent="0.25">
      <c r="A681" s="238" t="s">
        <v>4678</v>
      </c>
      <c r="B681" s="1070">
        <v>459</v>
      </c>
      <c r="C681" s="1070" t="s">
        <v>4753</v>
      </c>
      <c r="D681" s="200" t="s">
        <v>13</v>
      </c>
      <c r="E681" s="200" t="s">
        <v>43</v>
      </c>
      <c r="F681" s="201">
        <v>45511</v>
      </c>
      <c r="G681" s="528"/>
      <c r="H68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1" s="522" t="str">
        <f>CONCATENATE(Таблица47[[#This Row],[№ заявки в 1С]],Таблица47[[#This Row],[Наименование            ]])</f>
        <v>459[92099] ТР 25*2 (Д) 6м, АД31</v>
      </c>
      <c r="J68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128</v>
      </c>
      <c r="K68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128</v>
      </c>
      <c r="L68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128</v>
      </c>
      <c r="M681" s="635"/>
      <c r="N681" s="1119">
        <v>128</v>
      </c>
      <c r="O681" s="1013">
        <f>IFERROR(Таблица47[[#This Row],[Количество хлыстов]]-Таблица47[[#This Row],[Обработано в 1С]]-Таблица47[[#This Row],[Корректировка]],"")</f>
        <v>0</v>
      </c>
      <c r="P681" s="638">
        <f>IFERROR((((Таблица47[[#This Row],[Осталось сделать, хлыст]]*Таблица47[[#This Row],[длина]])*Таблица47[[#This Row],[Периметр]])/28),"")</f>
        <v>0</v>
      </c>
      <c r="Q681" s="303"/>
      <c r="R681" s="991">
        <f>IFERROR(Таблица47[[#This Row],[Коли-
чество м.п.]]/Таблица47[[#This Row],[Количество хлыстов]],"")</f>
        <v>6</v>
      </c>
      <c r="S681" s="639" t="s">
        <v>5252</v>
      </c>
      <c r="T681" s="639">
        <v>768</v>
      </c>
      <c r="U681" s="640">
        <v>128</v>
      </c>
      <c r="V681" s="639">
        <v>7.9000000000000001E-2</v>
      </c>
      <c r="W681" s="639">
        <v>0.39200000000000002</v>
      </c>
      <c r="X681" s="639">
        <v>60.671999999999997</v>
      </c>
      <c r="Y681" s="639">
        <v>301.05599999999998</v>
      </c>
      <c r="Z681" s="639">
        <v>7.89</v>
      </c>
      <c r="AA681" s="639">
        <v>54.48</v>
      </c>
      <c r="AB681" s="639">
        <v>689.61</v>
      </c>
      <c r="AC681" s="641">
        <v>41840</v>
      </c>
    </row>
    <row r="682" spans="1:29" ht="15.75" customHeight="1" x14ac:dyDescent="0.25">
      <c r="A682" s="427" t="s">
        <v>4678</v>
      </c>
      <c r="B682" s="309">
        <v>460</v>
      </c>
      <c r="C682" s="309"/>
      <c r="D682" s="303" t="s">
        <v>34</v>
      </c>
      <c r="E682" s="303" t="s">
        <v>79</v>
      </c>
      <c r="F682" s="528">
        <v>45511</v>
      </c>
      <c r="G682" s="528"/>
      <c r="H68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2" s="522" t="str">
        <f>CONCATENATE(Таблица47[[#This Row],[№ заявки в 1С]],Таблица47[[#This Row],[Наименование            ]])</f>
        <v>460[78712] 1606-73 (п-образный), 6,0м, 6063 Т6, упаковка Т-5, БА</v>
      </c>
      <c r="J68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112</v>
      </c>
      <c r="K68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112</v>
      </c>
      <c r="L68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112</v>
      </c>
      <c r="M682" s="635"/>
      <c r="N682" s="1119">
        <v>112</v>
      </c>
      <c r="O682" s="1013">
        <f>IFERROR(Таблица47[[#This Row],[Количество хлыстов]]-Таблица47[[#This Row],[Обработано в 1С]]-Таблица47[[#This Row],[Корректировка]],"")</f>
        <v>0</v>
      </c>
      <c r="P682" s="638">
        <f>IFERROR((((Таблица47[[#This Row],[Осталось сделать, хлыст]]*Таблица47[[#This Row],[длина]])*Таблица47[[#This Row],[Периметр]])/28),"")</f>
        <v>0</v>
      </c>
      <c r="Q682" s="303"/>
      <c r="R682" s="991">
        <f>IFERROR(Таблица47[[#This Row],[Коли-
чество м.п.]]/Таблица47[[#This Row],[Количество хлыстов]],"")</f>
        <v>6</v>
      </c>
      <c r="S682" s="639" t="s">
        <v>4590</v>
      </c>
      <c r="T682" s="639">
        <v>672</v>
      </c>
      <c r="U682" s="640">
        <v>112</v>
      </c>
      <c r="V682" s="639">
        <v>0.45550000000000002</v>
      </c>
      <c r="W682" s="639">
        <v>1.6990000000000001</v>
      </c>
      <c r="X682" s="639">
        <v>306.096</v>
      </c>
      <c r="Y682" s="639">
        <v>1141.7280000000001</v>
      </c>
      <c r="Z682" s="639">
        <v>39.79</v>
      </c>
      <c r="AA682" s="639">
        <v>168.54</v>
      </c>
      <c r="AB682" s="639">
        <v>370</v>
      </c>
      <c r="AC682" s="641">
        <v>113255.52</v>
      </c>
    </row>
    <row r="683" spans="1:29" ht="15.75" customHeight="1" x14ac:dyDescent="0.25">
      <c r="A683" s="427" t="s">
        <v>4678</v>
      </c>
      <c r="B683" s="309">
        <v>460</v>
      </c>
      <c r="C683" s="309"/>
      <c r="D683" s="303" t="s">
        <v>34</v>
      </c>
      <c r="E683" s="303" t="s">
        <v>79</v>
      </c>
      <c r="F683" s="528">
        <v>45511</v>
      </c>
      <c r="G683" s="528"/>
      <c r="H6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3" s="522" t="str">
        <f>CONCATENATE(Таблица47[[#This Row],[№ заявки в 1С]],Таблица47[[#This Row],[Наименование            ]])</f>
        <v>460[79492] 1606-73 (п-образный), 4,0м, 6063 Т1, упаковка Т-5, БА</v>
      </c>
      <c r="J68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17</v>
      </c>
      <c r="K68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17</v>
      </c>
      <c r="L68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17</v>
      </c>
      <c r="M683" s="635"/>
      <c r="N683" s="1119">
        <v>17</v>
      </c>
      <c r="O683" s="1013">
        <f>IFERROR(Таблица47[[#This Row],[Количество хлыстов]]-Таблица47[[#This Row],[Обработано в 1С]]-Таблица47[[#This Row],[Корректировка]],"")</f>
        <v>0</v>
      </c>
      <c r="P683" s="638">
        <f>IFERROR((((Таблица47[[#This Row],[Осталось сделать, хлыст]]*Таблица47[[#This Row],[длина]])*Таблица47[[#This Row],[Периметр]])/28),"")</f>
        <v>0</v>
      </c>
      <c r="Q683" s="303"/>
      <c r="R683" s="991">
        <f>IFERROR(Таблица47[[#This Row],[Коли-
чество м.п.]]/Таблица47[[#This Row],[Количество хлыстов]],"")</f>
        <v>4</v>
      </c>
      <c r="S683" s="639" t="s">
        <v>3346</v>
      </c>
      <c r="T683" s="639">
        <v>68</v>
      </c>
      <c r="U683" s="640">
        <v>17</v>
      </c>
      <c r="V683" s="639">
        <v>0.45550000000000002</v>
      </c>
      <c r="W683" s="639">
        <v>1.6990000000000001</v>
      </c>
      <c r="X683" s="639">
        <v>30.974</v>
      </c>
      <c r="Y683" s="639">
        <v>115.532</v>
      </c>
      <c r="Z683" s="639">
        <v>4.03</v>
      </c>
      <c r="AA683" s="639">
        <v>168.54</v>
      </c>
      <c r="AB683" s="639">
        <v>370</v>
      </c>
      <c r="AC683" s="641">
        <v>11460.38</v>
      </c>
    </row>
    <row r="684" spans="1:29" customFormat="1" ht="15.75" customHeight="1" x14ac:dyDescent="0.25">
      <c r="A684" s="924" t="s">
        <v>4678</v>
      </c>
      <c r="B684" s="925" t="s">
        <v>5254</v>
      </c>
      <c r="C684" s="925"/>
      <c r="D684" s="926" t="s">
        <v>34</v>
      </c>
      <c r="E684" s="926" t="s">
        <v>16</v>
      </c>
      <c r="F684" s="927">
        <v>45512</v>
      </c>
      <c r="G684" s="927"/>
      <c r="H684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4" s="928" t="str">
        <f>CONCATENATE(Таблица47[[#This Row],[№ заявки в 1С]],Таблица47[[#This Row],[Наименование            ]])</f>
        <v>OPT000811[11564] 0106-235, 6,0м, 6063 Т6, упаковка Т-5, под анод тип 2, БА (прессовать на плюсовом допуске)</v>
      </c>
      <c r="J684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47</v>
      </c>
      <c r="K684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47</v>
      </c>
      <c r="L684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47</v>
      </c>
      <c r="M684" s="928"/>
      <c r="N684" s="937">
        <v>47</v>
      </c>
      <c r="O684" s="1001">
        <f>IFERROR(Таблица47[[#This Row],[Количество хлыстов]]-Таблица47[[#This Row],[Обработано в 1С]]-Таблица47[[#This Row],[Корректировка]],"")</f>
        <v>0</v>
      </c>
      <c r="P684" s="638">
        <f>IFERROR((((Таблица47[[#This Row],[Осталось сделать, хлыст]]*Таблица47[[#This Row],[длина]])*Таблица47[[#This Row],[Периметр]])/28),"")</f>
        <v>0</v>
      </c>
      <c r="Q684" s="926"/>
      <c r="R684" s="938">
        <f>IFERROR(Таблица47[[#This Row],[Коли-
чество м.п.]]/Таблица47[[#This Row],[Количество хлыстов]],"")</f>
        <v>6</v>
      </c>
      <c r="S684" s="933" t="s">
        <v>2581</v>
      </c>
      <c r="T684" s="933">
        <v>282</v>
      </c>
      <c r="U684" s="934">
        <v>47</v>
      </c>
      <c r="V684" s="933">
        <v>0.56989999999999996</v>
      </c>
      <c r="W684" s="933">
        <v>1.304</v>
      </c>
      <c r="X684" s="933">
        <v>160.71180000000001</v>
      </c>
      <c r="Y684" s="933">
        <v>367.72800000000001</v>
      </c>
      <c r="Z684" s="933">
        <v>20.89</v>
      </c>
      <c r="AA684" s="933">
        <v>324.83999999999997</v>
      </c>
      <c r="AB684" s="933">
        <v>570</v>
      </c>
      <c r="AC684" s="935">
        <v>91604.88</v>
      </c>
    </row>
    <row r="685" spans="1:29" customFormat="1" ht="15.75" customHeight="1" x14ac:dyDescent="0.25">
      <c r="A685" s="924" t="s">
        <v>4678</v>
      </c>
      <c r="B685" s="925" t="s">
        <v>5255</v>
      </c>
      <c r="C685" s="925"/>
      <c r="D685" s="926" t="s">
        <v>34</v>
      </c>
      <c r="E685" s="926" t="s">
        <v>16</v>
      </c>
      <c r="F685" s="927">
        <v>45512</v>
      </c>
      <c r="G685" s="927"/>
      <c r="H685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5" s="928" t="str">
        <f>CONCATENATE(Таблица47[[#This Row],[№ заявки в 1С]],Таблица47[[#This Row],[Наименование            ]])</f>
        <v>OPT000812[38436] 0506-21, 6,0м, 6063 Т1, тип 1, упаковка Т-5, БА</v>
      </c>
      <c r="J685" s="928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111</v>
      </c>
      <c r="K685" s="928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111</v>
      </c>
      <c r="L685" s="928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111</v>
      </c>
      <c r="M685" s="928"/>
      <c r="N685" s="937">
        <v>111</v>
      </c>
      <c r="O685" s="1001">
        <f>IFERROR(Таблица47[[#This Row],[Количество хлыстов]]-Таблица47[[#This Row],[Обработано в 1С]]-Таблица47[[#This Row],[Корректировка]],"")</f>
        <v>0</v>
      </c>
      <c r="P685" s="638">
        <f>IFERROR((((Таблица47[[#This Row],[Осталось сделать, хлыст]]*Таблица47[[#This Row],[длина]])*Таблица47[[#This Row],[Периметр]])/28),"")</f>
        <v>0</v>
      </c>
      <c r="Q685" s="926"/>
      <c r="R685" s="938">
        <f>IFERROR(Таблица47[[#This Row],[Коли-
чество м.п.]]/Таблица47[[#This Row],[Количество хлыстов]],"")</f>
        <v>6</v>
      </c>
      <c r="S685" s="933" t="s">
        <v>2469</v>
      </c>
      <c r="T685" s="933">
        <v>666</v>
      </c>
      <c r="U685" s="934">
        <v>111</v>
      </c>
      <c r="V685" s="933">
        <v>0.70820000000000005</v>
      </c>
      <c r="W685" s="933">
        <v>3.4609999999999999</v>
      </c>
      <c r="X685" s="933">
        <v>471.66120000000001</v>
      </c>
      <c r="Y685" s="933">
        <v>2305.0259999999998</v>
      </c>
      <c r="Z685" s="933">
        <v>61.32</v>
      </c>
      <c r="AA685" s="933">
        <v>308.07</v>
      </c>
      <c r="AB685" s="933">
        <v>435</v>
      </c>
      <c r="AC685" s="935">
        <v>205174.62</v>
      </c>
    </row>
    <row r="686" spans="1:29" customFormat="1" ht="15.75" customHeight="1" x14ac:dyDescent="0.25">
      <c r="A686" s="171" t="s">
        <v>4678</v>
      </c>
      <c r="B686" s="625">
        <v>463</v>
      </c>
      <c r="C686" s="625" t="s">
        <v>4753</v>
      </c>
      <c r="D686" s="162" t="s">
        <v>13</v>
      </c>
      <c r="E686" s="200" t="s">
        <v>458</v>
      </c>
      <c r="F686" s="168">
        <v>45516</v>
      </c>
      <c r="G686" s="143"/>
      <c r="H686" s="16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6" s="522" t="str">
        <f>CONCATENATE(Таблица47[[#This Row],[№ заявки в 1С]],Таблица47[[#This Row],[Наименование            ]])</f>
        <v>463[90786] Лист (Д) АМг2М 0,8*1000*1500</v>
      </c>
      <c r="J68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328</v>
      </c>
      <c r="K686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1500</v>
      </c>
      <c r="L686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1500</v>
      </c>
      <c r="M686" s="522"/>
      <c r="N686" s="393">
        <f>1473+27</f>
        <v>1500</v>
      </c>
      <c r="O686" s="1001">
        <f>IFERROR(Таблица47[[#This Row],[Количество хлыстов]]-Таблица47[[#This Row],[Обработано в 1С]]-Таблица47[[#This Row],[Корректировка]],"")</f>
        <v>0</v>
      </c>
      <c r="P686" s="638">
        <f>Таблица47[[#This Row],[Осталось сделать, хлыст]]/12</f>
        <v>0</v>
      </c>
      <c r="Q686" s="142"/>
      <c r="R686" s="280">
        <f>IFERROR(Таблица47[[#This Row],[Коли-
чество м.п.]]/Таблица47[[#This Row],[Количество хлыстов]],"")</f>
        <v>1</v>
      </c>
      <c r="S686" s="525" t="s">
        <v>5161</v>
      </c>
      <c r="T686" s="525">
        <v>1500</v>
      </c>
      <c r="U686" s="526">
        <v>1500</v>
      </c>
      <c r="V686" s="525">
        <v>3</v>
      </c>
      <c r="W686" s="525">
        <v>3.2040000000000002</v>
      </c>
      <c r="X686" s="525">
        <v>4500</v>
      </c>
      <c r="Y686" s="525">
        <v>4806</v>
      </c>
      <c r="Z686" s="525">
        <v>585</v>
      </c>
      <c r="AA686" s="525">
        <v>1320</v>
      </c>
      <c r="AB686" s="525">
        <v>440</v>
      </c>
      <c r="AC686" s="527">
        <v>1980000</v>
      </c>
    </row>
    <row r="687" spans="1:29" ht="15.75" customHeight="1" x14ac:dyDescent="0.25">
      <c r="A687" s="427" t="s">
        <v>4678</v>
      </c>
      <c r="B687" s="309">
        <v>464</v>
      </c>
      <c r="C687" s="309"/>
      <c r="D687" s="303" t="s">
        <v>13</v>
      </c>
      <c r="E687" s="303" t="s">
        <v>489</v>
      </c>
      <c r="F687" s="528">
        <v>45517</v>
      </c>
      <c r="G687" s="528">
        <v>45524</v>
      </c>
      <c r="H68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7" s="522" t="str">
        <f>CONCATENATE(Таблица47[[#This Row],[№ заявки в 1С]],Таблица47[[#This Row],[Наименование            ]])</f>
        <v>464[75791] 0506-93 (АТ-6458), 3,0м, БА сплав 6063 Т1</v>
      </c>
      <c r="J687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87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87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87" s="635"/>
      <c r="N687" s="1119">
        <v>153</v>
      </c>
      <c r="O687" s="1013" t="str">
        <f>IFERROR(Таблица47[[#This Row],[Количество хлыстов]]-Таблица47[[#This Row],[Обработано в 1С]]-Таблица47[[#This Row],[Корректировка]],"")</f>
        <v/>
      </c>
      <c r="P687" s="638" t="str">
        <f>IFERROR((((Таблица47[[#This Row],[Осталось сделать, хлыст]]*Таблица47[[#This Row],[длина]])*Таблица47[[#This Row],[Периметр]])/28),"")</f>
        <v/>
      </c>
      <c r="Q687" s="303"/>
      <c r="R687" s="991">
        <f>IFERROR(Таблица47[[#This Row],[Коли-
чество м.п.]]/Таблица47[[#This Row],[Количество хлыстов]],"")</f>
        <v>3</v>
      </c>
      <c r="S687" s="639" t="s">
        <v>783</v>
      </c>
      <c r="T687" s="639">
        <v>459</v>
      </c>
      <c r="U687" s="640">
        <v>153</v>
      </c>
      <c r="V687" s="639">
        <v>0.15310000000000001</v>
      </c>
      <c r="W687" s="639">
        <v>1.1000000000000001</v>
      </c>
      <c r="X687" s="639">
        <v>70.272900000000007</v>
      </c>
      <c r="Y687" s="639">
        <v>504.9</v>
      </c>
      <c r="Z687" s="639">
        <v>9.14</v>
      </c>
      <c r="AA687" s="639">
        <v>73.489999999999995</v>
      </c>
      <c r="AB687" s="639">
        <v>480</v>
      </c>
      <c r="AC687" s="641">
        <v>33730.99</v>
      </c>
    </row>
    <row r="688" spans="1:29" customFormat="1" ht="15.75" x14ac:dyDescent="0.25">
      <c r="A688" s="965" t="s">
        <v>4678</v>
      </c>
      <c r="B688" s="962">
        <v>465</v>
      </c>
      <c r="C688" s="962"/>
      <c r="D688" s="963" t="s">
        <v>13</v>
      </c>
      <c r="E688" s="963" t="s">
        <v>556</v>
      </c>
      <c r="F688" s="964">
        <v>45517</v>
      </c>
      <c r="G688" s="143">
        <v>45583</v>
      </c>
      <c r="H688" s="142" t="s">
        <v>23</v>
      </c>
      <c r="I688" s="522" t="str">
        <f>CONCATENATE(Таблица47[[#This Row],[№ заявки в 1С]],Таблица47[[#This Row],[Наименование            ]])</f>
        <v>465[30616] 0706-94 (197.07, АА-2050-50), 6,0м, сплав 6063 КР, состТ1, упаковка.Т5</v>
      </c>
      <c r="J688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910</v>
      </c>
      <c r="K688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910</v>
      </c>
      <c r="L688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907</v>
      </c>
      <c r="M688" s="522">
        <v>3</v>
      </c>
      <c r="N688" s="393">
        <v>482</v>
      </c>
      <c r="O688" s="1001">
        <f>IFERROR(Таблица47[[#This Row],[Количество хлыстов]]-Таблица47[[#This Row],[Обработано в 1С]]-Таблица47[[#This Row],[Корректировка]],"")</f>
        <v>0</v>
      </c>
      <c r="P688" s="638">
        <f>IFERROR((((Таблица47[[#This Row],[Осталось сделать, хлыст]]*Таблица47[[#This Row],[длина]])*Таблица47[[#This Row],[Периметр]])/28),"")</f>
        <v>0</v>
      </c>
      <c r="Q688" s="142" t="s">
        <v>4934</v>
      </c>
      <c r="R688" s="280">
        <f>IFERROR(Таблица47[[#This Row],[Коли-
чество м.п.]]/Таблица47[[#This Row],[Количество хлыстов]],"")</f>
        <v>6</v>
      </c>
      <c r="S688" s="525" t="s">
        <v>2608</v>
      </c>
      <c r="T688" s="525">
        <v>5460</v>
      </c>
      <c r="U688" s="526">
        <v>910</v>
      </c>
      <c r="V688" s="525">
        <v>0.31</v>
      </c>
      <c r="W688" s="525">
        <v>0.69199999999999995</v>
      </c>
      <c r="X688" s="525">
        <v>1692.6</v>
      </c>
      <c r="Y688" s="525">
        <v>3778.32</v>
      </c>
      <c r="Z688" s="525">
        <v>220.04</v>
      </c>
      <c r="AA688" s="525">
        <v>133.63</v>
      </c>
      <c r="AB688" s="525">
        <v>435</v>
      </c>
      <c r="AC688" s="527">
        <v>729630.71999999997</v>
      </c>
    </row>
    <row r="689" spans="1:29" ht="15.75" customHeight="1" x14ac:dyDescent="0.25">
      <c r="A689" s="427" t="s">
        <v>4678</v>
      </c>
      <c r="B689" s="309">
        <v>467</v>
      </c>
      <c r="C689" s="309"/>
      <c r="D689" s="303" t="s">
        <v>34</v>
      </c>
      <c r="E689" s="303" t="s">
        <v>14</v>
      </c>
      <c r="F689" s="528">
        <v>45518</v>
      </c>
      <c r="G689" s="528"/>
      <c r="H68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89" s="522" t="str">
        <f>CONCATENATE(Таблица47[[#This Row],[№ заявки в 1С]],Таблица47[[#This Row],[Наименование            ]])</f>
        <v>467[57675] 0306-70, 6,05м, 6063 Т1, упаковка Т-5, БА</v>
      </c>
      <c r="J68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400</v>
      </c>
      <c r="K68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400</v>
      </c>
      <c r="L68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397</v>
      </c>
      <c r="M689" s="635">
        <v>3</v>
      </c>
      <c r="N689" s="1119">
        <f>395+2</f>
        <v>397</v>
      </c>
      <c r="O689" s="1013">
        <f>IFERROR(Таблица47[[#This Row],[Количество хлыстов]]-Таблица47[[#This Row],[Обработано в 1С]]-Таблица47[[#This Row],[Корректировка]],"")</f>
        <v>0</v>
      </c>
      <c r="P689" s="638">
        <f>IFERROR((((Таблица47[[#This Row],[Осталось сделать, хлыст]]*Таблица47[[#This Row],[длина]])*Таблица47[[#This Row],[Периметр]])/28),"")</f>
        <v>0</v>
      </c>
      <c r="Q689" s="303" t="s">
        <v>2657</v>
      </c>
      <c r="R689" s="991">
        <f>IFERROR(Таблица47[[#This Row],[Коли-
чество м.п.]]/Таблица47[[#This Row],[Количество хлыстов]],"")</f>
        <v>6.05</v>
      </c>
      <c r="S689" s="639" t="s">
        <v>628</v>
      </c>
      <c r="T689" s="639">
        <v>2420</v>
      </c>
      <c r="U689" s="640">
        <v>400</v>
      </c>
      <c r="V689" s="639">
        <v>0.2009</v>
      </c>
      <c r="W689" s="639">
        <v>0.96</v>
      </c>
      <c r="X689" s="639">
        <v>486.178</v>
      </c>
      <c r="Y689" s="639">
        <v>2323.1999999999998</v>
      </c>
      <c r="Z689" s="639">
        <v>63.2</v>
      </c>
      <c r="AA689" s="639">
        <v>90.41</v>
      </c>
      <c r="AB689" s="639">
        <v>450</v>
      </c>
      <c r="AC689" s="641">
        <v>218780.1</v>
      </c>
    </row>
    <row r="690" spans="1:29" ht="15.75" customHeight="1" x14ac:dyDescent="0.25">
      <c r="A690" s="427" t="s">
        <v>4678</v>
      </c>
      <c r="B690" s="309">
        <v>468</v>
      </c>
      <c r="C690" s="309"/>
      <c r="D690" s="303" t="s">
        <v>34</v>
      </c>
      <c r="E690" s="303" t="s">
        <v>19</v>
      </c>
      <c r="F690" s="528">
        <v>45518</v>
      </c>
      <c r="G690" s="528"/>
      <c r="H69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0" s="522" t="str">
        <f>CONCATENATE(Таблица47[[#This Row],[№ заявки в 1С]],Таблица47[[#This Row],[Наименование            ]])</f>
        <v>468[91034] 1506-79, 3,6м, 6063 Т6, упак.Т5, БА</v>
      </c>
      <c r="J69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340</v>
      </c>
      <c r="K69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340</v>
      </c>
      <c r="L69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337</v>
      </c>
      <c r="M690" s="635">
        <v>3</v>
      </c>
      <c r="N690" s="1119">
        <v>337</v>
      </c>
      <c r="O690" s="1013">
        <f>IFERROR(Таблица47[[#This Row],[Количество хлыстов]]-Таблица47[[#This Row],[Обработано в 1С]]-Таблица47[[#This Row],[Корректировка]],"")</f>
        <v>0</v>
      </c>
      <c r="P690" s="638">
        <f>IFERROR((((Таблица47[[#This Row],[Осталось сделать, хлыст]]*Таблица47[[#This Row],[длина]])*Таблица47[[#This Row],[Периметр]])/28),"")</f>
        <v>0</v>
      </c>
      <c r="Q690" s="303" t="s">
        <v>2657</v>
      </c>
      <c r="R690" s="991">
        <f>IFERROR(Таблица47[[#This Row],[Коли-
чество м.п.]]/Таблица47[[#This Row],[Количество хлыстов]],"")</f>
        <v>3.6</v>
      </c>
      <c r="S690" s="639" t="s">
        <v>5158</v>
      </c>
      <c r="T690" s="639">
        <v>1224</v>
      </c>
      <c r="U690" s="640">
        <v>340</v>
      </c>
      <c r="V690" s="639">
        <v>0.3402</v>
      </c>
      <c r="W690" s="639">
        <v>1.4530000000000001</v>
      </c>
      <c r="X690" s="639">
        <v>416.40480000000002</v>
      </c>
      <c r="Y690" s="639">
        <v>1778.472</v>
      </c>
      <c r="Z690" s="639">
        <v>54.13</v>
      </c>
      <c r="AA690" s="639">
        <v>136.76</v>
      </c>
      <c r="AB690" s="639">
        <v>402</v>
      </c>
      <c r="AC690" s="641">
        <v>167394.73000000001</v>
      </c>
    </row>
    <row r="691" spans="1:29" ht="15.75" customHeight="1" x14ac:dyDescent="0.25">
      <c r="A691" s="427" t="s">
        <v>4678</v>
      </c>
      <c r="B691" s="309">
        <v>469</v>
      </c>
      <c r="C691" s="309"/>
      <c r="D691" s="303" t="s">
        <v>34</v>
      </c>
      <c r="E691" s="303" t="s">
        <v>19</v>
      </c>
      <c r="F691" s="528">
        <v>45518</v>
      </c>
      <c r="G691" s="528"/>
      <c r="H69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1" s="522" t="str">
        <f>CONCATENATE(Таблица47[[#This Row],[№ заявки в 1С]],Таблица47[[#This Row],[Наименование            ]])</f>
        <v>469[91785] 1606-06, 3,6м, 6063 Т6, упак.Т5, БА</v>
      </c>
      <c r="J69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520</v>
      </c>
      <c r="K69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520</v>
      </c>
      <c r="L69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519</v>
      </c>
      <c r="M691" s="635">
        <v>1</v>
      </c>
      <c r="N691" s="1119">
        <v>519</v>
      </c>
      <c r="O691" s="1013">
        <f>IFERROR(Таблица47[[#This Row],[Количество хлыстов]]-Таблица47[[#This Row],[Обработано в 1С]]-Таблица47[[#This Row],[Корректировка]],"")</f>
        <v>0</v>
      </c>
      <c r="P691" s="638">
        <f>IFERROR((((Таблица47[[#This Row],[Осталось сделать, хлыст]]*Таблица47[[#This Row],[длина]])*Таблица47[[#This Row],[Периметр]])/28),"")</f>
        <v>0</v>
      </c>
      <c r="Q691" s="303" t="s">
        <v>559</v>
      </c>
      <c r="R691" s="991">
        <f>IFERROR(Таблица47[[#This Row],[Коли-
чество м.п.]]/Таблица47[[#This Row],[Количество хлыстов]],"")</f>
        <v>3.6</v>
      </c>
      <c r="S691" s="639" t="s">
        <v>5264</v>
      </c>
      <c r="T691" s="639">
        <v>1872</v>
      </c>
      <c r="U691" s="640">
        <v>520</v>
      </c>
      <c r="V691" s="639">
        <v>0.1794</v>
      </c>
      <c r="W691" s="639">
        <v>0.371</v>
      </c>
      <c r="X691" s="639">
        <v>335.83679999999998</v>
      </c>
      <c r="Y691" s="639">
        <v>694.51199999999994</v>
      </c>
      <c r="Z691" s="639">
        <v>43.66</v>
      </c>
      <c r="AA691" s="639">
        <v>78.400000000000006</v>
      </c>
      <c r="AB691" s="639">
        <v>437</v>
      </c>
      <c r="AC691" s="641">
        <v>146760.68</v>
      </c>
    </row>
    <row r="692" spans="1:29" ht="15.75" customHeight="1" x14ac:dyDescent="0.25">
      <c r="A692" s="427" t="s">
        <v>4678</v>
      </c>
      <c r="B692" s="309">
        <v>470</v>
      </c>
      <c r="C692" s="309"/>
      <c r="D692" s="303" t="s">
        <v>34</v>
      </c>
      <c r="E692" s="303" t="s">
        <v>79</v>
      </c>
      <c r="F692" s="528">
        <v>45518</v>
      </c>
      <c r="G692" s="528"/>
      <c r="H69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2" s="522" t="str">
        <f>CONCATENATE(Таблица47[[#This Row],[№ заявки в 1С]],Таблица47[[#This Row],[Наименование            ]])</f>
        <v>470[78712] 1606-73 (п-образный), 6,0м, 6063 Т6, упаковка Т-5, БА</v>
      </c>
      <c r="J69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63</v>
      </c>
      <c r="K69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63</v>
      </c>
      <c r="L69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63</v>
      </c>
      <c r="M692" s="635"/>
      <c r="N692" s="1119">
        <v>63</v>
      </c>
      <c r="O692" s="1013">
        <f>IFERROR(Таблица47[[#This Row],[Количество хлыстов]]-Таблица47[[#This Row],[Обработано в 1С]]-Таблица47[[#This Row],[Корректировка]],"")</f>
        <v>0</v>
      </c>
      <c r="P692" s="638">
        <f>IFERROR((((Таблица47[[#This Row],[Осталось сделать, хлыст]]*Таблица47[[#This Row],[длина]])*Таблица47[[#This Row],[Периметр]])/28),"")</f>
        <v>0</v>
      </c>
      <c r="Q692" s="303"/>
      <c r="R692" s="991">
        <f>IFERROR(Таблица47[[#This Row],[Коли-
чество м.п.]]/Таблица47[[#This Row],[Количество хлыстов]],"")</f>
        <v>6</v>
      </c>
      <c r="S692" s="639" t="s">
        <v>4590</v>
      </c>
      <c r="T692" s="639">
        <v>378</v>
      </c>
      <c r="U692" s="640">
        <v>63</v>
      </c>
      <c r="V692" s="639">
        <v>0.45550000000000002</v>
      </c>
      <c r="W692" s="639">
        <v>1.6990000000000001</v>
      </c>
      <c r="X692" s="639">
        <v>172.179</v>
      </c>
      <c r="Y692" s="639">
        <v>642.22199999999998</v>
      </c>
      <c r="Z692" s="639">
        <v>22.38</v>
      </c>
      <c r="AA692" s="639">
        <v>168.54</v>
      </c>
      <c r="AB692" s="639">
        <v>370</v>
      </c>
      <c r="AC692" s="641">
        <v>63706.23</v>
      </c>
    </row>
    <row r="693" spans="1:29" ht="15.75" customHeight="1" x14ac:dyDescent="0.25">
      <c r="A693" s="427" t="s">
        <v>4678</v>
      </c>
      <c r="B693" s="309">
        <v>470</v>
      </c>
      <c r="C693" s="309"/>
      <c r="D693" s="303" t="s">
        <v>34</v>
      </c>
      <c r="E693" s="303" t="s">
        <v>79</v>
      </c>
      <c r="F693" s="528">
        <v>45518</v>
      </c>
      <c r="G693" s="528"/>
      <c r="H69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3" s="522" t="str">
        <f>CONCATENATE(Таблица47[[#This Row],[№ заявки в 1С]],Таблица47[[#This Row],[Наименование            ]])</f>
        <v>470[79492] 1606-73 (п-образный), 4,0м, 6063 Т1, упаковка Т-5, БА</v>
      </c>
      <c r="J69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37</v>
      </c>
      <c r="K69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37</v>
      </c>
      <c r="L69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</v>
      </c>
      <c r="M693" s="635">
        <v>1</v>
      </c>
      <c r="N693" s="1119">
        <v>36</v>
      </c>
      <c r="O693" s="1013">
        <f>IFERROR(Таблица47[[#This Row],[Количество хлыстов]]-Таблица47[[#This Row],[Обработано в 1С]]-Таблица47[[#This Row],[Корректировка]],"")</f>
        <v>0</v>
      </c>
      <c r="P693" s="638">
        <f>IFERROR((((Таблица47[[#This Row],[Осталось сделать, хлыст]]*Таблица47[[#This Row],[длина]])*Таблица47[[#This Row],[Периметр]])/28),"")</f>
        <v>0</v>
      </c>
      <c r="Q693" s="303" t="s">
        <v>559</v>
      </c>
      <c r="R693" s="991">
        <f>IFERROR(Таблица47[[#This Row],[Коли-
чество м.п.]]/Таблица47[[#This Row],[Количество хлыстов]],"")</f>
        <v>4</v>
      </c>
      <c r="S693" s="639" t="s">
        <v>3346</v>
      </c>
      <c r="T693" s="639">
        <v>148</v>
      </c>
      <c r="U693" s="640">
        <v>37</v>
      </c>
      <c r="V693" s="639">
        <v>0.45550000000000002</v>
      </c>
      <c r="W693" s="639">
        <v>1.6990000000000001</v>
      </c>
      <c r="X693" s="639">
        <v>67.414000000000001</v>
      </c>
      <c r="Y693" s="639">
        <v>251.452</v>
      </c>
      <c r="Z693" s="639">
        <v>8.76</v>
      </c>
      <c r="AA693" s="639">
        <v>168.54</v>
      </c>
      <c r="AB693" s="639">
        <v>370</v>
      </c>
      <c r="AC693" s="641">
        <v>24943.18</v>
      </c>
    </row>
    <row r="694" spans="1:29" ht="15.75" customHeight="1" x14ac:dyDescent="0.25">
      <c r="A694" s="427" t="s">
        <v>4678</v>
      </c>
      <c r="B694" s="309">
        <v>471</v>
      </c>
      <c r="C694" s="309"/>
      <c r="D694" s="303" t="s">
        <v>34</v>
      </c>
      <c r="E694" s="303" t="s">
        <v>328</v>
      </c>
      <c r="F694" s="528">
        <v>45518</v>
      </c>
      <c r="G694" s="528"/>
      <c r="H69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4" s="522" t="str">
        <f>CONCATENATE(Таблица47[[#This Row],[№ заявки в 1С]],Таблица47[[#This Row],[Наименование            ]])</f>
        <v>471[69317] АП 2138 (2606-65), 6,0м, 6063 Т1, БА</v>
      </c>
      <c r="J694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94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94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94" s="635"/>
      <c r="N694" s="1119">
        <v>129</v>
      </c>
      <c r="O694" s="1013" t="str">
        <f>IFERROR(Таблица47[[#This Row],[Количество хлыстов]]-Таблица47[[#This Row],[Обработано в 1С]]-Таблица47[[#This Row],[Корректировка]],"")</f>
        <v/>
      </c>
      <c r="P694" s="638" t="str">
        <f>IFERROR((((Таблица47[[#This Row],[Осталось сделать, хлыст]]*Таблица47[[#This Row],[длина]])*Таблица47[[#This Row],[Периметр]])/28),"")</f>
        <v/>
      </c>
      <c r="Q694" s="303"/>
      <c r="R694" s="991">
        <f>IFERROR(Таблица47[[#This Row],[Коли-
чество м.п.]]/Таблица47[[#This Row],[Количество хлыстов]],"")</f>
        <v>6</v>
      </c>
      <c r="S694" s="639" t="s">
        <v>5265</v>
      </c>
      <c r="T694" s="639">
        <v>774</v>
      </c>
      <c r="U694" s="640">
        <v>129</v>
      </c>
      <c r="V694" s="639">
        <v>0.252</v>
      </c>
      <c r="W694" s="639">
        <v>0.70599999999999996</v>
      </c>
      <c r="X694" s="639">
        <v>195.048</v>
      </c>
      <c r="Y694" s="639">
        <v>546.44399999999996</v>
      </c>
      <c r="Z694" s="639">
        <v>25.36</v>
      </c>
      <c r="AA694" s="639">
        <v>99.54</v>
      </c>
      <c r="AB694" s="639">
        <v>395</v>
      </c>
      <c r="AC694" s="641">
        <v>77043.960000000006</v>
      </c>
    </row>
    <row r="695" spans="1:29" ht="15.75" customHeight="1" x14ac:dyDescent="0.25">
      <c r="A695" s="427" t="s">
        <v>4678</v>
      </c>
      <c r="B695" s="309" t="s">
        <v>5266</v>
      </c>
      <c r="C695" s="309"/>
      <c r="D695" s="303" t="s">
        <v>34</v>
      </c>
      <c r="E695" s="303" t="s">
        <v>16</v>
      </c>
      <c r="F695" s="528">
        <v>45518</v>
      </c>
      <c r="G695" s="528"/>
      <c r="H69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5" s="928" t="str">
        <f>CONCATENATE(Таблица47[[#This Row],[№ заявки в 1С]],Таблица47[[#This Row],[Наименование            ]])</f>
        <v>OPT000828[61440] 0106-289, 6,0м, 6063 Т1, упаковка Т-5, под анод тип 1, БА</v>
      </c>
      <c r="J69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362</v>
      </c>
      <c r="K69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362</v>
      </c>
      <c r="L69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361</v>
      </c>
      <c r="M695" s="635">
        <v>1</v>
      </c>
      <c r="N695" s="1119">
        <v>361</v>
      </c>
      <c r="O695" s="1013">
        <f>IFERROR(Таблица47[[#This Row],[Количество хлыстов]]-Таблица47[[#This Row],[Обработано в 1С]]-Таблица47[[#This Row],[Корректировка]],"")</f>
        <v>0</v>
      </c>
      <c r="P695" s="638">
        <f>IFERROR((((Таблица47[[#This Row],[Осталось сделать, хлыст]]*Таблица47[[#This Row],[длина]])*Таблица47[[#This Row],[Периметр]])/28),"")</f>
        <v>0</v>
      </c>
      <c r="Q695" s="303" t="s">
        <v>5682</v>
      </c>
      <c r="R695" s="991">
        <f>IFERROR(Таблица47[[#This Row],[Коли-
чество м.п.]]/Таблица47[[#This Row],[Количество хлыстов]],"")</f>
        <v>6</v>
      </c>
      <c r="S695" s="639" t="s">
        <v>2845</v>
      </c>
      <c r="T695" s="639">
        <v>2172</v>
      </c>
      <c r="U695" s="640">
        <v>362</v>
      </c>
      <c r="V695" s="639">
        <v>0.15909999999999999</v>
      </c>
      <c r="W695" s="639">
        <v>0.26</v>
      </c>
      <c r="X695" s="639">
        <v>345.5652</v>
      </c>
      <c r="Y695" s="639">
        <v>564.72</v>
      </c>
      <c r="Z695" s="639">
        <v>44.92</v>
      </c>
      <c r="AA695" s="639">
        <v>90.69</v>
      </c>
      <c r="AB695" s="639">
        <v>570</v>
      </c>
      <c r="AC695" s="641">
        <v>196978.68</v>
      </c>
    </row>
    <row r="696" spans="1:29" s="1021" customFormat="1" ht="15.75" customHeight="1" x14ac:dyDescent="0.25">
      <c r="A696" s="1106" t="s">
        <v>5268</v>
      </c>
      <c r="B696" s="1067">
        <v>472</v>
      </c>
      <c r="C696" s="1067"/>
      <c r="D696" s="1068" t="s">
        <v>13</v>
      </c>
      <c r="E696" s="1068" t="s">
        <v>892</v>
      </c>
      <c r="F696" s="1069">
        <v>45518</v>
      </c>
      <c r="G696" s="1069"/>
      <c r="H69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6" s="620" t="str">
        <f>CONCATENATE(Таблица47[[#This Row],[№ заявки в 1С]],Таблица47[[#This Row],[Наименование            ]])</f>
        <v>472[81358] 1606-37, 4,45 м, анод 4-5мкм с дробью,уп в стрейч каждого хл, прокладка между рядами картоном</v>
      </c>
      <c r="J69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9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9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96" s="1082"/>
      <c r="N696" s="1120">
        <v>14</v>
      </c>
      <c r="O696" s="1020" t="str">
        <f>IFERROR(Таблица47[[#This Row],[Количество хлыстов]]-Таблица47[[#This Row],[Обработано в 1С]]-Таблица47[[#This Row],[Корректировка]],"")</f>
        <v/>
      </c>
      <c r="P696" s="638" t="str">
        <f>IFERROR((((Таблица47[[#This Row],[Осталось сделать, хлыст]]*Таблица47[[#This Row],[длина]])*Таблица47[[#This Row],[Периметр]])/28),"")</f>
        <v/>
      </c>
      <c r="Q696" s="1068"/>
      <c r="R696" s="1089">
        <f>IFERROR(Таблица47[[#This Row],[Коли-
чество м.п.]]/Таблица47[[#This Row],[Количество хлыстов]],"")</f>
        <v>4.45</v>
      </c>
      <c r="S696" s="1083" t="s">
        <v>5269</v>
      </c>
      <c r="T696" s="1083">
        <v>62.3</v>
      </c>
      <c r="U696" s="1084">
        <v>14</v>
      </c>
      <c r="V696" s="1083">
        <v>0.2651</v>
      </c>
      <c r="W696" s="1083">
        <v>0.82099999999999995</v>
      </c>
      <c r="X696" s="1083">
        <v>16.515699999999999</v>
      </c>
      <c r="Y696" s="1083">
        <v>51.148299999999999</v>
      </c>
      <c r="Z696" s="1083">
        <v>2.15</v>
      </c>
      <c r="AA696" s="1083">
        <v>87.48</v>
      </c>
      <c r="AB696" s="1083">
        <v>330</v>
      </c>
      <c r="AC696" s="1085">
        <v>5450.19</v>
      </c>
    </row>
    <row r="697" spans="1:29" s="1021" customFormat="1" ht="15.75" customHeight="1" x14ac:dyDescent="0.25">
      <c r="A697" s="1106" t="s">
        <v>5268</v>
      </c>
      <c r="B697" s="1067">
        <v>472</v>
      </c>
      <c r="C697" s="1067"/>
      <c r="D697" s="1068" t="s">
        <v>13</v>
      </c>
      <c r="E697" s="1068" t="s">
        <v>892</v>
      </c>
      <c r="F697" s="1069">
        <v>45518</v>
      </c>
      <c r="G697" s="1069"/>
      <c r="H69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7" s="620" t="str">
        <f>CONCATENATE(Таблица47[[#This Row],[№ заявки в 1С]],Таблица47[[#This Row],[Наименование            ]])</f>
        <v>472[76671] 1606-38, 5,15 м, анод 4-5мкм с дробью, уп в стрейч по 2хл</v>
      </c>
      <c r="J69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9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9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97" s="1082"/>
      <c r="N697" s="1120">
        <v>8</v>
      </c>
      <c r="O697" s="1020" t="str">
        <f>IFERROR(Таблица47[[#This Row],[Количество хлыстов]]-Таблица47[[#This Row],[Обработано в 1С]]-Таблица47[[#This Row],[Корректировка]],"")</f>
        <v/>
      </c>
      <c r="P697" s="638" t="str">
        <f>IFERROR((((Таблица47[[#This Row],[Осталось сделать, хлыст]]*Таблица47[[#This Row],[длина]])*Таблица47[[#This Row],[Периметр]])/28),"")</f>
        <v/>
      </c>
      <c r="Q697" s="1068"/>
      <c r="R697" s="1089">
        <f>IFERROR(Таблица47[[#This Row],[Коли-
чество м.п.]]/Таблица47[[#This Row],[Количество хлыстов]],"")</f>
        <v>5.15</v>
      </c>
      <c r="S697" s="1083" t="s">
        <v>5270</v>
      </c>
      <c r="T697" s="1083">
        <v>41.2</v>
      </c>
      <c r="U697" s="1084">
        <v>8</v>
      </c>
      <c r="V697" s="1083">
        <v>0.15790000000000001</v>
      </c>
      <c r="W697" s="1083">
        <v>0.309</v>
      </c>
      <c r="X697" s="1083">
        <v>6.5054999999999996</v>
      </c>
      <c r="Y697" s="1083">
        <v>12.7308</v>
      </c>
      <c r="Z697" s="1083">
        <v>0.85</v>
      </c>
      <c r="AA697" s="1083">
        <v>52.11</v>
      </c>
      <c r="AB697" s="1083">
        <v>330</v>
      </c>
      <c r="AC697" s="1085">
        <v>2146.81</v>
      </c>
    </row>
    <row r="698" spans="1:29" s="1021" customFormat="1" ht="15.75" customHeight="1" x14ac:dyDescent="0.25">
      <c r="A698" s="1106" t="s">
        <v>5268</v>
      </c>
      <c r="B698" s="1067">
        <v>473</v>
      </c>
      <c r="C698" s="1067"/>
      <c r="D698" s="1068" t="s">
        <v>13</v>
      </c>
      <c r="E698" s="1068" t="s">
        <v>892</v>
      </c>
      <c r="F698" s="1069">
        <v>45532</v>
      </c>
      <c r="G698" s="1069"/>
      <c r="H69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8" s="620" t="str">
        <f>CONCATENATE(Таблица47[[#This Row],[№ заявки в 1С]],Таблица47[[#This Row],[Наименование            ]])</f>
        <v>473[81356] 1606-37 (АВА-7227), 5,05 м, сплав 6063 КР Т6, упаковка Т-5</v>
      </c>
      <c r="J69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69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69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698" s="1082"/>
      <c r="N698" s="1120">
        <v>237</v>
      </c>
      <c r="O698" s="1020" t="str">
        <f>IFERROR(Таблица47[[#This Row],[Количество хлыстов]]-Таблица47[[#This Row],[Обработано в 1С]]-Таблица47[[#This Row],[Корректировка]],"")</f>
        <v/>
      </c>
      <c r="P698" s="638" t="str">
        <f>IFERROR((((Таблица47[[#This Row],[Осталось сделать, хлыст]]*Таблица47[[#This Row],[длина]])*Таблица47[[#This Row],[Периметр]])/28),"")</f>
        <v/>
      </c>
      <c r="Q698" s="1068"/>
      <c r="R698" s="1089">
        <f>IFERROR(Таблица47[[#This Row],[Коли-
чество м.п.]]/Таблица47[[#This Row],[Количество хлыстов]],"")</f>
        <v>5.05</v>
      </c>
      <c r="S698" s="1083" t="s">
        <v>4275</v>
      </c>
      <c r="T698" s="1083">
        <v>1196.8499999999999</v>
      </c>
      <c r="U698" s="1084">
        <v>237</v>
      </c>
      <c r="V698" s="1083">
        <v>0.2651</v>
      </c>
      <c r="W698" s="1083">
        <v>0.82099999999999995</v>
      </c>
      <c r="X698" s="1083">
        <v>321.30119999999999</v>
      </c>
      <c r="Y698" s="1083">
        <v>995.05200000000002</v>
      </c>
      <c r="Z698" s="1083">
        <v>41.77</v>
      </c>
      <c r="AA698" s="1083">
        <v>107.37</v>
      </c>
      <c r="AB698" s="1083">
        <v>330</v>
      </c>
      <c r="AC698" s="1085">
        <v>130126.99</v>
      </c>
    </row>
    <row r="699" spans="1:29" ht="15.75" customHeight="1" x14ac:dyDescent="0.25">
      <c r="A699" s="427" t="s">
        <v>4678</v>
      </c>
      <c r="B699" s="309">
        <v>476</v>
      </c>
      <c r="C699" s="309"/>
      <c r="D699" s="303" t="s">
        <v>13</v>
      </c>
      <c r="E699" s="303" t="s">
        <v>892</v>
      </c>
      <c r="F699" s="528">
        <v>45523</v>
      </c>
      <c r="G699" s="528">
        <v>45547</v>
      </c>
      <c r="H69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699" s="522" t="str">
        <f>CONCATENATE(Таблица47[[#This Row],[№ заявки в 1С]],Таблица47[[#This Row],[Наименование            ]])</f>
        <v>476[76596] 1606-39 (197.04) 4,85 м, сплав 6063 КР Т6, упковка Т5</v>
      </c>
      <c r="J69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1073</v>
      </c>
      <c r="K69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1073</v>
      </c>
      <c r="L69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1073</v>
      </c>
      <c r="M699" s="635"/>
      <c r="N699" s="1119">
        <f>288+785</f>
        <v>1073</v>
      </c>
      <c r="O699" s="1013">
        <f>IFERROR(Таблица47[[#This Row],[Количество хлыстов]]-Таблица47[[#This Row],[Обработано в 1С]]-Таблица47[[#This Row],[Корректировка]],"")</f>
        <v>0</v>
      </c>
      <c r="P699" s="638">
        <f>IFERROR((((Таблица47[[#This Row],[Осталось сделать, хлыст]]*Таблица47[[#This Row],[длина]])*Таблица47[[#This Row],[Периметр]])/28),"")</f>
        <v>0</v>
      </c>
      <c r="Q699" s="303"/>
      <c r="R699" s="991">
        <f>IFERROR(Таблица47[[#This Row],[Коли-
чество м.п.]]/Таблица47[[#This Row],[Количество хлыстов]],"")</f>
        <v>4.8500000000000005</v>
      </c>
      <c r="S699" s="639" t="s">
        <v>2841</v>
      </c>
      <c r="T699" s="639">
        <v>5204.05</v>
      </c>
      <c r="U699" s="640">
        <v>1073</v>
      </c>
      <c r="V699" s="639">
        <v>9.5600000000000004E-2</v>
      </c>
      <c r="W699" s="639">
        <v>0.16</v>
      </c>
      <c r="X699" s="639">
        <v>497.50720000000001</v>
      </c>
      <c r="Y699" s="639">
        <v>832.64800000000002</v>
      </c>
      <c r="Z699" s="639">
        <v>64.680000000000007</v>
      </c>
      <c r="AA699" s="639">
        <v>49.23</v>
      </c>
      <c r="AB699" s="639">
        <v>515</v>
      </c>
      <c r="AC699" s="641">
        <v>256216.2</v>
      </c>
    </row>
    <row r="700" spans="1:29" ht="15.75" customHeight="1" x14ac:dyDescent="0.25">
      <c r="A700" s="427" t="s">
        <v>4678</v>
      </c>
      <c r="B700" s="309">
        <v>475</v>
      </c>
      <c r="C700" s="309"/>
      <c r="D700" s="303" t="s">
        <v>34</v>
      </c>
      <c r="E700" s="303" t="s">
        <v>328</v>
      </c>
      <c r="F700" s="528">
        <v>45523</v>
      </c>
      <c r="G700" s="528"/>
      <c r="H7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0" s="522" t="str">
        <f>CONCATENATE(Таблица47[[#This Row],[№ заявки в 1С]],Таблица47[[#This Row],[Наименование            ]])</f>
        <v>475[69317] АП 2138 (2606-65), 6,0м, 6063 Т1, БА</v>
      </c>
      <c r="J70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0" s="635">
        <v>2</v>
      </c>
      <c r="N700" s="1119">
        <v>126</v>
      </c>
      <c r="O700" s="1013" t="str">
        <f>IFERROR(Таблица47[[#This Row],[Количество хлыстов]]-Таблица47[[#This Row],[Обработано в 1С]]-Таблица47[[#This Row],[Корректировка]],"")</f>
        <v/>
      </c>
      <c r="P700" s="638" t="str">
        <f>IFERROR((((Таблица47[[#This Row],[Осталось сделать, хлыст]]*Таблица47[[#This Row],[длина]])*Таблица47[[#This Row],[Периметр]])/28),"")</f>
        <v/>
      </c>
      <c r="Q700" s="303" t="s">
        <v>5323</v>
      </c>
      <c r="R700" s="991">
        <f>IFERROR(Таблица47[[#This Row],[Коли-
чество м.п.]]/Таблица47[[#This Row],[Количество хлыстов]],"")</f>
        <v>6</v>
      </c>
      <c r="S700" s="639" t="s">
        <v>5265</v>
      </c>
      <c r="T700" s="639">
        <v>768</v>
      </c>
      <c r="U700" s="640">
        <v>128</v>
      </c>
      <c r="V700" s="639">
        <v>0.252</v>
      </c>
      <c r="W700" s="639">
        <v>0.70599999999999996</v>
      </c>
      <c r="X700" s="639">
        <v>193.536</v>
      </c>
      <c r="Y700" s="639">
        <v>542.20799999999997</v>
      </c>
      <c r="Z700" s="639">
        <v>25.16</v>
      </c>
      <c r="AA700" s="639">
        <v>104.58</v>
      </c>
      <c r="AB700" s="639">
        <v>415</v>
      </c>
      <c r="AC700" s="641">
        <v>80317.440000000002</v>
      </c>
    </row>
    <row r="701" spans="1:29" ht="15.75" customHeight="1" x14ac:dyDescent="0.25">
      <c r="A701" s="427" t="s">
        <v>4678</v>
      </c>
      <c r="B701" s="309">
        <v>477</v>
      </c>
      <c r="C701" s="309"/>
      <c r="D701" s="303" t="s">
        <v>34</v>
      </c>
      <c r="E701" s="303" t="s">
        <v>79</v>
      </c>
      <c r="F701" s="528">
        <v>45523</v>
      </c>
      <c r="G701" s="528"/>
      <c r="H70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1" s="522" t="str">
        <f>CONCATENATE(Таблица47[[#This Row],[№ заявки в 1С]],Таблица47[[#This Row],[Наименование            ]])</f>
        <v>477[76099] 1606-29 (проставка Н), 6,0м, 6063 Т1, упаковка Т-5, БА</v>
      </c>
      <c r="J70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234</v>
      </c>
      <c r="K70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234</v>
      </c>
      <c r="L70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234</v>
      </c>
      <c r="M701" s="635"/>
      <c r="N701" s="1119">
        <v>234</v>
      </c>
      <c r="O701" s="1013">
        <f>IFERROR(Таблица47[[#This Row],[Количество хлыстов]]-Таблица47[[#This Row],[Обработано в 1С]]-Таблица47[[#This Row],[Корректировка]],"")</f>
        <v>0</v>
      </c>
      <c r="P701" s="638">
        <f>IFERROR((((Таблица47[[#This Row],[Осталось сделать, хлыст]]*Таблица47[[#This Row],[длина]])*Таблица47[[#This Row],[Периметр]])/28),"")</f>
        <v>0</v>
      </c>
      <c r="Q701" s="303"/>
      <c r="R701" s="991">
        <f>IFERROR(Таблица47[[#This Row],[Коли-
чество м.п.]]/Таблица47[[#This Row],[Количество хлыстов]],"")</f>
        <v>6</v>
      </c>
      <c r="S701" s="639" t="s">
        <v>2624</v>
      </c>
      <c r="T701" s="639">
        <v>1404</v>
      </c>
      <c r="U701" s="640">
        <v>234</v>
      </c>
      <c r="V701" s="639">
        <v>8.8800000000000004E-2</v>
      </c>
      <c r="W701" s="639">
        <v>0.217</v>
      </c>
      <c r="X701" s="639">
        <v>124.6752</v>
      </c>
      <c r="Y701" s="639">
        <v>304.66800000000001</v>
      </c>
      <c r="Z701" s="639">
        <v>16.21</v>
      </c>
      <c r="AA701" s="639">
        <v>41.47</v>
      </c>
      <c r="AB701" s="639">
        <v>467</v>
      </c>
      <c r="AC701" s="641">
        <v>58223.32</v>
      </c>
    </row>
    <row r="702" spans="1:29" s="1021" customFormat="1" ht="15.75" customHeight="1" x14ac:dyDescent="0.25">
      <c r="A702" s="1106" t="s">
        <v>4978</v>
      </c>
      <c r="B702" s="1067">
        <v>478</v>
      </c>
      <c r="C702" s="1067"/>
      <c r="D702" s="1068" t="s">
        <v>34</v>
      </c>
      <c r="E702" s="1068" t="s">
        <v>45</v>
      </c>
      <c r="F702" s="1069">
        <v>45524</v>
      </c>
      <c r="G702" s="1069"/>
      <c r="H70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2" s="620" t="str">
        <f>CONCATENATE(Таблица47[[#This Row],[№ заявки в 1С]],Таблица47[[#This Row],[Наименование            ]])</f>
        <v>478[87278] 1806-10, 6,1м, 6063 Т1, упаковка Т-5, БА</v>
      </c>
      <c r="J702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2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2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2" s="1082"/>
      <c r="N702" s="1120">
        <v>10</v>
      </c>
      <c r="O702" s="1020" t="str">
        <f>IFERROR(Таблица47[[#This Row],[Количество хлыстов]]-Таблица47[[#This Row],[Обработано в 1С]]-Таблица47[[#This Row],[Корректировка]],"")</f>
        <v/>
      </c>
      <c r="P702" s="638" t="str">
        <f>IFERROR((((Таблица47[[#This Row],[Осталось сделать, хлыст]]*Таблица47[[#This Row],[длина]])*Таблица47[[#This Row],[Периметр]])/28),"")</f>
        <v/>
      </c>
      <c r="Q702" s="1068"/>
      <c r="R702" s="1089">
        <f>IFERROR(Таблица47[[#This Row],[Коли-
чество м.п.]]/Таблица47[[#This Row],[Количество хлыстов]],"")</f>
        <v>6.1</v>
      </c>
      <c r="S702" s="1083" t="s">
        <v>4941</v>
      </c>
      <c r="T702" s="1083">
        <v>61</v>
      </c>
      <c r="U702" s="1084">
        <v>10</v>
      </c>
      <c r="V702" s="1083">
        <v>0.87019999999999997</v>
      </c>
      <c r="W702" s="1083">
        <v>3.4220000000000002</v>
      </c>
      <c r="X702" s="1083">
        <v>53.0822</v>
      </c>
      <c r="Y702" s="1083">
        <v>208.74199999999999</v>
      </c>
      <c r="Z702" s="1083">
        <v>6.9</v>
      </c>
      <c r="AA702" s="1083">
        <v>302.61</v>
      </c>
      <c r="AB702" s="1083">
        <v>347.75</v>
      </c>
      <c r="AC702" s="1085">
        <v>18459.34</v>
      </c>
    </row>
    <row r="703" spans="1:29" s="1021" customFormat="1" ht="15.75" customHeight="1" x14ac:dyDescent="0.25">
      <c r="A703" s="1106" t="s">
        <v>4978</v>
      </c>
      <c r="B703" s="1067">
        <v>478</v>
      </c>
      <c r="C703" s="1067"/>
      <c r="D703" s="1068" t="s">
        <v>34</v>
      </c>
      <c r="E703" s="1068" t="s">
        <v>45</v>
      </c>
      <c r="F703" s="1069">
        <v>45524</v>
      </c>
      <c r="G703" s="1069"/>
      <c r="H70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3" s="620" t="str">
        <f>CONCATENATE(Таблица47[[#This Row],[№ заявки в 1С]],Таблица47[[#This Row],[Наименование            ]])</f>
        <v>478[87279] 1806-11, 6,1м, 6063 Т1, упаковка Т-5, БА</v>
      </c>
      <c r="J703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3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3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3" s="1082"/>
      <c r="N703" s="1120">
        <v>10</v>
      </c>
      <c r="O703" s="1020" t="str">
        <f>IFERROR(Таблица47[[#This Row],[Количество хлыстов]]-Таблица47[[#This Row],[Обработано в 1С]]-Таблица47[[#This Row],[Корректировка]],"")</f>
        <v/>
      </c>
      <c r="P703" s="638" t="str">
        <f>IFERROR((((Таблица47[[#This Row],[Осталось сделать, хлыст]]*Таблица47[[#This Row],[длина]])*Таблица47[[#This Row],[Периметр]])/28),"")</f>
        <v/>
      </c>
      <c r="Q703" s="1068"/>
      <c r="R703" s="1089">
        <f>IFERROR(Таблица47[[#This Row],[Коли-
чество м.п.]]/Таблица47[[#This Row],[Количество хлыстов]],"")</f>
        <v>6.1</v>
      </c>
      <c r="S703" s="1083" t="s">
        <v>4942</v>
      </c>
      <c r="T703" s="1083">
        <v>61</v>
      </c>
      <c r="U703" s="1084">
        <v>10</v>
      </c>
      <c r="V703" s="1083">
        <v>0.1023</v>
      </c>
      <c r="W703" s="1083">
        <v>0.28599999999999998</v>
      </c>
      <c r="X703" s="1083">
        <v>6.2403000000000004</v>
      </c>
      <c r="Y703" s="1083">
        <v>17.446000000000002</v>
      </c>
      <c r="Z703" s="1083">
        <v>0.81</v>
      </c>
      <c r="AA703" s="1083">
        <v>31.28</v>
      </c>
      <c r="AB703" s="1083">
        <v>305.75</v>
      </c>
      <c r="AC703" s="1085">
        <v>1907.97</v>
      </c>
    </row>
    <row r="704" spans="1:29" customFormat="1" ht="15.75" customHeight="1" x14ac:dyDescent="0.25">
      <c r="A704" s="171" t="s">
        <v>4678</v>
      </c>
      <c r="B704" s="625">
        <v>479</v>
      </c>
      <c r="C704" s="625"/>
      <c r="D704" s="162" t="s">
        <v>13</v>
      </c>
      <c r="E704" s="162" t="s">
        <v>3819</v>
      </c>
      <c r="F704" s="168">
        <v>45525</v>
      </c>
      <c r="G704" s="143"/>
      <c r="H704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4" s="522" t="str">
        <f>CONCATENATE(Таблица47[[#This Row],[№ заявки в 1С]],Таблица47[[#This Row],[Наименование            ]])</f>
        <v>479[77780] автоуголок 250*40мм (1706-75, 97101) 6,0м, сплав 6063 Т6 +  упаковка А5</v>
      </c>
      <c r="J704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</v>
      </c>
      <c r="K704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</v>
      </c>
      <c r="L704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42</v>
      </c>
      <c r="M704" s="522">
        <v>24</v>
      </c>
      <c r="N704" s="393">
        <v>42</v>
      </c>
      <c r="O704" s="1001">
        <f>IFERROR(Таблица47[[#This Row],[Количество хлыстов]]-Таблица47[[#This Row],[Обработано в 1С]]-Таблица47[[#This Row],[Корректировка]],"")</f>
        <v>0</v>
      </c>
      <c r="P704" s="638">
        <f>IFERROR((((Таблица47[[#This Row],[Осталось сделать, хлыст]]*Таблица47[[#This Row],[длина]])*Таблица47[[#This Row],[Периметр]])/28),"")</f>
        <v>0</v>
      </c>
      <c r="Q704" s="142" t="s">
        <v>5823</v>
      </c>
      <c r="R704" s="280">
        <f>IFERROR(Таблица47[[#This Row],[Коли-
чество м.п.]]/Таблица47[[#This Row],[Количество хлыстов]],"")</f>
        <v>6</v>
      </c>
      <c r="S704" s="525" t="s">
        <v>5216</v>
      </c>
      <c r="T704" s="525">
        <v>396</v>
      </c>
      <c r="U704" s="526">
        <v>66</v>
      </c>
      <c r="V704" s="525">
        <v>0.60040000000000004</v>
      </c>
      <c r="W704" s="525">
        <v>2.5739999999999998</v>
      </c>
      <c r="X704" s="525">
        <v>237.75839999999999</v>
      </c>
      <c r="Y704" s="525">
        <v>1019.304</v>
      </c>
      <c r="Z704" s="525">
        <v>30.91</v>
      </c>
      <c r="AA704" s="525">
        <v>261.17</v>
      </c>
      <c r="AB704" s="525">
        <v>435</v>
      </c>
      <c r="AC704" s="527">
        <v>103424.9</v>
      </c>
    </row>
    <row r="705" spans="1:29" s="1021" customFormat="1" ht="15.75" customHeight="1" x14ac:dyDescent="0.25">
      <c r="A705" s="1106" t="s">
        <v>5268</v>
      </c>
      <c r="B705" s="1067">
        <v>480</v>
      </c>
      <c r="C705" s="1067"/>
      <c r="D705" s="1068" t="s">
        <v>13</v>
      </c>
      <c r="E705" s="1068" t="s">
        <v>892</v>
      </c>
      <c r="F705" s="1069">
        <v>45538</v>
      </c>
      <c r="G705" s="1069"/>
      <c r="H705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5" s="620" t="str">
        <f>CONCATENATE(Таблица47[[#This Row],[№ заявки в 1С]],Таблица47[[#This Row],[Наименование            ]])</f>
        <v>480[91194] 1606-37, 5,05 м, RAL9011 матовый уп в стрейч каждого хл, прокладка между рядами картоном</v>
      </c>
      <c r="J70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5" s="1082"/>
      <c r="N705" s="1120">
        <v>19</v>
      </c>
      <c r="O705" s="1020" t="str">
        <f>IFERROR(Таблица47[[#This Row],[Количество хлыстов]]-Таблица47[[#This Row],[Обработано в 1С]]-Таблица47[[#This Row],[Корректировка]],"")</f>
        <v/>
      </c>
      <c r="P705" s="638" t="str">
        <f>IFERROR((((Таблица47[[#This Row],[Осталось сделать, хлыст]]*Таблица47[[#This Row],[длина]])*Таблица47[[#This Row],[Периметр]])/28),"")</f>
        <v/>
      </c>
      <c r="Q705" s="1068" t="s">
        <v>5280</v>
      </c>
      <c r="R705" s="1089">
        <f>IFERROR(Таблица47[[#This Row],[Коли-
чество м.п.]]/Таблица47[[#This Row],[Количество хлыстов]],"")</f>
        <v>5.05</v>
      </c>
      <c r="S705" s="1083" t="s">
        <v>5306</v>
      </c>
      <c r="T705" s="1083">
        <v>95.95</v>
      </c>
      <c r="U705" s="1084">
        <v>19</v>
      </c>
      <c r="V705" s="1083">
        <v>0.2651</v>
      </c>
      <c r="W705" s="1083">
        <v>0.82099999999999995</v>
      </c>
      <c r="X705" s="1083">
        <v>25.436299999999999</v>
      </c>
      <c r="Y705" s="1083">
        <v>78.775000000000006</v>
      </c>
      <c r="Z705" s="1083">
        <v>3.31</v>
      </c>
      <c r="AA705" s="1083">
        <v>146.07</v>
      </c>
      <c r="AB705" s="1083">
        <v>551</v>
      </c>
      <c r="AC705" s="1085">
        <v>14015.42</v>
      </c>
    </row>
    <row r="706" spans="1:29" s="1021" customFormat="1" ht="15.75" customHeight="1" x14ac:dyDescent="0.25">
      <c r="A706" s="1106" t="s">
        <v>5268</v>
      </c>
      <c r="B706" s="1067">
        <v>480</v>
      </c>
      <c r="C706" s="1067"/>
      <c r="D706" s="1068" t="s">
        <v>13</v>
      </c>
      <c r="E706" s="1068" t="s">
        <v>892</v>
      </c>
      <c r="F706" s="1069">
        <v>45538</v>
      </c>
      <c r="G706" s="1069"/>
      <c r="H706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6" s="620" t="str">
        <f>CONCATENATE(Таблица47[[#This Row],[№ заявки в 1С]],Таблица47[[#This Row],[Наименование            ]])</f>
        <v>480[91195] 1606-38, 5,15 м, RAL9011 матовый уп в стрейч 2хл, проложка картоном</v>
      </c>
      <c r="J706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6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6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6" s="1082"/>
      <c r="N706" s="1120">
        <v>32</v>
      </c>
      <c r="O706" s="1020" t="str">
        <f>IFERROR(Таблица47[[#This Row],[Количество хлыстов]]-Таблица47[[#This Row],[Обработано в 1С]]-Таблица47[[#This Row],[Корректировка]],"")</f>
        <v/>
      </c>
      <c r="P706" s="638" t="str">
        <f>IFERROR((((Таблица47[[#This Row],[Осталось сделать, хлыст]]*Таблица47[[#This Row],[длина]])*Таблица47[[#This Row],[Периметр]])/28),"")</f>
        <v/>
      </c>
      <c r="Q706" s="1068" t="s">
        <v>5280</v>
      </c>
      <c r="R706" s="1089">
        <f>IFERROR(Таблица47[[#This Row],[Коли-
чество м.п.]]/Таблица47[[#This Row],[Количество хлыстов]],"")</f>
        <v>5.15</v>
      </c>
      <c r="S706" s="1083" t="s">
        <v>5307</v>
      </c>
      <c r="T706" s="1083">
        <v>164.8</v>
      </c>
      <c r="U706" s="1084">
        <v>32</v>
      </c>
      <c r="V706" s="1083">
        <v>0.15790000000000001</v>
      </c>
      <c r="W706" s="1083">
        <v>0.309</v>
      </c>
      <c r="X706" s="1083">
        <v>26.021899999999999</v>
      </c>
      <c r="Y706" s="1083">
        <v>50.923200000000001</v>
      </c>
      <c r="Z706" s="1083">
        <v>3.38</v>
      </c>
      <c r="AA706" s="1083">
        <v>87</v>
      </c>
      <c r="AB706" s="1083">
        <v>551</v>
      </c>
      <c r="AC706" s="1085">
        <v>14337.6</v>
      </c>
    </row>
    <row r="707" spans="1:29" s="1021" customFormat="1" ht="15.75" customHeight="1" x14ac:dyDescent="0.25">
      <c r="A707" s="1106" t="s">
        <v>5268</v>
      </c>
      <c r="B707" s="1067">
        <v>480</v>
      </c>
      <c r="C707" s="1067"/>
      <c r="D707" s="1068" t="s">
        <v>13</v>
      </c>
      <c r="E707" s="1068" t="s">
        <v>892</v>
      </c>
      <c r="F707" s="1069">
        <v>45538</v>
      </c>
      <c r="G707" s="1069"/>
      <c r="H707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7" s="620" t="str">
        <f>CONCATENATE(Таблица47[[#This Row],[№ заявки в 1С]],Таблица47[[#This Row],[Наименование            ]])</f>
        <v>480[91196] 1606-39, 4,85 м, RAL9011 матовый оклейка каждого хл, уп в мини-пачку стрейч</v>
      </c>
      <c r="J707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7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7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7" s="1082"/>
      <c r="N707" s="1120">
        <v>50</v>
      </c>
      <c r="O707" s="1020" t="str">
        <f>IFERROR(Таблица47[[#This Row],[Количество хлыстов]]-Таблица47[[#This Row],[Обработано в 1С]]-Таблица47[[#This Row],[Корректировка]],"")</f>
        <v/>
      </c>
      <c r="P707" s="638" t="str">
        <f>IFERROR((((Таблица47[[#This Row],[Осталось сделать, хлыст]]*Таблица47[[#This Row],[длина]])*Таблица47[[#This Row],[Периметр]])/28),"")</f>
        <v/>
      </c>
      <c r="Q707" s="1068" t="s">
        <v>5280</v>
      </c>
      <c r="R707" s="1089">
        <f>IFERROR(Таблица47[[#This Row],[Коли-
чество м.п.]]/Таблица47[[#This Row],[Количество хлыстов]],"")</f>
        <v>4.8499999999999996</v>
      </c>
      <c r="S707" s="1083" t="s">
        <v>5308</v>
      </c>
      <c r="T707" s="1083">
        <v>242.5</v>
      </c>
      <c r="U707" s="1084">
        <v>50</v>
      </c>
      <c r="V707" s="1083">
        <v>9.5600000000000004E-2</v>
      </c>
      <c r="W707" s="1083">
        <v>0.16</v>
      </c>
      <c r="X707" s="1083">
        <v>23.183</v>
      </c>
      <c r="Y707" s="1083">
        <v>38.799999999999997</v>
      </c>
      <c r="Z707" s="1083">
        <v>3.01</v>
      </c>
      <c r="AA707" s="1083">
        <v>50.38</v>
      </c>
      <c r="AB707" s="1083">
        <v>527</v>
      </c>
      <c r="AC707" s="1085">
        <v>12217.15</v>
      </c>
    </row>
    <row r="708" spans="1:29" s="1021" customFormat="1" ht="15.75" customHeight="1" x14ac:dyDescent="0.25">
      <c r="A708" s="1106" t="s">
        <v>4978</v>
      </c>
      <c r="B708" s="1067">
        <v>482</v>
      </c>
      <c r="C708" s="1067"/>
      <c r="D708" s="1068" t="s">
        <v>34</v>
      </c>
      <c r="E708" s="1068" t="s">
        <v>4807</v>
      </c>
      <c r="F708" s="1069">
        <v>45525</v>
      </c>
      <c r="G708" s="1069"/>
      <c r="H70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8" s="620" t="str">
        <f>CONCATENATE(Таблица47[[#This Row],[№ заявки в 1С]],Таблица47[[#This Row],[Наименование            ]])</f>
        <v>482[50071] 216004, рама, 5,3 м, сплав АД 31 Т1 , упаковка А3</v>
      </c>
      <c r="J70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0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0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08" s="1082">
        <v>11</v>
      </c>
      <c r="N708" s="1120">
        <v>661</v>
      </c>
      <c r="O708" s="1020" t="str">
        <f>IFERROR(Таблица47[[#This Row],[Количество хлыстов]]-Таблица47[[#This Row],[Обработано в 1С]]-Таблица47[[#This Row],[Корректировка]],"")</f>
        <v/>
      </c>
      <c r="P708" s="638" t="str">
        <f>IFERROR((((Таблица47[[#This Row],[Осталось сделать, хлыст]]*Таблица47[[#This Row],[длина]])*Таблица47[[#This Row],[Периметр]])/28),"")</f>
        <v/>
      </c>
      <c r="Q708" s="1068" t="s">
        <v>5309</v>
      </c>
      <c r="R708" s="1089">
        <f>IFERROR(Таблица47[[#This Row],[Коли-
чество м.п.]]/Таблица47[[#This Row],[Количество хлыстов]],"")</f>
        <v>5.3</v>
      </c>
      <c r="S708" s="1083" t="s">
        <v>4806</v>
      </c>
      <c r="T708" s="1083">
        <v>3561.6</v>
      </c>
      <c r="U708" s="1084">
        <v>672</v>
      </c>
      <c r="V708" s="1083">
        <v>0.22270000000000001</v>
      </c>
      <c r="W708" s="1083">
        <v>0.52700000000000002</v>
      </c>
      <c r="X708" s="1083">
        <v>793.16830000000004</v>
      </c>
      <c r="Y708" s="1083">
        <v>1876.9631999999999</v>
      </c>
      <c r="Z708" s="1083">
        <v>103.11</v>
      </c>
      <c r="AA708" s="1083">
        <v>73.209999999999994</v>
      </c>
      <c r="AB708" s="1083">
        <v>328.75</v>
      </c>
      <c r="AC708" s="1085">
        <v>260754.09</v>
      </c>
    </row>
    <row r="709" spans="1:29" ht="15.75" customHeight="1" x14ac:dyDescent="0.25">
      <c r="A709" s="427"/>
      <c r="B709" s="309">
        <v>481</v>
      </c>
      <c r="C709" s="309"/>
      <c r="D709" s="303" t="s">
        <v>4858</v>
      </c>
      <c r="E709" s="303" t="s">
        <v>4734</v>
      </c>
      <c r="F709" s="528">
        <v>45525</v>
      </c>
      <c r="G709" s="528"/>
      <c r="H70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09" s="522" t="str">
        <f>CONCATENATE(Таблица47[[#This Row],[№ заявки в 1С]],Таблица47[[#This Row],[Наименование            ]])</f>
        <v>481[69917] автоуголок 250*40мм (1706-75) 6,0м, сплав Ад31+  упаковка Т5</v>
      </c>
      <c r="J70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70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70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709" s="635"/>
      <c r="N709" s="1119">
        <v>8</v>
      </c>
      <c r="O709" s="1013">
        <f>IFERROR(Таблица47[[#This Row],[Количество хлыстов]]-Таблица47[[#This Row],[Обработано в 1С]]-Таблица47[[#This Row],[Корректировка]],"")</f>
        <v>0</v>
      </c>
      <c r="P709" s="638">
        <f>IFERROR((((Таблица47[[#This Row],[Осталось сделать, хлыст]]*Таблица47[[#This Row],[длина]])*Таблица47[[#This Row],[Периметр]])/28),"")</f>
        <v>0</v>
      </c>
      <c r="Q709" s="303"/>
      <c r="R709" s="991">
        <f>IFERROR(Таблица47[[#This Row],[Коли-
чество м.п.]]/Таблица47[[#This Row],[Количество хлыстов]],"")</f>
        <v>6</v>
      </c>
      <c r="S709" s="639" t="s">
        <v>5281</v>
      </c>
      <c r="T709" s="639">
        <v>48</v>
      </c>
      <c r="U709" s="640">
        <v>8</v>
      </c>
      <c r="V709" s="639">
        <v>0.59919999999999995</v>
      </c>
      <c r="W709" s="639">
        <v>2.5739999999999998</v>
      </c>
      <c r="X709" s="639">
        <v>28.761600000000001</v>
      </c>
      <c r="Y709" s="639">
        <v>123.55200000000001</v>
      </c>
      <c r="Z709" s="639">
        <v>3.74</v>
      </c>
      <c r="AA709" s="639">
        <v>254.66</v>
      </c>
      <c r="AB709" s="639">
        <v>425</v>
      </c>
      <c r="AC709" s="641">
        <v>12223.68</v>
      </c>
    </row>
    <row r="710" spans="1:29" customFormat="1" ht="15.75" customHeight="1" x14ac:dyDescent="0.25">
      <c r="A710" s="147"/>
      <c r="B710" s="521">
        <v>481</v>
      </c>
      <c r="C710" s="521"/>
      <c r="D710" s="142" t="s">
        <v>4858</v>
      </c>
      <c r="E710" s="142" t="s">
        <v>4734</v>
      </c>
      <c r="F710" s="143">
        <v>45525</v>
      </c>
      <c r="G710" s="143"/>
      <c r="H710" s="142" t="s">
        <v>23</v>
      </c>
      <c r="I710" s="522" t="str">
        <f>CONCATENATE(Таблица47[[#This Row],[№ заявки в 1С]],Таблица47[[#This Row],[Наименование            ]])</f>
        <v>481[76034] 220650 (1606-52, АВА-3665) бортовой боковой 6,0м сплав 6063 Т6</v>
      </c>
      <c r="J710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</v>
      </c>
      <c r="K710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</v>
      </c>
      <c r="L710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</v>
      </c>
      <c r="M710" s="522"/>
      <c r="N710" s="393">
        <v>16</v>
      </c>
      <c r="O710" s="1001">
        <f>IFERROR(Таблица47[[#This Row],[Количество хлыстов]]-Таблица47[[#This Row],[Обработано в 1С]]-Таблица47[[#This Row],[Корректировка]],"")</f>
        <v>-1</v>
      </c>
      <c r="P710" s="638">
        <f>IFERROR((((Таблица47[[#This Row],[Осталось сделать, хлыст]]*Таблица47[[#This Row],[длина]])*Таблица47[[#This Row],[Периметр]])/28),"")</f>
        <v>-6.642857142857142E-2</v>
      </c>
      <c r="Q710" s="142"/>
      <c r="R710" s="280">
        <f>IFERROR(Таблица47[[#This Row],[Коли-
чество м.п.]]/Таблица47[[#This Row],[Количество хлыстов]],"")</f>
        <v>6</v>
      </c>
      <c r="S710" s="525" t="s">
        <v>4461</v>
      </c>
      <c r="T710" s="525">
        <v>90</v>
      </c>
      <c r="U710" s="526">
        <v>15</v>
      </c>
      <c r="V710" s="525">
        <v>0.31</v>
      </c>
      <c r="W710" s="525">
        <v>1.2010000000000001</v>
      </c>
      <c r="X710" s="525">
        <v>27.9</v>
      </c>
      <c r="Y710" s="525">
        <v>108.09</v>
      </c>
      <c r="Z710" s="525">
        <v>3.63</v>
      </c>
      <c r="AA710" s="525">
        <v>131.75</v>
      </c>
      <c r="AB710" s="525">
        <v>425</v>
      </c>
      <c r="AC710" s="527">
        <v>11857.5</v>
      </c>
    </row>
    <row r="711" spans="1:29" ht="15.75" customHeight="1" x14ac:dyDescent="0.25">
      <c r="A711" s="427" t="s">
        <v>4678</v>
      </c>
      <c r="B711" s="309" t="s">
        <v>5283</v>
      </c>
      <c r="C711" s="309"/>
      <c r="D711" s="303" t="s">
        <v>34</v>
      </c>
      <c r="E711" s="303" t="s">
        <v>16</v>
      </c>
      <c r="F711" s="528">
        <v>45526</v>
      </c>
      <c r="G711" s="528"/>
      <c r="H71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1" s="522" t="str">
        <f>CONCATENATE(Таблица47[[#This Row],[№ заявки в 1С]],Таблица47[[#This Row],[Наименование            ]])</f>
        <v>OPT000851[14006] 0106-290, 6,0м, БЦ анод с дробью</v>
      </c>
      <c r="J71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1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1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11" s="635"/>
      <c r="N711" s="1119">
        <v>80</v>
      </c>
      <c r="O711" s="1013" t="str">
        <f>IFERROR(Таблица47[[#This Row],[Количество хлыстов]]-Таблица47[[#This Row],[Обработано в 1С]]-Таблица47[[#This Row],[Корректировка]],"")</f>
        <v/>
      </c>
      <c r="P711" s="638" t="str">
        <f>IFERROR((((Таблица47[[#This Row],[Осталось сделать, хлыст]]*Таблица47[[#This Row],[длина]])*Таблица47[[#This Row],[Периметр]])/28),"")</f>
        <v/>
      </c>
      <c r="Q711" s="303" t="s">
        <v>5282</v>
      </c>
      <c r="R711" s="991">
        <f>IFERROR(Таблица47[[#This Row],[Коли-
чество м.п.]]/Таблица47[[#This Row],[Количество хлыстов]],"")</f>
        <v>6</v>
      </c>
      <c r="S711" s="639" t="s">
        <v>2363</v>
      </c>
      <c r="T711" s="639">
        <v>480</v>
      </c>
      <c r="U711" s="640">
        <v>80</v>
      </c>
      <c r="V711" s="639">
        <v>0.29970000000000002</v>
      </c>
      <c r="W711" s="639">
        <v>1.647</v>
      </c>
      <c r="X711" s="639">
        <v>143.85599999999999</v>
      </c>
      <c r="Y711" s="639">
        <v>790.56</v>
      </c>
      <c r="Z711" s="639">
        <v>18.7</v>
      </c>
      <c r="AA711" s="639">
        <v>170.83</v>
      </c>
      <c r="AB711" s="639">
        <v>570</v>
      </c>
      <c r="AC711" s="641">
        <v>81997.919999999998</v>
      </c>
    </row>
    <row r="712" spans="1:29" ht="15.75" customHeight="1" x14ac:dyDescent="0.25">
      <c r="A712" s="427" t="s">
        <v>4678</v>
      </c>
      <c r="B712" s="309">
        <v>485</v>
      </c>
      <c r="C712" s="309"/>
      <c r="D712" s="303" t="s">
        <v>34</v>
      </c>
      <c r="E712" s="303" t="s">
        <v>4554</v>
      </c>
      <c r="F712" s="528">
        <v>45526</v>
      </c>
      <c r="G712" s="528"/>
      <c r="H712" s="303" t="s">
        <v>23</v>
      </c>
      <c r="I712" s="522" t="str">
        <f>CONCATENATE(Таблица47[[#This Row],[№ заявки в 1С]],Таблица47[[#This Row],[Наименование            ]])</f>
        <v>485[92539] 1906-20, 3,15м, 6063 Т6, упаковка Т-5 под анод, БА</v>
      </c>
      <c r="J71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71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71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712" s="635">
        <v>4</v>
      </c>
      <c r="N712" s="1119"/>
      <c r="O712" s="1013">
        <f>IFERROR(Таблица47[[#This Row],[Количество хлыстов]]-Таблица47[[#This Row],[Обработано в 1С]]-Таблица47[[#This Row],[Корректировка]],"")</f>
        <v>0</v>
      </c>
      <c r="P712" s="638">
        <f>IFERROR((((Таблица47[[#This Row],[Осталось сделать, хлыст]]*Таблица47[[#This Row],[длина]])*Таблица47[[#This Row],[Периметр]])/28),"")</f>
        <v>0</v>
      </c>
      <c r="Q712" s="303" t="s">
        <v>5288</v>
      </c>
      <c r="R712" s="991">
        <f>IFERROR(Таблица47[[#This Row],[Коли-
чество м.п.]]/Таблица47[[#This Row],[Количество хлыстов]],"")</f>
        <v>3.15</v>
      </c>
      <c r="S712" s="639" t="s">
        <v>5284</v>
      </c>
      <c r="T712" s="639">
        <v>12.6</v>
      </c>
      <c r="U712" s="640">
        <v>4</v>
      </c>
      <c r="V712" s="639">
        <v>0.2097</v>
      </c>
      <c r="W712" s="639">
        <v>1.1140000000000001</v>
      </c>
      <c r="X712" s="639">
        <v>2.6421999999999999</v>
      </c>
      <c r="Y712" s="639">
        <v>14.0364</v>
      </c>
      <c r="Z712" s="639">
        <v>0.34</v>
      </c>
      <c r="AA712" s="639">
        <v>91.43</v>
      </c>
      <c r="AB712" s="639">
        <v>436</v>
      </c>
      <c r="AC712" s="641">
        <v>1152.01</v>
      </c>
    </row>
    <row r="713" spans="1:29" s="1021" customFormat="1" ht="15.75" customHeight="1" x14ac:dyDescent="0.25">
      <c r="A713" s="1106" t="s">
        <v>4978</v>
      </c>
      <c r="B713" s="1067">
        <v>486</v>
      </c>
      <c r="C713" s="1067"/>
      <c r="D713" s="1071" t="s">
        <v>34</v>
      </c>
      <c r="E713" s="1071" t="s">
        <v>4807</v>
      </c>
      <c r="F713" s="1072">
        <v>45545</v>
      </c>
      <c r="G713" s="1072"/>
      <c r="H713" s="107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3" s="908" t="str">
        <f>CONCATENATE(Таблица47[[#This Row],[№ заявки в 1С]],Таблица47[[#This Row],[Наименование            ]])</f>
        <v>486[50071] 216004, рама, 5,3 м, сплав АД 31 Т1 , упаковка А3</v>
      </c>
      <c r="J713" s="1088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13" s="1088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13" s="1088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13" s="1088"/>
      <c r="N713" s="1131">
        <v>224</v>
      </c>
      <c r="O713" s="1020" t="str">
        <f>IFERROR(Таблица47[[#This Row],[Количество хлыстов]]-Таблица47[[#This Row],[Обработано в 1С]]-Таблица47[[#This Row],[Корректировка]],"")</f>
        <v/>
      </c>
      <c r="P713" s="638" t="str">
        <f>IFERROR((((Таблица47[[#This Row],[Осталось сделать, хлыст]]*Таблица47[[#This Row],[длина]])*Таблица47[[#This Row],[Периметр]])/28),"")</f>
        <v/>
      </c>
      <c r="Q713" s="1071"/>
      <c r="R713" s="1089">
        <f>IFERROR(Таблица47[[#This Row],[Коли-
чество м.п.]]/Таблица47[[#This Row],[Количество хлыстов]],"")</f>
        <v>5.3</v>
      </c>
      <c r="S713" s="1089" t="s">
        <v>4806</v>
      </c>
      <c r="T713" s="1089">
        <v>1187.2</v>
      </c>
      <c r="U713" s="1090">
        <v>224</v>
      </c>
      <c r="V713" s="1089">
        <v>0.22270000000000001</v>
      </c>
      <c r="W713" s="1089">
        <v>0.52700000000000002</v>
      </c>
      <c r="X713" s="1089">
        <v>264.38940000000002</v>
      </c>
      <c r="Y713" s="1089">
        <v>625.65440000000001</v>
      </c>
      <c r="Z713" s="1089">
        <v>34.369999999999997</v>
      </c>
      <c r="AA713" s="1089">
        <v>73.209999999999994</v>
      </c>
      <c r="AB713" s="1089">
        <v>328.75</v>
      </c>
      <c r="AC713" s="1091">
        <v>86918.03</v>
      </c>
    </row>
    <row r="714" spans="1:29" s="1021" customFormat="1" ht="15.75" customHeight="1" x14ac:dyDescent="0.25">
      <c r="A714" s="1106" t="s">
        <v>4978</v>
      </c>
      <c r="B714" s="1067">
        <v>486</v>
      </c>
      <c r="C714" s="1067"/>
      <c r="D714" s="1071" t="s">
        <v>34</v>
      </c>
      <c r="E714" s="1071" t="s">
        <v>4807</v>
      </c>
      <c r="F714" s="1069">
        <v>45545</v>
      </c>
      <c r="G714" s="1069"/>
      <c r="H714" s="107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4" s="620" t="str">
        <f>CONCATENATE(Таблица47[[#This Row],[№ заявки в 1С]],Таблица47[[#This Row],[Наименование            ]])</f>
        <v>486[73377] 215232, рама бок/низ R10, 4,9 м, сплав 6060 Т66, БА</v>
      </c>
      <c r="J714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14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14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14" s="1082"/>
      <c r="N714" s="1120">
        <v>302</v>
      </c>
      <c r="O714" s="1020" t="str">
        <f>IFERROR(Таблица47[[#This Row],[Количество хлыстов]]-Таблица47[[#This Row],[Обработано в 1С]]-Таблица47[[#This Row],[Корректировка]],"")</f>
        <v/>
      </c>
      <c r="P714" s="638" t="str">
        <f>IFERROR((((Таблица47[[#This Row],[Осталось сделать, хлыст]]*Таблица47[[#This Row],[длина]])*Таблица47[[#This Row],[Периметр]])/28),"")</f>
        <v/>
      </c>
      <c r="Q714" s="1071"/>
      <c r="R714" s="1089">
        <f>IFERROR(Таблица47[[#This Row],[Коли-
чество м.п.]]/Таблица47[[#This Row],[Количество хлыстов]],"")</f>
        <v>4.8999999999999995</v>
      </c>
      <c r="S714" s="1083" t="s">
        <v>4897</v>
      </c>
      <c r="T714" s="1083">
        <v>1479.8</v>
      </c>
      <c r="U714" s="1084">
        <v>302</v>
      </c>
      <c r="V714" s="1083">
        <v>0.14419999999999999</v>
      </c>
      <c r="W714" s="1083">
        <v>0.33200000000000002</v>
      </c>
      <c r="X714" s="1083">
        <v>213.38720000000001</v>
      </c>
      <c r="Y714" s="1083">
        <v>491.29360000000003</v>
      </c>
      <c r="Z714" s="1083">
        <v>27.74</v>
      </c>
      <c r="AA714" s="1083">
        <v>47.41</v>
      </c>
      <c r="AB714" s="1083">
        <v>328.75</v>
      </c>
      <c r="AC714" s="1085">
        <v>70151.03</v>
      </c>
    </row>
    <row r="715" spans="1:29" s="1021" customFormat="1" ht="15.75" customHeight="1" x14ac:dyDescent="0.25">
      <c r="A715" s="1106" t="s">
        <v>4978</v>
      </c>
      <c r="B715" s="1067">
        <v>486</v>
      </c>
      <c r="C715" s="1067"/>
      <c r="D715" s="1071" t="s">
        <v>34</v>
      </c>
      <c r="E715" s="1071" t="s">
        <v>4807</v>
      </c>
      <c r="F715" s="1069">
        <v>45545</v>
      </c>
      <c r="G715" s="1069"/>
      <c r="H715" s="1071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5" s="620" t="str">
        <f>CONCATENATE(Таблица47[[#This Row],[№ заявки в 1С]],Таблица47[[#This Row],[Наименование            ]])</f>
        <v>486[75789] 215234, рама-ручка R10/R8, 5.6 м, сплав 6060 Т66, БА</v>
      </c>
      <c r="J715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15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15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15" s="1082"/>
      <c r="N715" s="1120">
        <v>209</v>
      </c>
      <c r="O715" s="1020" t="str">
        <f>IFERROR(Таблица47[[#This Row],[Количество хлыстов]]-Таблица47[[#This Row],[Обработано в 1С]]-Таблица47[[#This Row],[Корректировка]],"")</f>
        <v/>
      </c>
      <c r="P715" s="638" t="str">
        <f>IFERROR((((Таблица47[[#This Row],[Осталось сделать, хлыст]]*Таблица47[[#This Row],[длина]])*Таблица47[[#This Row],[Периметр]])/28),"")</f>
        <v/>
      </c>
      <c r="Q715" s="1071"/>
      <c r="R715" s="1089">
        <f>IFERROR(Таблица47[[#This Row],[Коли-
чество м.п.]]/Таблица47[[#This Row],[Количество хлыстов]],"")</f>
        <v>5.6000000000000005</v>
      </c>
      <c r="S715" s="1083" t="s">
        <v>4898</v>
      </c>
      <c r="T715" s="1083">
        <v>1170.4000000000001</v>
      </c>
      <c r="U715" s="1084">
        <v>209</v>
      </c>
      <c r="V715" s="1083">
        <v>0.1734</v>
      </c>
      <c r="W715" s="1083">
        <v>0.38200000000000001</v>
      </c>
      <c r="X715" s="1083">
        <v>202.94739999999999</v>
      </c>
      <c r="Y715" s="1083">
        <v>447.09280000000001</v>
      </c>
      <c r="Z715" s="1083">
        <v>26.38</v>
      </c>
      <c r="AA715" s="1083">
        <v>57.01</v>
      </c>
      <c r="AB715" s="1083">
        <v>328.75</v>
      </c>
      <c r="AC715" s="1085">
        <v>66718.94</v>
      </c>
    </row>
    <row r="716" spans="1:29" ht="15.75" customHeight="1" x14ac:dyDescent="0.25">
      <c r="A716" s="1130" t="s">
        <v>4678</v>
      </c>
      <c r="B716" s="1126">
        <v>487</v>
      </c>
      <c r="C716" s="1126" t="s">
        <v>4753</v>
      </c>
      <c r="D716" s="1127" t="s">
        <v>13</v>
      </c>
      <c r="E716" s="1127" t="s">
        <v>5287</v>
      </c>
      <c r="F716" s="1129">
        <v>45527</v>
      </c>
      <c r="G716" s="528">
        <v>45581</v>
      </c>
      <c r="H71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6" s="522" t="str">
        <f>CONCATENATE(Таблица47[[#This Row],[№ заявки в 1С]],Таблица47[[#This Row],[Наименование            ]])</f>
        <v>487[93277] Лист АМГ2М 2,5*1500*500 (Д)</v>
      </c>
      <c r="J71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60</v>
      </c>
      <c r="K71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60</v>
      </c>
      <c r="L71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</v>
      </c>
      <c r="M716" s="635"/>
      <c r="N716" s="1119">
        <v>36</v>
      </c>
      <c r="O716" s="1013">
        <f>IFERROR(Таблица47[[#This Row],[Количество хлыстов]]-Таблица47[[#This Row],[Обработано в 1С]]-Таблица47[[#This Row],[Корректировка]],"")</f>
        <v>0</v>
      </c>
      <c r="P716" s="638">
        <f>IFERROR((((Таблица47[[#This Row],[Осталось сделать, хлыст]]*Таблица47[[#This Row],[длина]])*Таблица47[[#This Row],[Периметр]])/28),"")</f>
        <v>0</v>
      </c>
      <c r="Q716" s="303"/>
      <c r="R716" s="991">
        <f>IFERROR(Таблица47[[#This Row],[Коли-
чество м.п.]]/Таблица47[[#This Row],[Количество хлыстов]],"")</f>
        <v>1</v>
      </c>
      <c r="S716" s="639" t="s">
        <v>5684</v>
      </c>
      <c r="T716" s="639">
        <v>36</v>
      </c>
      <c r="U716" s="640">
        <v>36</v>
      </c>
      <c r="V716" s="639">
        <v>1.2</v>
      </c>
      <c r="W716" s="639">
        <v>3.2040000000000002</v>
      </c>
      <c r="X716" s="639">
        <v>43.2</v>
      </c>
      <c r="Y716" s="639">
        <v>115.34399999999999</v>
      </c>
      <c r="Z716" s="639">
        <v>5.62</v>
      </c>
      <c r="AA716" s="639">
        <v>2135</v>
      </c>
      <c r="AB716" s="639">
        <v>1779.17</v>
      </c>
      <c r="AC716" s="641">
        <v>76860</v>
      </c>
    </row>
    <row r="717" spans="1:29" ht="15.75" customHeight="1" x14ac:dyDescent="0.25">
      <c r="A717" s="1130" t="s">
        <v>4678</v>
      </c>
      <c r="B717" s="1126">
        <v>487</v>
      </c>
      <c r="C717" s="1126" t="s">
        <v>4753</v>
      </c>
      <c r="D717" s="1127" t="s">
        <v>13</v>
      </c>
      <c r="E717" s="1127" t="s">
        <v>5287</v>
      </c>
      <c r="F717" s="1129">
        <v>45527</v>
      </c>
      <c r="G717" s="528">
        <v>45581</v>
      </c>
      <c r="H71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7" s="522" t="str">
        <f>CONCATENATE(Таблица47[[#This Row],[№ заявки в 1С]],Таблица47[[#This Row],[Наименование            ]])</f>
        <v>487[93277] Лист АМГ2М 2,5*1500*500 (Д)</v>
      </c>
      <c r="J71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60</v>
      </c>
      <c r="K71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60</v>
      </c>
      <c r="L717" s="635">
        <v>24</v>
      </c>
      <c r="M717" s="635"/>
      <c r="N717" s="1119">
        <v>24</v>
      </c>
      <c r="O717" s="1013">
        <f>IFERROR(Таблица47[[#This Row],[Количество хлыстов]]-Таблица47[[#This Row],[Обработано в 1С]]-Таблица47[[#This Row],[Корректировка]],"")</f>
        <v>0</v>
      </c>
      <c r="P717" s="638">
        <f>IFERROR((((Таблица47[[#This Row],[Осталось сделать, хлыст]]*Таблица47[[#This Row],[длина]])*Таблица47[[#This Row],[Периметр]])/28),"")</f>
        <v>0</v>
      </c>
      <c r="Q717" s="303"/>
      <c r="R717" s="991">
        <f>IFERROR(Таблица47[[#This Row],[Коли-
чество м.п.]]/Таблица47[[#This Row],[Количество хлыстов]],"")</f>
        <v>1</v>
      </c>
      <c r="S717" s="639" t="s">
        <v>5684</v>
      </c>
      <c r="T717" s="639">
        <v>24</v>
      </c>
      <c r="U717" s="640">
        <v>24</v>
      </c>
      <c r="V717" s="639">
        <v>1.2</v>
      </c>
      <c r="W717" s="639">
        <v>3.2040000000000002</v>
      </c>
      <c r="X717" s="639">
        <v>28.8</v>
      </c>
      <c r="Y717" s="639">
        <v>76.896000000000001</v>
      </c>
      <c r="Z717" s="639">
        <v>3.74</v>
      </c>
      <c r="AA717" s="639">
        <v>2135</v>
      </c>
      <c r="AB717" s="639">
        <v>1779.17</v>
      </c>
      <c r="AC717" s="641">
        <v>51240</v>
      </c>
    </row>
    <row r="718" spans="1:29" s="1021" customFormat="1" ht="15.75" customHeight="1" x14ac:dyDescent="0.25">
      <c r="A718" s="1106" t="s">
        <v>4978</v>
      </c>
      <c r="B718" s="1067">
        <v>489</v>
      </c>
      <c r="C718" s="1067"/>
      <c r="D718" s="1068" t="s">
        <v>13</v>
      </c>
      <c r="E718" s="1068" t="s">
        <v>556</v>
      </c>
      <c r="F718" s="1069">
        <v>45527</v>
      </c>
      <c r="G718" s="1069"/>
      <c r="H71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8" s="620" t="str">
        <f>CONCATENATE(Таблица47[[#This Row],[№ заявки в 1С]],Таблица47[[#This Row],[Наименование            ]])</f>
        <v>489[73120] 1606-02,  3,0 м, БА сплав: АД 31 состояние Т1</v>
      </c>
      <c r="J718" s="108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18" s="108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18" s="108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18" s="1082"/>
      <c r="N718" s="1120">
        <v>156</v>
      </c>
      <c r="O718" s="1020" t="str">
        <f>IFERROR(Таблица47[[#This Row],[Количество хлыстов]]-Таблица47[[#This Row],[Обработано в 1С]]-Таблица47[[#This Row],[Корректировка]],"")</f>
        <v/>
      </c>
      <c r="P718" s="638" t="str">
        <f>IFERROR((((Таблица47[[#This Row],[Осталось сделать, хлыст]]*Таблица47[[#This Row],[длина]])*Таблица47[[#This Row],[Периметр]])/28),"")</f>
        <v/>
      </c>
      <c r="Q718" s="1068"/>
      <c r="R718" s="1089">
        <f>IFERROR(Таблица47[[#This Row],[Коли-
чество м.п.]]/Таблица47[[#This Row],[Количество хлыстов]],"")</f>
        <v>3</v>
      </c>
      <c r="S718" s="1083" t="s">
        <v>5193</v>
      </c>
      <c r="T718" s="1083">
        <v>468</v>
      </c>
      <c r="U718" s="1084">
        <v>156</v>
      </c>
      <c r="V718" s="1083">
        <v>0.25569999999999998</v>
      </c>
      <c r="W718" s="1083">
        <v>1.3</v>
      </c>
      <c r="X718" s="1083">
        <v>119.66759999999999</v>
      </c>
      <c r="Y718" s="1083">
        <v>608.4</v>
      </c>
      <c r="Z718" s="1083">
        <v>15.56</v>
      </c>
      <c r="AA718" s="1083">
        <v>84.38</v>
      </c>
      <c r="AB718" s="1083">
        <v>330</v>
      </c>
      <c r="AC718" s="1085">
        <v>39489.839999999997</v>
      </c>
    </row>
    <row r="719" spans="1:29" s="1021" customFormat="1" ht="15.75" customHeight="1" x14ac:dyDescent="0.25">
      <c r="A719" s="1106" t="s">
        <v>4978</v>
      </c>
      <c r="B719" s="1067">
        <v>490</v>
      </c>
      <c r="C719" s="1067"/>
      <c r="D719" s="1068" t="s">
        <v>13</v>
      </c>
      <c r="E719" s="1068" t="s">
        <v>892</v>
      </c>
      <c r="F719" s="1069">
        <v>45531</v>
      </c>
      <c r="G719" s="1069"/>
      <c r="H719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19" s="620" t="str">
        <f>CONCATENATE(Таблица47[[#This Row],[№ заявки в 1С]],Таблица47[[#This Row],[Наименование            ]])</f>
        <v>490[88975] 1606-38 (197.05) 5,15 м, сплав Ад31 под покраску</v>
      </c>
      <c r="J719" s="1082">
        <v>610</v>
      </c>
      <c r="K719" s="1082">
        <v>610</v>
      </c>
      <c r="L719" s="1082">
        <v>610</v>
      </c>
      <c r="M719" s="1082">
        <v>8</v>
      </c>
      <c r="N719" s="1120">
        <v>610</v>
      </c>
      <c r="O719" s="1020">
        <f>IFERROR(Таблица47[[#This Row],[Количество хлыстов]]-Таблица47[[#This Row],[Обработано в 1С]]-Таблица47[[#This Row],[Корректировка]],"")</f>
        <v>0</v>
      </c>
      <c r="P719" s="638">
        <f>IFERROR((((Таблица47[[#This Row],[Осталось сделать, хлыст]]*Таблица47[[#This Row],[длина]])*Таблица47[[#This Row],[Периметр]])/28),"")</f>
        <v>0</v>
      </c>
      <c r="Q719" s="1068" t="s">
        <v>5334</v>
      </c>
      <c r="R719" s="1089">
        <f>IFERROR(Таблица47[[#This Row],[Коли-
чество м.п.]]/Таблица47[[#This Row],[Количество хлыстов]],"")</f>
        <v>5.1499999999999995</v>
      </c>
      <c r="S719" s="1083" t="s">
        <v>4773</v>
      </c>
      <c r="T719" s="1083">
        <v>3182.7</v>
      </c>
      <c r="U719" s="1084">
        <v>618</v>
      </c>
      <c r="V719" s="1083">
        <v>0.15790000000000001</v>
      </c>
      <c r="W719" s="1083">
        <v>0.309</v>
      </c>
      <c r="X719" s="1083">
        <v>508.24059999999997</v>
      </c>
      <c r="Y719" s="1083">
        <v>994.59379999999999</v>
      </c>
      <c r="Z719" s="1083">
        <v>66.069999999999993</v>
      </c>
      <c r="AA719" s="1083">
        <v>52.11</v>
      </c>
      <c r="AB719" s="1083">
        <v>330</v>
      </c>
      <c r="AC719" s="1085">
        <v>167719.41</v>
      </c>
    </row>
    <row r="720" spans="1:29" ht="15.75" customHeight="1" x14ac:dyDescent="0.25">
      <c r="A720" s="427" t="s">
        <v>4678</v>
      </c>
      <c r="B720" s="309">
        <v>491</v>
      </c>
      <c r="C720" s="309"/>
      <c r="D720" s="303" t="s">
        <v>13</v>
      </c>
      <c r="E720" s="303" t="s">
        <v>892</v>
      </c>
      <c r="F720" s="528">
        <v>45531</v>
      </c>
      <c r="G720" s="528">
        <v>45547</v>
      </c>
      <c r="H72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0" s="522" t="str">
        <f>CONCATENATE(Таблица47[[#This Row],[№ заявки в 1С]],Таблица47[[#This Row],[Наименование            ]])</f>
        <v>491[76552] 1606-38 (197.05) 5,15 м, сплав 6063 КР Т6</v>
      </c>
      <c r="J72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198</v>
      </c>
      <c r="K72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198</v>
      </c>
      <c r="L72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198</v>
      </c>
      <c r="M720" s="635"/>
      <c r="N720" s="1119">
        <v>198</v>
      </c>
      <c r="O720" s="1013">
        <f>IFERROR(Таблица47[[#This Row],[Количество хлыстов]]-Таблица47[[#This Row],[Обработано в 1С]]-Таблица47[[#This Row],[Корректировка]],"")</f>
        <v>0</v>
      </c>
      <c r="P720" s="638">
        <f>IFERROR((((Таблица47[[#This Row],[Осталось сделать, хлыст]]*Таблица47[[#This Row],[длина]])*Таблица47[[#This Row],[Периметр]])/28),"")</f>
        <v>0</v>
      </c>
      <c r="Q720" s="303"/>
      <c r="R720" s="991">
        <f>IFERROR(Таблица47[[#This Row],[Коли-
чество м.п.]]/Таблица47[[#This Row],[Количество хлыстов]],"")</f>
        <v>5.15</v>
      </c>
      <c r="S720" s="639" t="s">
        <v>1975</v>
      </c>
      <c r="T720" s="639">
        <v>1019.7</v>
      </c>
      <c r="U720" s="640">
        <v>198</v>
      </c>
      <c r="V720" s="639">
        <v>0.15790000000000001</v>
      </c>
      <c r="W720" s="639">
        <v>0.309</v>
      </c>
      <c r="X720" s="639">
        <v>161.01060000000001</v>
      </c>
      <c r="Y720" s="639">
        <v>315.08730000000003</v>
      </c>
      <c r="Z720" s="639">
        <v>20.93</v>
      </c>
      <c r="AA720" s="639">
        <v>69.48</v>
      </c>
      <c r="AB720" s="639">
        <v>440</v>
      </c>
      <c r="AC720" s="641">
        <v>70844.679999999993</v>
      </c>
    </row>
    <row r="721" spans="1:29" ht="15.75" customHeight="1" x14ac:dyDescent="0.25">
      <c r="A721" s="427" t="s">
        <v>4678</v>
      </c>
      <c r="B721" s="309">
        <v>492</v>
      </c>
      <c r="C721" s="309"/>
      <c r="D721" s="303" t="s">
        <v>34</v>
      </c>
      <c r="E721" s="303" t="s">
        <v>46</v>
      </c>
      <c r="F721" s="528">
        <v>45532</v>
      </c>
      <c r="G721" s="528"/>
      <c r="H72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1" s="522" t="str">
        <f>CONCATENATE(Таблица47[[#This Row],[№ заявки в 1С]],Таблица47[[#This Row],[Наименование            ]])</f>
        <v>492[57128] 0306-74, 6,0м, 6063 Т6, упаковка Т-5, БА</v>
      </c>
      <c r="J72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55</v>
      </c>
      <c r="K72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55</v>
      </c>
      <c r="L72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55</v>
      </c>
      <c r="M721" s="635"/>
      <c r="N721" s="1119">
        <v>55</v>
      </c>
      <c r="O721" s="1013">
        <f>IFERROR(Таблица47[[#This Row],[Количество хлыстов]]-Таблица47[[#This Row],[Обработано в 1С]]-Таблица47[[#This Row],[Корректировка]],"")</f>
        <v>0</v>
      </c>
      <c r="P721" s="638">
        <f>IFERROR((((Таблица47[[#This Row],[Осталось сделать, хлыст]]*Таблица47[[#This Row],[длина]])*Таблица47[[#This Row],[Периметр]])/28),"")</f>
        <v>0</v>
      </c>
      <c r="Q721" s="303"/>
      <c r="R721" s="991">
        <f>IFERROR(Таблица47[[#This Row],[Коли-
чество м.п.]]/Таблица47[[#This Row],[Количество хлыстов]],"")</f>
        <v>6</v>
      </c>
      <c r="S721" s="639" t="s">
        <v>4682</v>
      </c>
      <c r="T721" s="639">
        <v>330</v>
      </c>
      <c r="U721" s="640">
        <v>55</v>
      </c>
      <c r="V721" s="639">
        <v>0.35859999999999997</v>
      </c>
      <c r="W721" s="639">
        <v>1.518</v>
      </c>
      <c r="X721" s="639">
        <v>118.33799999999999</v>
      </c>
      <c r="Y721" s="639">
        <v>500.94</v>
      </c>
      <c r="Z721" s="639">
        <v>15.38</v>
      </c>
      <c r="AA721" s="639">
        <v>148.82</v>
      </c>
      <c r="AB721" s="639">
        <v>415</v>
      </c>
      <c r="AC721" s="641">
        <v>49110.27</v>
      </c>
    </row>
    <row r="722" spans="1:29" ht="15.75" customHeight="1" x14ac:dyDescent="0.25">
      <c r="A722" s="427" t="s">
        <v>4678</v>
      </c>
      <c r="B722" s="309">
        <v>492</v>
      </c>
      <c r="C722" s="309"/>
      <c r="D722" s="303" t="s">
        <v>34</v>
      </c>
      <c r="E722" s="303" t="s">
        <v>46</v>
      </c>
      <c r="F722" s="528">
        <v>45532</v>
      </c>
      <c r="G722" s="528"/>
      <c r="H72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2" s="522" t="str">
        <f>CONCATENATE(Таблица47[[#This Row],[№ заявки в 1С]],Таблица47[[#This Row],[Наименование            ]])</f>
        <v>492[47166] 0306-75, 6,0м, 6063 Т6, упаковка Т-5, БА</v>
      </c>
      <c r="J72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36</v>
      </c>
      <c r="K72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</v>
      </c>
      <c r="L72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</v>
      </c>
      <c r="M722" s="635"/>
      <c r="N722" s="1119">
        <v>36</v>
      </c>
      <c r="O722" s="1013">
        <f>IFERROR(Таблица47[[#This Row],[Количество хлыстов]]-Таблица47[[#This Row],[Обработано в 1С]]-Таблица47[[#This Row],[Корректировка]],"")</f>
        <v>0</v>
      </c>
      <c r="P722" s="638">
        <f>IFERROR((((Таблица47[[#This Row],[Осталось сделать, хлыст]]*Таблица47[[#This Row],[длина]])*Таблица47[[#This Row],[Периметр]])/28),"")</f>
        <v>0</v>
      </c>
      <c r="Q722" s="303"/>
      <c r="R722" s="991">
        <f>IFERROR(Таблица47[[#This Row],[Коли-
чество м.п.]]/Таблица47[[#This Row],[Количество хлыстов]],"")</f>
        <v>6</v>
      </c>
      <c r="S722" s="639" t="s">
        <v>4675</v>
      </c>
      <c r="T722" s="639">
        <v>216</v>
      </c>
      <c r="U722" s="640">
        <v>36</v>
      </c>
      <c r="V722" s="639">
        <v>0.5323</v>
      </c>
      <c r="W722" s="639">
        <v>2.5880000000000001</v>
      </c>
      <c r="X722" s="639">
        <v>114.9768</v>
      </c>
      <c r="Y722" s="639">
        <v>559.00800000000004</v>
      </c>
      <c r="Z722" s="639">
        <v>14.95</v>
      </c>
      <c r="AA722" s="639">
        <v>220.9</v>
      </c>
      <c r="AB722" s="639">
        <v>415</v>
      </c>
      <c r="AC722" s="641">
        <v>47715.37</v>
      </c>
    </row>
    <row r="723" spans="1:29" ht="15.75" customHeight="1" x14ac:dyDescent="0.25">
      <c r="A723" s="427" t="s">
        <v>4678</v>
      </c>
      <c r="B723" s="309">
        <v>493</v>
      </c>
      <c r="C723" s="309"/>
      <c r="D723" s="303" t="s">
        <v>34</v>
      </c>
      <c r="E723" s="303" t="s">
        <v>5082</v>
      </c>
      <c r="F723" s="528">
        <v>45532</v>
      </c>
      <c r="G723" s="528"/>
      <c r="H72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3" s="522" t="str">
        <f>CONCATENATE(Таблица47[[#This Row],[№ заявки в 1С]],Таблица47[[#This Row],[Наименование            ]])</f>
        <v>493[41030] 1406-05, 6,0м, БА сплав 6063КР под анод тип 2, Т1, уп.Т5</v>
      </c>
      <c r="J72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56</v>
      </c>
      <c r="K72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56</v>
      </c>
      <c r="L72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56</v>
      </c>
      <c r="M723" s="635"/>
      <c r="N723" s="1119">
        <v>56</v>
      </c>
      <c r="O723" s="1013">
        <f>IFERROR(Таблица47[[#This Row],[Количество хлыстов]]-Таблица47[[#This Row],[Обработано в 1С]]-Таблица47[[#This Row],[Корректировка]],"")</f>
        <v>0</v>
      </c>
      <c r="P723" s="638">
        <f>IFERROR((((Таблица47[[#This Row],[Осталось сделать, хлыст]]*Таблица47[[#This Row],[длина]])*Таблица47[[#This Row],[Периметр]])/28),"")</f>
        <v>0</v>
      </c>
      <c r="Q723" s="303"/>
      <c r="R723" s="991">
        <f>IFERROR(Таблица47[[#This Row],[Коли-
чество м.п.]]/Таблица47[[#This Row],[Количество хлыстов]],"")</f>
        <v>6</v>
      </c>
      <c r="S723" s="639" t="s">
        <v>2719</v>
      </c>
      <c r="T723" s="639">
        <v>336</v>
      </c>
      <c r="U723" s="640">
        <v>56</v>
      </c>
      <c r="V723" s="639">
        <v>0.68820000000000003</v>
      </c>
      <c r="W723" s="639">
        <v>3.2480000000000002</v>
      </c>
      <c r="X723" s="639">
        <v>231.23519999999999</v>
      </c>
      <c r="Y723" s="639">
        <v>1091.328</v>
      </c>
      <c r="Z723" s="639">
        <v>30.06</v>
      </c>
      <c r="AA723" s="639">
        <v>313.13</v>
      </c>
      <c r="AB723" s="639">
        <v>455</v>
      </c>
      <c r="AC723" s="641">
        <v>105212.02</v>
      </c>
    </row>
    <row r="724" spans="1:29" ht="15.75" customHeight="1" x14ac:dyDescent="0.25">
      <c r="A724" s="427" t="s">
        <v>4678</v>
      </c>
      <c r="B724" s="309">
        <v>494</v>
      </c>
      <c r="C724" s="309"/>
      <c r="D724" s="303" t="s">
        <v>34</v>
      </c>
      <c r="E724" s="303" t="s">
        <v>19</v>
      </c>
      <c r="F724" s="528">
        <v>45532</v>
      </c>
      <c r="G724" s="528"/>
      <c r="H72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4" s="522" t="str">
        <f>CONCATENATE(Таблица47[[#This Row],[№ заявки в 1С]],Таблица47[[#This Row],[Наименование            ]])</f>
        <v>494[91744] 1606-30, 3,55м, 6063 Т6, упак.Т5 под анод, БА</v>
      </c>
      <c r="J72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498</v>
      </c>
      <c r="K72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498</v>
      </c>
      <c r="L72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496.99999999999994</v>
      </c>
      <c r="M724" s="635">
        <v>1</v>
      </c>
      <c r="N724" s="1119">
        <v>497</v>
      </c>
      <c r="O724" s="1013">
        <f>IFERROR(Таблица47[[#This Row],[Количество хлыстов]]-Таблица47[[#This Row],[Обработано в 1С]]-Таблица47[[#This Row],[Корректировка]],"")</f>
        <v>5.6843418860808015E-14</v>
      </c>
      <c r="P724" s="638">
        <f>IFERROR((((Таблица47[[#This Row],[Осталось сделать, хлыст]]*Таблица47[[#This Row],[длина]])*Таблица47[[#This Row],[Периметр]])/28),"")</f>
        <v>1.9574031284719244E-15</v>
      </c>
      <c r="Q724" s="303" t="s">
        <v>5305</v>
      </c>
      <c r="R724" s="991">
        <f>IFERROR(Таблица47[[#This Row],[Коли-
чество м.п.]]/Таблица47[[#This Row],[Количество хлыстов]],"")</f>
        <v>3.5500000000000003</v>
      </c>
      <c r="S724" s="639" t="s">
        <v>5289</v>
      </c>
      <c r="T724" s="639">
        <v>1767.9</v>
      </c>
      <c r="U724" s="640">
        <v>498</v>
      </c>
      <c r="V724" s="639">
        <v>0.27160000000000001</v>
      </c>
      <c r="W724" s="639">
        <v>0.72799999999999998</v>
      </c>
      <c r="X724" s="639">
        <v>480.16160000000002</v>
      </c>
      <c r="Y724" s="639">
        <v>1287.0311999999999</v>
      </c>
      <c r="Z724" s="639">
        <v>62.42</v>
      </c>
      <c r="AA724" s="639">
        <v>97.78</v>
      </c>
      <c r="AB724" s="639">
        <v>360</v>
      </c>
      <c r="AC724" s="641">
        <v>172858.19</v>
      </c>
    </row>
    <row r="725" spans="1:29" ht="15.75" customHeight="1" x14ac:dyDescent="0.25">
      <c r="A725" s="427" t="s">
        <v>4678</v>
      </c>
      <c r="B725" s="309">
        <v>495</v>
      </c>
      <c r="C725" s="309"/>
      <c r="D725" s="303" t="s">
        <v>34</v>
      </c>
      <c r="E725" s="303" t="s">
        <v>19</v>
      </c>
      <c r="F725" s="528">
        <v>45532</v>
      </c>
      <c r="G725" s="528"/>
      <c r="H72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5" s="522" t="str">
        <f>CONCATENATE(Таблица47[[#This Row],[№ заявки в 1С]],Таблица47[[#This Row],[Наименование            ]])</f>
        <v>495[91034] 1506-79, 3,6м, 6063 Т6, упак.Т5, БА</v>
      </c>
      <c r="J72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360</v>
      </c>
      <c r="K72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360</v>
      </c>
      <c r="L72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360</v>
      </c>
      <c r="M725" s="635"/>
      <c r="N725" s="1119">
        <v>360</v>
      </c>
      <c r="O725" s="1013">
        <f>IFERROR(Таблица47[[#This Row],[Количество хлыстов]]-Таблица47[[#This Row],[Обработано в 1С]]-Таблица47[[#This Row],[Корректировка]],"")</f>
        <v>0</v>
      </c>
      <c r="P725" s="638">
        <f>IFERROR((((Таблица47[[#This Row],[Осталось сделать, хлыст]]*Таблица47[[#This Row],[длина]])*Таблица47[[#This Row],[Периметр]])/28),"")</f>
        <v>0</v>
      </c>
      <c r="Q725" s="303"/>
      <c r="R725" s="991">
        <f>IFERROR(Таблица47[[#This Row],[Коли-
чество м.п.]]/Таблица47[[#This Row],[Количество хлыстов]],"")</f>
        <v>3.6</v>
      </c>
      <c r="S725" s="639" t="s">
        <v>5158</v>
      </c>
      <c r="T725" s="639">
        <v>1296</v>
      </c>
      <c r="U725" s="640">
        <v>360</v>
      </c>
      <c r="V725" s="639">
        <v>0.3402</v>
      </c>
      <c r="W725" s="639">
        <v>1.4530000000000001</v>
      </c>
      <c r="X725" s="639">
        <v>440.89920000000001</v>
      </c>
      <c r="Y725" s="639">
        <v>1883.088</v>
      </c>
      <c r="Z725" s="639">
        <v>57.32</v>
      </c>
      <c r="AA725" s="639">
        <v>146.97</v>
      </c>
      <c r="AB725" s="639">
        <v>432</v>
      </c>
      <c r="AC725" s="641">
        <v>190468.45</v>
      </c>
    </row>
    <row r="726" spans="1:29" ht="15.75" customHeight="1" x14ac:dyDescent="0.25">
      <c r="A726" s="427" t="s">
        <v>4678</v>
      </c>
      <c r="B726" s="309">
        <v>496</v>
      </c>
      <c r="C726" s="309"/>
      <c r="D726" s="303" t="s">
        <v>34</v>
      </c>
      <c r="E726" s="303" t="s">
        <v>79</v>
      </c>
      <c r="F726" s="528">
        <v>45532</v>
      </c>
      <c r="G726" s="528"/>
      <c r="H72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6" s="522" t="str">
        <f>CONCATENATE(Таблица47[[#This Row],[№ заявки в 1С]],Таблица47[[#This Row],[Наименование            ]])</f>
        <v>496[78712] 1606-73 (п-образный), 6,0м, 6063 Т6, упаковка Т-5, БА</v>
      </c>
      <c r="J72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33</v>
      </c>
      <c r="K72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33</v>
      </c>
      <c r="L72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33</v>
      </c>
      <c r="M726" s="635"/>
      <c r="N726" s="1119">
        <v>33</v>
      </c>
      <c r="O726" s="1013">
        <f>IFERROR(Таблица47[[#This Row],[Количество хлыстов]]-Таблица47[[#This Row],[Обработано в 1С]]-Таблица47[[#This Row],[Корректировка]],"")</f>
        <v>0</v>
      </c>
      <c r="P726" s="638">
        <f>IFERROR((((Таблица47[[#This Row],[Осталось сделать, хлыст]]*Таблица47[[#This Row],[длина]])*Таблица47[[#This Row],[Периметр]])/28),"")</f>
        <v>0</v>
      </c>
      <c r="Q726" s="303"/>
      <c r="R726" s="991">
        <f>IFERROR(Таблица47[[#This Row],[Коли-
чество м.п.]]/Таблица47[[#This Row],[Количество хлыстов]],"")</f>
        <v>6</v>
      </c>
      <c r="S726" s="639" t="s">
        <v>4590</v>
      </c>
      <c r="T726" s="639">
        <v>198</v>
      </c>
      <c r="U726" s="640">
        <v>33</v>
      </c>
      <c r="V726" s="639">
        <v>0.45550000000000002</v>
      </c>
      <c r="W726" s="639">
        <v>1.6990000000000001</v>
      </c>
      <c r="X726" s="639">
        <v>90.188999999999993</v>
      </c>
      <c r="Y726" s="639">
        <v>336.40199999999999</v>
      </c>
      <c r="Z726" s="639">
        <v>11.72</v>
      </c>
      <c r="AA726" s="639">
        <v>179.92</v>
      </c>
      <c r="AB726" s="639">
        <v>395</v>
      </c>
      <c r="AC726" s="641">
        <v>35624.660000000003</v>
      </c>
    </row>
    <row r="727" spans="1:29" ht="15.75" customHeight="1" x14ac:dyDescent="0.25">
      <c r="A727" s="427" t="s">
        <v>4678</v>
      </c>
      <c r="B727" s="309">
        <v>497</v>
      </c>
      <c r="C727" s="309"/>
      <c r="D727" s="303" t="s">
        <v>34</v>
      </c>
      <c r="E727" s="303" t="s">
        <v>3404</v>
      </c>
      <c r="F727" s="528">
        <v>45532</v>
      </c>
      <c r="G727" s="528"/>
      <c r="H72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7" s="522" t="str">
        <f>CONCATENATE(Таблица47[[#This Row],[№ заявки в 1С]],Таблица47[[#This Row],[Наименование            ]])</f>
        <v>497[89761] 2606-58, 6,0м, сплав 6063 Т5 (под гибку), упак. Т5</v>
      </c>
      <c r="J72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198</v>
      </c>
      <c r="K72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198</v>
      </c>
      <c r="L72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198</v>
      </c>
      <c r="M727" s="635"/>
      <c r="N727" s="1119">
        <v>198</v>
      </c>
      <c r="O727" s="1013">
        <f>IFERROR(Таблица47[[#This Row],[Количество хлыстов]]-Таблица47[[#This Row],[Обработано в 1С]]-Таблица47[[#This Row],[Корректировка]],"")</f>
        <v>0</v>
      </c>
      <c r="P727" s="638">
        <f>IFERROR((((Таблица47[[#This Row],[Осталось сделать, хлыст]]*Таблица47[[#This Row],[длина]])*Таблица47[[#This Row],[Периметр]])/28),"")</f>
        <v>0</v>
      </c>
      <c r="Q727" s="303"/>
      <c r="R727" s="991">
        <f>IFERROR(Таблица47[[#This Row],[Коли-
чество м.п.]]/Таблица47[[#This Row],[Количество хлыстов]],"")</f>
        <v>6</v>
      </c>
      <c r="S727" s="639" t="s">
        <v>5091</v>
      </c>
      <c r="T727" s="639">
        <v>1188</v>
      </c>
      <c r="U727" s="640">
        <v>198</v>
      </c>
      <c r="V727" s="639">
        <v>0.1883</v>
      </c>
      <c r="W727" s="639">
        <v>0.318</v>
      </c>
      <c r="X727" s="639">
        <v>223.7004</v>
      </c>
      <c r="Y727" s="639">
        <v>377.78399999999999</v>
      </c>
      <c r="Z727" s="639">
        <v>29.08</v>
      </c>
      <c r="AA727" s="639">
        <v>74.38</v>
      </c>
      <c r="AB727" s="639">
        <v>395</v>
      </c>
      <c r="AC727" s="641">
        <v>88361.66</v>
      </c>
    </row>
    <row r="728" spans="1:29" ht="15.75" customHeight="1" x14ac:dyDescent="0.25">
      <c r="A728" s="427" t="s">
        <v>4678</v>
      </c>
      <c r="B728" s="309">
        <v>498</v>
      </c>
      <c r="C728" s="309" t="s">
        <v>4753</v>
      </c>
      <c r="D728" s="303" t="s">
        <v>34</v>
      </c>
      <c r="E728" s="303" t="s">
        <v>861</v>
      </c>
      <c r="F728" s="528">
        <v>45532</v>
      </c>
      <c r="G728" s="528"/>
      <c r="H72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8" s="522" t="str">
        <f>CONCATENATE(Таблица47[[#This Row],[№ заявки в 1С]],Таблица47[[#This Row],[Наименование            ]])</f>
        <v>498[90467] Д Основания ТИС-Р-3 (профиль 1111-116), 475мм, БА</v>
      </c>
      <c r="J72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150</v>
      </c>
      <c r="K72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150</v>
      </c>
      <c r="L72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150</v>
      </c>
      <c r="M728" s="635"/>
      <c r="N728" s="1119">
        <v>150</v>
      </c>
      <c r="O728" s="1013">
        <f>IFERROR(Таблица47[[#This Row],[Количество хлыстов]]-Таблица47[[#This Row],[Обработано в 1С]]-Таблица47[[#This Row],[Корректировка]],"")</f>
        <v>0</v>
      </c>
      <c r="P728" s="638">
        <f>IFERROR((((Таблица47[[#This Row],[Осталось сделать, хлыст]]*Таблица47[[#This Row],[длина]])*Таблица47[[#This Row],[Периметр]])/28),"")</f>
        <v>0</v>
      </c>
      <c r="Q728" s="303"/>
      <c r="R728" s="991">
        <f>IFERROR(Таблица47[[#This Row],[Коли-
чество м.п.]]/Таблица47[[#This Row],[Количество хлыстов]],"")</f>
        <v>1</v>
      </c>
      <c r="S728" s="639" t="s">
        <v>5083</v>
      </c>
      <c r="T728" s="639">
        <v>150</v>
      </c>
      <c r="U728" s="640">
        <v>150</v>
      </c>
      <c r="V728" s="639">
        <v>0.66020000000000001</v>
      </c>
      <c r="W728" s="639">
        <v>2.6480000000000001</v>
      </c>
      <c r="X728" s="639">
        <v>99.03</v>
      </c>
      <c r="Y728" s="639">
        <v>397.2</v>
      </c>
      <c r="Z728" s="639">
        <v>12.87</v>
      </c>
      <c r="AA728" s="639">
        <v>650.41</v>
      </c>
      <c r="AB728" s="639">
        <v>985.17</v>
      </c>
      <c r="AC728" s="641">
        <v>97561.52</v>
      </c>
    </row>
    <row r="729" spans="1:29" ht="15.75" customHeight="1" x14ac:dyDescent="0.25">
      <c r="A729" s="427" t="s">
        <v>4678</v>
      </c>
      <c r="B729" s="309">
        <v>498</v>
      </c>
      <c r="C729" s="309" t="s">
        <v>4753</v>
      </c>
      <c r="D729" s="303" t="s">
        <v>34</v>
      </c>
      <c r="E729" s="303" t="s">
        <v>861</v>
      </c>
      <c r="F729" s="528">
        <v>45532</v>
      </c>
      <c r="G729" s="528"/>
      <c r="H72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29" s="522" t="str">
        <f>CONCATENATE(Таблица47[[#This Row],[№ заявки в 1С]],Таблица47[[#This Row],[Наименование            ]])</f>
        <v>498[90466] Д Основания ТИС-Р-2А (профиль 1111-116), 320мм БА</v>
      </c>
      <c r="J72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309</v>
      </c>
      <c r="K72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309</v>
      </c>
      <c r="L72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309</v>
      </c>
      <c r="M729" s="635"/>
      <c r="N729" s="1119">
        <v>309</v>
      </c>
      <c r="O729" s="1013">
        <f>IFERROR(Таблица47[[#This Row],[Количество хлыстов]]-Таблица47[[#This Row],[Обработано в 1С]]-Таблица47[[#This Row],[Корректировка]],"")</f>
        <v>0</v>
      </c>
      <c r="P729" s="638">
        <f>IFERROR((((Таблица47[[#This Row],[Осталось сделать, хлыст]]*Таблица47[[#This Row],[длина]])*Таблица47[[#This Row],[Периметр]])/28),"")</f>
        <v>0</v>
      </c>
      <c r="Q729" s="303"/>
      <c r="R729" s="991">
        <f>IFERROR(Таблица47[[#This Row],[Коли-
чество м.п.]]/Таблица47[[#This Row],[Количество хлыстов]],"")</f>
        <v>1</v>
      </c>
      <c r="S729" s="639" t="s">
        <v>5084</v>
      </c>
      <c r="T729" s="639">
        <v>309</v>
      </c>
      <c r="U729" s="640">
        <v>309</v>
      </c>
      <c r="V729" s="639">
        <v>0.44479999999999997</v>
      </c>
      <c r="W729" s="639">
        <v>1.784</v>
      </c>
      <c r="X729" s="639">
        <v>137.44319999999999</v>
      </c>
      <c r="Y729" s="639">
        <v>551.25599999999997</v>
      </c>
      <c r="Z729" s="639">
        <v>17.87</v>
      </c>
      <c r="AA729" s="639">
        <v>547.89</v>
      </c>
      <c r="AB729" s="639">
        <v>1231.77</v>
      </c>
      <c r="AC729" s="641">
        <v>169297.76</v>
      </c>
    </row>
    <row r="730" spans="1:29" ht="15.75" customHeight="1" x14ac:dyDescent="0.25">
      <c r="A730" s="427" t="s">
        <v>4678</v>
      </c>
      <c r="B730" s="309">
        <v>500</v>
      </c>
      <c r="C730" s="309" t="s">
        <v>4753</v>
      </c>
      <c r="D730" s="303" t="s">
        <v>34</v>
      </c>
      <c r="E730" s="303" t="s">
        <v>4467</v>
      </c>
      <c r="F730" s="528">
        <v>45533</v>
      </c>
      <c r="G730" s="528"/>
      <c r="H73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0" s="522" t="str">
        <f>CONCATENATE(Таблица47[[#This Row],[№ заявки в 1С]],Таблица47[[#This Row],[Наименование            ]])</f>
        <v>500[92707] д 20х20 V-slot, 6,05м, БА</v>
      </c>
      <c r="J73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60</v>
      </c>
      <c r="K73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60</v>
      </c>
      <c r="L73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60</v>
      </c>
      <c r="M730" s="635"/>
      <c r="N730" s="1119">
        <v>60</v>
      </c>
      <c r="O730" s="1013">
        <f>IFERROR(Таблица47[[#This Row],[Количество хлыстов]]-Таблица47[[#This Row],[Обработано в 1С]]-Таблица47[[#This Row],[Корректировка]],"")</f>
        <v>0</v>
      </c>
      <c r="P730" s="638">
        <f>IFERROR((((Таблица47[[#This Row],[Осталось сделать, хлыст]]*Таблица47[[#This Row],[длина]])*Таблица47[[#This Row],[Периметр]])/28),"")</f>
        <v>0</v>
      </c>
      <c r="Q730" s="303"/>
      <c r="R730" s="991">
        <f>IFERROR(Таблица47[[#This Row],[Коли-
чество м.п.]]/Таблица47[[#This Row],[Количество хлыстов]],"")</f>
        <v>6.05</v>
      </c>
      <c r="S730" s="639" t="s">
        <v>5291</v>
      </c>
      <c r="T730" s="639">
        <v>363</v>
      </c>
      <c r="U730" s="640">
        <v>60</v>
      </c>
      <c r="V730" s="639">
        <v>0.14399999999999999</v>
      </c>
      <c r="W730" s="639">
        <v>0.46600000000000003</v>
      </c>
      <c r="X730" s="639">
        <v>52.271999999999998</v>
      </c>
      <c r="Y730" s="639">
        <v>169.15799999999999</v>
      </c>
      <c r="Z730" s="639">
        <v>6.8</v>
      </c>
      <c r="AA730" s="639">
        <v>137.33000000000001</v>
      </c>
      <c r="AB730" s="639">
        <v>953.67</v>
      </c>
      <c r="AC730" s="641">
        <v>49850</v>
      </c>
    </row>
    <row r="731" spans="1:29" ht="15.75" customHeight="1" x14ac:dyDescent="0.25">
      <c r="A731" s="427" t="s">
        <v>4678</v>
      </c>
      <c r="B731" s="309">
        <v>500</v>
      </c>
      <c r="C731" s="309" t="s">
        <v>4753</v>
      </c>
      <c r="D731" s="303" t="s">
        <v>34</v>
      </c>
      <c r="E731" s="303" t="s">
        <v>4467</v>
      </c>
      <c r="F731" s="528">
        <v>45533</v>
      </c>
      <c r="G731" s="528"/>
      <c r="H73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1" s="522" t="str">
        <f>CONCATENATE(Таблица47[[#This Row],[№ заявки в 1С]],Таблица47[[#This Row],[Наименование            ]])</f>
        <v>500[92708] Д 30х60 B-Rxtr 6,05м, БА</v>
      </c>
      <c r="J73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</v>
      </c>
      <c r="K73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</v>
      </c>
      <c r="L73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</v>
      </c>
      <c r="M731" s="635"/>
      <c r="N731" s="1119">
        <v>12</v>
      </c>
      <c r="O731" s="1013">
        <f>IFERROR(Таблица47[[#This Row],[Количество хлыстов]]-Таблица47[[#This Row],[Обработано в 1С]]-Таблица47[[#This Row],[Корректировка]],"")</f>
        <v>0</v>
      </c>
      <c r="P731" s="638">
        <f>IFERROR((((Таблица47[[#This Row],[Осталось сделать, хлыст]]*Таблица47[[#This Row],[длина]])*Таблица47[[#This Row],[Периметр]])/28),"")</f>
        <v>0</v>
      </c>
      <c r="Q731" s="303"/>
      <c r="R731" s="991">
        <f>IFERROR(Таблица47[[#This Row],[Коли-
чество м.п.]]/Таблица47[[#This Row],[Количество хлыстов]],"")</f>
        <v>6.05</v>
      </c>
      <c r="S731" s="639" t="s">
        <v>5292</v>
      </c>
      <c r="T731" s="639">
        <v>72.599999999999994</v>
      </c>
      <c r="U731" s="640">
        <v>12</v>
      </c>
      <c r="V731" s="639">
        <v>0.34899999999999998</v>
      </c>
      <c r="W731" s="639">
        <v>1.4550000000000001</v>
      </c>
      <c r="X731" s="639">
        <v>25.337399999999999</v>
      </c>
      <c r="Y731" s="639">
        <v>105.633</v>
      </c>
      <c r="Z731" s="639">
        <v>3.29</v>
      </c>
      <c r="AA731" s="639">
        <v>343.32</v>
      </c>
      <c r="AB731" s="639">
        <v>983.72</v>
      </c>
      <c r="AC731" s="641">
        <v>24925</v>
      </c>
    </row>
    <row r="732" spans="1:29" ht="15.75" customHeight="1" x14ac:dyDescent="0.25">
      <c r="A732" s="427" t="s">
        <v>4678</v>
      </c>
      <c r="B732" s="309">
        <v>500</v>
      </c>
      <c r="C732" s="309" t="s">
        <v>4753</v>
      </c>
      <c r="D732" s="303" t="s">
        <v>34</v>
      </c>
      <c r="E732" s="303" t="s">
        <v>4467</v>
      </c>
      <c r="F732" s="528">
        <v>45533</v>
      </c>
      <c r="G732" s="528"/>
      <c r="H73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2" s="522" t="str">
        <f>CONCATENATE(Таблица47[[#This Row],[№ заявки в 1С]],Таблица47[[#This Row],[Наименование            ]])</f>
        <v>500[91323] д 40х80 B-Rxtr, 6,05м БА</v>
      </c>
      <c r="J73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24</v>
      </c>
      <c r="K73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24</v>
      </c>
      <c r="L73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24</v>
      </c>
      <c r="M732" s="635"/>
      <c r="N732" s="1119">
        <v>24</v>
      </c>
      <c r="O732" s="1013">
        <f>IFERROR(Таблица47[[#This Row],[Количество хлыстов]]-Таблица47[[#This Row],[Обработано в 1С]]-Таблица47[[#This Row],[Корректировка]],"")</f>
        <v>0</v>
      </c>
      <c r="P732" s="638">
        <f>IFERROR((((Таблица47[[#This Row],[Осталось сделать, хлыст]]*Таблица47[[#This Row],[длина]])*Таблица47[[#This Row],[Периметр]])/28),"")</f>
        <v>0</v>
      </c>
      <c r="Q732" s="303"/>
      <c r="R732" s="991">
        <f>IFERROR(Таблица47[[#This Row],[Коли-
чество м.п.]]/Таблица47[[#This Row],[Количество хлыстов]],"")</f>
        <v>6.05</v>
      </c>
      <c r="S732" s="639" t="s">
        <v>5164</v>
      </c>
      <c r="T732" s="639">
        <v>145.19999999999999</v>
      </c>
      <c r="U732" s="640">
        <v>24</v>
      </c>
      <c r="V732" s="639">
        <v>0.47399999999999998</v>
      </c>
      <c r="W732" s="639">
        <v>2.613</v>
      </c>
      <c r="X732" s="639">
        <v>68.824799999999996</v>
      </c>
      <c r="Y732" s="639">
        <v>379.4076</v>
      </c>
      <c r="Z732" s="639">
        <v>8.9499999999999993</v>
      </c>
      <c r="AA732" s="639">
        <v>446.32</v>
      </c>
      <c r="AB732" s="639">
        <v>941.59</v>
      </c>
      <c r="AC732" s="641">
        <v>64805</v>
      </c>
    </row>
    <row r="733" spans="1:29" ht="15.75" customHeight="1" x14ac:dyDescent="0.25">
      <c r="A733" s="427" t="s">
        <v>4678</v>
      </c>
      <c r="B733" s="309">
        <v>500</v>
      </c>
      <c r="C733" s="309" t="s">
        <v>4753</v>
      </c>
      <c r="D733" s="303" t="s">
        <v>34</v>
      </c>
      <c r="E733" s="303" t="s">
        <v>4467</v>
      </c>
      <c r="F733" s="528">
        <v>45533</v>
      </c>
      <c r="G733" s="528"/>
      <c r="H73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3" s="522" t="str">
        <f>CONCATENATE(Таблица47[[#This Row],[№ заявки в 1С]],Таблица47[[#This Row],[Наименование            ]])</f>
        <v>500[92999] д 90х90 B-Rxtr, 6,1м, БА</v>
      </c>
      <c r="J73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73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73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733" s="635"/>
      <c r="N733" s="1119">
        <v>1</v>
      </c>
      <c r="O733" s="1013">
        <f>IFERROR(Таблица47[[#This Row],[Количество хлыстов]]-Таблица47[[#This Row],[Обработано в 1С]]-Таблица47[[#This Row],[Корректировка]],"")</f>
        <v>0</v>
      </c>
      <c r="P733" s="638">
        <f>IFERROR((((Таблица47[[#This Row],[Осталось сделать, хлыст]]*Таблица47[[#This Row],[длина]])*Таблица47[[#This Row],[Периметр]])/28),"")</f>
        <v>0</v>
      </c>
      <c r="Q733" s="303"/>
      <c r="R733" s="991">
        <f>IFERROR(Таблица47[[#This Row],[Коли-
чество м.п.]]/Таблица47[[#This Row],[Количество хлыстов]],"")</f>
        <v>6.1</v>
      </c>
      <c r="S733" s="639" t="s">
        <v>5493</v>
      </c>
      <c r="T733" s="639">
        <v>6.1</v>
      </c>
      <c r="U733" s="640">
        <v>1</v>
      </c>
      <c r="V733" s="639">
        <v>0.70340000000000003</v>
      </c>
      <c r="W733" s="639">
        <v>6.0430000000000001</v>
      </c>
      <c r="X733" s="639">
        <v>4.2907000000000002</v>
      </c>
      <c r="Y733" s="639">
        <v>36.862299999999998</v>
      </c>
      <c r="Z733" s="639">
        <v>0.56000000000000005</v>
      </c>
      <c r="AA733" s="639">
        <v>817.21</v>
      </c>
      <c r="AB733" s="639">
        <v>1161.8</v>
      </c>
      <c r="AC733" s="641">
        <v>4985</v>
      </c>
    </row>
    <row r="734" spans="1:29" ht="15.75" customHeight="1" x14ac:dyDescent="0.25">
      <c r="A734" s="427" t="s">
        <v>4678</v>
      </c>
      <c r="B734" s="309">
        <v>501</v>
      </c>
      <c r="C734" s="309"/>
      <c r="D734" s="304" t="s">
        <v>13</v>
      </c>
      <c r="E734" s="304" t="s">
        <v>657</v>
      </c>
      <c r="F734" s="310">
        <v>45533</v>
      </c>
      <c r="G734" s="310">
        <v>45545</v>
      </c>
      <c r="H734" s="304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4" s="645" t="str">
        <f>CONCATENATE(Таблица47[[#This Row],[№ заявки в 1С]],Таблица47[[#This Row],[Наименование            ]])</f>
        <v>501[68773] 0906-71, 5,8 м, сплав 6063 КР Т1</v>
      </c>
      <c r="J734" s="110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231</v>
      </c>
      <c r="K734" s="110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231</v>
      </c>
      <c r="L734" s="110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231</v>
      </c>
      <c r="M734" s="1102"/>
      <c r="N734" s="1103">
        <v>231</v>
      </c>
      <c r="O734" s="1013">
        <f>IFERROR(Таблица47[[#This Row],[Количество хлыстов]]-Таблица47[[#This Row],[Обработано в 1С]]-Таблица47[[#This Row],[Корректировка]],"")</f>
        <v>0</v>
      </c>
      <c r="P734" s="638">
        <f>IFERROR((((Таблица47[[#This Row],[Осталось сделать, хлыст]]*Таблица47[[#This Row],[длина]])*Таблица47[[#This Row],[Периметр]])/28),"")</f>
        <v>0</v>
      </c>
      <c r="Q734" s="304"/>
      <c r="R734" s="991">
        <f>IFERROR(Таблица47[[#This Row],[Коли-
чество м.п.]]/Таблица47[[#This Row],[Количество хлыстов]],"")</f>
        <v>5.8</v>
      </c>
      <c r="S734" s="991" t="s">
        <v>2963</v>
      </c>
      <c r="T734" s="991">
        <v>1339.8</v>
      </c>
      <c r="U734" s="1018">
        <v>231</v>
      </c>
      <c r="V734" s="991">
        <v>0.1724</v>
      </c>
      <c r="W734" s="991">
        <v>0.41499999999999998</v>
      </c>
      <c r="X734" s="991">
        <v>230.98150000000001</v>
      </c>
      <c r="Y734" s="991">
        <v>556.01700000000005</v>
      </c>
      <c r="Z734" s="991">
        <v>30.03</v>
      </c>
      <c r="AA734" s="991">
        <v>78.44</v>
      </c>
      <c r="AB734" s="991">
        <v>455</v>
      </c>
      <c r="AC734" s="1019">
        <v>105096.59</v>
      </c>
    </row>
    <row r="735" spans="1:29" ht="15.75" customHeight="1" x14ac:dyDescent="0.25">
      <c r="A735" s="427" t="s">
        <v>4678</v>
      </c>
      <c r="B735" s="309">
        <v>504</v>
      </c>
      <c r="C735" s="309" t="s">
        <v>4753</v>
      </c>
      <c r="D735" s="303" t="s">
        <v>34</v>
      </c>
      <c r="E735" s="303" t="s">
        <v>5295</v>
      </c>
      <c r="F735" s="528">
        <v>45534</v>
      </c>
      <c r="G735" s="528">
        <v>45544</v>
      </c>
      <c r="H73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5" s="522" t="str">
        <f>CONCATENATE(Таблица47[[#This Row],[№ заявки в 1С]],Таблица47[[#This Row],[Наименование            ]])</f>
        <v>504[92307] ГЛКС 110510.110 Д, с обработкой 40 отв., без покрытия, 3300мм</v>
      </c>
      <c r="J73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26</v>
      </c>
      <c r="K73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26</v>
      </c>
      <c r="L73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26</v>
      </c>
      <c r="M735" s="635"/>
      <c r="N735" s="1119">
        <v>26</v>
      </c>
      <c r="O735" s="1013">
        <f>IFERROR(Таблица47[[#This Row],[Количество хлыстов]]-Таблица47[[#This Row],[Обработано в 1С]]-Таблица47[[#This Row],[Корректировка]],"")</f>
        <v>0</v>
      </c>
      <c r="P735" s="638">
        <f>IFERROR((((Таблица47[[#This Row],[Осталось сделать, хлыст]]*Таблица47[[#This Row],[длина]])*Таблица47[[#This Row],[Периметр]])/28),"")</f>
        <v>0</v>
      </c>
      <c r="Q735" s="303"/>
      <c r="R735" s="991">
        <f>IFERROR(Таблица47[[#This Row],[Коли-
чество м.п.]]/Таблица47[[#This Row],[Количество хлыстов]],"")</f>
        <v>1</v>
      </c>
      <c r="S735" s="639" t="s">
        <v>5294</v>
      </c>
      <c r="T735" s="639">
        <v>26</v>
      </c>
      <c r="U735" s="640">
        <v>26</v>
      </c>
      <c r="V735" s="639">
        <v>1.8629</v>
      </c>
      <c r="W735" s="639">
        <v>33.854999999999997</v>
      </c>
      <c r="X735" s="639">
        <v>48.435400000000001</v>
      </c>
      <c r="Y735" s="639">
        <v>880.23</v>
      </c>
      <c r="Z735" s="639">
        <v>6.3</v>
      </c>
      <c r="AA735" s="639">
        <v>5032.21</v>
      </c>
      <c r="AB735" s="639">
        <v>2701.28</v>
      </c>
      <c r="AC735" s="641">
        <v>130837.36</v>
      </c>
    </row>
    <row r="736" spans="1:29" ht="15.75" customHeight="1" x14ac:dyDescent="0.25">
      <c r="A736" s="427" t="s">
        <v>4678</v>
      </c>
      <c r="B736" s="309">
        <v>505</v>
      </c>
      <c r="C736" s="309"/>
      <c r="D736" s="303" t="s">
        <v>34</v>
      </c>
      <c r="E736" s="303" t="s">
        <v>79</v>
      </c>
      <c r="F736" s="528">
        <v>45534</v>
      </c>
      <c r="G736" s="528"/>
      <c r="H73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6" s="522" t="str">
        <f>CONCATENATE(Таблица47[[#This Row],[№ заявки в 1С]],Таблица47[[#This Row],[Наименование            ]])</f>
        <v>505[34579] 0906-44 (АТ-6052), 6,0м, БА с перфорацией</v>
      </c>
      <c r="J73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519</v>
      </c>
      <c r="K73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519</v>
      </c>
      <c r="L73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519</v>
      </c>
      <c r="M736" s="635"/>
      <c r="N736" s="1119">
        <v>519</v>
      </c>
      <c r="O736" s="1013">
        <f>IFERROR(Таблица47[[#This Row],[Количество хлыстов]]-Таблица47[[#This Row],[Обработано в 1С]]-Таблица47[[#This Row],[Корректировка]],"")</f>
        <v>0</v>
      </c>
      <c r="P736" s="638">
        <f>IFERROR((((Таблица47[[#This Row],[Осталось сделать, хлыст]]*Таблица47[[#This Row],[длина]])*Таблица47[[#This Row],[Периметр]])/28),"")</f>
        <v>0</v>
      </c>
      <c r="Q736" s="303"/>
      <c r="R736" s="991">
        <f>IFERROR(Таблица47[[#This Row],[Коли-
чество м.п.]]/Таблица47[[#This Row],[Количество хлыстов]],"")</f>
        <v>6</v>
      </c>
      <c r="S736" s="639" t="s">
        <v>78</v>
      </c>
      <c r="T736" s="639">
        <v>3114</v>
      </c>
      <c r="U736" s="640">
        <v>519</v>
      </c>
      <c r="V736" s="639">
        <v>0.20230000000000001</v>
      </c>
      <c r="W736" s="639">
        <v>0.499</v>
      </c>
      <c r="X736" s="639">
        <v>629.96220000000005</v>
      </c>
      <c r="Y736" s="639">
        <v>1553.886</v>
      </c>
      <c r="Z736" s="639">
        <v>81.900000000000006</v>
      </c>
      <c r="AA736" s="639">
        <v>79.91</v>
      </c>
      <c r="AB736" s="639">
        <v>395</v>
      </c>
      <c r="AC736" s="641">
        <v>248835.07</v>
      </c>
    </row>
    <row r="737" spans="1:29" customFormat="1" ht="15.75" customHeight="1" x14ac:dyDescent="0.25">
      <c r="A737" s="147" t="s">
        <v>4678</v>
      </c>
      <c r="B737" s="309">
        <v>506</v>
      </c>
      <c r="C737" s="309"/>
      <c r="D737" s="303" t="s">
        <v>34</v>
      </c>
      <c r="E737" s="303" t="s">
        <v>14</v>
      </c>
      <c r="F737" s="143">
        <v>45534</v>
      </c>
      <c r="G737" s="143"/>
      <c r="H737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7" s="522" t="str">
        <f>CONCATENATE(Таблица47[[#This Row],[№ заявки в 1С]],Таблица47[[#This Row],[Наименование            ]])</f>
        <v>506[16959] 0306-12, 6,0м, 6063 Т1 под анод, упаковка Т-5, БА</v>
      </c>
      <c r="J737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376</v>
      </c>
      <c r="K737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376</v>
      </c>
      <c r="L737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364</v>
      </c>
      <c r="M737" s="522">
        <v>12</v>
      </c>
      <c r="N737" s="393">
        <v>364</v>
      </c>
      <c r="O737" s="1001">
        <f>IFERROR(Таблица47[[#This Row],[Количество хлыстов]]-Таблица47[[#This Row],[Обработано в 1С]]-Таблица47[[#This Row],[Корректировка]],"")</f>
        <v>0</v>
      </c>
      <c r="P737" s="638">
        <f>IFERROR((((Таблица47[[#This Row],[Осталось сделать, хлыст]]*Таблица47[[#This Row],[длина]])*Таблица47[[#This Row],[Периметр]])/28),"")</f>
        <v>0</v>
      </c>
      <c r="Q737" s="142" t="s">
        <v>5826</v>
      </c>
      <c r="R737" s="280">
        <f>IFERROR(Таблица47[[#This Row],[Коли-
чество м.п.]]/Таблица47[[#This Row],[Количество хлыстов]],"")</f>
        <v>6</v>
      </c>
      <c r="S737" s="960" t="s">
        <v>5296</v>
      </c>
      <c r="T737" s="960">
        <v>2256</v>
      </c>
      <c r="U737" s="526">
        <v>376</v>
      </c>
      <c r="V737" s="525">
        <v>0.16289999999999999</v>
      </c>
      <c r="W737" s="525">
        <v>0.45800000000000002</v>
      </c>
      <c r="X737" s="525">
        <v>367.50240000000002</v>
      </c>
      <c r="Y737" s="525">
        <v>1033.248</v>
      </c>
      <c r="Z737" s="525">
        <v>47.78</v>
      </c>
      <c r="AA737" s="525">
        <v>71.680000000000007</v>
      </c>
      <c r="AB737" s="525">
        <v>440</v>
      </c>
      <c r="AC737" s="527">
        <v>161701.06</v>
      </c>
    </row>
    <row r="738" spans="1:29" ht="15.75" customHeight="1" x14ac:dyDescent="0.25">
      <c r="A738" s="427" t="s">
        <v>4678</v>
      </c>
      <c r="B738" s="309">
        <v>507</v>
      </c>
      <c r="C738" s="309"/>
      <c r="D738" s="303" t="s">
        <v>34</v>
      </c>
      <c r="E738" s="303" t="s">
        <v>19</v>
      </c>
      <c r="F738" s="528">
        <v>45534</v>
      </c>
      <c r="G738" s="528"/>
      <c r="H73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8" s="522" t="str">
        <f>CONCATENATE(Таблица47[[#This Row],[№ заявки в 1С]],Таблица47[[#This Row],[Наименование            ]])</f>
        <v>507[91744] 1606-30, 3,55м, 6063 Т6, упак.Т5 под анод, БА</v>
      </c>
      <c r="J73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48</v>
      </c>
      <c r="K73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48</v>
      </c>
      <c r="L73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48</v>
      </c>
      <c r="M738" s="635"/>
      <c r="N738" s="1119">
        <v>48</v>
      </c>
      <c r="O738" s="1013">
        <f>IFERROR(Таблица47[[#This Row],[Количество хлыстов]]-Таблица47[[#This Row],[Обработано в 1С]]-Таблица47[[#This Row],[Корректировка]],"")</f>
        <v>0</v>
      </c>
      <c r="P738" s="638">
        <f>IFERROR((((Таблица47[[#This Row],[Осталось сделать, хлыст]]*Таблица47[[#This Row],[длина]])*Таблица47[[#This Row],[Периметр]])/28),"")</f>
        <v>0</v>
      </c>
      <c r="Q738" s="303"/>
      <c r="R738" s="991">
        <f>IFERROR(Таблица47[[#This Row],[Коли-
чество м.п.]]/Таблица47[[#This Row],[Количество хлыстов]],"")</f>
        <v>3.5500000000000003</v>
      </c>
      <c r="S738" s="639" t="s">
        <v>5289</v>
      </c>
      <c r="T738" s="639">
        <v>170.4</v>
      </c>
      <c r="U738" s="640">
        <v>48</v>
      </c>
      <c r="V738" s="639">
        <v>0.27160000000000001</v>
      </c>
      <c r="W738" s="639">
        <v>0.72799999999999998</v>
      </c>
      <c r="X738" s="639">
        <v>46.2806</v>
      </c>
      <c r="Y738" s="639">
        <v>124.05119999999999</v>
      </c>
      <c r="Z738" s="639">
        <v>6.02</v>
      </c>
      <c r="AA738" s="639">
        <v>117.33</v>
      </c>
      <c r="AB738" s="639">
        <v>432</v>
      </c>
      <c r="AC738" s="641">
        <v>19993.240000000002</v>
      </c>
    </row>
    <row r="739" spans="1:29" customFormat="1" ht="15.75" customHeight="1" x14ac:dyDescent="0.25">
      <c r="A739" s="147" t="s">
        <v>4678</v>
      </c>
      <c r="B739" s="521" t="s">
        <v>5297</v>
      </c>
      <c r="C739" s="521"/>
      <c r="D739" s="142" t="s">
        <v>34</v>
      </c>
      <c r="E739" s="142" t="s">
        <v>16</v>
      </c>
      <c r="F739" s="143">
        <v>45537</v>
      </c>
      <c r="G739" s="143"/>
      <c r="H739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39" s="522" t="str">
        <f>CONCATENATE(Таблица47[[#This Row],[№ заявки в 1С]],Таблица47[[#This Row],[Наименование            ]])</f>
        <v>OPT000889[38436] 0506-21, 6,0м, 6063 Т1, тип 1, упаковка Т-5, БА</v>
      </c>
      <c r="J739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273</v>
      </c>
      <c r="K739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273</v>
      </c>
      <c r="L739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273</v>
      </c>
      <c r="M739" s="522"/>
      <c r="N739" s="393">
        <v>273</v>
      </c>
      <c r="O739" s="1001">
        <f>IFERROR(Таблица47[[#This Row],[Количество хлыстов]]-Таблица47[[#This Row],[Обработано в 1С]]-Таблица47[[#This Row],[Корректировка]],"")</f>
        <v>0</v>
      </c>
      <c r="P739" s="638">
        <f>IFERROR((((Таблица47[[#This Row],[Осталось сделать, хлыст]]*Таблица47[[#This Row],[длина]])*Таблица47[[#This Row],[Периметр]])/28),"")</f>
        <v>0</v>
      </c>
      <c r="Q739" s="142"/>
      <c r="R739" s="280">
        <f>IFERROR(Таблица47[[#This Row],[Коли-
чество м.п.]]/Таблица47[[#This Row],[Количество хлыстов]],"")</f>
        <v>6</v>
      </c>
      <c r="S739" s="525" t="s">
        <v>2469</v>
      </c>
      <c r="T739" s="525">
        <v>1638</v>
      </c>
      <c r="U739" s="526">
        <v>273</v>
      </c>
      <c r="V739" s="525">
        <v>0.70820000000000005</v>
      </c>
      <c r="W739" s="525">
        <v>3.4609999999999999</v>
      </c>
      <c r="X739" s="525">
        <v>1160.0316</v>
      </c>
      <c r="Y739" s="525">
        <v>5669.1180000000004</v>
      </c>
      <c r="Z739" s="525">
        <v>150.80000000000001</v>
      </c>
      <c r="AA739" s="525">
        <v>322.23</v>
      </c>
      <c r="AB739" s="525">
        <v>455</v>
      </c>
      <c r="AC739" s="527">
        <v>527814.38</v>
      </c>
    </row>
    <row r="740" spans="1:29" ht="15.75" customHeight="1" x14ac:dyDescent="0.25">
      <c r="A740" s="427" t="s">
        <v>4678</v>
      </c>
      <c r="B740" s="309">
        <v>508</v>
      </c>
      <c r="C740" s="309" t="s">
        <v>4753</v>
      </c>
      <c r="D740" s="303" t="s">
        <v>34</v>
      </c>
      <c r="E740" s="303" t="s">
        <v>5169</v>
      </c>
      <c r="F740" s="528">
        <v>45538</v>
      </c>
      <c r="G740" s="528"/>
      <c r="H7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0" s="522" t="str">
        <f>CONCATENATE(Таблица47[[#This Row],[№ заявки в 1С]],Таблица47[[#This Row],[Наименование            ]])</f>
        <v>508[92750] д Труба алюм. (дуга) 20х20х1,5мм, АД31 Т1, 2,0м</v>
      </c>
      <c r="J74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28</v>
      </c>
      <c r="K74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28</v>
      </c>
      <c r="L74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28</v>
      </c>
      <c r="M740" s="635"/>
      <c r="N740" s="1119">
        <v>28</v>
      </c>
      <c r="O740" s="1013">
        <f>IFERROR(Таблица47[[#This Row],[Количество хлыстов]]-Таблица47[[#This Row],[Обработано в 1С]]-Таблица47[[#This Row],[Корректировка]],"")</f>
        <v>0</v>
      </c>
      <c r="P740" s="638">
        <f>IFERROR((((Таблица47[[#This Row],[Осталось сделать, хлыст]]*Таблица47[[#This Row],[длина]])*Таблица47[[#This Row],[Периметр]])/28),"")</f>
        <v>0</v>
      </c>
      <c r="Q740" s="303"/>
      <c r="R740" s="991">
        <f>IFERROR(Таблица47[[#This Row],[Коли-
чество м.п.]]/Таблица47[[#This Row],[Количество хлыстов]],"")</f>
        <v>2</v>
      </c>
      <c r="S740" s="639" t="s">
        <v>5298</v>
      </c>
      <c r="T740" s="639">
        <v>56</v>
      </c>
      <c r="U740" s="640">
        <v>28</v>
      </c>
      <c r="V740" s="639">
        <v>0.08</v>
      </c>
      <c r="W740" s="639">
        <v>0.30099999999999999</v>
      </c>
      <c r="X740" s="639">
        <v>4.4800000000000004</v>
      </c>
      <c r="Y740" s="639">
        <v>16.856000000000002</v>
      </c>
      <c r="Z740" s="639">
        <v>0.57999999999999996</v>
      </c>
      <c r="AA740" s="639">
        <v>515.66999999999996</v>
      </c>
      <c r="AB740" s="639">
        <v>6445.87</v>
      </c>
      <c r="AC740" s="641">
        <v>28877.5</v>
      </c>
    </row>
    <row r="741" spans="1:29" ht="15.75" customHeight="1" x14ac:dyDescent="0.25">
      <c r="A741" s="427" t="s">
        <v>4678</v>
      </c>
      <c r="B741" s="309">
        <v>508</v>
      </c>
      <c r="C741" s="309" t="s">
        <v>4753</v>
      </c>
      <c r="D741" s="303" t="s">
        <v>34</v>
      </c>
      <c r="E741" s="303" t="s">
        <v>5169</v>
      </c>
      <c r="F741" s="528">
        <v>45538</v>
      </c>
      <c r="G741" s="528"/>
      <c r="H74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1" s="522" t="str">
        <f>CONCATENATE(Таблица47[[#This Row],[№ заявки в 1С]],Таблица47[[#This Row],[Наименование            ]])</f>
        <v>508[90827] д Труба круглая 80х3мм, АД31 Т1, 6,0м</v>
      </c>
      <c r="J74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</v>
      </c>
      <c r="K74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</v>
      </c>
      <c r="L74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</v>
      </c>
      <c r="M741" s="635"/>
      <c r="N741" s="1119">
        <v>11</v>
      </c>
      <c r="O741" s="1013">
        <f>IFERROR(Таблица47[[#This Row],[Количество хлыстов]]-Таблица47[[#This Row],[Обработано в 1С]]-Таблица47[[#This Row],[Корректировка]],"")</f>
        <v>0</v>
      </c>
      <c r="P741" s="638">
        <f>IFERROR((((Таблица47[[#This Row],[Осталось сделать, хлыст]]*Таблица47[[#This Row],[длина]])*Таблица47[[#This Row],[Периметр]])/28),"")</f>
        <v>0</v>
      </c>
      <c r="Q741" s="303"/>
      <c r="R741" s="991">
        <f>IFERROR(Таблица47[[#This Row],[Коли-
чество м.п.]]/Таблица47[[#This Row],[Количество хлыстов]],"")</f>
        <v>6</v>
      </c>
      <c r="S741" s="639" t="s">
        <v>5299</v>
      </c>
      <c r="T741" s="639">
        <v>66</v>
      </c>
      <c r="U741" s="640">
        <v>11</v>
      </c>
      <c r="V741" s="639">
        <v>0.25130000000000002</v>
      </c>
      <c r="W741" s="639">
        <v>1.9670000000000001</v>
      </c>
      <c r="X741" s="639">
        <v>16.585799999999999</v>
      </c>
      <c r="Y741" s="639">
        <v>129.822</v>
      </c>
      <c r="Z741" s="639">
        <v>2.16</v>
      </c>
      <c r="AA741" s="639">
        <v>350.03</v>
      </c>
      <c r="AB741" s="639">
        <v>1392.88</v>
      </c>
      <c r="AC741" s="641">
        <v>23102</v>
      </c>
    </row>
    <row r="742" spans="1:29" ht="15.75" customHeight="1" x14ac:dyDescent="0.25">
      <c r="A742" s="427" t="s">
        <v>4678</v>
      </c>
      <c r="B742" s="309">
        <v>508</v>
      </c>
      <c r="C742" s="309" t="s">
        <v>4753</v>
      </c>
      <c r="D742" s="303" t="s">
        <v>34</v>
      </c>
      <c r="E742" s="303" t="s">
        <v>5169</v>
      </c>
      <c r="F742" s="528">
        <v>45538</v>
      </c>
      <c r="G742" s="528"/>
      <c r="H74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2" s="522" t="str">
        <f>CONCATENATE(Таблица47[[#This Row],[№ заявки в 1С]],Таблица47[[#This Row],[Наименование            ]])</f>
        <v>508[92752] д Труба алюм. 80х3мм, АД31 Т1, 3,5м</v>
      </c>
      <c r="J74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74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74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742" s="635"/>
      <c r="N742" s="1119">
        <v>8</v>
      </c>
      <c r="O742" s="1013">
        <f>IFERROR(Таблица47[[#This Row],[Количество хлыстов]]-Таблица47[[#This Row],[Обработано в 1С]]-Таблица47[[#This Row],[Корректировка]],"")</f>
        <v>0</v>
      </c>
      <c r="P742" s="638">
        <f>IFERROR((((Таблица47[[#This Row],[Осталось сделать, хлыст]]*Таблица47[[#This Row],[длина]])*Таблица47[[#This Row],[Периметр]])/28),"")</f>
        <v>0</v>
      </c>
      <c r="Q742" s="303"/>
      <c r="R742" s="991">
        <f>IFERROR(Таблица47[[#This Row],[Коли-
чество м.п.]]/Таблица47[[#This Row],[Количество хлыстов]],"")</f>
        <v>3.5</v>
      </c>
      <c r="S742" s="639" t="s">
        <v>5300</v>
      </c>
      <c r="T742" s="639">
        <v>28</v>
      </c>
      <c r="U742" s="640">
        <v>8</v>
      </c>
      <c r="V742" s="639">
        <v>0.25130000000000002</v>
      </c>
      <c r="W742" s="639">
        <v>1.9670000000000001</v>
      </c>
      <c r="X742" s="639">
        <v>7.0364000000000004</v>
      </c>
      <c r="Y742" s="639">
        <v>55.076000000000001</v>
      </c>
      <c r="Z742" s="639">
        <v>0.91</v>
      </c>
      <c r="AA742" s="639">
        <v>1031.3399999999999</v>
      </c>
      <c r="AB742" s="639">
        <v>4104.0200000000004</v>
      </c>
      <c r="AC742" s="641">
        <v>28877.5</v>
      </c>
    </row>
    <row r="743" spans="1:29" ht="15.75" customHeight="1" x14ac:dyDescent="0.25">
      <c r="A743" s="427" t="s">
        <v>4678</v>
      </c>
      <c r="B743" s="309">
        <v>508</v>
      </c>
      <c r="C743" s="309" t="s">
        <v>4753</v>
      </c>
      <c r="D743" s="303" t="s">
        <v>34</v>
      </c>
      <c r="E743" s="303" t="s">
        <v>5169</v>
      </c>
      <c r="F743" s="528">
        <v>45538</v>
      </c>
      <c r="G743" s="528"/>
      <c r="H74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3" s="522" t="str">
        <f>CONCATENATE(Таблица47[[#This Row],[№ заявки в 1С]],Таблица47[[#This Row],[Наименование            ]])</f>
        <v>508[92754] д Уголок алюм. 30х30х3мм, АД31 Т1, 6,0м</v>
      </c>
      <c r="J74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74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74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743" s="635"/>
      <c r="N743" s="1119">
        <v>1</v>
      </c>
      <c r="O743" s="1013">
        <f>IFERROR(Таблица47[[#This Row],[Количество хлыстов]]-Таблица47[[#This Row],[Обработано в 1С]]-Таблица47[[#This Row],[Корректировка]],"")</f>
        <v>0</v>
      </c>
      <c r="P743" s="638">
        <f>IFERROR((((Таблица47[[#This Row],[Осталось сделать, хлыст]]*Таблица47[[#This Row],[длина]])*Таблица47[[#This Row],[Периметр]])/28),"")</f>
        <v>0</v>
      </c>
      <c r="Q743" s="303"/>
      <c r="R743" s="991">
        <f>IFERROR(Таблица47[[#This Row],[Коли-
чество м.п.]]/Таблица47[[#This Row],[Количество хлыстов]],"")</f>
        <v>6</v>
      </c>
      <c r="S743" s="639" t="s">
        <v>5301</v>
      </c>
      <c r="T743" s="639">
        <v>6</v>
      </c>
      <c r="U743" s="640">
        <v>1</v>
      </c>
      <c r="V743" s="639">
        <v>0.12</v>
      </c>
      <c r="W743" s="639">
        <v>0.46300000000000002</v>
      </c>
      <c r="X743" s="639">
        <v>0.72</v>
      </c>
      <c r="Y743" s="639">
        <v>2.778</v>
      </c>
      <c r="Z743" s="639">
        <v>0.09</v>
      </c>
      <c r="AA743" s="639">
        <v>481.29</v>
      </c>
      <c r="AB743" s="639">
        <v>4010.76</v>
      </c>
      <c r="AC743" s="641">
        <v>2887.75</v>
      </c>
    </row>
    <row r="744" spans="1:29" ht="15.75" customHeight="1" x14ac:dyDescent="0.25">
      <c r="A744" s="427" t="s">
        <v>4678</v>
      </c>
      <c r="B744" s="309">
        <v>508</v>
      </c>
      <c r="C744" s="309" t="s">
        <v>4753</v>
      </c>
      <c r="D744" s="303" t="s">
        <v>34</v>
      </c>
      <c r="E744" s="303" t="s">
        <v>5169</v>
      </c>
      <c r="F744" s="528">
        <v>45538</v>
      </c>
      <c r="G744" s="528"/>
      <c r="H74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4" s="522" t="str">
        <f>CONCATENATE(Таблица47[[#This Row],[№ заявки в 1С]],Таблица47[[#This Row],[Наименование            ]])</f>
        <v>508[92756] д Полоса алюм. 100х5мм, АД31 Т1, 6,0м</v>
      </c>
      <c r="J74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74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74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744" s="635"/>
      <c r="N744" s="1119">
        <v>1</v>
      </c>
      <c r="O744" s="1013">
        <f>IFERROR(Таблица47[[#This Row],[Количество хлыстов]]-Таблица47[[#This Row],[Обработано в 1С]]-Таблица47[[#This Row],[Корректировка]],"")</f>
        <v>0</v>
      </c>
      <c r="P744" s="638">
        <f>IFERROR((((Таблица47[[#This Row],[Осталось сделать, хлыст]]*Таблица47[[#This Row],[длина]])*Таблица47[[#This Row],[Периметр]])/28),"")</f>
        <v>0</v>
      </c>
      <c r="Q744" s="303"/>
      <c r="R744" s="991">
        <f>IFERROR(Таблица47[[#This Row],[Коли-
чество м.п.]]/Таблица47[[#This Row],[Количество хлыстов]],"")</f>
        <v>6</v>
      </c>
      <c r="S744" s="639" t="s">
        <v>5302</v>
      </c>
      <c r="T744" s="639">
        <v>6</v>
      </c>
      <c r="U744" s="640">
        <v>1</v>
      </c>
      <c r="V744" s="639">
        <v>0.21</v>
      </c>
      <c r="W744" s="639">
        <v>1.355</v>
      </c>
      <c r="X744" s="639">
        <v>1.26</v>
      </c>
      <c r="Y744" s="639">
        <v>8.1300000000000008</v>
      </c>
      <c r="Z744" s="639">
        <v>0.16</v>
      </c>
      <c r="AA744" s="639">
        <v>481.29</v>
      </c>
      <c r="AB744" s="639">
        <v>2291.87</v>
      </c>
      <c r="AC744" s="641">
        <v>2887.75</v>
      </c>
    </row>
    <row r="745" spans="1:29" ht="15.75" customHeight="1" x14ac:dyDescent="0.25">
      <c r="A745" s="427" t="s">
        <v>4678</v>
      </c>
      <c r="B745" s="309">
        <v>508</v>
      </c>
      <c r="C745" s="309" t="s">
        <v>4753</v>
      </c>
      <c r="D745" s="303" t="s">
        <v>34</v>
      </c>
      <c r="E745" s="303" t="s">
        <v>5169</v>
      </c>
      <c r="F745" s="528">
        <v>45538</v>
      </c>
      <c r="G745" s="528"/>
      <c r="H74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5" s="522" t="str">
        <f>CONCATENATE(Таблица47[[#This Row],[№ заявки в 1С]],Таблица47[[#This Row],[Наименование            ]])</f>
        <v>508[92758] д Труба алюм. 60х60х2мм, АД31 Т1, 6,0м</v>
      </c>
      <c r="J74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74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74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745" s="635"/>
      <c r="N745" s="1119">
        <v>1</v>
      </c>
      <c r="O745" s="1013">
        <f>IFERROR(Таблица47[[#This Row],[Количество хлыстов]]-Таблица47[[#This Row],[Обработано в 1С]]-Таблица47[[#This Row],[Корректировка]],"")</f>
        <v>0</v>
      </c>
      <c r="P745" s="638">
        <f>IFERROR((((Таблица47[[#This Row],[Осталось сделать, хлыст]]*Таблица47[[#This Row],[длина]])*Таблица47[[#This Row],[Периметр]])/28),"")</f>
        <v>0</v>
      </c>
      <c r="Q745" s="303"/>
      <c r="R745" s="991">
        <f>IFERROR(Таблица47[[#This Row],[Коли-
чество м.п.]]/Таблица47[[#This Row],[Количество хлыстов]],"")</f>
        <v>6</v>
      </c>
      <c r="S745" s="639" t="s">
        <v>5303</v>
      </c>
      <c r="T745" s="639">
        <v>6</v>
      </c>
      <c r="U745" s="640">
        <v>1</v>
      </c>
      <c r="V745" s="639">
        <v>0.24</v>
      </c>
      <c r="W745" s="639">
        <v>1.2569999999999999</v>
      </c>
      <c r="X745" s="639">
        <v>1.44</v>
      </c>
      <c r="Y745" s="639">
        <v>7.5419999999999998</v>
      </c>
      <c r="Z745" s="639">
        <v>0.19</v>
      </c>
      <c r="AA745" s="639">
        <v>481.25</v>
      </c>
      <c r="AB745" s="639">
        <v>2005.21</v>
      </c>
      <c r="AC745" s="641">
        <v>2887.5</v>
      </c>
    </row>
    <row r="746" spans="1:29" ht="15.75" customHeight="1" x14ac:dyDescent="0.25">
      <c r="A746" s="427" t="s">
        <v>4678</v>
      </c>
      <c r="B746" s="309">
        <v>508</v>
      </c>
      <c r="C746" s="309" t="s">
        <v>4753</v>
      </c>
      <c r="D746" s="303" t="s">
        <v>34</v>
      </c>
      <c r="E746" s="303" t="s">
        <v>5169</v>
      </c>
      <c r="F746" s="528">
        <v>45538</v>
      </c>
      <c r="G746" s="528"/>
      <c r="H74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6" s="522" t="str">
        <f>CONCATENATE(Таблица47[[#This Row],[№ заявки в 1С]],Таблица47[[#This Row],[Наименование            ]])</f>
        <v>508[90828] д кольцо 115х75мм,  АД31 Т1, 5мм</v>
      </c>
      <c r="J74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85</v>
      </c>
      <c r="K74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85</v>
      </c>
      <c r="L74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85</v>
      </c>
      <c r="M746" s="635"/>
      <c r="N746" s="1119">
        <v>85</v>
      </c>
      <c r="O746" s="1013">
        <f>IFERROR(Таблица47[[#This Row],[Количество хлыстов]]-Таблица47[[#This Row],[Обработано в 1С]]-Таблица47[[#This Row],[Корректировка]],"")</f>
        <v>0</v>
      </c>
      <c r="P746" s="638">
        <f>IFERROR((((Таблица47[[#This Row],[Осталось сделать, хлыст]]*Таблица47[[#This Row],[длина]])*Таблица47[[#This Row],[Периметр]])/28),"")</f>
        <v>0</v>
      </c>
      <c r="Q746" s="303"/>
      <c r="R746" s="991">
        <f>IFERROR(Таблица47[[#This Row],[Коли-
чество м.п.]]/Таблица47[[#This Row],[Количество хлыстов]],"")</f>
        <v>1</v>
      </c>
      <c r="S746" s="639" t="s">
        <v>5112</v>
      </c>
      <c r="T746" s="639">
        <v>85</v>
      </c>
      <c r="U746" s="640">
        <v>85</v>
      </c>
      <c r="V746" s="639">
        <v>0.193</v>
      </c>
      <c r="W746" s="639" t="s">
        <v>17</v>
      </c>
      <c r="X746" s="639">
        <v>16.405000000000001</v>
      </c>
      <c r="Y746" s="639" t="s">
        <v>17</v>
      </c>
      <c r="Z746" s="639">
        <v>2.13</v>
      </c>
      <c r="AA746" s="639">
        <v>290</v>
      </c>
      <c r="AB746" s="639">
        <v>5350.55</v>
      </c>
      <c r="AC746" s="641">
        <v>24650</v>
      </c>
    </row>
    <row r="747" spans="1:29" ht="15.75" customHeight="1" x14ac:dyDescent="0.25">
      <c r="A747" s="427" t="s">
        <v>4678</v>
      </c>
      <c r="B747" s="309">
        <v>508</v>
      </c>
      <c r="C747" s="309" t="s">
        <v>4753</v>
      </c>
      <c r="D747" s="303" t="s">
        <v>34</v>
      </c>
      <c r="E747" s="303" t="s">
        <v>5169</v>
      </c>
      <c r="F747" s="528">
        <v>45538</v>
      </c>
      <c r="G747" s="528"/>
      <c r="H74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7" s="522" t="str">
        <f>CONCATENATE(Таблица47[[#This Row],[№ заявки в 1С]],Таблица47[[#This Row],[Наименование            ]])</f>
        <v>508[90829] д кольцо 230х75мм, АД31 Т1, 5мм</v>
      </c>
      <c r="J74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</v>
      </c>
      <c r="K74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</v>
      </c>
      <c r="L74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</v>
      </c>
      <c r="M747" s="635"/>
      <c r="N747" s="1119">
        <v>15</v>
      </c>
      <c r="O747" s="1013">
        <f>IFERROR(Таблица47[[#This Row],[Количество хлыстов]]-Таблица47[[#This Row],[Обработано в 1С]]-Таблица47[[#This Row],[Корректировка]],"")</f>
        <v>0</v>
      </c>
      <c r="P747" s="638">
        <f>IFERROR((((Таблица47[[#This Row],[Осталось сделать, хлыст]]*Таблица47[[#This Row],[длина]])*Таблица47[[#This Row],[Периметр]])/28),"")</f>
        <v>0</v>
      </c>
      <c r="Q747" s="303"/>
      <c r="R747" s="991">
        <f>IFERROR(Таблица47[[#This Row],[Коли-
чество м.п.]]/Таблица47[[#This Row],[Количество хлыстов]],"")</f>
        <v>1</v>
      </c>
      <c r="S747" s="639" t="s">
        <v>5114</v>
      </c>
      <c r="T747" s="639">
        <v>15</v>
      </c>
      <c r="U747" s="640">
        <v>15</v>
      </c>
      <c r="V747" s="639">
        <v>0.29199999999999998</v>
      </c>
      <c r="W747" s="639" t="s">
        <v>17</v>
      </c>
      <c r="X747" s="639">
        <v>4.38</v>
      </c>
      <c r="Y747" s="639" t="s">
        <v>17</v>
      </c>
      <c r="Z747" s="639">
        <v>0.56999999999999995</v>
      </c>
      <c r="AA747" s="639">
        <v>440</v>
      </c>
      <c r="AB747" s="639">
        <v>4059.04</v>
      </c>
      <c r="AC747" s="641">
        <v>6600</v>
      </c>
    </row>
    <row r="748" spans="1:29" ht="15.75" customHeight="1" x14ac:dyDescent="0.25">
      <c r="A748" s="427" t="s">
        <v>4678</v>
      </c>
      <c r="B748" s="309">
        <v>508</v>
      </c>
      <c r="C748" s="309" t="s">
        <v>4753</v>
      </c>
      <c r="D748" s="303" t="s">
        <v>34</v>
      </c>
      <c r="E748" s="303" t="s">
        <v>5169</v>
      </c>
      <c r="F748" s="528">
        <v>45538</v>
      </c>
      <c r="G748" s="528"/>
      <c r="H74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8" s="522" t="str">
        <f>CONCATENATE(Таблица47[[#This Row],[№ заявки в 1С]],Таблица47[[#This Row],[Наименование            ]])</f>
        <v>508[92760] д Уголок алюм. 30х15х1,5мм, АД31 Т1, 6,0м</v>
      </c>
      <c r="J74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</v>
      </c>
      <c r="K74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</v>
      </c>
      <c r="L74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</v>
      </c>
      <c r="M748" s="635"/>
      <c r="N748" s="1119">
        <v>12</v>
      </c>
      <c r="O748" s="1013">
        <f>IFERROR(Таблица47[[#This Row],[Количество хлыстов]]-Таблица47[[#This Row],[Обработано в 1С]]-Таблица47[[#This Row],[Корректировка]],"")</f>
        <v>0</v>
      </c>
      <c r="P748" s="638">
        <f>IFERROR((((Таблица47[[#This Row],[Осталось сделать, хлыст]]*Таблица47[[#This Row],[длина]])*Таблица47[[#This Row],[Периметр]])/28),"")</f>
        <v>0</v>
      </c>
      <c r="Q748" s="303"/>
      <c r="R748" s="991">
        <f>IFERROR(Таблица47[[#This Row],[Коли-
чество м.п.]]/Таблица47[[#This Row],[Количество хлыстов]],"")</f>
        <v>6</v>
      </c>
      <c r="S748" s="639" t="s">
        <v>5304</v>
      </c>
      <c r="T748" s="639">
        <v>72</v>
      </c>
      <c r="U748" s="640">
        <v>12</v>
      </c>
      <c r="V748" s="639">
        <v>0.09</v>
      </c>
      <c r="W748" s="639">
        <v>0.17699999999999999</v>
      </c>
      <c r="X748" s="639">
        <v>6.48</v>
      </c>
      <c r="Y748" s="639">
        <v>12.744</v>
      </c>
      <c r="Z748" s="639">
        <v>0.84</v>
      </c>
      <c r="AA748" s="639">
        <v>360.97</v>
      </c>
      <c r="AB748" s="639">
        <v>4010.8</v>
      </c>
      <c r="AC748" s="641">
        <v>25990</v>
      </c>
    </row>
    <row r="749" spans="1:29" ht="15.75" customHeight="1" x14ac:dyDescent="0.25">
      <c r="A749" s="427" t="s">
        <v>4678</v>
      </c>
      <c r="B749" s="309">
        <v>509</v>
      </c>
      <c r="C749" s="309"/>
      <c r="D749" s="303" t="s">
        <v>13</v>
      </c>
      <c r="E749" s="303" t="s">
        <v>5339</v>
      </c>
      <c r="F749" s="528">
        <v>45539</v>
      </c>
      <c r="G749" s="528"/>
      <c r="H74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49" s="522" t="str">
        <f>CONCATENATE(Таблица47[[#This Row],[№ заявки в 1С]],Таблица47[[#This Row],[Наименование            ]])</f>
        <v>509[865] автополоса 155*4мм (0106-152)  6,0м  60631 Т6  уп Т5</v>
      </c>
      <c r="J74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4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4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49" s="635"/>
      <c r="N749" s="1119">
        <v>108</v>
      </c>
      <c r="O749" s="1013" t="str">
        <f>IFERROR(Таблица47[[#This Row],[Количество хлыстов]]-Таблица47[[#This Row],[Обработано в 1С]]-Таблица47[[#This Row],[Корректировка]],"")</f>
        <v/>
      </c>
      <c r="P749" s="638" t="str">
        <f>IFERROR((((Таблица47[[#This Row],[Осталось сделать, хлыст]]*Таблица47[[#This Row],[длина]])*Таблица47[[#This Row],[Периметр]])/28),"")</f>
        <v/>
      </c>
      <c r="Q749" s="303"/>
      <c r="R749" s="991">
        <f>IFERROR(Таблица47[[#This Row],[Коли-
чество м.п.]]/Таблица47[[#This Row],[Количество хлыстов]],"")</f>
        <v>6</v>
      </c>
      <c r="S749" s="639" t="s">
        <v>4748</v>
      </c>
      <c r="T749" s="639">
        <v>648</v>
      </c>
      <c r="U749" s="640">
        <v>108</v>
      </c>
      <c r="V749" s="639">
        <v>0.33660000000000001</v>
      </c>
      <c r="W749" s="639">
        <v>1.2350000000000001</v>
      </c>
      <c r="X749" s="639">
        <v>218.11680000000001</v>
      </c>
      <c r="Y749" s="639">
        <v>800.28</v>
      </c>
      <c r="Z749" s="639">
        <v>28.36</v>
      </c>
      <c r="AA749" s="639">
        <v>146.41999999999999</v>
      </c>
      <c r="AB749" s="639">
        <v>435</v>
      </c>
      <c r="AC749" s="641">
        <v>94880.81</v>
      </c>
    </row>
    <row r="750" spans="1:29" ht="15.75" customHeight="1" x14ac:dyDescent="0.25">
      <c r="A750" s="427" t="s">
        <v>4678</v>
      </c>
      <c r="B750" s="309">
        <v>510</v>
      </c>
      <c r="C750" s="309"/>
      <c r="D750" s="303" t="s">
        <v>13</v>
      </c>
      <c r="E750" s="303" t="s">
        <v>292</v>
      </c>
      <c r="F750" s="528">
        <v>45447</v>
      </c>
      <c r="G750" s="528"/>
      <c r="H75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0" s="522" t="str">
        <f>CONCATENATE(Таблица47[[#This Row],[№ заявки в 1С]],Таблица47[[#This Row],[Наименование            ]])</f>
        <v>510[87626] 0106-107, 4,0м, 6063 Т6, уп.Т5</v>
      </c>
      <c r="J75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128</v>
      </c>
      <c r="K75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128</v>
      </c>
      <c r="L75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128</v>
      </c>
      <c r="M750" s="635"/>
      <c r="N750" s="1119">
        <v>128</v>
      </c>
      <c r="O750" s="1013">
        <f>IFERROR(Таблица47[[#This Row],[Количество хлыстов]]-Таблица47[[#This Row],[Обработано в 1С]]-Таблица47[[#This Row],[Корректировка]],"")</f>
        <v>0</v>
      </c>
      <c r="P750" s="638">
        <f>IFERROR((((Таблица47[[#This Row],[Осталось сделать, хлыст]]*Таблица47[[#This Row],[длина]])*Таблица47[[#This Row],[Периметр]])/28),"")</f>
        <v>0</v>
      </c>
      <c r="Q750" s="303"/>
      <c r="R750" s="991">
        <f>IFERROR(Таблица47[[#This Row],[Коли-
чество м.п.]]/Таблица47[[#This Row],[Количество хлыстов]],"")</f>
        <v>4</v>
      </c>
      <c r="S750" s="639" t="s">
        <v>4544</v>
      </c>
      <c r="T750" s="639">
        <v>512</v>
      </c>
      <c r="U750" s="640">
        <v>128</v>
      </c>
      <c r="V750" s="639">
        <v>0.3266</v>
      </c>
      <c r="W750" s="639">
        <v>0.84099999999999997</v>
      </c>
      <c r="X750" s="639">
        <v>167.2192</v>
      </c>
      <c r="Y750" s="639">
        <v>430.59199999999998</v>
      </c>
      <c r="Z750" s="639">
        <v>21.74</v>
      </c>
      <c r="AA750" s="639">
        <v>164.61</v>
      </c>
      <c r="AB750" s="639">
        <v>504</v>
      </c>
      <c r="AC750" s="641">
        <v>84278.48</v>
      </c>
    </row>
    <row r="751" spans="1:29" ht="15.75" customHeight="1" x14ac:dyDescent="0.25">
      <c r="A751" s="427" t="s">
        <v>4678</v>
      </c>
      <c r="B751" s="309">
        <v>511</v>
      </c>
      <c r="C751" s="309"/>
      <c r="D751" s="303" t="s">
        <v>13</v>
      </c>
      <c r="E751" s="303" t="s">
        <v>556</v>
      </c>
      <c r="F751" s="528">
        <v>45539</v>
      </c>
      <c r="G751" s="528">
        <v>45546</v>
      </c>
      <c r="H75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1" s="522" t="str">
        <f>CONCATENATE(Таблица47[[#This Row],[№ заявки в 1С]],Таблица47[[#This Row],[Наименование            ]])</f>
        <v>511[87833] 1806-93, 6,0м, сплав 6063 КР, состТ6, упаковка.Т5</v>
      </c>
      <c r="J75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192</v>
      </c>
      <c r="K75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192</v>
      </c>
      <c r="L75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191</v>
      </c>
      <c r="M751" s="635">
        <v>1</v>
      </c>
      <c r="N751" s="635">
        <f>65+70+56</f>
        <v>191</v>
      </c>
      <c r="O751" s="1013">
        <f>IFERROR(Таблица47[[#This Row],[Количество хлыстов]]-Таблица47[[#This Row],[Обработано в 1С]]-Таблица47[[#This Row],[Корректировка]],"")</f>
        <v>0</v>
      </c>
      <c r="P751" s="638">
        <f>IFERROR((((Таблица47[[#This Row],[Осталось сделать, хлыст]]*Таблица47[[#This Row],[длина]])*Таблица47[[#This Row],[Периметр]])/28),"")</f>
        <v>0</v>
      </c>
      <c r="Q751" s="303" t="s">
        <v>4937</v>
      </c>
      <c r="R751" s="991">
        <f>IFERROR(Таблица47[[#This Row],[Коли-
чество м.п.]]/Таблица47[[#This Row],[Количество хлыстов]],"")</f>
        <v>6</v>
      </c>
      <c r="S751" s="639" t="s">
        <v>4785</v>
      </c>
      <c r="T751" s="639">
        <v>1152</v>
      </c>
      <c r="U751" s="640">
        <v>192</v>
      </c>
      <c r="V751" s="639">
        <v>0.41899999999999998</v>
      </c>
      <c r="W751" s="639">
        <v>0.75800000000000001</v>
      </c>
      <c r="X751" s="639">
        <v>482.68799999999999</v>
      </c>
      <c r="Y751" s="639">
        <v>873.21600000000001</v>
      </c>
      <c r="Z751" s="639">
        <v>62.75</v>
      </c>
      <c r="AA751" s="639">
        <v>190.65</v>
      </c>
      <c r="AB751" s="639">
        <v>455</v>
      </c>
      <c r="AC751" s="641">
        <v>219623.04000000001</v>
      </c>
    </row>
    <row r="752" spans="1:29" ht="15.75" customHeight="1" x14ac:dyDescent="0.25">
      <c r="A752" s="427" t="s">
        <v>4678</v>
      </c>
      <c r="B752" s="309">
        <v>512</v>
      </c>
      <c r="C752" s="309"/>
      <c r="D752" s="303" t="s">
        <v>34</v>
      </c>
      <c r="E752" s="303" t="s">
        <v>14</v>
      </c>
      <c r="F752" s="528"/>
      <c r="G752" s="528"/>
      <c r="H75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2" s="522" t="str">
        <f>CONCATENATE(Таблица47[[#This Row],[№ заявки в 1С]],Таблица47[[#This Row],[Наименование            ]])</f>
        <v>512[61781] 0106-136, 6,05м, 6063 Т1, упаковка Т-5, БА</v>
      </c>
      <c r="J75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190</v>
      </c>
      <c r="K75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190</v>
      </c>
      <c r="L75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190</v>
      </c>
      <c r="M752" s="635"/>
      <c r="N752" s="1119">
        <v>190</v>
      </c>
      <c r="O752" s="1013">
        <f>IFERROR(Таблица47[[#This Row],[Количество хлыстов]]-Таблица47[[#This Row],[Обработано в 1С]]-Таблица47[[#This Row],[Корректировка]],"")</f>
        <v>0</v>
      </c>
      <c r="P752" s="638">
        <f>IFERROR((((Таблица47[[#This Row],[Осталось сделать, хлыст]]*Таблица47[[#This Row],[длина]])*Таблица47[[#This Row],[Периметр]])/28),"")</f>
        <v>0</v>
      </c>
      <c r="Q752" s="303"/>
      <c r="R752" s="991">
        <f>IFERROR(Таблица47[[#This Row],[Коли-
чество м.п.]]/Таблица47[[#This Row],[Количество хлыстов]],"")</f>
        <v>6.05</v>
      </c>
      <c r="S752" s="639" t="s">
        <v>652</v>
      </c>
      <c r="T752" s="639">
        <v>1149.5</v>
      </c>
      <c r="U752" s="640">
        <v>190</v>
      </c>
      <c r="V752" s="639">
        <v>0.1061</v>
      </c>
      <c r="W752" s="639">
        <v>0.63800000000000001</v>
      </c>
      <c r="X752" s="639">
        <v>121.962</v>
      </c>
      <c r="Y752" s="639">
        <v>733.38099999999997</v>
      </c>
      <c r="Z752" s="639">
        <v>15.86</v>
      </c>
      <c r="AA752" s="639">
        <v>46.68</v>
      </c>
      <c r="AB752" s="639">
        <v>440</v>
      </c>
      <c r="AC752" s="641">
        <v>53663.26</v>
      </c>
    </row>
    <row r="753" spans="1:29" ht="15.75" customHeight="1" x14ac:dyDescent="0.25">
      <c r="A753" s="427" t="s">
        <v>4678</v>
      </c>
      <c r="B753" s="309">
        <v>513</v>
      </c>
      <c r="C753" s="309"/>
      <c r="D753" s="303" t="s">
        <v>34</v>
      </c>
      <c r="E753" s="303" t="s">
        <v>201</v>
      </c>
      <c r="F753" s="528">
        <v>45541</v>
      </c>
      <c r="G753" s="528"/>
      <c r="H75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3" s="522" t="str">
        <f>CONCATENATE(Таблица47[[#This Row],[№ заявки в 1С]],Таблица47[[#This Row],[Наименование            ]])</f>
        <v>513[33879] 0906-63, 6,0м, 6063КР, БА</v>
      </c>
      <c r="J75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116</v>
      </c>
      <c r="K75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116</v>
      </c>
      <c r="L75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116</v>
      </c>
      <c r="M753" s="635"/>
      <c r="N753" s="1119">
        <v>116</v>
      </c>
      <c r="O753" s="1013">
        <f>IFERROR(Таблица47[[#This Row],[Количество хлыстов]]-Таблица47[[#This Row],[Обработано в 1С]]-Таблица47[[#This Row],[Корректировка]],"")</f>
        <v>0</v>
      </c>
      <c r="P753" s="638">
        <f>IFERROR((((Таблица47[[#This Row],[Осталось сделать, хлыст]]*Таблица47[[#This Row],[длина]])*Таблица47[[#This Row],[Периметр]])/28),"")</f>
        <v>0</v>
      </c>
      <c r="Q753" s="303"/>
      <c r="R753" s="991">
        <f>IFERROR(Таблица47[[#This Row],[Коли-
чество м.п.]]/Таблица47[[#This Row],[Количество хлыстов]],"")</f>
        <v>6</v>
      </c>
      <c r="S753" s="639" t="s">
        <v>2202</v>
      </c>
      <c r="T753" s="639">
        <v>696</v>
      </c>
      <c r="U753" s="640">
        <v>116</v>
      </c>
      <c r="V753" s="639">
        <v>0.28760000000000002</v>
      </c>
      <c r="W753" s="639">
        <v>0.76700000000000002</v>
      </c>
      <c r="X753" s="639">
        <v>200.1696</v>
      </c>
      <c r="Y753" s="639">
        <v>533.83199999999999</v>
      </c>
      <c r="Z753" s="639">
        <v>26.02</v>
      </c>
      <c r="AA753" s="639">
        <v>130.86000000000001</v>
      </c>
      <c r="AB753" s="639">
        <v>455</v>
      </c>
      <c r="AC753" s="641">
        <v>91077.17</v>
      </c>
    </row>
    <row r="754" spans="1:29" ht="15.75" customHeight="1" x14ac:dyDescent="0.25">
      <c r="A754" s="427" t="s">
        <v>4678</v>
      </c>
      <c r="B754" s="309">
        <v>514</v>
      </c>
      <c r="C754" s="309"/>
      <c r="D754" s="303" t="s">
        <v>34</v>
      </c>
      <c r="E754" s="303" t="s">
        <v>861</v>
      </c>
      <c r="F754" s="528">
        <v>45541</v>
      </c>
      <c r="G754" s="528"/>
      <c r="H75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4" s="522" t="str">
        <f>CONCATENATE(Таблица47[[#This Row],[№ заявки в 1С]],Таблица47[[#This Row],[Наименование            ]])</f>
        <v>514[69453] 1506-44 (АВА-7225), 6,0м, 6063 Т1, тип 1,  упак. Т5, БА</v>
      </c>
      <c r="J75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66</v>
      </c>
      <c r="K75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66</v>
      </c>
      <c r="L75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66</v>
      </c>
      <c r="M754" s="635"/>
      <c r="N754" s="1119">
        <v>66</v>
      </c>
      <c r="O754" s="1013">
        <f>IFERROR(Таблица47[[#This Row],[Количество хлыстов]]-Таблица47[[#This Row],[Обработано в 1С]]-Таблица47[[#This Row],[Корректировка]],"")</f>
        <v>0</v>
      </c>
      <c r="P754" s="638">
        <f>IFERROR((((Таблица47[[#This Row],[Осталось сделать, хлыст]]*Таблица47[[#This Row],[длина]])*Таблица47[[#This Row],[Периметр]])/28),"")</f>
        <v>0</v>
      </c>
      <c r="Q754" s="303"/>
      <c r="R754" s="991">
        <f>IFERROR(Таблица47[[#This Row],[Коли-
чество м.п.]]/Таблица47[[#This Row],[Количество хлыстов]],"")</f>
        <v>6</v>
      </c>
      <c r="S754" s="639" t="s">
        <v>4393</v>
      </c>
      <c r="T754" s="639">
        <v>396</v>
      </c>
      <c r="U754" s="640">
        <v>66</v>
      </c>
      <c r="V754" s="639">
        <v>0.47389999999999999</v>
      </c>
      <c r="W754" s="639">
        <v>1.355</v>
      </c>
      <c r="X754" s="639">
        <v>187.6644</v>
      </c>
      <c r="Y754" s="639">
        <v>536.58000000000004</v>
      </c>
      <c r="Z754" s="639">
        <v>24.4</v>
      </c>
      <c r="AA754" s="639">
        <v>196.67</v>
      </c>
      <c r="AB754" s="639">
        <v>415</v>
      </c>
      <c r="AC754" s="641">
        <v>77880.73</v>
      </c>
    </row>
    <row r="755" spans="1:29" ht="15.75" customHeight="1" x14ac:dyDescent="0.25">
      <c r="A755" s="427" t="s">
        <v>4678</v>
      </c>
      <c r="B755" s="309">
        <v>515</v>
      </c>
      <c r="C755" s="309"/>
      <c r="D755" s="303" t="s">
        <v>34</v>
      </c>
      <c r="E755" s="303" t="s">
        <v>19</v>
      </c>
      <c r="F755" s="528">
        <v>45541</v>
      </c>
      <c r="G755" s="528"/>
      <c r="H75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5" s="522" t="str">
        <f>CONCATENATE(Таблица47[[#This Row],[№ заявки в 1С]],Таблица47[[#This Row],[Наименование            ]])</f>
        <v>515[91034] 1506-79, 3,6м, 6063 Т6, упак.Т5, БА</v>
      </c>
      <c r="J75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323</v>
      </c>
      <c r="K75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323</v>
      </c>
      <c r="L75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323</v>
      </c>
      <c r="M755" s="635"/>
      <c r="N755" s="1119">
        <v>323</v>
      </c>
      <c r="O755" s="1013">
        <f>IFERROR(Таблица47[[#This Row],[Количество хлыстов]]-Таблица47[[#This Row],[Обработано в 1С]]-Таблица47[[#This Row],[Корректировка]],"")</f>
        <v>0</v>
      </c>
      <c r="P755" s="638">
        <f>IFERROR((((Таблица47[[#This Row],[Осталось сделать, хлыст]]*Таблица47[[#This Row],[длина]])*Таблица47[[#This Row],[Периметр]])/28),"")</f>
        <v>0</v>
      </c>
      <c r="Q755" s="303"/>
      <c r="R755" s="991">
        <f>IFERROR(Таблица47[[#This Row],[Коли-
чество м.п.]]/Таблица47[[#This Row],[Количество хлыстов]],"")</f>
        <v>3.5999999999999996</v>
      </c>
      <c r="S755" s="639" t="s">
        <v>5158</v>
      </c>
      <c r="T755" s="639">
        <v>1162.8</v>
      </c>
      <c r="U755" s="640">
        <v>323</v>
      </c>
      <c r="V755" s="639">
        <v>0.3402</v>
      </c>
      <c r="W755" s="639">
        <v>1.4530000000000001</v>
      </c>
      <c r="X755" s="639">
        <v>395.58460000000002</v>
      </c>
      <c r="Y755" s="639">
        <v>1689.5483999999999</v>
      </c>
      <c r="Z755" s="639">
        <v>51.43</v>
      </c>
      <c r="AA755" s="639">
        <v>146.97</v>
      </c>
      <c r="AB755" s="639">
        <v>432</v>
      </c>
      <c r="AC755" s="641">
        <v>170896.72</v>
      </c>
    </row>
    <row r="756" spans="1:29" ht="15.75" customHeight="1" x14ac:dyDescent="0.25">
      <c r="A756" s="427" t="s">
        <v>4678</v>
      </c>
      <c r="B756" s="309">
        <v>516</v>
      </c>
      <c r="C756" s="309"/>
      <c r="D756" s="303" t="s">
        <v>13</v>
      </c>
      <c r="E756" s="303" t="s">
        <v>556</v>
      </c>
      <c r="F756" s="528">
        <v>45544</v>
      </c>
      <c r="G756" s="528">
        <v>45552</v>
      </c>
      <c r="H75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6" s="522" t="str">
        <f>CONCATENATE(Таблица47[[#This Row],[№ заявки в 1С]],Таблица47[[#This Row],[Наименование            ]])</f>
        <v>516[87827] 223276 6,0м 6063 Т66</v>
      </c>
      <c r="J75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145</v>
      </c>
      <c r="K75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145</v>
      </c>
      <c r="L75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141</v>
      </c>
      <c r="M756" s="635">
        <v>4</v>
      </c>
      <c r="N756" s="1119">
        <v>141</v>
      </c>
      <c r="O756" s="1013">
        <f>IFERROR(Таблица47[[#This Row],[Количество хлыстов]]-Таблица47[[#This Row],[Обработано в 1С]]-Таблица47[[#This Row],[Корректировка]],"")</f>
        <v>0</v>
      </c>
      <c r="P756" s="638">
        <f>IFERROR((((Таблица47[[#This Row],[Осталось сделать, хлыст]]*Таблица47[[#This Row],[длина]])*Таблица47[[#This Row],[Периметр]])/28),"")</f>
        <v>0</v>
      </c>
      <c r="Q756" s="303" t="s">
        <v>4761</v>
      </c>
      <c r="R756" s="991">
        <f>IFERROR(Таблица47[[#This Row],[Коли-
чество м.п.]]/Таблица47[[#This Row],[Количество хлыстов]],"")</f>
        <v>6</v>
      </c>
      <c r="S756" s="639" t="s">
        <v>4667</v>
      </c>
      <c r="T756" s="639">
        <v>870</v>
      </c>
      <c r="U756" s="640">
        <v>145</v>
      </c>
      <c r="V756" s="639">
        <v>0.34839999999999999</v>
      </c>
      <c r="W756" s="639">
        <v>0.55000000000000004</v>
      </c>
      <c r="X756" s="639">
        <v>303.108</v>
      </c>
      <c r="Y756" s="639">
        <v>478.5</v>
      </c>
      <c r="Z756" s="639">
        <v>39.4</v>
      </c>
      <c r="AA756" s="639">
        <v>158.52000000000001</v>
      </c>
      <c r="AB756" s="639">
        <v>455</v>
      </c>
      <c r="AC756" s="641">
        <v>137914.14000000001</v>
      </c>
    </row>
    <row r="757" spans="1:29" ht="15.75" customHeight="1" x14ac:dyDescent="0.25">
      <c r="A757" s="427" t="s">
        <v>4678</v>
      </c>
      <c r="B757" s="309">
        <v>517</v>
      </c>
      <c r="C757" s="309"/>
      <c r="D757" s="303" t="s">
        <v>34</v>
      </c>
      <c r="E757" s="303" t="s">
        <v>2205</v>
      </c>
      <c r="F757" s="528">
        <v>45547</v>
      </c>
      <c r="G757" s="528"/>
      <c r="H75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7" s="522" t="str">
        <f>CONCATENATE(Таблица47[[#This Row],[№ заявки в 1С]],Таблица47[[#This Row],[Наименование            ]])</f>
        <v>517[76744] V017-8156, 3,05м, БА</v>
      </c>
      <c r="J75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78</v>
      </c>
      <c r="K75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78</v>
      </c>
      <c r="L75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78</v>
      </c>
      <c r="M757" s="635"/>
      <c r="N757" s="1119">
        <v>78</v>
      </c>
      <c r="O757" s="1013">
        <f>IFERROR(Таблица47[[#This Row],[Количество хлыстов]]-Таблица47[[#This Row],[Обработано в 1С]]-Таблица47[[#This Row],[Корректировка]],"")</f>
        <v>0</v>
      </c>
      <c r="P757" s="638">
        <f>IFERROR((((Таблица47[[#This Row],[Осталось сделать, хлыст]]*Таблица47[[#This Row],[длина]])*Таблица47[[#This Row],[Периметр]])/28),"")</f>
        <v>0</v>
      </c>
      <c r="Q757" s="303"/>
      <c r="R757" s="991">
        <f>IFERROR(Таблица47[[#This Row],[Коли-
чество м.п.]]/Таблица47[[#This Row],[Количество хлыстов]],"")</f>
        <v>3.0500000000000003</v>
      </c>
      <c r="S757" s="639" t="s">
        <v>1362</v>
      </c>
      <c r="T757" s="639">
        <v>237.9</v>
      </c>
      <c r="U757" s="640">
        <v>78</v>
      </c>
      <c r="V757" s="639">
        <v>0.91269999999999996</v>
      </c>
      <c r="W757" s="639">
        <v>4.5439999999999996</v>
      </c>
      <c r="X757" s="639">
        <v>217.13130000000001</v>
      </c>
      <c r="Y757" s="639">
        <v>1081.0175999999999</v>
      </c>
      <c r="Z757" s="639">
        <v>28.23</v>
      </c>
      <c r="AA757" s="639">
        <v>513.71</v>
      </c>
      <c r="AB757" s="639">
        <v>562.85</v>
      </c>
      <c r="AC757" s="641">
        <v>122211.48</v>
      </c>
    </row>
    <row r="758" spans="1:29" ht="15.75" customHeight="1" x14ac:dyDescent="0.25">
      <c r="A758" s="427" t="s">
        <v>4678</v>
      </c>
      <c r="B758" s="309">
        <v>518</v>
      </c>
      <c r="C758" s="309" t="s">
        <v>4753</v>
      </c>
      <c r="D758" s="303" t="s">
        <v>34</v>
      </c>
      <c r="E758" s="303" t="s">
        <v>5314</v>
      </c>
      <c r="F758" s="528">
        <v>45547</v>
      </c>
      <c r="G758" s="528"/>
      <c r="H75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8" s="522" t="str">
        <f>CONCATENATE(Таблица47[[#This Row],[№ заявки в 1С]],Таблица47[[#This Row],[Наименование            ]])</f>
        <v>518[93010] д труба прямоуг. 160х80х4мм, 6м,  АД31 Т1, БА</v>
      </c>
      <c r="J75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</v>
      </c>
      <c r="K75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</v>
      </c>
      <c r="L75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</v>
      </c>
      <c r="M758" s="635"/>
      <c r="N758" s="1119">
        <v>6</v>
      </c>
      <c r="O758" s="1013">
        <f>IFERROR(Таблица47[[#This Row],[Количество хлыстов]]-Таблица47[[#This Row],[Обработано в 1С]]-Таблица47[[#This Row],[Корректировка]],"")</f>
        <v>0</v>
      </c>
      <c r="P758" s="638">
        <f>IFERROR((((Таблица47[[#This Row],[Осталось сделать, хлыст]]*Таблица47[[#This Row],[длина]])*Таблица47[[#This Row],[Периметр]])/28),"")</f>
        <v>0</v>
      </c>
      <c r="Q758" s="303"/>
      <c r="R758" s="991">
        <f>IFERROR(Таблица47[[#This Row],[Коли-
чество м.п.]]/Таблица47[[#This Row],[Количество хлыстов]],"")</f>
        <v>6</v>
      </c>
      <c r="S758" s="639" t="s">
        <v>5313</v>
      </c>
      <c r="T758" s="639">
        <v>36</v>
      </c>
      <c r="U758" s="640">
        <v>6</v>
      </c>
      <c r="V758" s="639">
        <v>0.48</v>
      </c>
      <c r="W758" s="639">
        <v>4.9400000000000004</v>
      </c>
      <c r="X758" s="639">
        <v>17.28</v>
      </c>
      <c r="Y758" s="639">
        <v>177.84</v>
      </c>
      <c r="Z758" s="639">
        <v>2.25</v>
      </c>
      <c r="AA758" s="639">
        <v>774.76</v>
      </c>
      <c r="AB758" s="639">
        <v>1614.07</v>
      </c>
      <c r="AC758" s="641">
        <v>27891.200000000001</v>
      </c>
    </row>
    <row r="759" spans="1:29" ht="15.75" customHeight="1" x14ac:dyDescent="0.25">
      <c r="A759" s="427" t="s">
        <v>4678</v>
      </c>
      <c r="B759" s="309">
        <v>521</v>
      </c>
      <c r="C759" s="309"/>
      <c r="D759" s="303" t="s">
        <v>13</v>
      </c>
      <c r="E759" s="303" t="s">
        <v>4747</v>
      </c>
      <c r="F759" s="528">
        <v>45548</v>
      </c>
      <c r="G759" s="528"/>
      <c r="H75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59" s="522" t="str">
        <f>CONCATENATE(Таблица47[[#This Row],[№ заявки в 1С]],Таблица47[[#This Row],[Наименование            ]])</f>
        <v>521[87626] 0106-107, 4,0м, 6063 Т6, уп.Т5</v>
      </c>
      <c r="J75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194</v>
      </c>
      <c r="K75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194</v>
      </c>
      <c r="L75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193</v>
      </c>
      <c r="M759" s="635">
        <v>1</v>
      </c>
      <c r="N759" s="1119">
        <v>193</v>
      </c>
      <c r="O759" s="1013">
        <f>IFERROR(Таблица47[[#This Row],[Количество хлыстов]]-Таблица47[[#This Row],[Обработано в 1С]]-Таблица47[[#This Row],[Корректировка]],"")</f>
        <v>0</v>
      </c>
      <c r="P759" s="638">
        <f>IFERROR((((Таблица47[[#This Row],[Осталось сделать, хлыст]]*Таблица47[[#This Row],[длина]])*Таблица47[[#This Row],[Периметр]])/28),"")</f>
        <v>0</v>
      </c>
      <c r="Q759" s="303"/>
      <c r="R759" s="991">
        <f>IFERROR(Таблица47[[#This Row],[Коли-
чество м.п.]]/Таблица47[[#This Row],[Количество хлыстов]],"")</f>
        <v>4</v>
      </c>
      <c r="S759" s="639" t="s">
        <v>4544</v>
      </c>
      <c r="T759" s="639">
        <v>776</v>
      </c>
      <c r="U759" s="640">
        <v>194</v>
      </c>
      <c r="V759" s="639">
        <v>0.3266</v>
      </c>
      <c r="W759" s="639">
        <v>0.84099999999999997</v>
      </c>
      <c r="X759" s="639">
        <v>253.44159999999999</v>
      </c>
      <c r="Y759" s="639">
        <v>652.61599999999999</v>
      </c>
      <c r="Z759" s="639">
        <v>32.950000000000003</v>
      </c>
      <c r="AA759" s="639">
        <v>164.61</v>
      </c>
      <c r="AB759" s="639">
        <v>504</v>
      </c>
      <c r="AC759" s="641">
        <v>127734.57</v>
      </c>
    </row>
    <row r="760" spans="1:29" ht="15.75" customHeight="1" x14ac:dyDescent="0.25">
      <c r="A760" s="427" t="s">
        <v>4678</v>
      </c>
      <c r="B760" s="309">
        <v>521</v>
      </c>
      <c r="C760" s="309"/>
      <c r="D760" s="303" t="s">
        <v>13</v>
      </c>
      <c r="E760" s="303" t="s">
        <v>4747</v>
      </c>
      <c r="F760" s="528">
        <v>45548</v>
      </c>
      <c r="G760" s="528"/>
      <c r="H76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0" s="522" t="str">
        <f>CONCATENATE(Таблица47[[#This Row],[№ заявки в 1С]],Таблица47[[#This Row],[Наименование            ]])</f>
        <v>521[85155] 0106-107, 4,6м, 6063 Т6, уп.Т5</v>
      </c>
      <c r="J76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328</v>
      </c>
      <c r="K76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328</v>
      </c>
      <c r="L76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322.00000000000006</v>
      </c>
      <c r="M760" s="635">
        <v>6</v>
      </c>
      <c r="N760" s="1119">
        <v>322</v>
      </c>
      <c r="O760" s="1013">
        <f>IFERROR(Таблица47[[#This Row],[Количество хлыстов]]-Таблица47[[#This Row],[Обработано в 1С]]-Таблица47[[#This Row],[Корректировка]],"")</f>
        <v>-5.6843418860808015E-14</v>
      </c>
      <c r="P760" s="638">
        <f>IFERROR((((Таблица47[[#This Row],[Осталось сделать, хлыст]]*Таблица47[[#This Row],[длина]])*Таблица47[[#This Row],[Периметр]])/28),"")</f>
        <v>-3.0499742414186975E-15</v>
      </c>
      <c r="Q760" s="303" t="s">
        <v>5155</v>
      </c>
      <c r="R760" s="991">
        <f>IFERROR(Таблица47[[#This Row],[Коли-
чество м.п.]]/Таблица47[[#This Row],[Количество хлыстов]],"")</f>
        <v>4.5999999999999996</v>
      </c>
      <c r="S760" s="639" t="s">
        <v>3974</v>
      </c>
      <c r="T760" s="639">
        <v>1508.8</v>
      </c>
      <c r="U760" s="640">
        <v>328</v>
      </c>
      <c r="V760" s="639">
        <v>0.3266</v>
      </c>
      <c r="W760" s="639">
        <v>0.84099999999999997</v>
      </c>
      <c r="X760" s="639">
        <v>492.77409999999998</v>
      </c>
      <c r="Y760" s="639">
        <v>1268.9007999999999</v>
      </c>
      <c r="Z760" s="639">
        <v>64.06</v>
      </c>
      <c r="AA760" s="639">
        <v>164.61</v>
      </c>
      <c r="AB760" s="639">
        <v>504</v>
      </c>
      <c r="AC760" s="641">
        <v>248358.14</v>
      </c>
    </row>
    <row r="761" spans="1:29" ht="15.75" customHeight="1" x14ac:dyDescent="0.25">
      <c r="A761" s="427" t="s">
        <v>4678</v>
      </c>
      <c r="B761" s="309">
        <v>522</v>
      </c>
      <c r="C761" s="309"/>
      <c r="D761" s="303" t="s">
        <v>13</v>
      </c>
      <c r="E761" s="303" t="s">
        <v>5315</v>
      </c>
      <c r="F761" s="528">
        <v>45548</v>
      </c>
      <c r="G761" s="528">
        <v>45558</v>
      </c>
      <c r="H76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1" s="522" t="str">
        <f>CONCATENATE(Таблица47[[#This Row],[№ заявки в 1С]],Таблица47[[#This Row],[Наименование            ]])</f>
        <v>522[37634] 0906-85, 4,0м,  6063 КР Т1</v>
      </c>
      <c r="J76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6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6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61" s="635">
        <v>7</v>
      </c>
      <c r="N761" s="1119">
        <v>332</v>
      </c>
      <c r="O761" s="1013" t="str">
        <f>IFERROR(Таблица47[[#This Row],[Количество хлыстов]]-Таблица47[[#This Row],[Обработано в 1С]]-Таблица47[[#This Row],[Корректировка]],"")</f>
        <v/>
      </c>
      <c r="P761" s="638" t="str">
        <f>IFERROR((((Таблица47[[#This Row],[Осталось сделать, хлыст]]*Таблица47[[#This Row],[длина]])*Таблица47[[#This Row],[Периметр]])/28),"")</f>
        <v/>
      </c>
      <c r="Q761" s="303" t="s">
        <v>5105</v>
      </c>
      <c r="R761" s="991">
        <f>IFERROR(Таблица47[[#This Row],[Коли-
чество м.п.]]/Таблица47[[#This Row],[Количество хлыстов]],"")</f>
        <v>4</v>
      </c>
      <c r="S761" s="639" t="s">
        <v>1767</v>
      </c>
      <c r="T761" s="639">
        <v>1356</v>
      </c>
      <c r="U761" s="640">
        <v>339</v>
      </c>
      <c r="V761" s="639">
        <v>0.1</v>
      </c>
      <c r="W761" s="639">
        <v>0.37</v>
      </c>
      <c r="X761" s="639">
        <v>135.6</v>
      </c>
      <c r="Y761" s="639">
        <v>501.72</v>
      </c>
      <c r="Z761" s="639">
        <v>17.63</v>
      </c>
      <c r="AA761" s="639">
        <v>53.9</v>
      </c>
      <c r="AB761" s="639">
        <v>539</v>
      </c>
      <c r="AC761" s="641">
        <v>73088.399999999994</v>
      </c>
    </row>
    <row r="762" spans="1:29" ht="15.75" x14ac:dyDescent="0.25">
      <c r="A762" s="427" t="s">
        <v>4678</v>
      </c>
      <c r="B762" s="309">
        <v>520</v>
      </c>
      <c r="C762" s="309"/>
      <c r="D762" s="303" t="s">
        <v>4858</v>
      </c>
      <c r="E762" s="303" t="s">
        <v>5213</v>
      </c>
      <c r="F762" s="528">
        <v>45548</v>
      </c>
      <c r="G762" s="528"/>
      <c r="H76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2" s="522" t="str">
        <f>CONCATENATE(Таблица47[[#This Row],[№ заявки в 1С]],Таблица47[[#This Row],[Наименование            ]])</f>
        <v>520[92690] Корпус_КУДР.676621.017.01-01 (1810мм) (Д) сплав 6063</v>
      </c>
      <c r="J76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1000</v>
      </c>
      <c r="K76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1000</v>
      </c>
      <c r="L76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1000</v>
      </c>
      <c r="M762" s="635"/>
      <c r="N762" s="1119">
        <v>1000</v>
      </c>
      <c r="O762" s="1013">
        <f>IFERROR(Таблица47[[#This Row],[Количество хлыстов]]-Таблица47[[#This Row],[Обработано в 1С]]-Таблица47[[#This Row],[Корректировка]],"")</f>
        <v>0</v>
      </c>
      <c r="P762" s="638">
        <f>IFERROR((((Таблица47[[#This Row],[Осталось сделать, хлыст]]*Таблица47[[#This Row],[длина]])*Таблица47[[#This Row],[Периметр]])/28),"")</f>
        <v>0</v>
      </c>
      <c r="Q762" s="303"/>
      <c r="R762" s="991">
        <f>IFERROR(Таблица47[[#This Row],[Коли-
чество м.п.]]/Таблица47[[#This Row],[Количество хлыстов]],"")</f>
        <v>1.81</v>
      </c>
      <c r="S762" s="639" t="s">
        <v>5490</v>
      </c>
      <c r="T762" s="639">
        <v>1810</v>
      </c>
      <c r="U762" s="640">
        <v>1000</v>
      </c>
      <c r="V762" s="639">
        <v>0.05</v>
      </c>
      <c r="W762" s="639">
        <v>8.4000000000000005E-2</v>
      </c>
      <c r="X762" s="639">
        <v>90.5</v>
      </c>
      <c r="Y762" s="639">
        <v>152.04</v>
      </c>
      <c r="Z762" s="639">
        <v>11.77</v>
      </c>
      <c r="AA762" s="639">
        <v>78.069999999999993</v>
      </c>
      <c r="AB762" s="639">
        <v>1561.4</v>
      </c>
      <c r="AC762" s="641">
        <v>141306.70000000001</v>
      </c>
    </row>
    <row r="763" spans="1:29" s="1021" customFormat="1" ht="15.75" x14ac:dyDescent="0.25">
      <c r="A763" s="1106" t="s">
        <v>5268</v>
      </c>
      <c r="B763" s="1067">
        <v>524</v>
      </c>
      <c r="C763" s="1067"/>
      <c r="D763" s="1068" t="s">
        <v>13</v>
      </c>
      <c r="E763" s="1068" t="s">
        <v>892</v>
      </c>
      <c r="F763" s="1069">
        <v>45551</v>
      </c>
      <c r="G763" s="1069"/>
      <c r="H763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3" s="620" t="str">
        <f>CONCATENATE(Таблица47[[#This Row],[№ заявки в 1С]],Таблица47[[#This Row],[Наименование            ]])</f>
        <v>524[88975] 1606-38 (197.05) 5,15 м, сплав Ад31 под покраску</v>
      </c>
      <c r="J763" s="1082">
        <v>433</v>
      </c>
      <c r="K763" s="1082">
        <v>433</v>
      </c>
      <c r="L763" s="1082">
        <v>433</v>
      </c>
      <c r="M763" s="1082"/>
      <c r="N763" s="1120">
        <v>433</v>
      </c>
      <c r="O763" s="1020">
        <f>IFERROR(Таблица47[[#This Row],[Количество хлыстов]]-Таблица47[[#This Row],[Обработано в 1С]]-Таблица47[[#This Row],[Корректировка]],"")</f>
        <v>0</v>
      </c>
      <c r="P763" s="638">
        <f>IFERROR((((Таблица47[[#This Row],[Осталось сделать, хлыст]]*Таблица47[[#This Row],[длина]])*Таблица47[[#This Row],[Периметр]])/28),"")</f>
        <v>0</v>
      </c>
      <c r="Q763" s="1068"/>
      <c r="R763" s="1089">
        <f>IFERROR(Таблица47[[#This Row],[Коли-
чество м.п.]]/Таблица47[[#This Row],[Количество хлыстов]],"")</f>
        <v>5.1499999999999995</v>
      </c>
      <c r="S763" s="1083" t="s">
        <v>4773</v>
      </c>
      <c r="T763" s="1083">
        <v>2229.9499999999998</v>
      </c>
      <c r="U763" s="1084">
        <v>433</v>
      </c>
      <c r="V763" s="1083">
        <v>0.15790000000000001</v>
      </c>
      <c r="W763" s="1083">
        <v>0.309</v>
      </c>
      <c r="X763" s="1083">
        <v>352.10910000000001</v>
      </c>
      <c r="Y763" s="1083">
        <v>689.05460000000005</v>
      </c>
      <c r="Z763" s="1083">
        <v>45.77</v>
      </c>
      <c r="AA763" s="1083">
        <v>52.11</v>
      </c>
      <c r="AB763" s="1083">
        <v>330</v>
      </c>
      <c r="AC763" s="1085">
        <v>116196</v>
      </c>
    </row>
    <row r="764" spans="1:29" s="1021" customFormat="1" ht="15.75" x14ac:dyDescent="0.25">
      <c r="A764" s="1106" t="s">
        <v>5268</v>
      </c>
      <c r="B764" s="1067">
        <v>524</v>
      </c>
      <c r="C764" s="1067"/>
      <c r="D764" s="1068" t="s">
        <v>13</v>
      </c>
      <c r="E764" s="1068" t="s">
        <v>892</v>
      </c>
      <c r="F764" s="1069">
        <v>45551</v>
      </c>
      <c r="G764" s="1069"/>
      <c r="H76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4" s="620" t="str">
        <f>CONCATENATE(Таблица47[[#This Row],[№ заявки в 1С]],Таблица47[[#This Row],[Наименование            ]])</f>
        <v>524[88976] 1606-39 (197.04) 4,85 м, сплав Ад31 под покраску</v>
      </c>
      <c r="J764" s="1082">
        <v>2325</v>
      </c>
      <c r="K764" s="1082">
        <v>2317</v>
      </c>
      <c r="L764" s="1082">
        <v>2317</v>
      </c>
      <c r="M764" s="1082">
        <v>8</v>
      </c>
      <c r="N764" s="1120">
        <v>2317</v>
      </c>
      <c r="O764" s="1020">
        <f>IFERROR(Таблица47[[#This Row],[Количество хлыстов]]-Таблица47[[#This Row],[Обработано в 1С]]-Таблица47[[#This Row],[Корректировка]],"")</f>
        <v>0</v>
      </c>
      <c r="P764" s="638">
        <f>IFERROR((((Таблица47[[#This Row],[Осталось сделать, хлыст]]*Таблица47[[#This Row],[длина]])*Таблица47[[#This Row],[Периметр]])/28),"")</f>
        <v>0</v>
      </c>
      <c r="Q764" s="1068"/>
      <c r="R764" s="1089">
        <f>IFERROR(Таблица47[[#This Row],[Коли-
чество м.п.]]/Таблица47[[#This Row],[Количество хлыстов]],"")</f>
        <v>4.8499999999999996</v>
      </c>
      <c r="S764" s="1083" t="s">
        <v>4774</v>
      </c>
      <c r="T764" s="1083">
        <v>11276.25</v>
      </c>
      <c r="U764" s="1084">
        <v>2325</v>
      </c>
      <c r="V764" s="1083">
        <v>9.5600000000000004E-2</v>
      </c>
      <c r="W764" s="1083">
        <v>0.16</v>
      </c>
      <c r="X764" s="1083">
        <v>1078.0094999999999</v>
      </c>
      <c r="Y764" s="1083">
        <v>1804.2</v>
      </c>
      <c r="Z764" s="1083">
        <v>140.13999999999999</v>
      </c>
      <c r="AA764" s="1083">
        <v>32.6</v>
      </c>
      <c r="AB764" s="1083">
        <v>341</v>
      </c>
      <c r="AC764" s="1085">
        <v>367601.24</v>
      </c>
    </row>
    <row r="765" spans="1:29" ht="15.75" customHeight="1" x14ac:dyDescent="0.25">
      <c r="A765" s="427" t="s">
        <v>4678</v>
      </c>
      <c r="B765" s="309">
        <v>525</v>
      </c>
      <c r="C765" s="309"/>
      <c r="D765" s="303" t="s">
        <v>34</v>
      </c>
      <c r="E765" s="303" t="s">
        <v>79</v>
      </c>
      <c r="F765" s="528">
        <v>45551</v>
      </c>
      <c r="G765" s="528"/>
      <c r="H76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5" s="522" t="str">
        <f>CONCATENATE(Таблица47[[#This Row],[№ заявки в 1С]],Таблица47[[#This Row],[Наименование            ]])</f>
        <v>525[34579] 0906-44 (АТ-6052), 6,0м, БА с перфорацией</v>
      </c>
      <c r="J76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222</v>
      </c>
      <c r="K76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222</v>
      </c>
      <c r="L76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212</v>
      </c>
      <c r="M765" s="635">
        <v>10</v>
      </c>
      <c r="N765" s="1119">
        <v>212</v>
      </c>
      <c r="O765" s="1013">
        <f>IFERROR(Таблица47[[#This Row],[Количество хлыстов]]-Таблица47[[#This Row],[Обработано в 1С]]-Таблица47[[#This Row],[Корректировка]],"")</f>
        <v>0</v>
      </c>
      <c r="P765" s="638">
        <f>IFERROR((((Таблица47[[#This Row],[Осталось сделать, хлыст]]*Таблица47[[#This Row],[длина]])*Таблица47[[#This Row],[Периметр]])/28),"")</f>
        <v>0</v>
      </c>
      <c r="Q765" s="303" t="s">
        <v>5694</v>
      </c>
      <c r="R765" s="991">
        <f>IFERROR(Таблица47[[#This Row],[Коли-
чество м.п.]]/Таблица47[[#This Row],[Количество хлыстов]],"")</f>
        <v>6</v>
      </c>
      <c r="S765" s="639" t="s">
        <v>78</v>
      </c>
      <c r="T765" s="639">
        <v>1332</v>
      </c>
      <c r="U765" s="640">
        <v>222</v>
      </c>
      <c r="V765" s="639">
        <v>0.20230000000000001</v>
      </c>
      <c r="W765" s="639">
        <v>0.499</v>
      </c>
      <c r="X765" s="639">
        <v>269.46359999999999</v>
      </c>
      <c r="Y765" s="639">
        <v>664.66800000000001</v>
      </c>
      <c r="Z765" s="639">
        <v>35.03</v>
      </c>
      <c r="AA765" s="639">
        <v>79.91</v>
      </c>
      <c r="AB765" s="639">
        <v>395</v>
      </c>
      <c r="AC765" s="641">
        <v>106440.12</v>
      </c>
    </row>
    <row r="766" spans="1:29" ht="15.75" customHeight="1" x14ac:dyDescent="0.25">
      <c r="A766" s="427" t="s">
        <v>4678</v>
      </c>
      <c r="B766" s="309">
        <v>526</v>
      </c>
      <c r="C766" s="309"/>
      <c r="D766" s="303" t="s">
        <v>13</v>
      </c>
      <c r="E766" s="303" t="s">
        <v>5250</v>
      </c>
      <c r="F766" s="528">
        <v>45551</v>
      </c>
      <c r="G766" s="528">
        <v>45572</v>
      </c>
      <c r="H76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6" s="522" t="str">
        <f>CONCATENATE(Таблица47[[#This Row],[№ заявки в 1С]],Таблица47[[#This Row],[Наименование            ]])</f>
        <v>526[54218] А 23 (0272-62), Направляющая нижняя под ролики, 5,0м, сплав 6063</v>
      </c>
      <c r="J76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306</v>
      </c>
      <c r="K76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306</v>
      </c>
      <c r="L76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306</v>
      </c>
      <c r="M766" s="635"/>
      <c r="N766" s="1119">
        <f>154+152</f>
        <v>306</v>
      </c>
      <c r="O766" s="1013">
        <f>IFERROR(Таблица47[[#This Row],[Количество хлыстов]]-Таблица47[[#This Row],[Обработано в 1С]]-Таблица47[[#This Row],[Корректировка]],"")</f>
        <v>0</v>
      </c>
      <c r="P766" s="638">
        <f>IFERROR((((Таблица47[[#This Row],[Осталось сделать, хлыст]]*Таблица47[[#This Row],[длина]])*Таблица47[[#This Row],[Периметр]])/28),"")</f>
        <v>0</v>
      </c>
      <c r="Q766" s="303"/>
      <c r="R766" s="991">
        <f>IFERROR(Таблица47[[#This Row],[Коли-
чество м.п.]]/Таблица47[[#This Row],[Количество хлыстов]],"")</f>
        <v>5</v>
      </c>
      <c r="S766" s="639" t="s">
        <v>5311</v>
      </c>
      <c r="T766" s="639">
        <v>1530</v>
      </c>
      <c r="U766" s="640">
        <v>306</v>
      </c>
      <c r="V766" s="639">
        <v>7.6700000000000004E-2</v>
      </c>
      <c r="W766" s="639">
        <v>0.17799999999999999</v>
      </c>
      <c r="X766" s="639">
        <v>117.351</v>
      </c>
      <c r="Y766" s="639">
        <v>272.33999999999997</v>
      </c>
      <c r="Z766" s="639">
        <v>15.26</v>
      </c>
      <c r="AA766" s="639">
        <v>34.9</v>
      </c>
      <c r="AB766" s="639">
        <v>455</v>
      </c>
      <c r="AC766" s="641">
        <v>53394.71</v>
      </c>
    </row>
    <row r="767" spans="1:29" ht="15.75" customHeight="1" x14ac:dyDescent="0.25">
      <c r="A767" s="427" t="s">
        <v>4678</v>
      </c>
      <c r="B767" s="309">
        <v>529</v>
      </c>
      <c r="C767" s="309"/>
      <c r="D767" s="303" t="s">
        <v>34</v>
      </c>
      <c r="E767" s="303" t="s">
        <v>201</v>
      </c>
      <c r="F767" s="528">
        <v>45552</v>
      </c>
      <c r="G767" s="528"/>
      <c r="H76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7" s="522" t="str">
        <f>CONCATENATE(Таблица47[[#This Row],[№ заявки в 1С]],Таблица47[[#This Row],[Наименование            ]])</f>
        <v>529[34252] 0906-64, 6,0м, 6063 Т1, упаковка Т-5, БА (4000 пресс)</v>
      </c>
      <c r="J76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157</v>
      </c>
      <c r="K76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157</v>
      </c>
      <c r="L76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142</v>
      </c>
      <c r="M767" s="635">
        <v>15</v>
      </c>
      <c r="N767" s="1119">
        <v>142</v>
      </c>
      <c r="O767" s="1013">
        <f>IFERROR(Таблица47[[#This Row],[Количество хлыстов]]-Таблица47[[#This Row],[Обработано в 1С]]-Таблица47[[#This Row],[Корректировка]],"")</f>
        <v>0</v>
      </c>
      <c r="P767" s="638">
        <f>IFERROR((((Таблица47[[#This Row],[Осталось сделать, хлыст]]*Таблица47[[#This Row],[длина]])*Таблица47[[#This Row],[Периметр]])/28),"")</f>
        <v>0</v>
      </c>
      <c r="Q767" s="303" t="s">
        <v>5322</v>
      </c>
      <c r="R767" s="991">
        <f>IFERROR(Таблица47[[#This Row],[Коли-
чество м.п.]]/Таблица47[[#This Row],[Количество хлыстов]],"")</f>
        <v>6</v>
      </c>
      <c r="S767" s="639" t="s">
        <v>2561</v>
      </c>
      <c r="T767" s="639">
        <v>942</v>
      </c>
      <c r="U767" s="640">
        <v>157</v>
      </c>
      <c r="V767" s="639">
        <v>0.31109999999999999</v>
      </c>
      <c r="W767" s="639">
        <v>1.7769999999999999</v>
      </c>
      <c r="X767" s="639">
        <v>293.05619999999999</v>
      </c>
      <c r="Y767" s="639">
        <v>1673.934</v>
      </c>
      <c r="Z767" s="639">
        <v>38.1</v>
      </c>
      <c r="AA767" s="639">
        <v>167.68</v>
      </c>
      <c r="AB767" s="639">
        <v>539</v>
      </c>
      <c r="AC767" s="641">
        <v>157957.29</v>
      </c>
    </row>
    <row r="768" spans="1:29" ht="15.75" customHeight="1" x14ac:dyDescent="0.25">
      <c r="A768" s="427" t="s">
        <v>4678</v>
      </c>
      <c r="B768" s="309">
        <v>530</v>
      </c>
      <c r="C768" s="309"/>
      <c r="D768" s="303" t="s">
        <v>13</v>
      </c>
      <c r="E768" s="303" t="s">
        <v>892</v>
      </c>
      <c r="F768" s="528">
        <v>45552</v>
      </c>
      <c r="G768" s="528"/>
      <c r="H76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8" s="522" t="str">
        <f>CONCATENATE(Таблица47[[#This Row],[№ заявки в 1С]],Таблица47[[#This Row],[Наименование            ]])</f>
        <v>530[76552] 1606-38 (197.05) 5,15 м, сплав 6063 КР Т6</v>
      </c>
      <c r="J76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191.99999999999997</v>
      </c>
      <c r="K76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456</v>
      </c>
      <c r="L76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454.99999999999994</v>
      </c>
      <c r="M768" s="635">
        <v>1</v>
      </c>
      <c r="N768" s="1119">
        <v>455</v>
      </c>
      <c r="O768" s="1013">
        <f>IFERROR(Таблица47[[#This Row],[Количество хлыстов]]-Таблица47[[#This Row],[Обработано в 1С]]-Таблица47[[#This Row],[Корректировка]],"")</f>
        <v>5.6843418860808015E-14</v>
      </c>
      <c r="P768" s="638">
        <f>IFERROR((((Таблица47[[#This Row],[Осталось сделать, хлыст]]*Таблица47[[#This Row],[длина]])*Таблица47[[#This Row],[Периметр]])/28),"")</f>
        <v>1.6508648416545063E-15</v>
      </c>
      <c r="Q768" s="303" t="s">
        <v>4937</v>
      </c>
      <c r="R768" s="991">
        <f>IFERROR(Таблица47[[#This Row],[Коли-
чество м.п.]]/Таблица47[[#This Row],[Количество хлыстов]],"")</f>
        <v>5.15</v>
      </c>
      <c r="S768" s="639" t="s">
        <v>1975</v>
      </c>
      <c r="T768" s="639">
        <v>2348.4</v>
      </c>
      <c r="U768" s="640">
        <v>456</v>
      </c>
      <c r="V768" s="639">
        <v>0.15790000000000001</v>
      </c>
      <c r="W768" s="639">
        <v>0.309</v>
      </c>
      <c r="X768" s="639">
        <v>370.81240000000003</v>
      </c>
      <c r="Y768" s="639">
        <v>725.65560000000005</v>
      </c>
      <c r="Z768" s="639">
        <v>48.21</v>
      </c>
      <c r="AA768" s="639">
        <v>68.69</v>
      </c>
      <c r="AB768" s="639">
        <v>435</v>
      </c>
      <c r="AC768" s="641">
        <v>161311.6</v>
      </c>
    </row>
    <row r="769" spans="1:29" ht="15.75" customHeight="1" x14ac:dyDescent="0.25">
      <c r="A769" s="427" t="s">
        <v>4678</v>
      </c>
      <c r="B769" s="309">
        <v>530</v>
      </c>
      <c r="C769" s="309"/>
      <c r="D769" s="303" t="s">
        <v>13</v>
      </c>
      <c r="E769" s="303" t="s">
        <v>892</v>
      </c>
      <c r="F769" s="528">
        <v>45552</v>
      </c>
      <c r="G769" s="528">
        <v>45565</v>
      </c>
      <c r="H76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69" s="522" t="str">
        <f>CONCATENATE(Таблица47[[#This Row],[№ заявки в 1С]],Таблица47[[#This Row],[Наименование            ]])</f>
        <v>530[76596] 1606-39 (197.04) 4,85 м, сплав 6063 КР Т6, упковка Т5</v>
      </c>
      <c r="J76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835.00000000000011</v>
      </c>
      <c r="K76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835.00000000000011</v>
      </c>
      <c r="L76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835.00000000000011</v>
      </c>
      <c r="M769" s="635"/>
      <c r="N769" s="1119">
        <v>835</v>
      </c>
      <c r="O769" s="1013">
        <f>IFERROR(Таблица47[[#This Row],[Количество хлыстов]]-Таблица47[[#This Row],[Обработано в 1С]]-Таблица47[[#This Row],[Корректировка]],"")</f>
        <v>-1.1368683772161603E-13</v>
      </c>
      <c r="P769" s="638">
        <f>IFERROR((((Таблица47[[#This Row],[Осталось сделать, хлыст]]*Таблица47[[#This Row],[длина]])*Таблица47[[#This Row],[Периметр]])/28),"")</f>
        <v>-1.8825728277858745E-15</v>
      </c>
      <c r="Q769" s="303"/>
      <c r="R769" s="991">
        <f>IFERROR(Таблица47[[#This Row],[Коли-
чество м.п.]]/Таблица47[[#This Row],[Количество хлыстов]],"")</f>
        <v>4.8499999999999996</v>
      </c>
      <c r="S769" s="639" t="s">
        <v>2841</v>
      </c>
      <c r="T769" s="639">
        <v>4049.75</v>
      </c>
      <c r="U769" s="640">
        <v>835</v>
      </c>
      <c r="V769" s="639">
        <v>9.5600000000000004E-2</v>
      </c>
      <c r="W769" s="639">
        <v>0.16</v>
      </c>
      <c r="X769" s="639">
        <v>387.15609999999998</v>
      </c>
      <c r="Y769" s="639">
        <v>647.96</v>
      </c>
      <c r="Z769" s="639">
        <v>50.33</v>
      </c>
      <c r="AA769" s="639">
        <v>49.23</v>
      </c>
      <c r="AB769" s="639">
        <v>515</v>
      </c>
      <c r="AC769" s="641">
        <v>199385.39</v>
      </c>
    </row>
    <row r="770" spans="1:29" ht="15.75" customHeight="1" x14ac:dyDescent="0.25">
      <c r="A770" s="427" t="s">
        <v>4678</v>
      </c>
      <c r="B770" s="309" t="s">
        <v>5317</v>
      </c>
      <c r="C770" s="309"/>
      <c r="D770" s="303" t="s">
        <v>34</v>
      </c>
      <c r="E770" s="303" t="s">
        <v>16</v>
      </c>
      <c r="F770" s="528">
        <v>45553</v>
      </c>
      <c r="G770" s="528"/>
      <c r="H77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0" s="522" t="str">
        <f>CONCATENATE(Таблица47[[#This Row],[№ заявки в 1С]],Таблица47[[#This Row],[Наименование            ]])</f>
        <v>OPT000961[13620] 0106-290 (6158), 6,0м, 6063 Т1, тип 1, упаковка Т-5, БА</v>
      </c>
      <c r="J77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39</v>
      </c>
      <c r="K77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39</v>
      </c>
      <c r="L77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39</v>
      </c>
      <c r="M770" s="635"/>
      <c r="N770" s="1119">
        <v>39</v>
      </c>
      <c r="O770" s="1013">
        <f>IFERROR(Таблица47[[#This Row],[Количество хлыстов]]-Таблица47[[#This Row],[Обработано в 1С]]-Таблица47[[#This Row],[Корректировка]],"")</f>
        <v>0</v>
      </c>
      <c r="P770" s="638">
        <f>IFERROR((((Таблица47[[#This Row],[Осталось сделать, хлыст]]*Таблица47[[#This Row],[длина]])*Таблица47[[#This Row],[Периметр]])/28),"")</f>
        <v>0</v>
      </c>
      <c r="Q770" s="303"/>
      <c r="R770" s="991">
        <f>IFERROR(Таблица47[[#This Row],[Коли-
чество м.п.]]/Таблица47[[#This Row],[Количество хлыстов]],"")</f>
        <v>6</v>
      </c>
      <c r="S770" s="639" t="s">
        <v>5693</v>
      </c>
      <c r="T770" s="639">
        <v>234</v>
      </c>
      <c r="U770" s="640">
        <v>39</v>
      </c>
      <c r="V770" s="639">
        <v>0.29970000000000002</v>
      </c>
      <c r="W770" s="639">
        <v>1.6739999999999999</v>
      </c>
      <c r="X770" s="639">
        <v>70.129800000000003</v>
      </c>
      <c r="Y770" s="639">
        <v>391.71600000000001</v>
      </c>
      <c r="Z770" s="639">
        <v>9.1199999999999992</v>
      </c>
      <c r="AA770" s="639">
        <v>136.36000000000001</v>
      </c>
      <c r="AB770" s="639">
        <v>455</v>
      </c>
      <c r="AC770" s="641">
        <v>31909.06</v>
      </c>
    </row>
    <row r="771" spans="1:29" ht="15.75" customHeight="1" x14ac:dyDescent="0.25">
      <c r="A771" s="427" t="s">
        <v>4678</v>
      </c>
      <c r="B771" s="309" t="s">
        <v>2276</v>
      </c>
      <c r="C771" s="309"/>
      <c r="D771" s="303" t="s">
        <v>34</v>
      </c>
      <c r="E771" s="303" t="s">
        <v>16</v>
      </c>
      <c r="F771" s="528">
        <v>45554</v>
      </c>
      <c r="G771" s="528"/>
      <c r="H77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1" s="522" t="str">
        <f>CONCATENATE(Таблица47[[#This Row],[№ заявки в 1С]],Таблица47[[#This Row],[Наименование            ]])</f>
        <v>OPT000971[13620] 0106-290 (6158), 6,0м, 6063 Т1, тип 1, упаковка Т-5, БА</v>
      </c>
      <c r="J77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50</v>
      </c>
      <c r="K77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50</v>
      </c>
      <c r="L77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47</v>
      </c>
      <c r="M771" s="635">
        <v>3</v>
      </c>
      <c r="N771" s="1119">
        <v>47</v>
      </c>
      <c r="O771" s="1013">
        <f>IFERROR(Таблица47[[#This Row],[Количество хлыстов]]-Таблица47[[#This Row],[Обработано в 1С]]-Таблица47[[#This Row],[Корректировка]],"")</f>
        <v>0</v>
      </c>
      <c r="P771" s="638">
        <f>IFERROR((((Таблица47[[#This Row],[Осталось сделать, хлыст]]*Таблица47[[#This Row],[длина]])*Таблица47[[#This Row],[Периметр]])/28),"")</f>
        <v>0</v>
      </c>
      <c r="Q771" s="303" t="s">
        <v>2657</v>
      </c>
      <c r="R771" s="991">
        <f>IFERROR(Таблица47[[#This Row],[Коли-
чество м.п.]]/Таблица47[[#This Row],[Количество хлыстов]],"")</f>
        <v>6</v>
      </c>
      <c r="S771" s="639" t="s">
        <v>5693</v>
      </c>
      <c r="T771" s="639">
        <v>300</v>
      </c>
      <c r="U771" s="640">
        <v>50</v>
      </c>
      <c r="V771" s="639">
        <v>0.29970000000000002</v>
      </c>
      <c r="W771" s="639">
        <v>1.6739999999999999</v>
      </c>
      <c r="X771" s="639">
        <v>89.91</v>
      </c>
      <c r="Y771" s="639">
        <v>502.2</v>
      </c>
      <c r="Z771" s="639">
        <v>11.69</v>
      </c>
      <c r="AA771" s="639">
        <v>136.36000000000001</v>
      </c>
      <c r="AB771" s="639">
        <v>455</v>
      </c>
      <c r="AC771" s="641">
        <v>40908</v>
      </c>
    </row>
    <row r="772" spans="1:29" customFormat="1" ht="15.75" customHeight="1" x14ac:dyDescent="0.25">
      <c r="A772" s="147" t="s">
        <v>4678</v>
      </c>
      <c r="B772" s="521">
        <v>533</v>
      </c>
      <c r="C772" s="521"/>
      <c r="D772" s="142" t="s">
        <v>34</v>
      </c>
      <c r="E772" s="142" t="s">
        <v>14</v>
      </c>
      <c r="F772" s="143">
        <v>45554</v>
      </c>
      <c r="G772" s="143"/>
      <c r="H772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2" s="522" t="str">
        <f>CONCATENATE(Таблица47[[#This Row],[№ заявки в 1С]],Таблица47[[#This Row],[Наименование            ]])</f>
        <v>533[16958] 0306-11, 6,0м, 6063 Т1 (под анод), упаковка Т-5, БА</v>
      </c>
      <c r="J772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411</v>
      </c>
      <c r="K772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411</v>
      </c>
      <c r="L772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411</v>
      </c>
      <c r="M772" s="522"/>
      <c r="N772" s="393">
        <v>411</v>
      </c>
      <c r="O772" s="1001">
        <f>IFERROR(Таблица47[[#This Row],[Количество хлыстов]]-Таблица47[[#This Row],[Обработано в 1С]]-Таблица47[[#This Row],[Корректировка]],"")</f>
        <v>0</v>
      </c>
      <c r="P772" s="638">
        <f>IFERROR((((Таблица47[[#This Row],[Осталось сделать, хлыст]]*Таблица47[[#This Row],[длина]])*Таблица47[[#This Row],[Периметр]])/28),"")</f>
        <v>0</v>
      </c>
      <c r="Q772" s="142"/>
      <c r="R772" s="280">
        <f>IFERROR(Таблица47[[#This Row],[Коли-
чество м.п.]]/Таблица47[[#This Row],[Количество хлыстов]],"")</f>
        <v>6</v>
      </c>
      <c r="S772" s="961" t="s">
        <v>5318</v>
      </c>
      <c r="T772" s="961">
        <v>2466</v>
      </c>
      <c r="U772" s="526">
        <v>411</v>
      </c>
      <c r="V772" s="525">
        <v>0.2208</v>
      </c>
      <c r="W772" s="525">
        <v>0.77300000000000002</v>
      </c>
      <c r="X772" s="525">
        <v>544.49279999999999</v>
      </c>
      <c r="Y772" s="525">
        <v>1906.2180000000001</v>
      </c>
      <c r="Z772" s="525">
        <v>70.78</v>
      </c>
      <c r="AA772" s="525">
        <v>97.15</v>
      </c>
      <c r="AB772" s="525">
        <v>440</v>
      </c>
      <c r="AC772" s="527">
        <v>239576.83</v>
      </c>
    </row>
    <row r="773" spans="1:29" ht="15.75" customHeight="1" x14ac:dyDescent="0.25">
      <c r="A773" s="427" t="s">
        <v>4678</v>
      </c>
      <c r="B773" s="309">
        <v>535</v>
      </c>
      <c r="C773" s="309"/>
      <c r="D773" s="303" t="s">
        <v>34</v>
      </c>
      <c r="E773" s="303" t="s">
        <v>79</v>
      </c>
      <c r="F773" s="528">
        <v>45554</v>
      </c>
      <c r="G773" s="528"/>
      <c r="H77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3" s="522" t="str">
        <f>CONCATENATE(Таблица47[[#This Row],[№ заявки в 1С]],Таблица47[[#This Row],[Наименование            ]])</f>
        <v>535[92063] 0906-44, 6,05м, с перфорацией, БА</v>
      </c>
      <c r="J77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27</v>
      </c>
      <c r="K77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27</v>
      </c>
      <c r="L77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773" s="635">
        <v>27</v>
      </c>
      <c r="N773" s="1119"/>
      <c r="O773" s="1013">
        <f>IFERROR(Таблица47[[#This Row],[Количество хлыстов]]-Таблица47[[#This Row],[Обработано в 1С]]-Таблица47[[#This Row],[Корректировка]],"")</f>
        <v>0</v>
      </c>
      <c r="P773" s="638">
        <f>IFERROR((((Таблица47[[#This Row],[Осталось сделать, хлыст]]*Таблица47[[#This Row],[длина]])*Таблица47[[#This Row],[Периметр]])/28),"")</f>
        <v>0</v>
      </c>
      <c r="Q773" s="303" t="s">
        <v>5695</v>
      </c>
      <c r="R773" s="991">
        <f>IFERROR(Таблица47[[#This Row],[Коли-
чество м.п.]]/Таблица47[[#This Row],[Количество хлыстов]],"")</f>
        <v>6.05</v>
      </c>
      <c r="S773" s="639" t="s">
        <v>5319</v>
      </c>
      <c r="T773" s="639">
        <v>163.35</v>
      </c>
      <c r="U773" s="640">
        <v>27</v>
      </c>
      <c r="V773" s="639">
        <v>0.20230000000000001</v>
      </c>
      <c r="W773" s="639">
        <v>0.499</v>
      </c>
      <c r="X773" s="639">
        <v>33.045699999999997</v>
      </c>
      <c r="Y773" s="639">
        <v>81.511700000000005</v>
      </c>
      <c r="Z773" s="639">
        <v>4.3</v>
      </c>
      <c r="AA773" s="639">
        <v>79.91</v>
      </c>
      <c r="AB773" s="639">
        <v>395</v>
      </c>
      <c r="AC773" s="641">
        <v>13053.05</v>
      </c>
    </row>
    <row r="774" spans="1:29" ht="15.75" customHeight="1" x14ac:dyDescent="0.25">
      <c r="A774" s="427" t="s">
        <v>4678</v>
      </c>
      <c r="B774" s="309">
        <v>536</v>
      </c>
      <c r="C774" s="309"/>
      <c r="D774" s="303" t="s">
        <v>13</v>
      </c>
      <c r="E774" s="303" t="s">
        <v>892</v>
      </c>
      <c r="F774" s="528">
        <v>45558</v>
      </c>
      <c r="G774" s="528">
        <v>45572</v>
      </c>
      <c r="H77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4" s="522" t="str">
        <f>CONCATENATE(Таблица47[[#This Row],[№ заявки в 1С]],Таблица47[[#This Row],[Наименование            ]])</f>
        <v>536[76596] 1606-39 (197.04) 4,85 м, сплав 6063 КР Т6, упковка Т5</v>
      </c>
      <c r="J77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138</v>
      </c>
      <c r="K77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138</v>
      </c>
      <c r="L77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138</v>
      </c>
      <c r="M774" s="635"/>
      <c r="N774" s="1119">
        <v>138</v>
      </c>
      <c r="O774" s="1013">
        <f>IFERROR(Таблица47[[#This Row],[Количество хлыстов]]-Таблица47[[#This Row],[Обработано в 1С]]-Таблица47[[#This Row],[Корректировка]],"")</f>
        <v>0</v>
      </c>
      <c r="P774" s="638">
        <f>IFERROR((((Таблица47[[#This Row],[Осталось сделать, хлыст]]*Таблица47[[#This Row],[длина]])*Таблица47[[#This Row],[Периметр]])/28),"")</f>
        <v>0</v>
      </c>
      <c r="Q774" s="303"/>
      <c r="R774" s="991">
        <f>IFERROR(Таблица47[[#This Row],[Коли-
чество м.п.]]/Таблица47[[#This Row],[Количество хлыстов]],"")</f>
        <v>4.8499999999999996</v>
      </c>
      <c r="S774" s="639" t="s">
        <v>2841</v>
      </c>
      <c r="T774" s="639">
        <v>669.3</v>
      </c>
      <c r="U774" s="640">
        <v>138</v>
      </c>
      <c r="V774" s="639">
        <v>9.5600000000000004E-2</v>
      </c>
      <c r="W774" s="639">
        <v>0.16</v>
      </c>
      <c r="X774" s="639">
        <v>63.985100000000003</v>
      </c>
      <c r="Y774" s="639">
        <v>107.08799999999999</v>
      </c>
      <c r="Z774" s="639">
        <v>8.32</v>
      </c>
      <c r="AA774" s="639">
        <v>49.23</v>
      </c>
      <c r="AB774" s="639">
        <v>515</v>
      </c>
      <c r="AC774" s="641">
        <v>32952.32</v>
      </c>
    </row>
    <row r="775" spans="1:29" ht="15.75" customHeight="1" x14ac:dyDescent="0.25">
      <c r="A775" s="427" t="s">
        <v>4678</v>
      </c>
      <c r="B775" s="309">
        <v>537</v>
      </c>
      <c r="C775" s="309"/>
      <c r="D775" s="303" t="s">
        <v>34</v>
      </c>
      <c r="E775" s="303" t="s">
        <v>201</v>
      </c>
      <c r="F775" s="528">
        <v>45558</v>
      </c>
      <c r="G775" s="528"/>
      <c r="H77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5" s="522" t="str">
        <f>CONCATENATE(Таблица47[[#This Row],[№ заявки в 1С]],Таблица47[[#This Row],[Наименование            ]])</f>
        <v>537[92807] 1406-05, 5,45м,6063 Т6 под анод, упак. Т-5</v>
      </c>
      <c r="J77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95</v>
      </c>
      <c r="K77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95</v>
      </c>
      <c r="L77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95</v>
      </c>
      <c r="M775" s="635"/>
      <c r="N775" s="1119">
        <v>95</v>
      </c>
      <c r="O775" s="1013">
        <f>IFERROR(Таблица47[[#This Row],[Количество хлыстов]]-Таблица47[[#This Row],[Обработано в 1С]]-Таблица47[[#This Row],[Корректировка]],"")</f>
        <v>0</v>
      </c>
      <c r="P775" s="638">
        <f>IFERROR((((Таблица47[[#This Row],[Осталось сделать, хлыст]]*Таблица47[[#This Row],[длина]])*Таблица47[[#This Row],[Периметр]])/28),"")</f>
        <v>0</v>
      </c>
      <c r="Q775" s="303"/>
      <c r="R775" s="991">
        <f>IFERROR(Таблица47[[#This Row],[Коли-
чество м.п.]]/Таблица47[[#This Row],[Количество хлыстов]],"")</f>
        <v>5.45</v>
      </c>
      <c r="S775" s="639" t="s">
        <v>5320</v>
      </c>
      <c r="T775" s="639">
        <v>517.75</v>
      </c>
      <c r="U775" s="640">
        <v>95</v>
      </c>
      <c r="V775" s="639">
        <v>0.68820000000000003</v>
      </c>
      <c r="W775" s="639">
        <v>3.2480000000000002</v>
      </c>
      <c r="X775" s="639">
        <v>356.31560000000002</v>
      </c>
      <c r="Y775" s="639">
        <v>1681.652</v>
      </c>
      <c r="Z775" s="639">
        <v>46.32</v>
      </c>
      <c r="AA775" s="639">
        <v>313.13</v>
      </c>
      <c r="AB775" s="639">
        <v>455</v>
      </c>
      <c r="AC775" s="641">
        <v>162123.57999999999</v>
      </c>
    </row>
    <row r="776" spans="1:29" ht="15.75" customHeight="1" x14ac:dyDescent="0.25">
      <c r="A776" s="427" t="s">
        <v>4678</v>
      </c>
      <c r="B776" s="309" t="s">
        <v>5321</v>
      </c>
      <c r="C776" s="309"/>
      <c r="D776" s="303" t="s">
        <v>34</v>
      </c>
      <c r="E776" s="303" t="s">
        <v>16</v>
      </c>
      <c r="F776" s="528">
        <v>45558</v>
      </c>
      <c r="G776" s="528"/>
      <c r="H77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6" s="522" t="str">
        <f>CONCATENATE(Таблица47[[#This Row],[№ заявки в 1С]],Таблица47[[#This Row],[Наименование            ]])</f>
        <v>OPT000997[13620] 0106-290 (6158), 6,0м, 6063 Т1, тип 1, упаковка Т-5, БА</v>
      </c>
      <c r="J77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188</v>
      </c>
      <c r="K77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188</v>
      </c>
      <c r="L77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186</v>
      </c>
      <c r="M776" s="635">
        <v>2</v>
      </c>
      <c r="N776" s="1119">
        <v>186</v>
      </c>
      <c r="O776" s="1013">
        <f>IFERROR(Таблица47[[#This Row],[Количество хлыстов]]-Таблица47[[#This Row],[Обработано в 1С]]-Таблица47[[#This Row],[Корректировка]],"")</f>
        <v>0</v>
      </c>
      <c r="P776" s="638">
        <f>IFERROR((((Таблица47[[#This Row],[Осталось сделать, хлыст]]*Таблица47[[#This Row],[длина]])*Таблица47[[#This Row],[Периметр]])/28),"")</f>
        <v>0</v>
      </c>
      <c r="Q776" s="303" t="s">
        <v>721</v>
      </c>
      <c r="R776" s="991">
        <f>IFERROR(Таблица47[[#This Row],[Коли-
чество м.п.]]/Таблица47[[#This Row],[Количество хлыстов]],"")</f>
        <v>6</v>
      </c>
      <c r="S776" s="639" t="s">
        <v>5693</v>
      </c>
      <c r="T776" s="639">
        <v>1128</v>
      </c>
      <c r="U776" s="640">
        <v>188</v>
      </c>
      <c r="V776" s="639">
        <v>0.29970000000000002</v>
      </c>
      <c r="W776" s="639">
        <v>1.6739999999999999</v>
      </c>
      <c r="X776" s="639">
        <v>338.0616</v>
      </c>
      <c r="Y776" s="639">
        <v>1888.2719999999999</v>
      </c>
      <c r="Z776" s="639">
        <v>43.95</v>
      </c>
      <c r="AA776" s="639">
        <v>136.36000000000001</v>
      </c>
      <c r="AB776" s="639">
        <v>455</v>
      </c>
      <c r="AC776" s="641">
        <v>153814.07999999999</v>
      </c>
    </row>
    <row r="777" spans="1:29" ht="15.75" customHeight="1" x14ac:dyDescent="0.25">
      <c r="A777" s="1130" t="s">
        <v>4678</v>
      </c>
      <c r="B777" s="1126">
        <v>539</v>
      </c>
      <c r="C777" s="1126"/>
      <c r="D777" s="1127" t="s">
        <v>13</v>
      </c>
      <c r="E777" s="1127" t="s">
        <v>556</v>
      </c>
      <c r="F777" s="1129">
        <v>45561</v>
      </c>
      <c r="G777" s="528">
        <v>45583</v>
      </c>
      <c r="H77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7" s="522" t="str">
        <f>CONCATENATE(Таблица47[[#This Row],[№ заявки в 1С]],Таблица47[[#This Row],[Наименование            ]])</f>
        <v>539[87827] 223276 6,0м 6063 Т66</v>
      </c>
      <c r="J77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147</v>
      </c>
      <c r="K77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147</v>
      </c>
      <c r="L77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147</v>
      </c>
      <c r="M777" s="635"/>
      <c r="N777" s="1119">
        <v>147</v>
      </c>
      <c r="O777" s="1013">
        <f>IFERROR(Таблица47[[#This Row],[Количество хлыстов]]-Таблица47[[#This Row],[Обработано в 1С]]-Таблица47[[#This Row],[Корректировка]],"")</f>
        <v>0</v>
      </c>
      <c r="P777" s="638">
        <f>IFERROR((((Таблица47[[#This Row],[Осталось сделать, хлыст]]*Таблица47[[#This Row],[длина]])*Таблица47[[#This Row],[Периметр]])/28),"")</f>
        <v>0</v>
      </c>
      <c r="Q777" s="303"/>
      <c r="R777" s="991">
        <f>IFERROR(Таблица47[[#This Row],[Коли-
чество м.п.]]/Таблица47[[#This Row],[Количество хлыстов]],"")</f>
        <v>6</v>
      </c>
      <c r="S777" s="639" t="s">
        <v>4667</v>
      </c>
      <c r="T777" s="639">
        <v>882</v>
      </c>
      <c r="U777" s="640">
        <v>147</v>
      </c>
      <c r="V777" s="639">
        <v>0.34839999999999999</v>
      </c>
      <c r="W777" s="639">
        <v>0.55000000000000004</v>
      </c>
      <c r="X777" s="639">
        <v>307.28879999999998</v>
      </c>
      <c r="Y777" s="639">
        <v>485.1</v>
      </c>
      <c r="Z777" s="639">
        <v>39.950000000000003</v>
      </c>
      <c r="AA777" s="639">
        <v>158.52000000000001</v>
      </c>
      <c r="AB777" s="639">
        <v>455</v>
      </c>
      <c r="AC777" s="641">
        <v>139816.4</v>
      </c>
    </row>
    <row r="778" spans="1:29" ht="15.75" customHeight="1" x14ac:dyDescent="0.25">
      <c r="A778" s="427" t="s">
        <v>4678</v>
      </c>
      <c r="B778" s="309" t="s">
        <v>5328</v>
      </c>
      <c r="C778" s="309"/>
      <c r="D778" s="303" t="s">
        <v>34</v>
      </c>
      <c r="E778" s="303" t="s">
        <v>5326</v>
      </c>
      <c r="F778" s="528">
        <v>45561</v>
      </c>
      <c r="G778" s="528"/>
      <c r="H77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8" s="522" t="str">
        <f>CONCATENATE(Таблица47[[#This Row],[№ заявки в 1С]],Таблица47[[#This Row],[Наименование            ]])</f>
        <v>OPT001015[90371] Профиль створки внешний A112 23/X, 6.0м, (АТ-10864) БА</v>
      </c>
      <c r="J77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</v>
      </c>
      <c r="K77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165</v>
      </c>
      <c r="L77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159</v>
      </c>
      <c r="M778" s="635">
        <v>6</v>
      </c>
      <c r="N778" s="1119">
        <v>159</v>
      </c>
      <c r="O778" s="1013">
        <f>IFERROR(Таблица47[[#This Row],[Количество хлыстов]]-Таблица47[[#This Row],[Обработано в 1С]]-Таблица47[[#This Row],[Корректировка]],"")</f>
        <v>0</v>
      </c>
      <c r="P778" s="638">
        <f>IFERROR((((Таблица47[[#This Row],[Осталось сделать, хлыст]]*Таблица47[[#This Row],[длина]])*Таблица47[[#This Row],[Периметр]])/28),"")</f>
        <v>0</v>
      </c>
      <c r="Q778" s="303" t="s">
        <v>4401</v>
      </c>
      <c r="R778" s="991">
        <f>IFERROR(Таблица47[[#This Row],[Коли-
чество м.п.]]/Таблица47[[#This Row],[Количество хлыстов]],"")</f>
        <v>6</v>
      </c>
      <c r="S778" s="639" t="s">
        <v>5327</v>
      </c>
      <c r="T778" s="639">
        <v>990</v>
      </c>
      <c r="U778" s="640">
        <v>165</v>
      </c>
      <c r="V778" s="639">
        <v>0.1108</v>
      </c>
      <c r="W778" s="639">
        <v>0.36599999999999999</v>
      </c>
      <c r="X778" s="639">
        <v>109.69199999999999</v>
      </c>
      <c r="Y778" s="639">
        <v>362.34</v>
      </c>
      <c r="Z778" s="639">
        <v>14.26</v>
      </c>
      <c r="AA778" s="639">
        <v>109.5</v>
      </c>
      <c r="AB778" s="639">
        <v>988.27</v>
      </c>
      <c r="AC778" s="641">
        <v>108405</v>
      </c>
    </row>
    <row r="779" spans="1:29" ht="15.75" customHeight="1" x14ac:dyDescent="0.25">
      <c r="A779" s="427" t="s">
        <v>4678</v>
      </c>
      <c r="B779" s="309">
        <v>543</v>
      </c>
      <c r="C779" s="309" t="s">
        <v>4753</v>
      </c>
      <c r="D779" s="303" t="s">
        <v>13</v>
      </c>
      <c r="E779" s="303" t="s">
        <v>30</v>
      </c>
      <c r="F779" s="528">
        <v>45562</v>
      </c>
      <c r="G779" s="528"/>
      <c r="H77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79" s="522" t="str">
        <f>CONCATENATE(Таблица47[[#This Row],[№ заявки в 1С]],Таблица47[[#This Row],[Наименование            ]])</f>
        <v>543[93227] Лист 830*380 (Д) Амг3</v>
      </c>
      <c r="J779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79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79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79" s="635"/>
      <c r="N779" s="1119">
        <v>24</v>
      </c>
      <c r="O779" s="1013" t="str">
        <f>IFERROR(Таблица47[[#This Row],[Количество хлыстов]]-Таблица47[[#This Row],[Обработано в 1С]]-Таблица47[[#This Row],[Корректировка]],"")</f>
        <v/>
      </c>
      <c r="P779" s="638" t="str">
        <f>IFERROR((((Таблица47[[#This Row],[Осталось сделать, хлыст]]*Таблица47[[#This Row],[длина]])*Таблица47[[#This Row],[Периметр]])/28),"")</f>
        <v/>
      </c>
      <c r="Q779" s="303"/>
      <c r="R779" s="991">
        <f>IFERROR(Таблица47[[#This Row],[Коли-
чество м.п.]]/Таблица47[[#This Row],[Количество хлыстов]],"")</f>
        <v>1</v>
      </c>
      <c r="S779" s="639" t="s">
        <v>5329</v>
      </c>
      <c r="T779" s="639">
        <v>24</v>
      </c>
      <c r="U779" s="640">
        <v>24</v>
      </c>
      <c r="V779" s="639">
        <v>0.63</v>
      </c>
      <c r="W779" s="639">
        <v>1.25</v>
      </c>
      <c r="X779" s="639">
        <v>15.12</v>
      </c>
      <c r="Y779" s="639">
        <v>30</v>
      </c>
      <c r="Z779" s="639">
        <v>1.97</v>
      </c>
      <c r="AA779" s="639">
        <v>1300.67</v>
      </c>
      <c r="AB779" s="639">
        <v>2064.5500000000002</v>
      </c>
      <c r="AC779" s="641">
        <v>31216</v>
      </c>
    </row>
    <row r="780" spans="1:29" ht="15.75" customHeight="1" x14ac:dyDescent="0.25">
      <c r="A780" s="427" t="s">
        <v>4678</v>
      </c>
      <c r="B780" s="309">
        <v>543</v>
      </c>
      <c r="C780" s="309" t="s">
        <v>4753</v>
      </c>
      <c r="D780" s="303" t="s">
        <v>13</v>
      </c>
      <c r="E780" s="303" t="s">
        <v>30</v>
      </c>
      <c r="F780" s="528">
        <v>45562</v>
      </c>
      <c r="G780" s="528"/>
      <c r="H78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0" s="522" t="str">
        <f>CONCATENATE(Таблица47[[#This Row],[№ заявки в 1С]],Таблица47[[#This Row],[Наименование            ]])</f>
        <v>543[93233] Лист 380*1230 (Д), Амг3</v>
      </c>
      <c r="J78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8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8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80" s="635"/>
      <c r="N780" s="1119">
        <v>24</v>
      </c>
      <c r="O780" s="1013" t="str">
        <f>IFERROR(Таблица47[[#This Row],[Количество хлыстов]]-Таблица47[[#This Row],[Обработано в 1С]]-Таблица47[[#This Row],[Корректировка]],"")</f>
        <v/>
      </c>
      <c r="P780" s="638" t="str">
        <f>IFERROR((((Таблица47[[#This Row],[Осталось сделать, хлыст]]*Таблица47[[#This Row],[длина]])*Таблица47[[#This Row],[Периметр]])/28),"")</f>
        <v/>
      </c>
      <c r="Q780" s="303"/>
      <c r="R780" s="991">
        <f>IFERROR(Таблица47[[#This Row],[Коли-
чество м.п.]]/Таблица47[[#This Row],[Количество хлыстов]],"")</f>
        <v>1</v>
      </c>
      <c r="S780" s="639" t="s">
        <v>5330</v>
      </c>
      <c r="T780" s="639">
        <v>24</v>
      </c>
      <c r="U780" s="640">
        <v>24</v>
      </c>
      <c r="V780" s="639">
        <v>0.94</v>
      </c>
      <c r="W780" s="639">
        <v>1.86</v>
      </c>
      <c r="X780" s="639">
        <v>22.56</v>
      </c>
      <c r="Y780" s="639">
        <v>44.64</v>
      </c>
      <c r="Z780" s="639">
        <v>2.93</v>
      </c>
      <c r="AA780" s="639">
        <v>1948.33</v>
      </c>
      <c r="AB780" s="639">
        <v>2072.6999999999998</v>
      </c>
      <c r="AC780" s="641">
        <v>46760</v>
      </c>
    </row>
    <row r="781" spans="1:29" ht="15.75" customHeight="1" x14ac:dyDescent="0.25">
      <c r="A781" s="427" t="s">
        <v>4678</v>
      </c>
      <c r="B781" s="309">
        <v>543</v>
      </c>
      <c r="C781" s="309" t="s">
        <v>4753</v>
      </c>
      <c r="D781" s="303" t="s">
        <v>13</v>
      </c>
      <c r="E781" s="303" t="s">
        <v>30</v>
      </c>
      <c r="F781" s="528">
        <v>45562</v>
      </c>
      <c r="G781" s="528"/>
      <c r="H78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1" s="522" t="str">
        <f>CONCATENATE(Таблица47[[#This Row],[№ заявки в 1С]],Таблица47[[#This Row],[Наименование            ]])</f>
        <v>543[93231] Лист 630*170 (Д), Амг3</v>
      </c>
      <c r="J781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81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81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81" s="635"/>
      <c r="N781" s="1119">
        <v>24</v>
      </c>
      <c r="O781" s="1013" t="str">
        <f>IFERROR(Таблица47[[#This Row],[Количество хлыстов]]-Таблица47[[#This Row],[Обработано в 1С]]-Таблица47[[#This Row],[Корректировка]],"")</f>
        <v/>
      </c>
      <c r="P781" s="638" t="str">
        <f>IFERROR((((Таблица47[[#This Row],[Осталось сделать, хлыст]]*Таблица47[[#This Row],[длина]])*Таблица47[[#This Row],[Периметр]])/28),"")</f>
        <v/>
      </c>
      <c r="Q781" s="303"/>
      <c r="R781" s="991">
        <f>IFERROR(Таблица47[[#This Row],[Коли-
чество м.п.]]/Таблица47[[#This Row],[Количество хлыстов]],"")</f>
        <v>1</v>
      </c>
      <c r="S781" s="639" t="s">
        <v>5331</v>
      </c>
      <c r="T781" s="639">
        <v>24</v>
      </c>
      <c r="U781" s="640">
        <v>24</v>
      </c>
      <c r="V781" s="639">
        <v>0.22</v>
      </c>
      <c r="W781" s="639">
        <v>0.43</v>
      </c>
      <c r="X781" s="639">
        <v>5.28</v>
      </c>
      <c r="Y781" s="639">
        <v>10.32</v>
      </c>
      <c r="Z781" s="639">
        <v>0.69</v>
      </c>
      <c r="AA781" s="639">
        <v>1069.33</v>
      </c>
      <c r="AB781" s="639">
        <v>4860.6099999999997</v>
      </c>
      <c r="AC781" s="641">
        <v>25664</v>
      </c>
    </row>
    <row r="782" spans="1:29" ht="15.75" customHeight="1" x14ac:dyDescent="0.25">
      <c r="A782" s="427" t="s">
        <v>4678</v>
      </c>
      <c r="B782" s="309">
        <v>543</v>
      </c>
      <c r="C782" s="309" t="s">
        <v>4753</v>
      </c>
      <c r="D782" s="303" t="s">
        <v>13</v>
      </c>
      <c r="E782" s="303" t="s">
        <v>30</v>
      </c>
      <c r="F782" s="528">
        <v>45562</v>
      </c>
      <c r="G782" s="528"/>
      <c r="H78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2" s="522" t="str">
        <f>CONCATENATE(Таблица47[[#This Row],[№ заявки в 1С]],Таблица47[[#This Row],[Наименование            ]])</f>
        <v>543[93229] Лист 967*850 (Д), Амг3</v>
      </c>
      <c r="J782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82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82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82" s="635"/>
      <c r="N782" s="1119">
        <v>32</v>
      </c>
      <c r="O782" s="1013" t="str">
        <f>IFERROR(Таблица47[[#This Row],[Количество хлыстов]]-Таблица47[[#This Row],[Обработано в 1С]]-Таблица47[[#This Row],[Корректировка]],"")</f>
        <v/>
      </c>
      <c r="P782" s="638" t="str">
        <f>IFERROR((((Таблица47[[#This Row],[Осталось сделать, хлыст]]*Таблица47[[#This Row],[длина]])*Таблица47[[#This Row],[Периметр]])/28),"")</f>
        <v/>
      </c>
      <c r="Q782" s="303"/>
      <c r="R782" s="991">
        <f>IFERROR(Таблица47[[#This Row],[Коли-
чество м.п.]]/Таблица47[[#This Row],[Количество хлыстов]],"")</f>
        <v>1</v>
      </c>
      <c r="S782" s="639" t="s">
        <v>5332</v>
      </c>
      <c r="T782" s="639">
        <v>32</v>
      </c>
      <c r="U782" s="640">
        <v>32</v>
      </c>
      <c r="V782" s="639">
        <v>1.65</v>
      </c>
      <c r="W782" s="639">
        <v>3.28</v>
      </c>
      <c r="X782" s="639">
        <v>52.8</v>
      </c>
      <c r="Y782" s="639">
        <v>104.96</v>
      </c>
      <c r="Z782" s="639">
        <v>6.86</v>
      </c>
      <c r="AA782" s="639">
        <v>2454.25</v>
      </c>
      <c r="AB782" s="639">
        <v>1487.42</v>
      </c>
      <c r="AC782" s="641">
        <v>78536</v>
      </c>
    </row>
    <row r="783" spans="1:29" ht="15.75" customHeight="1" x14ac:dyDescent="0.25">
      <c r="A783" s="427" t="s">
        <v>4678</v>
      </c>
      <c r="B783" s="309">
        <v>543</v>
      </c>
      <c r="C783" s="309" t="s">
        <v>4753</v>
      </c>
      <c r="D783" s="303" t="s">
        <v>13</v>
      </c>
      <c r="E783" s="303" t="s">
        <v>30</v>
      </c>
      <c r="F783" s="528">
        <v>45562</v>
      </c>
      <c r="G783" s="528"/>
      <c r="H78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3" s="522" t="str">
        <f>CONCATENATE(Таблица47[[#This Row],[№ заявки в 1С]],Таблица47[[#This Row],[Наименование            ]])</f>
        <v>543[93235] Лист 1498*850 (Д), Амг3</v>
      </c>
      <c r="J783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783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783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783" s="635"/>
      <c r="N783" s="1119">
        <v>32</v>
      </c>
      <c r="O783" s="1013" t="str">
        <f>IFERROR(Таблица47[[#This Row],[Количество хлыстов]]-Таблица47[[#This Row],[Обработано в 1С]]-Таблица47[[#This Row],[Корректировка]],"")</f>
        <v/>
      </c>
      <c r="P783" s="638" t="str">
        <f>IFERROR((((Таблица47[[#This Row],[Осталось сделать, хлыст]]*Таблица47[[#This Row],[длина]])*Таблица47[[#This Row],[Периметр]])/28),"")</f>
        <v/>
      </c>
      <c r="Q783" s="303"/>
      <c r="R783" s="991">
        <f>IFERROR(Таблица47[[#This Row],[Коли-
чество м.п.]]/Таблица47[[#This Row],[Количество хлыстов]],"")</f>
        <v>1</v>
      </c>
      <c r="S783" s="639" t="s">
        <v>5333</v>
      </c>
      <c r="T783" s="639">
        <v>32</v>
      </c>
      <c r="U783" s="640">
        <v>32</v>
      </c>
      <c r="V783" s="639">
        <v>2.5499999999999998</v>
      </c>
      <c r="W783" s="639">
        <v>5.08</v>
      </c>
      <c r="X783" s="639">
        <v>81.599999999999994</v>
      </c>
      <c r="Y783" s="639">
        <v>162.56</v>
      </c>
      <c r="Z783" s="639">
        <v>10.61</v>
      </c>
      <c r="AA783" s="639">
        <v>4081.5</v>
      </c>
      <c r="AB783" s="639">
        <v>1600.59</v>
      </c>
      <c r="AC783" s="641">
        <v>130608</v>
      </c>
    </row>
    <row r="784" spans="1:29" ht="15.75" customHeight="1" x14ac:dyDescent="0.25">
      <c r="A784" s="427" t="s">
        <v>4678</v>
      </c>
      <c r="B784" s="309">
        <v>546</v>
      </c>
      <c r="C784" s="309"/>
      <c r="D784" s="303" t="s">
        <v>13</v>
      </c>
      <c r="E784" s="303" t="s">
        <v>1433</v>
      </c>
      <c r="F784" s="528">
        <v>45562</v>
      </c>
      <c r="G784" s="528">
        <v>45572</v>
      </c>
      <c r="H78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4" s="522" t="str">
        <f>CONCATENATE(Таблица47[[#This Row],[№ заявки в 1С]],Таблица47[[#This Row],[Наименование            ]])</f>
        <v>546[76529] 1606-48, 6,0 м, сплав 6063 КР Т6</v>
      </c>
      <c r="J78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75</v>
      </c>
      <c r="K78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75</v>
      </c>
      <c r="L78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75</v>
      </c>
      <c r="M784" s="635"/>
      <c r="N784" s="1119">
        <v>75</v>
      </c>
      <c r="O784" s="1013">
        <f>IFERROR(Таблица47[[#This Row],[Количество хлыстов]]-Таблица47[[#This Row],[Обработано в 1С]]-Таблица47[[#This Row],[Корректировка]],"")</f>
        <v>0</v>
      </c>
      <c r="P784" s="638">
        <f>IFERROR((((Таблица47[[#This Row],[Осталось сделать, хлыст]]*Таблица47[[#This Row],[длина]])*Таблица47[[#This Row],[Периметр]])/28),"")</f>
        <v>0</v>
      </c>
      <c r="Q784" s="303"/>
      <c r="R784" s="991">
        <f>IFERROR(Таблица47[[#This Row],[Коли-
чество м.п.]]/Таблица47[[#This Row],[Количество хлыстов]],"")</f>
        <v>6</v>
      </c>
      <c r="S784" s="639" t="s">
        <v>1472</v>
      </c>
      <c r="T784" s="639">
        <v>450</v>
      </c>
      <c r="U784" s="640">
        <v>75</v>
      </c>
      <c r="V784" s="639">
        <v>0.41239999999999999</v>
      </c>
      <c r="W784" s="639">
        <v>1.1619999999999999</v>
      </c>
      <c r="X784" s="639">
        <v>185.58</v>
      </c>
      <c r="Y784" s="639">
        <v>522.9</v>
      </c>
      <c r="Z784" s="639">
        <v>24.13</v>
      </c>
      <c r="AA784" s="639">
        <v>187.64</v>
      </c>
      <c r="AB784" s="639">
        <v>455</v>
      </c>
      <c r="AC784" s="641">
        <v>84438</v>
      </c>
    </row>
    <row r="785" spans="1:29" ht="15.75" customHeight="1" x14ac:dyDescent="0.25">
      <c r="A785" s="1130" t="s">
        <v>4678</v>
      </c>
      <c r="B785" s="1126">
        <v>547</v>
      </c>
      <c r="C785" s="1126"/>
      <c r="D785" s="1127" t="s">
        <v>13</v>
      </c>
      <c r="E785" s="1127" t="s">
        <v>32</v>
      </c>
      <c r="F785" s="1129">
        <v>45562</v>
      </c>
      <c r="G785" s="528">
        <v>45589</v>
      </c>
      <c r="H78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5" s="522" t="str">
        <f>CONCATENATE(Таблица47[[#This Row],[№ заявки в 1С]],Таблица47[[#This Row],[Наименование            ]])</f>
        <v>547[76596] 1606-39 (197.04) 4,85 м, сплав 6063 КР Т6, упковка Т5</v>
      </c>
      <c r="J78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886</v>
      </c>
      <c r="K78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886</v>
      </c>
      <c r="L78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882.99999999999989</v>
      </c>
      <c r="M785" s="635">
        <v>3</v>
      </c>
      <c r="N785" s="1119">
        <v>883</v>
      </c>
      <c r="O785" s="1013">
        <f>IFERROR(Таблица47[[#This Row],[Количество хлыстов]]-Таблица47[[#This Row],[Обработано в 1С]]-Таблица47[[#This Row],[Корректировка]],"")</f>
        <v>1.1368683772161603E-13</v>
      </c>
      <c r="P785" s="638">
        <f>IFERROR((((Таблица47[[#This Row],[Осталось сделать, хлыст]]*Таблица47[[#This Row],[длина]])*Таблица47[[#This Row],[Периметр]])/28),"")</f>
        <v>1.8825728277858749E-15</v>
      </c>
      <c r="Q785" s="303" t="s">
        <v>5710</v>
      </c>
      <c r="R785" s="991">
        <f>IFERROR(Таблица47[[#This Row],[Коли-
чество м.п.]]/Таблица47[[#This Row],[Количество хлыстов]],"")</f>
        <v>4.8500000000000005</v>
      </c>
      <c r="S785" s="639" t="s">
        <v>2841</v>
      </c>
      <c r="T785" s="639">
        <v>4297.1000000000004</v>
      </c>
      <c r="U785" s="640">
        <v>886</v>
      </c>
      <c r="V785" s="639">
        <v>9.5600000000000004E-2</v>
      </c>
      <c r="W785" s="639">
        <v>0.16</v>
      </c>
      <c r="X785" s="639">
        <v>410.80279999999999</v>
      </c>
      <c r="Y785" s="639">
        <v>687.53599999999994</v>
      </c>
      <c r="Z785" s="639">
        <v>53.4</v>
      </c>
      <c r="AA785" s="639">
        <v>49.23</v>
      </c>
      <c r="AB785" s="639">
        <v>515</v>
      </c>
      <c r="AC785" s="641">
        <v>211563.42</v>
      </c>
    </row>
    <row r="786" spans="1:29" ht="15.75" customHeight="1" x14ac:dyDescent="0.25">
      <c r="A786" s="427" t="s">
        <v>4939</v>
      </c>
      <c r="B786" s="309">
        <v>548</v>
      </c>
      <c r="C786" s="309"/>
      <c r="D786" s="303" t="s">
        <v>34</v>
      </c>
      <c r="E786" s="303" t="s">
        <v>3404</v>
      </c>
      <c r="F786" s="528">
        <v>45562</v>
      </c>
      <c r="G786" s="528"/>
      <c r="H78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6" s="522" t="str">
        <f>CONCATENATE(Таблица47[[#This Row],[№ заявки в 1С]],Таблица47[[#This Row],[Наименование            ]])</f>
        <v>548[81579] 1706-69, 6,0м, 6063 Т6, упаковка Т-5, БА</v>
      </c>
      <c r="J78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320</v>
      </c>
      <c r="K78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315</v>
      </c>
      <c r="L78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315</v>
      </c>
      <c r="M786" s="635">
        <v>5</v>
      </c>
      <c r="N786" s="1119">
        <v>315</v>
      </c>
      <c r="O786" s="1013">
        <f>IFERROR(Таблица47[[#This Row],[Количество хлыстов]]-Таблица47[[#This Row],[Обработано в 1С]]-Таблица47[[#This Row],[Корректировка]],"")</f>
        <v>0</v>
      </c>
      <c r="P786" s="638">
        <f>IFERROR((((Таблица47[[#This Row],[Осталось сделать, хлыст]]*Таблица47[[#This Row],[длина]])*Таблица47[[#This Row],[Периметр]])/28),"")</f>
        <v>0</v>
      </c>
      <c r="Q786" s="303"/>
      <c r="R786" s="991">
        <f>IFERROR(Таблица47[[#This Row],[Коли-
чество м.п.]]/Таблица47[[#This Row],[Количество хлыстов]],"")</f>
        <v>6</v>
      </c>
      <c r="S786" s="639" t="s">
        <v>4994</v>
      </c>
      <c r="T786" s="639">
        <v>1920</v>
      </c>
      <c r="U786" s="640">
        <v>320</v>
      </c>
      <c r="V786" s="639">
        <v>0.21959999999999999</v>
      </c>
      <c r="W786" s="639">
        <v>0.35</v>
      </c>
      <c r="X786" s="639">
        <v>421.63200000000001</v>
      </c>
      <c r="Y786" s="639">
        <v>672</v>
      </c>
      <c r="Z786" s="639">
        <v>54.81</v>
      </c>
      <c r="AA786" s="639" t="s">
        <v>17</v>
      </c>
      <c r="AB786" s="639" t="s">
        <v>17</v>
      </c>
      <c r="AC786" s="641" t="s">
        <v>17</v>
      </c>
    </row>
    <row r="787" spans="1:29" ht="15.75" customHeight="1" x14ac:dyDescent="0.25">
      <c r="A787" s="427" t="s">
        <v>4939</v>
      </c>
      <c r="B787" s="309">
        <v>548</v>
      </c>
      <c r="C787" s="309"/>
      <c r="D787" s="303" t="s">
        <v>34</v>
      </c>
      <c r="E787" s="303" t="s">
        <v>3404</v>
      </c>
      <c r="F787" s="528">
        <v>45562</v>
      </c>
      <c r="G787" s="528"/>
      <c r="H78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7" s="522" t="str">
        <f>CONCATENATE(Таблица47[[#This Row],[№ заявки в 1С]],Таблица47[[#This Row],[Наименование            ]])</f>
        <v>548[81738] 1706-70, 6,0м, 6063 Т1, упаковка Т-5, БА</v>
      </c>
      <c r="J78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90</v>
      </c>
      <c r="K78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90</v>
      </c>
      <c r="L78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90</v>
      </c>
      <c r="M787" s="635"/>
      <c r="N787" s="1119">
        <v>90</v>
      </c>
      <c r="O787" s="1013">
        <f>IFERROR(Таблица47[[#This Row],[Количество хлыстов]]-Таблица47[[#This Row],[Обработано в 1С]]-Таблица47[[#This Row],[Корректировка]],"")</f>
        <v>0</v>
      </c>
      <c r="P787" s="638">
        <f>IFERROR((((Таблица47[[#This Row],[Осталось сделать, хлыст]]*Таблица47[[#This Row],[длина]])*Таблица47[[#This Row],[Периметр]])/28),"")</f>
        <v>0</v>
      </c>
      <c r="Q787" s="303"/>
      <c r="R787" s="991">
        <f>IFERROR(Таблица47[[#This Row],[Коли-
чество м.п.]]/Таблица47[[#This Row],[Количество хлыстов]],"")</f>
        <v>6</v>
      </c>
      <c r="S787" s="639" t="s">
        <v>4378</v>
      </c>
      <c r="T787" s="639">
        <v>540</v>
      </c>
      <c r="U787" s="640">
        <v>90</v>
      </c>
      <c r="V787" s="639">
        <v>0.25169999999999998</v>
      </c>
      <c r="W787" s="639">
        <v>0.56699999999999995</v>
      </c>
      <c r="X787" s="639">
        <v>135.91800000000001</v>
      </c>
      <c r="Y787" s="639">
        <v>306.18</v>
      </c>
      <c r="Z787" s="639">
        <v>17.670000000000002</v>
      </c>
      <c r="AA787" s="639" t="s">
        <v>17</v>
      </c>
      <c r="AB787" s="639" t="s">
        <v>17</v>
      </c>
      <c r="AC787" s="641" t="s">
        <v>17</v>
      </c>
    </row>
    <row r="788" spans="1:29" ht="15.75" customHeight="1" x14ac:dyDescent="0.25">
      <c r="A788" s="427" t="s">
        <v>4939</v>
      </c>
      <c r="B788" s="309">
        <v>548</v>
      </c>
      <c r="C788" s="309"/>
      <c r="D788" s="303" t="s">
        <v>34</v>
      </c>
      <c r="E788" s="303" t="s">
        <v>3404</v>
      </c>
      <c r="F788" s="528">
        <v>45562</v>
      </c>
      <c r="G788" s="528"/>
      <c r="H78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8" s="522" t="str">
        <f>CONCATENATE(Таблица47[[#This Row],[№ заявки в 1С]],Таблица47[[#This Row],[Наименование            ]])</f>
        <v>548[89968] 2606-57, 6,0м, 6063 Т6, уп.Т5, БА</v>
      </c>
      <c r="J78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303</v>
      </c>
      <c r="K78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302</v>
      </c>
      <c r="L78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302</v>
      </c>
      <c r="M788" s="635">
        <v>1</v>
      </c>
      <c r="N788" s="1119">
        <v>302</v>
      </c>
      <c r="O788" s="1013">
        <f>IFERROR(Таблица47[[#This Row],[Количество хлыстов]]-Таблица47[[#This Row],[Обработано в 1С]]-Таблица47[[#This Row],[Корректировка]],"")</f>
        <v>0</v>
      </c>
      <c r="P788" s="638">
        <f>IFERROR((((Таблица47[[#This Row],[Осталось сделать, хлыст]]*Таблица47[[#This Row],[длина]])*Таблица47[[#This Row],[Периметр]])/28),"")</f>
        <v>0</v>
      </c>
      <c r="Q788" s="303"/>
      <c r="R788" s="991">
        <f>IFERROR(Таблица47[[#This Row],[Коли-
чество м.п.]]/Таблица47[[#This Row],[Количество хлыстов]],"")</f>
        <v>6</v>
      </c>
      <c r="S788" s="639" t="s">
        <v>5003</v>
      </c>
      <c r="T788" s="639">
        <v>1818</v>
      </c>
      <c r="U788" s="640">
        <v>303</v>
      </c>
      <c r="V788" s="639">
        <v>0.27439999999999998</v>
      </c>
      <c r="W788" s="639">
        <v>0.56100000000000005</v>
      </c>
      <c r="X788" s="639">
        <v>498.85919999999999</v>
      </c>
      <c r="Y788" s="639">
        <v>1019.898</v>
      </c>
      <c r="Z788" s="639">
        <v>64.849999999999994</v>
      </c>
      <c r="AA788" s="639" t="s">
        <v>17</v>
      </c>
      <c r="AB788" s="639" t="s">
        <v>17</v>
      </c>
      <c r="AC788" s="641" t="s">
        <v>17</v>
      </c>
    </row>
    <row r="789" spans="1:29" ht="15.75" customHeight="1" x14ac:dyDescent="0.25">
      <c r="A789" s="427" t="s">
        <v>4939</v>
      </c>
      <c r="B789" s="309">
        <v>548</v>
      </c>
      <c r="C789" s="309"/>
      <c r="D789" s="303" t="s">
        <v>34</v>
      </c>
      <c r="E789" s="303" t="s">
        <v>3404</v>
      </c>
      <c r="F789" s="528">
        <v>45562</v>
      </c>
      <c r="G789" s="528"/>
      <c r="H78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89" s="522" t="str">
        <f>CONCATENATE(Таблица47[[#This Row],[№ заявки в 1С]],Таблица47[[#This Row],[Наименование            ]])</f>
        <v>548[89761] 2606-58, 6,0м, сплав 6063 Т5 (под гибку), упак. Т5</v>
      </c>
      <c r="J78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162</v>
      </c>
      <c r="K78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162</v>
      </c>
      <c r="L78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162</v>
      </c>
      <c r="M789" s="635"/>
      <c r="N789" s="1119">
        <v>162</v>
      </c>
      <c r="O789" s="1013">
        <f>IFERROR(Таблица47[[#This Row],[Количество хлыстов]]-Таблица47[[#This Row],[Обработано в 1С]]-Таблица47[[#This Row],[Корректировка]],"")</f>
        <v>0</v>
      </c>
      <c r="P789" s="638">
        <f>IFERROR((((Таблица47[[#This Row],[Осталось сделать, хлыст]]*Таблица47[[#This Row],[длина]])*Таблица47[[#This Row],[Периметр]])/28),"")</f>
        <v>0</v>
      </c>
      <c r="Q789" s="303"/>
      <c r="R789" s="991">
        <f>IFERROR(Таблица47[[#This Row],[Коли-
чество м.п.]]/Таблица47[[#This Row],[Количество хлыстов]],"")</f>
        <v>6</v>
      </c>
      <c r="S789" s="639" t="s">
        <v>5091</v>
      </c>
      <c r="T789" s="639">
        <v>972</v>
      </c>
      <c r="U789" s="640">
        <v>162</v>
      </c>
      <c r="V789" s="639">
        <v>0.1883</v>
      </c>
      <c r="W789" s="639">
        <v>0.318</v>
      </c>
      <c r="X789" s="639">
        <v>183.02760000000001</v>
      </c>
      <c r="Y789" s="639">
        <v>309.096</v>
      </c>
      <c r="Z789" s="639">
        <v>23.79</v>
      </c>
      <c r="AA789" s="639" t="s">
        <v>17</v>
      </c>
      <c r="AB789" s="639" t="s">
        <v>17</v>
      </c>
      <c r="AC789" s="641" t="s">
        <v>17</v>
      </c>
    </row>
    <row r="790" spans="1:29" ht="15.75" customHeight="1" x14ac:dyDescent="0.25">
      <c r="A790" s="427" t="s">
        <v>4678</v>
      </c>
      <c r="B790" s="309">
        <v>549</v>
      </c>
      <c r="C790" s="309"/>
      <c r="D790" s="303" t="s">
        <v>4858</v>
      </c>
      <c r="E790" s="303" t="s">
        <v>4734</v>
      </c>
      <c r="F790" s="528">
        <v>45565</v>
      </c>
      <c r="G790" s="528"/>
      <c r="H79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0" s="522" t="str">
        <f>CONCATENATE(Таблица47[[#This Row],[№ заявки в 1С]],Таблица47[[#This Row],[Наименование            ]])</f>
        <v>549[1112] автоуголок 80*43,5*2,35 мм (220570) 6,0м 6063</v>
      </c>
      <c r="J79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</v>
      </c>
      <c r="K79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</v>
      </c>
      <c r="L79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</v>
      </c>
      <c r="M790" s="635"/>
      <c r="N790" s="1119">
        <v>18</v>
      </c>
      <c r="O790" s="1013">
        <f>IFERROR(Таблица47[[#This Row],[Количество хлыстов]]-Таблица47[[#This Row],[Обработано в 1С]]-Таблица47[[#This Row],[Корректировка]],"")</f>
        <v>0</v>
      </c>
      <c r="P790" s="638">
        <f>IFERROR((((Таблица47[[#This Row],[Осталось сделать, хлыст]]*Таблица47[[#This Row],[длина]])*Таблица47[[#This Row],[Периметр]])/28),"")</f>
        <v>0</v>
      </c>
      <c r="Q790" s="303"/>
      <c r="R790" s="991">
        <f>IFERROR(Таблица47[[#This Row],[Коли-
чество м.п.]]/Таблица47[[#This Row],[Количество хлыстов]],"")</f>
        <v>6</v>
      </c>
      <c r="S790" s="639" t="s">
        <v>5341</v>
      </c>
      <c r="T790" s="639">
        <v>108</v>
      </c>
      <c r="U790" s="640">
        <v>18</v>
      </c>
      <c r="V790" s="639">
        <v>0.26440000000000002</v>
      </c>
      <c r="W790" s="639">
        <v>0.82599999999999996</v>
      </c>
      <c r="X790" s="639">
        <v>28.555199999999999</v>
      </c>
      <c r="Y790" s="639">
        <v>89.207999999999998</v>
      </c>
      <c r="Z790" s="639">
        <v>3.71</v>
      </c>
      <c r="AA790" s="639">
        <v>112.37</v>
      </c>
      <c r="AB790" s="639">
        <v>425</v>
      </c>
      <c r="AC790" s="641">
        <v>12135.96</v>
      </c>
    </row>
    <row r="791" spans="1:29" ht="15.75" customHeight="1" x14ac:dyDescent="0.25">
      <c r="A791" s="427" t="s">
        <v>4678</v>
      </c>
      <c r="B791" s="309">
        <v>549</v>
      </c>
      <c r="C791" s="309"/>
      <c r="D791" s="303" t="s">
        <v>4858</v>
      </c>
      <c r="E791" s="303" t="s">
        <v>4734</v>
      </c>
      <c r="F791" s="528">
        <v>45565</v>
      </c>
      <c r="G791" s="528"/>
      <c r="H79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1" s="522" t="str">
        <f>CONCATENATE(Таблица47[[#This Row],[№ заявки в 1С]],Таблица47[[#This Row],[Наименование            ]])</f>
        <v>549[866] автоуголок 150*55*3мм (0106-153) 6,0м АД31 Т1 уп. Т5</v>
      </c>
      <c r="J79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</v>
      </c>
      <c r="K79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</v>
      </c>
      <c r="L79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</v>
      </c>
      <c r="M791" s="635"/>
      <c r="N791" s="1119">
        <v>11</v>
      </c>
      <c r="O791" s="1013">
        <f>IFERROR(Таблица47[[#This Row],[Количество хлыстов]]-Таблица47[[#This Row],[Обработано в 1С]]-Таблица47[[#This Row],[Корректировка]],"")</f>
        <v>0</v>
      </c>
      <c r="P791" s="638">
        <f>IFERROR((((Таблица47[[#This Row],[Осталось сделать, хлыст]]*Таблица47[[#This Row],[длина]])*Таблица47[[#This Row],[Периметр]])/28),"")</f>
        <v>0</v>
      </c>
      <c r="Q791" s="303"/>
      <c r="R791" s="991">
        <f>IFERROR(Таблица47[[#This Row],[Коли-
чество м.п.]]/Таблица47[[#This Row],[Количество хлыстов]],"")</f>
        <v>6</v>
      </c>
      <c r="S791" s="639" t="s">
        <v>5342</v>
      </c>
      <c r="T791" s="639">
        <v>66</v>
      </c>
      <c r="U791" s="640">
        <v>11</v>
      </c>
      <c r="V791" s="639">
        <v>0.42199999999999999</v>
      </c>
      <c r="W791" s="639">
        <v>1.389</v>
      </c>
      <c r="X791" s="639">
        <v>27.852</v>
      </c>
      <c r="Y791" s="639">
        <v>91.674000000000007</v>
      </c>
      <c r="Z791" s="639">
        <v>3.62</v>
      </c>
      <c r="AA791" s="639">
        <v>179.35</v>
      </c>
      <c r="AB791" s="639">
        <v>425</v>
      </c>
      <c r="AC791" s="641">
        <v>11837.1</v>
      </c>
    </row>
    <row r="792" spans="1:29" ht="15.75" customHeight="1" x14ac:dyDescent="0.25">
      <c r="A792" s="427" t="s">
        <v>4678</v>
      </c>
      <c r="B792" s="309">
        <v>550</v>
      </c>
      <c r="C792" s="309" t="s">
        <v>4753</v>
      </c>
      <c r="D792" s="303" t="s">
        <v>13</v>
      </c>
      <c r="E792" s="303" t="s">
        <v>637</v>
      </c>
      <c r="F792" s="528">
        <v>45566</v>
      </c>
      <c r="G792" s="528"/>
      <c r="H79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2" s="522" t="str">
        <f>CONCATENATE(Таблица47[[#This Row],[№ заявки в 1С]],Таблица47[[#This Row],[Наименование            ]])</f>
        <v>550[89457] АП 2168 Д, кроншейн большой 2400 (1700х52мм), 6063</v>
      </c>
      <c r="J79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</v>
      </c>
      <c r="K79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</v>
      </c>
      <c r="L79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</v>
      </c>
      <c r="M792" s="635"/>
      <c r="N792" s="1119">
        <v>14</v>
      </c>
      <c r="O792" s="1013">
        <f>IFERROR(Таблица47[[#This Row],[Количество хлыстов]]-Таблица47[[#This Row],[Обработано в 1С]]-Таблица47[[#This Row],[Корректировка]],"")</f>
        <v>0</v>
      </c>
      <c r="P792" s="638">
        <f>IFERROR((((Таблица47[[#This Row],[Осталось сделать, хлыст]]*Таблица47[[#This Row],[длина]])*Таблица47[[#This Row],[Периметр]])/28),"")</f>
        <v>0</v>
      </c>
      <c r="Q792" s="303"/>
      <c r="R792" s="991">
        <f>IFERROR(Таблица47[[#This Row],[Коли-
чество м.п.]]/Таблица47[[#This Row],[Количество хлыстов]],"")</f>
        <v>1</v>
      </c>
      <c r="S792" s="639" t="s">
        <v>4903</v>
      </c>
      <c r="T792" s="639">
        <v>14</v>
      </c>
      <c r="U792" s="640">
        <v>14</v>
      </c>
      <c r="V792" s="639">
        <v>0.55000000000000004</v>
      </c>
      <c r="W792" s="639">
        <v>2.5499999999999998</v>
      </c>
      <c r="X792" s="639">
        <v>7.7</v>
      </c>
      <c r="Y792" s="639">
        <v>35.700000000000003</v>
      </c>
      <c r="Z792" s="639">
        <v>1</v>
      </c>
      <c r="AA792" s="639">
        <v>3115.71</v>
      </c>
      <c r="AB792" s="639">
        <v>5664.94</v>
      </c>
      <c r="AC792" s="641">
        <v>43620</v>
      </c>
    </row>
    <row r="793" spans="1:29" ht="15.75" customHeight="1" x14ac:dyDescent="0.25">
      <c r="A793" s="427" t="s">
        <v>4678</v>
      </c>
      <c r="B793" s="309">
        <v>550</v>
      </c>
      <c r="C793" s="309" t="s">
        <v>5338</v>
      </c>
      <c r="D793" s="303" t="s">
        <v>13</v>
      </c>
      <c r="E793" s="303" t="s">
        <v>637</v>
      </c>
      <c r="F793" s="528">
        <v>45566</v>
      </c>
      <c r="G793" s="528"/>
      <c r="H79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3" s="522" t="str">
        <f>CONCATENATE(Таблица47[[#This Row],[№ заявки в 1С]],Таблица47[[#This Row],[Наименование            ]])</f>
        <v>550[89458] АП 2168 Д, кронштейн малый 1580 (1300х52мм), 6063</v>
      </c>
      <c r="J79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</v>
      </c>
      <c r="K79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</v>
      </c>
      <c r="L79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</v>
      </c>
      <c r="M793" s="635"/>
      <c r="N793" s="1119">
        <v>14</v>
      </c>
      <c r="O793" s="1013">
        <f>IFERROR(Таблица47[[#This Row],[Количество хлыстов]]-Таблица47[[#This Row],[Обработано в 1С]]-Таблица47[[#This Row],[Корректировка]],"")</f>
        <v>0</v>
      </c>
      <c r="P793" s="638">
        <f>IFERROR((((Таблица47[[#This Row],[Осталось сделать, хлыст]]*Таблица47[[#This Row],[длина]])*Таблица47[[#This Row],[Периметр]])/28),"")</f>
        <v>0</v>
      </c>
      <c r="Q793" s="303"/>
      <c r="R793" s="991">
        <f>IFERROR(Таблица47[[#This Row],[Коли-
чество м.п.]]/Таблица47[[#This Row],[Количество хлыстов]],"")</f>
        <v>1</v>
      </c>
      <c r="S793" s="639" t="s">
        <v>4904</v>
      </c>
      <c r="T793" s="639">
        <v>14</v>
      </c>
      <c r="U793" s="640">
        <v>14</v>
      </c>
      <c r="V793" s="639">
        <v>0.35</v>
      </c>
      <c r="W793" s="639">
        <v>1.7</v>
      </c>
      <c r="X793" s="639">
        <v>4.9000000000000004</v>
      </c>
      <c r="Y793" s="639">
        <v>23.8</v>
      </c>
      <c r="Z793" s="639">
        <v>0.64</v>
      </c>
      <c r="AA793" s="639">
        <v>2150</v>
      </c>
      <c r="AB793" s="639">
        <v>6142.86</v>
      </c>
      <c r="AC793" s="641">
        <v>30100</v>
      </c>
    </row>
    <row r="794" spans="1:29" ht="15.75" customHeight="1" x14ac:dyDescent="0.25">
      <c r="A794" s="427" t="s">
        <v>4678</v>
      </c>
      <c r="B794" s="309">
        <v>551</v>
      </c>
      <c r="C794" s="309"/>
      <c r="D794" s="303" t="s">
        <v>34</v>
      </c>
      <c r="E794" s="303" t="s">
        <v>14</v>
      </c>
      <c r="F794" s="528">
        <v>45566</v>
      </c>
      <c r="G794" s="528"/>
      <c r="H79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4" s="522" t="str">
        <f>CONCATENATE(Таблица47[[#This Row],[№ заявки в 1С]],Таблица47[[#This Row],[Наименование            ]])</f>
        <v>551[16958] 0306-11, 6,0м, 6063 Т1 (под анод), упаковка Т-5, БА</v>
      </c>
      <c r="J79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170</v>
      </c>
      <c r="K79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170</v>
      </c>
      <c r="L79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170</v>
      </c>
      <c r="M794" s="635"/>
      <c r="N794" s="1119">
        <v>170</v>
      </c>
      <c r="O794" s="1013">
        <f>IFERROR(Таблица47[[#This Row],[Количество хлыстов]]-Таблица47[[#This Row],[Обработано в 1С]]-Таблица47[[#This Row],[Корректировка]],"")</f>
        <v>0</v>
      </c>
      <c r="P794" s="638">
        <f>IFERROR((((Таблица47[[#This Row],[Осталось сделать, хлыст]]*Таблица47[[#This Row],[длина]])*Таблица47[[#This Row],[Периметр]])/28),"")</f>
        <v>0</v>
      </c>
      <c r="Q794" s="303"/>
      <c r="R794" s="991">
        <f>IFERROR(Таблица47[[#This Row],[Коли-
чество м.п.]]/Таблица47[[#This Row],[Количество хлыстов]],"")</f>
        <v>6</v>
      </c>
      <c r="S794" s="960" t="s">
        <v>5318</v>
      </c>
      <c r="T794" s="960">
        <v>1020</v>
      </c>
      <c r="U794" s="640">
        <v>170</v>
      </c>
      <c r="V794" s="639">
        <v>0.2208</v>
      </c>
      <c r="W794" s="639">
        <v>0.77300000000000002</v>
      </c>
      <c r="X794" s="639">
        <v>225.21600000000001</v>
      </c>
      <c r="Y794" s="639">
        <v>788.46</v>
      </c>
      <c r="Z794" s="639">
        <v>29.28</v>
      </c>
      <c r="AA794" s="639">
        <v>97.15</v>
      </c>
      <c r="AB794" s="639">
        <v>440</v>
      </c>
      <c r="AC794" s="641">
        <v>99093</v>
      </c>
    </row>
    <row r="795" spans="1:29" ht="15.75" customHeight="1" x14ac:dyDescent="0.25">
      <c r="A795" s="427" t="s">
        <v>4678</v>
      </c>
      <c r="B795" s="309">
        <v>552</v>
      </c>
      <c r="C795" s="309"/>
      <c r="D795" s="303" t="s">
        <v>34</v>
      </c>
      <c r="E795" s="303" t="s">
        <v>14</v>
      </c>
      <c r="F795" s="528">
        <v>45566</v>
      </c>
      <c r="G795" s="528"/>
      <c r="H79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5" s="522" t="str">
        <f>CONCATENATE(Таблица47[[#This Row],[№ заявки в 1С]],Таблица47[[#This Row],[Наименование            ]])</f>
        <v>552[57675] 0306-70, 6,05м, 6063 Т1, упаковка Т-5, БА</v>
      </c>
      <c r="J79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403</v>
      </c>
      <c r="K79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403</v>
      </c>
      <c r="L79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393</v>
      </c>
      <c r="M795" s="635">
        <v>10</v>
      </c>
      <c r="N795" s="1119">
        <v>393</v>
      </c>
      <c r="O795" s="1013">
        <f>IFERROR(Таблица47[[#This Row],[Количество хлыстов]]-Таблица47[[#This Row],[Обработано в 1С]]-Таблица47[[#This Row],[Корректировка]],"")</f>
        <v>0</v>
      </c>
      <c r="P795" s="638">
        <f>IFERROR((((Таблица47[[#This Row],[Осталось сделать, хлыст]]*Таблица47[[#This Row],[длина]])*Таблица47[[#This Row],[Периметр]])/28),"")</f>
        <v>0</v>
      </c>
      <c r="Q795" s="303" t="s">
        <v>5675</v>
      </c>
      <c r="R795" s="991">
        <f>IFERROR(Таблица47[[#This Row],[Коли-
чество м.п.]]/Таблица47[[#This Row],[Количество хлыстов]],"")</f>
        <v>6.05</v>
      </c>
      <c r="S795" s="639" t="s">
        <v>628</v>
      </c>
      <c r="T795" s="639">
        <v>2438.15</v>
      </c>
      <c r="U795" s="640">
        <v>403</v>
      </c>
      <c r="V795" s="639">
        <v>0.2009</v>
      </c>
      <c r="W795" s="639">
        <v>0.96</v>
      </c>
      <c r="X795" s="639">
        <v>489.82429999999999</v>
      </c>
      <c r="Y795" s="639">
        <v>2340.6239999999998</v>
      </c>
      <c r="Z795" s="639">
        <v>63.68</v>
      </c>
      <c r="AA795" s="639">
        <v>88.4</v>
      </c>
      <c r="AB795" s="639">
        <v>440</v>
      </c>
      <c r="AC795" s="641">
        <v>215522.71</v>
      </c>
    </row>
    <row r="796" spans="1:29" ht="15.75" customHeight="1" x14ac:dyDescent="0.25">
      <c r="A796" s="427" t="s">
        <v>4678</v>
      </c>
      <c r="B796" s="309">
        <v>553</v>
      </c>
      <c r="C796" s="309"/>
      <c r="D796" s="303" t="s">
        <v>34</v>
      </c>
      <c r="E796" s="303" t="s">
        <v>201</v>
      </c>
      <c r="F796" s="528">
        <v>45566</v>
      </c>
      <c r="G796" s="528"/>
      <c r="H79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6" s="522" t="str">
        <f>CONCATENATE(Таблица47[[#This Row],[№ заявки в 1С]],Таблица47[[#This Row],[Наименование            ]])</f>
        <v>553[92807] 1406-05, 5,45м,6063 Т6 под анод, упак. Т-5</v>
      </c>
      <c r="J79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70</v>
      </c>
      <c r="K79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70</v>
      </c>
      <c r="L79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70</v>
      </c>
      <c r="M796" s="635"/>
      <c r="N796" s="1119">
        <v>70</v>
      </c>
      <c r="O796" s="1013">
        <f>IFERROR(Таблица47[[#This Row],[Количество хлыстов]]-Таблица47[[#This Row],[Обработано в 1С]]-Таблица47[[#This Row],[Корректировка]],"")</f>
        <v>0</v>
      </c>
      <c r="P796" s="638">
        <f>IFERROR((((Таблица47[[#This Row],[Осталось сделать, хлыст]]*Таблица47[[#This Row],[длина]])*Таблица47[[#This Row],[Периметр]])/28),"")</f>
        <v>0</v>
      </c>
      <c r="Q796" s="303"/>
      <c r="R796" s="991">
        <f>IFERROR(Таблица47[[#This Row],[Коли-
чество м.п.]]/Таблица47[[#This Row],[Количество хлыстов]],"")</f>
        <v>5.45</v>
      </c>
      <c r="S796" s="639" t="s">
        <v>5320</v>
      </c>
      <c r="T796" s="639">
        <v>381.5</v>
      </c>
      <c r="U796" s="640">
        <v>70</v>
      </c>
      <c r="V796" s="639">
        <v>0.68820000000000003</v>
      </c>
      <c r="W796" s="639">
        <v>3.2480000000000002</v>
      </c>
      <c r="X796" s="639">
        <v>262.54829999999998</v>
      </c>
      <c r="Y796" s="639">
        <v>1239.1120000000001</v>
      </c>
      <c r="Z796" s="639">
        <v>34.130000000000003</v>
      </c>
      <c r="AA796" s="639">
        <v>313.13</v>
      </c>
      <c r="AB796" s="639">
        <v>455</v>
      </c>
      <c r="AC796" s="641">
        <v>119459.1</v>
      </c>
    </row>
    <row r="797" spans="1:29" ht="15.75" customHeight="1" x14ac:dyDescent="0.25">
      <c r="A797" s="427" t="s">
        <v>4678</v>
      </c>
      <c r="B797" s="309">
        <v>554</v>
      </c>
      <c r="C797" s="309"/>
      <c r="D797" s="303" t="s">
        <v>34</v>
      </c>
      <c r="E797" s="303" t="s">
        <v>19</v>
      </c>
      <c r="F797" s="528">
        <v>45566</v>
      </c>
      <c r="G797" s="528"/>
      <c r="H79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7" s="522" t="str">
        <f>CONCATENATE(Таблица47[[#This Row],[№ заявки в 1С]],Таблица47[[#This Row],[Наименование            ]])</f>
        <v>554[91034] 1506-79, 3,6м, 6063 Т6, упак.Т5, БА</v>
      </c>
      <c r="J79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126</v>
      </c>
      <c r="K79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126</v>
      </c>
      <c r="L79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126</v>
      </c>
      <c r="M797" s="635"/>
      <c r="N797" s="1119">
        <v>126</v>
      </c>
      <c r="O797" s="1013">
        <f>IFERROR(Таблица47[[#This Row],[Количество хлыстов]]-Таблица47[[#This Row],[Обработано в 1С]]-Таблица47[[#This Row],[Корректировка]],"")</f>
        <v>0</v>
      </c>
      <c r="P797" s="638">
        <f>IFERROR((((Таблица47[[#This Row],[Осталось сделать, хлыст]]*Таблица47[[#This Row],[длина]])*Таблица47[[#This Row],[Периметр]])/28),"")</f>
        <v>0</v>
      </c>
      <c r="Q797" s="303"/>
      <c r="R797" s="991">
        <f>IFERROR(Таблица47[[#This Row],[Коли-
чество м.п.]]/Таблица47[[#This Row],[Количество хлыстов]],"")</f>
        <v>3.6</v>
      </c>
      <c r="S797" s="639" t="s">
        <v>5158</v>
      </c>
      <c r="T797" s="639">
        <v>453.6</v>
      </c>
      <c r="U797" s="640">
        <v>126</v>
      </c>
      <c r="V797" s="639">
        <v>0.3402</v>
      </c>
      <c r="W797" s="639">
        <v>1.4530000000000001</v>
      </c>
      <c r="X797" s="639">
        <v>154.31469999999999</v>
      </c>
      <c r="Y797" s="639">
        <v>659.08079999999995</v>
      </c>
      <c r="Z797" s="639">
        <v>20.059999999999999</v>
      </c>
      <c r="AA797" s="639">
        <v>146.97</v>
      </c>
      <c r="AB797" s="639">
        <v>432</v>
      </c>
      <c r="AC797" s="641">
        <v>66663.960000000006</v>
      </c>
    </row>
    <row r="798" spans="1:29" ht="15.75" customHeight="1" x14ac:dyDescent="0.25">
      <c r="A798" s="427" t="s">
        <v>4678</v>
      </c>
      <c r="B798" s="309">
        <v>555</v>
      </c>
      <c r="C798" s="309"/>
      <c r="D798" s="303" t="s">
        <v>34</v>
      </c>
      <c r="E798" s="303" t="s">
        <v>79</v>
      </c>
      <c r="F798" s="528">
        <v>45566</v>
      </c>
      <c r="G798" s="528"/>
      <c r="H79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8" s="522" t="str">
        <f>CONCATENATE(Таблица47[[#This Row],[№ заявки в 1С]],Таблица47[[#This Row],[Наименование            ]])</f>
        <v>555[76099] 1606-29 (проставка Н), 6,0м, 6063 Т1, упаковка Т-5, БА</v>
      </c>
      <c r="J79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185</v>
      </c>
      <c r="K79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185</v>
      </c>
      <c r="L79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185</v>
      </c>
      <c r="M798" s="635"/>
      <c r="N798" s="1119">
        <v>185</v>
      </c>
      <c r="O798" s="1013">
        <f>IFERROR(Таблица47[[#This Row],[Количество хлыстов]]-Таблица47[[#This Row],[Обработано в 1С]]-Таблица47[[#This Row],[Корректировка]],"")</f>
        <v>0</v>
      </c>
      <c r="P798" s="638">
        <f>IFERROR((((Таблица47[[#This Row],[Осталось сделать, хлыст]]*Таблица47[[#This Row],[длина]])*Таблица47[[#This Row],[Периметр]])/28),"")</f>
        <v>0</v>
      </c>
      <c r="Q798" s="303"/>
      <c r="R798" s="991">
        <f>IFERROR(Таблица47[[#This Row],[Коли-
чество м.п.]]/Таблица47[[#This Row],[Количество хлыстов]],"")</f>
        <v>6</v>
      </c>
      <c r="S798" s="639" t="s">
        <v>2624</v>
      </c>
      <c r="T798" s="639">
        <v>1110</v>
      </c>
      <c r="U798" s="640">
        <v>185</v>
      </c>
      <c r="V798" s="639">
        <v>8.8800000000000004E-2</v>
      </c>
      <c r="W798" s="639">
        <v>0.217</v>
      </c>
      <c r="X798" s="639">
        <v>98.567999999999998</v>
      </c>
      <c r="Y798" s="639">
        <v>240.87</v>
      </c>
      <c r="Z798" s="639">
        <v>12.81</v>
      </c>
      <c r="AA798" s="639">
        <v>41.47</v>
      </c>
      <c r="AB798" s="639">
        <v>467</v>
      </c>
      <c r="AC798" s="641">
        <v>46031.26</v>
      </c>
    </row>
    <row r="799" spans="1:29" customFormat="1" ht="15.75" customHeight="1" x14ac:dyDescent="0.25">
      <c r="A799" s="147" t="s">
        <v>4678</v>
      </c>
      <c r="B799" s="521">
        <v>556</v>
      </c>
      <c r="C799" s="521"/>
      <c r="D799" s="142" t="s">
        <v>34</v>
      </c>
      <c r="E799" s="142" t="s">
        <v>3404</v>
      </c>
      <c r="F799" s="143">
        <v>45566</v>
      </c>
      <c r="G799" s="143"/>
      <c r="H799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799" s="522" t="str">
        <f>CONCATENATE(Таблица47[[#This Row],[№ заявки в 1С]],Таблица47[[#This Row],[Наименование            ]])</f>
        <v>556[81738] 1706-70, 6,0м, 6063 Т1, упаковка Т-5, БА</v>
      </c>
      <c r="J799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160</v>
      </c>
      <c r="K799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160</v>
      </c>
      <c r="L799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160</v>
      </c>
      <c r="M799" s="522"/>
      <c r="N799" s="393">
        <v>160</v>
      </c>
      <c r="O799" s="1001">
        <f>IFERROR(Таблица47[[#This Row],[Количество хлыстов]]-Таблица47[[#This Row],[Обработано в 1С]]-Таблица47[[#This Row],[Корректировка]],"")</f>
        <v>0</v>
      </c>
      <c r="P799" s="638">
        <f>IFERROR((((Таблица47[[#This Row],[Осталось сделать, хлыст]]*Таблица47[[#This Row],[длина]])*Таблица47[[#This Row],[Периметр]])/28),"")</f>
        <v>0</v>
      </c>
      <c r="Q799" s="142"/>
      <c r="R799" s="280">
        <f>IFERROR(Таблица47[[#This Row],[Коли-
чество м.п.]]/Таблица47[[#This Row],[Количество хлыстов]],"")</f>
        <v>6</v>
      </c>
      <c r="S799" s="525" t="s">
        <v>4378</v>
      </c>
      <c r="T799" s="525">
        <v>960</v>
      </c>
      <c r="U799" s="526">
        <v>160</v>
      </c>
      <c r="V799" s="525">
        <v>0.25169999999999998</v>
      </c>
      <c r="W799" s="525">
        <v>0.56699999999999995</v>
      </c>
      <c r="X799" s="525">
        <v>241.63200000000001</v>
      </c>
      <c r="Y799" s="525">
        <v>544.32000000000005</v>
      </c>
      <c r="Z799" s="525">
        <v>31.41</v>
      </c>
      <c r="AA799" s="525">
        <v>99.42</v>
      </c>
      <c r="AB799" s="525">
        <v>395</v>
      </c>
      <c r="AC799" s="527">
        <v>95444.64</v>
      </c>
    </row>
    <row r="800" spans="1:29" ht="15.75" customHeight="1" x14ac:dyDescent="0.25">
      <c r="A800" s="427" t="s">
        <v>4678</v>
      </c>
      <c r="B800" s="309">
        <v>556</v>
      </c>
      <c r="C800" s="309"/>
      <c r="D800" s="303" t="s">
        <v>34</v>
      </c>
      <c r="E800" s="303" t="s">
        <v>3404</v>
      </c>
      <c r="F800" s="528">
        <v>45566</v>
      </c>
      <c r="G800" s="528"/>
      <c r="H80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0" s="522" t="str">
        <f>CONCATENATE(Таблица47[[#This Row],[№ заявки в 1С]],Таблица47[[#This Row],[Наименование            ]])</f>
        <v>556[89761] 2606-58, 6,0м, сплав 6063 Т5 (под гибку), упак. Т5</v>
      </c>
      <c r="J80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144</v>
      </c>
      <c r="K80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144</v>
      </c>
      <c r="L80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144</v>
      </c>
      <c r="M800" s="635"/>
      <c r="N800" s="1119">
        <v>144</v>
      </c>
      <c r="O800" s="1013">
        <f>IFERROR(Таблица47[[#This Row],[Количество хлыстов]]-Таблица47[[#This Row],[Обработано в 1С]]-Таблица47[[#This Row],[Корректировка]],"")</f>
        <v>0</v>
      </c>
      <c r="P800" s="638">
        <f>IFERROR((((Таблица47[[#This Row],[Осталось сделать, хлыст]]*Таблица47[[#This Row],[длина]])*Таблица47[[#This Row],[Периметр]])/28),"")</f>
        <v>0</v>
      </c>
      <c r="Q800" s="303"/>
      <c r="R800" s="991">
        <f>IFERROR(Таблица47[[#This Row],[Коли-
чество м.п.]]/Таблица47[[#This Row],[Количество хлыстов]],"")</f>
        <v>6</v>
      </c>
      <c r="S800" s="639" t="s">
        <v>5091</v>
      </c>
      <c r="T800" s="639">
        <v>864</v>
      </c>
      <c r="U800" s="640">
        <v>144</v>
      </c>
      <c r="V800" s="639">
        <v>0.1883</v>
      </c>
      <c r="W800" s="639">
        <v>0.318</v>
      </c>
      <c r="X800" s="639">
        <v>162.69120000000001</v>
      </c>
      <c r="Y800" s="639">
        <v>274.75200000000001</v>
      </c>
      <c r="Z800" s="639">
        <v>21.15</v>
      </c>
      <c r="AA800" s="639">
        <v>74.38</v>
      </c>
      <c r="AB800" s="639">
        <v>395</v>
      </c>
      <c r="AC800" s="641">
        <v>64263.02</v>
      </c>
    </row>
    <row r="801" spans="1:29" ht="15.75" customHeight="1" x14ac:dyDescent="0.25">
      <c r="A801" s="427" t="s">
        <v>4678</v>
      </c>
      <c r="B801" s="309" t="s">
        <v>5336</v>
      </c>
      <c r="C801" s="309"/>
      <c r="D801" s="303" t="s">
        <v>34</v>
      </c>
      <c r="E801" s="303" t="s">
        <v>16</v>
      </c>
      <c r="F801" s="528">
        <v>45566</v>
      </c>
      <c r="G801" s="528"/>
      <c r="H80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1" s="522" t="str">
        <f>CONCATENATE(Таблица47[[#This Row],[№ заявки в 1С]],Таблица47[[#This Row],[Наименование            ]])</f>
        <v>OPT001053[13620] 0106-290 (6158), 6,0м, 6063 Т1, тип 1, упаковка Т-5, БА</v>
      </c>
      <c r="J80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48</v>
      </c>
      <c r="K80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48</v>
      </c>
      <c r="L80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48</v>
      </c>
      <c r="M801" s="635"/>
      <c r="N801" s="1119">
        <v>48</v>
      </c>
      <c r="O801" s="1013">
        <f>IFERROR(Таблица47[[#This Row],[Количество хлыстов]]-Таблица47[[#This Row],[Обработано в 1С]]-Таблица47[[#This Row],[Корректировка]],"")</f>
        <v>0</v>
      </c>
      <c r="P801" s="638">
        <f>IFERROR((((Таблица47[[#This Row],[Осталось сделать, хлыст]]*Таблица47[[#This Row],[длина]])*Таблица47[[#This Row],[Периметр]])/28),"")</f>
        <v>0</v>
      </c>
      <c r="Q801" s="303"/>
      <c r="R801" s="991">
        <f>IFERROR(Таблица47[[#This Row],[Коли-
чество м.п.]]/Таблица47[[#This Row],[Количество хлыстов]],"")</f>
        <v>6</v>
      </c>
      <c r="S801" s="639" t="s">
        <v>5693</v>
      </c>
      <c r="T801" s="639">
        <v>288</v>
      </c>
      <c r="U801" s="640">
        <v>48</v>
      </c>
      <c r="V801" s="639">
        <v>0.29970000000000002</v>
      </c>
      <c r="W801" s="639">
        <v>1.6739999999999999</v>
      </c>
      <c r="X801" s="639">
        <v>86.313599999999994</v>
      </c>
      <c r="Y801" s="639">
        <v>482.11200000000002</v>
      </c>
      <c r="Z801" s="639">
        <v>11.22</v>
      </c>
      <c r="AA801" s="639">
        <v>136.36000000000001</v>
      </c>
      <c r="AB801" s="639">
        <v>455</v>
      </c>
      <c r="AC801" s="641">
        <v>39272.69</v>
      </c>
    </row>
    <row r="802" spans="1:29" ht="15.75" customHeight="1" x14ac:dyDescent="0.25">
      <c r="A802" s="427" t="s">
        <v>4678</v>
      </c>
      <c r="B802" s="309" t="s">
        <v>5337</v>
      </c>
      <c r="C802" s="309"/>
      <c r="D802" s="303" t="s">
        <v>34</v>
      </c>
      <c r="E802" s="303" t="s">
        <v>5326</v>
      </c>
      <c r="F802" s="528"/>
      <c r="G802" s="528"/>
      <c r="H802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2" s="522" t="str">
        <f>CONCATENATE(Таблица47[[#This Row],[№ заявки в 1С]],Таблица47[[#This Row],[Наименование            ]])</f>
        <v>OPT001057[90371] Профиль створки внешний A112 23/X, 6.0м, (АТ-10864) БА</v>
      </c>
      <c r="J802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802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</v>
      </c>
      <c r="L802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</v>
      </c>
      <c r="M802" s="635"/>
      <c r="N802" s="1119">
        <v>6</v>
      </c>
      <c r="O802" s="1013">
        <f>IFERROR(Таблица47[[#This Row],[Количество хлыстов]]-Таблица47[[#This Row],[Обработано в 1С]]-Таблица47[[#This Row],[Корректировка]],"")</f>
        <v>0</v>
      </c>
      <c r="P802" s="638">
        <f>IFERROR((((Таблица47[[#This Row],[Осталось сделать, хлыст]]*Таблица47[[#This Row],[длина]])*Таблица47[[#This Row],[Периметр]])/28),"")</f>
        <v>0</v>
      </c>
      <c r="Q802" s="303"/>
      <c r="R802" s="991">
        <f>IFERROR(Таблица47[[#This Row],[Коли-
чество м.п.]]/Таблица47[[#This Row],[Количество хлыстов]],"")</f>
        <v>6</v>
      </c>
      <c r="S802" s="639" t="s">
        <v>5327</v>
      </c>
      <c r="T802" s="639">
        <v>36</v>
      </c>
      <c r="U802" s="640">
        <v>6</v>
      </c>
      <c r="V802" s="639">
        <v>0.1108</v>
      </c>
      <c r="W802" s="639">
        <v>0.36599999999999999</v>
      </c>
      <c r="X802" s="639">
        <v>3.9887999999999999</v>
      </c>
      <c r="Y802" s="639">
        <v>13.176</v>
      </c>
      <c r="Z802" s="639">
        <v>0.52</v>
      </c>
      <c r="AA802" s="639">
        <v>726.67</v>
      </c>
      <c r="AB802" s="639">
        <v>6558.36</v>
      </c>
      <c r="AC802" s="641">
        <v>26160</v>
      </c>
    </row>
    <row r="803" spans="1:29" s="966" customFormat="1" ht="15.75" x14ac:dyDescent="0.25">
      <c r="A803" s="419" t="s">
        <v>4978</v>
      </c>
      <c r="B803" s="617">
        <v>557</v>
      </c>
      <c r="C803" s="617"/>
      <c r="D803" s="618" t="s">
        <v>34</v>
      </c>
      <c r="E803" s="618" t="s">
        <v>4807</v>
      </c>
      <c r="F803" s="619">
        <v>45586</v>
      </c>
      <c r="G803" s="619"/>
      <c r="H803" s="61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3" s="620" t="str">
        <f>CONCATENATE(Таблица47[[#This Row],[№ заявки в 1С]],Таблица47[[#This Row],[Наименование            ]])</f>
        <v>557[64905] 216033, БОК, 6,0 м, сплав АД31Т1, БА</v>
      </c>
      <c r="J803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03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03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03" s="620">
        <v>11</v>
      </c>
      <c r="N803" s="677">
        <v>242</v>
      </c>
      <c r="O803" s="1002" t="str">
        <f>IFERROR(Таблица47[[#This Row],[Количество хлыстов]]-Таблица47[[#This Row],[Обработано в 1С]]-Таблица47[[#This Row],[Корректировка]],"")</f>
        <v/>
      </c>
      <c r="P803" s="638" t="str">
        <f>IFERROR((((Таблица47[[#This Row],[Осталось сделать, хлыст]]*Таблица47[[#This Row],[длина]])*Таблица47[[#This Row],[Периметр]])/28),"")</f>
        <v/>
      </c>
      <c r="Q803" s="618"/>
      <c r="R803" s="692">
        <f>IFERROR(Таблица47[[#This Row],[Коли-
чество м.п.]]/Таблица47[[#This Row],[Количество хлыстов]],"")</f>
        <v>6</v>
      </c>
      <c r="S803" s="622" t="s">
        <v>4804</v>
      </c>
      <c r="T803" s="622">
        <v>1518</v>
      </c>
      <c r="U803" s="623">
        <v>253</v>
      </c>
      <c r="V803" s="622">
        <v>0.27610000000000001</v>
      </c>
      <c r="W803" s="622">
        <v>0.93400000000000005</v>
      </c>
      <c r="X803" s="622">
        <v>419.1198</v>
      </c>
      <c r="Y803" s="622">
        <v>1417.8119999999999</v>
      </c>
      <c r="Z803" s="622">
        <v>54.49</v>
      </c>
      <c r="AA803" s="622">
        <v>90.77</v>
      </c>
      <c r="AB803" s="622">
        <v>328.75</v>
      </c>
      <c r="AC803" s="624">
        <v>137785.63</v>
      </c>
    </row>
    <row r="804" spans="1:29" s="966" customFormat="1" ht="15.75" x14ac:dyDescent="0.25">
      <c r="A804" s="419" t="s">
        <v>4978</v>
      </c>
      <c r="B804" s="617">
        <v>557</v>
      </c>
      <c r="C804" s="617"/>
      <c r="D804" s="618" t="s">
        <v>34</v>
      </c>
      <c r="E804" s="618" t="s">
        <v>4807</v>
      </c>
      <c r="F804" s="619">
        <v>45586</v>
      </c>
      <c r="G804" s="619"/>
      <c r="H804" s="61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4" s="620" t="str">
        <f>CONCATENATE(Таблица47[[#This Row],[№ заявки в 1С]],Таблица47[[#This Row],[Наименование            ]])</f>
        <v>557[41108] 216074, ВЕРХНЯЯ БАЛКА, 5,95 м, сплав АД31Т1, БА</v>
      </c>
      <c r="J804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04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04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04" s="620">
        <v>5</v>
      </c>
      <c r="N804" s="677">
        <v>62</v>
      </c>
      <c r="O804" s="1002" t="str">
        <f>IFERROR(Таблица47[[#This Row],[Количество хлыстов]]-Таблица47[[#This Row],[Обработано в 1С]]-Таблица47[[#This Row],[Корректировка]],"")</f>
        <v/>
      </c>
      <c r="P804" s="638" t="str">
        <f>IFERROR((((Таблица47[[#This Row],[Осталось сделать, хлыст]]*Таблица47[[#This Row],[длина]])*Таблица47[[#This Row],[Периметр]])/28),"")</f>
        <v/>
      </c>
      <c r="Q804" s="618"/>
      <c r="R804" s="692">
        <f>IFERROR(Таблица47[[#This Row],[Коли-
чество м.п.]]/Таблица47[[#This Row],[Количество хлыстов]],"")</f>
        <v>5.9499999999999993</v>
      </c>
      <c r="S804" s="622" t="s">
        <v>4805</v>
      </c>
      <c r="T804" s="622">
        <v>398.65</v>
      </c>
      <c r="U804" s="623">
        <v>67</v>
      </c>
      <c r="V804" s="622">
        <v>0.58020000000000005</v>
      </c>
      <c r="W804" s="622">
        <v>1.306</v>
      </c>
      <c r="X804" s="622">
        <v>231.29669999999999</v>
      </c>
      <c r="Y804" s="622">
        <v>520.63689999999997</v>
      </c>
      <c r="Z804" s="622">
        <v>30.07</v>
      </c>
      <c r="AA804" s="622">
        <v>190.74</v>
      </c>
      <c r="AB804" s="622">
        <v>328.75</v>
      </c>
      <c r="AC804" s="624">
        <v>76038.8</v>
      </c>
    </row>
    <row r="805" spans="1:29" s="966" customFormat="1" ht="15.75" x14ac:dyDescent="0.25">
      <c r="A805" s="419" t="s">
        <v>4978</v>
      </c>
      <c r="B805" s="617">
        <v>557</v>
      </c>
      <c r="C805" s="617"/>
      <c r="D805" s="618" t="s">
        <v>34</v>
      </c>
      <c r="E805" s="618" t="s">
        <v>4807</v>
      </c>
      <c r="F805" s="619">
        <v>45586</v>
      </c>
      <c r="G805" s="619"/>
      <c r="H805" s="61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5" s="620" t="str">
        <f>CONCATENATE(Таблица47[[#This Row],[№ заявки в 1С]],Таблица47[[#This Row],[Наименование            ]])</f>
        <v>557[50071] 216004, рама, 5,3 м, сплав АД 31 Т1 , упаковка А3</v>
      </c>
      <c r="J805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05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05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05" s="620">
        <v>15</v>
      </c>
      <c r="N805" s="677">
        <v>713</v>
      </c>
      <c r="O805" s="1002" t="str">
        <f>IFERROR(Таблица47[[#This Row],[Количество хлыстов]]-Таблица47[[#This Row],[Обработано в 1С]]-Таблица47[[#This Row],[Корректировка]],"")</f>
        <v/>
      </c>
      <c r="P805" s="638" t="str">
        <f>IFERROR((((Таблица47[[#This Row],[Осталось сделать, хлыст]]*Таблица47[[#This Row],[длина]])*Таблица47[[#This Row],[Периметр]])/28),"")</f>
        <v/>
      </c>
      <c r="Q805" s="618"/>
      <c r="R805" s="692">
        <f>IFERROR(Таблица47[[#This Row],[Коли-
чество м.п.]]/Таблица47[[#This Row],[Количество хлыстов]],"")</f>
        <v>5.3</v>
      </c>
      <c r="S805" s="622" t="s">
        <v>4806</v>
      </c>
      <c r="T805" s="622">
        <v>3858.4</v>
      </c>
      <c r="U805" s="623">
        <v>728</v>
      </c>
      <c r="V805" s="622">
        <v>0.22270000000000001</v>
      </c>
      <c r="W805" s="622">
        <v>0.52700000000000002</v>
      </c>
      <c r="X805" s="622">
        <v>859.26570000000004</v>
      </c>
      <c r="Y805" s="622">
        <v>2033.3768</v>
      </c>
      <c r="Z805" s="622">
        <v>111.7</v>
      </c>
      <c r="AA805" s="622">
        <v>73.209999999999994</v>
      </c>
      <c r="AB805" s="622">
        <v>328.75</v>
      </c>
      <c r="AC805" s="624">
        <v>282483.59000000003</v>
      </c>
    </row>
    <row r="806" spans="1:29" ht="15.75" customHeight="1" x14ac:dyDescent="0.25">
      <c r="A806" s="427" t="s">
        <v>4678</v>
      </c>
      <c r="B806" s="309">
        <v>558</v>
      </c>
      <c r="C806" s="309" t="s">
        <v>4753</v>
      </c>
      <c r="D806" s="303" t="s">
        <v>34</v>
      </c>
      <c r="E806" s="303" t="s">
        <v>4467</v>
      </c>
      <c r="F806" s="528">
        <v>45569</v>
      </c>
      <c r="G806" s="528">
        <v>45575</v>
      </c>
      <c r="H80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6" s="522" t="str">
        <f>CONCATENATE(Таблица47[[#This Row],[№ заявки в 1С]],Таблица47[[#This Row],[Наименование            ]])</f>
        <v>558[93390] д 80х80 B-Rxtr, 6,05м, АД31 Т1, БА</v>
      </c>
      <c r="J80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</v>
      </c>
      <c r="K80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</v>
      </c>
      <c r="L80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</v>
      </c>
      <c r="M806" s="635"/>
      <c r="N806" s="1119">
        <v>6</v>
      </c>
      <c r="O806" s="1013">
        <f>IFERROR(Таблица47[[#This Row],[Количество хлыстов]]-Таблица47[[#This Row],[Обработано в 1С]]-Таблица47[[#This Row],[Корректировка]],"")</f>
        <v>0</v>
      </c>
      <c r="P806" s="638">
        <f>IFERROR((((Таблица47[[#This Row],[Осталось сделать, хлыст]]*Таблица47[[#This Row],[длина]])*Таблица47[[#This Row],[Периметр]])/28),"")</f>
        <v>0</v>
      </c>
      <c r="Q806" s="303"/>
      <c r="R806" s="991">
        <f>IFERROR(Таблица47[[#This Row],[Коли-
чество м.п.]]/Таблица47[[#This Row],[Количество хлыстов]],"")</f>
        <v>6.05</v>
      </c>
      <c r="S806" s="639" t="s">
        <v>5340</v>
      </c>
      <c r="T806" s="639">
        <v>36.299999999999997</v>
      </c>
      <c r="U806" s="640">
        <v>6</v>
      </c>
      <c r="V806" s="639">
        <v>0.63280000000000003</v>
      </c>
      <c r="W806" s="639">
        <v>4.5940000000000003</v>
      </c>
      <c r="X806" s="639">
        <v>22.970600000000001</v>
      </c>
      <c r="Y806" s="639">
        <v>166.76220000000001</v>
      </c>
      <c r="Z806" s="639">
        <v>2.99</v>
      </c>
      <c r="AA806" s="639">
        <v>804.55</v>
      </c>
      <c r="AB806" s="639">
        <v>1271.4100000000001</v>
      </c>
      <c r="AC806" s="641">
        <v>29205</v>
      </c>
    </row>
    <row r="807" spans="1:29" ht="15.75" customHeight="1" x14ac:dyDescent="0.25">
      <c r="A807" s="427" t="s">
        <v>4678</v>
      </c>
      <c r="B807" s="309">
        <v>558</v>
      </c>
      <c r="C807" s="309" t="s">
        <v>4753</v>
      </c>
      <c r="D807" s="303" t="s">
        <v>34</v>
      </c>
      <c r="E807" s="303" t="s">
        <v>4467</v>
      </c>
      <c r="F807" s="528">
        <v>45569</v>
      </c>
      <c r="G807" s="528">
        <v>45575</v>
      </c>
      <c r="H807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7" s="522" t="str">
        <f>CONCATENATE(Таблица47[[#This Row],[№ заявки в 1С]],Таблица47[[#This Row],[Наименование            ]])</f>
        <v>558[91325] д 45х90 B-Rxtr, 6,05м БА</v>
      </c>
      <c r="J807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</v>
      </c>
      <c r="K807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</v>
      </c>
      <c r="L807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</v>
      </c>
      <c r="M807" s="635"/>
      <c r="N807" s="1119">
        <v>9</v>
      </c>
      <c r="O807" s="1013">
        <f>IFERROR(Таблица47[[#This Row],[Количество хлыстов]]-Таблица47[[#This Row],[Обработано в 1С]]-Таблица47[[#This Row],[Корректировка]],"")</f>
        <v>0</v>
      </c>
      <c r="P807" s="638">
        <f>IFERROR((((Таблица47[[#This Row],[Осталось сделать, хлыст]]*Таблица47[[#This Row],[длина]])*Таблица47[[#This Row],[Периметр]])/28),"")</f>
        <v>0</v>
      </c>
      <c r="Q807" s="303"/>
      <c r="R807" s="991">
        <f>IFERROR(Таблица47[[#This Row],[Коли-
чество м.п.]]/Таблица47[[#This Row],[Количество хлыстов]],"")</f>
        <v>6.0500000000000007</v>
      </c>
      <c r="S807" s="639" t="s">
        <v>5166</v>
      </c>
      <c r="T807" s="639">
        <v>54.45</v>
      </c>
      <c r="U807" s="640">
        <v>9</v>
      </c>
      <c r="V807" s="639">
        <v>0.53510000000000002</v>
      </c>
      <c r="W807" s="639">
        <v>2.891</v>
      </c>
      <c r="X807" s="639">
        <v>29.136199999999999</v>
      </c>
      <c r="Y807" s="639">
        <v>157.41499999999999</v>
      </c>
      <c r="Z807" s="639">
        <v>3.79</v>
      </c>
      <c r="AA807" s="639">
        <v>655.56</v>
      </c>
      <c r="AB807" s="639">
        <v>1225.1099999999999</v>
      </c>
      <c r="AC807" s="641">
        <v>35695</v>
      </c>
    </row>
    <row r="808" spans="1:29" ht="15.75" customHeight="1" x14ac:dyDescent="0.25">
      <c r="A808" s="238" t="s">
        <v>4678</v>
      </c>
      <c r="B808" s="1070">
        <v>560</v>
      </c>
      <c r="C808" s="1070"/>
      <c r="D808" s="303" t="s">
        <v>13</v>
      </c>
      <c r="E808" s="303" t="s">
        <v>5343</v>
      </c>
      <c r="F808" s="528">
        <v>45572</v>
      </c>
      <c r="G808" s="528"/>
      <c r="H808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8" s="522" t="str">
        <f>CONCATENATE(Таблица47[[#This Row],[№ заявки в 1С]],Таблица47[[#This Row],[Наименование            ]])</f>
        <v>560[16952] Уголок 10*20*2, 6,0м, БА сплав 6063</v>
      </c>
      <c r="J808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23</v>
      </c>
      <c r="K808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23</v>
      </c>
      <c r="L808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23</v>
      </c>
      <c r="M808" s="635"/>
      <c r="N808" s="1119">
        <v>23</v>
      </c>
      <c r="O808" s="1013">
        <f>IFERROR(Таблица47[[#This Row],[Количество хлыстов]]-Таблица47[[#This Row],[Обработано в 1С]]-Таблица47[[#This Row],[Корректировка]],"")</f>
        <v>0</v>
      </c>
      <c r="P808" s="638">
        <f>IFERROR((((Таблица47[[#This Row],[Осталось сделать, хлыст]]*Таблица47[[#This Row],[длина]])*Таблица47[[#This Row],[Периметр]])/28),"")</f>
        <v>0</v>
      </c>
      <c r="Q808" s="303"/>
      <c r="R808" s="991">
        <f>IFERROR(Таблица47[[#This Row],[Коли-
чество м.п.]]/Таблица47[[#This Row],[Количество хлыстов]],"")</f>
        <v>6</v>
      </c>
      <c r="S808" s="639" t="s">
        <v>5344</v>
      </c>
      <c r="T808" s="639">
        <v>138</v>
      </c>
      <c r="U808" s="640">
        <v>23</v>
      </c>
      <c r="V808" s="639">
        <v>6.4000000000000001E-2</v>
      </c>
      <c r="W808" s="639">
        <v>0.151</v>
      </c>
      <c r="X808" s="639">
        <v>8.8320000000000007</v>
      </c>
      <c r="Y808" s="639">
        <v>20.838000000000001</v>
      </c>
      <c r="Z808" s="639">
        <v>1.1499999999999999</v>
      </c>
      <c r="AA808" s="639">
        <v>27.65</v>
      </c>
      <c r="AB808" s="639">
        <v>432</v>
      </c>
      <c r="AC808" s="641">
        <v>3815.42</v>
      </c>
    </row>
    <row r="809" spans="1:29" customFormat="1" ht="15.75" customHeight="1" x14ac:dyDescent="0.25">
      <c r="A809" s="147" t="s">
        <v>4678</v>
      </c>
      <c r="B809" s="521">
        <v>561</v>
      </c>
      <c r="C809" s="521"/>
      <c r="D809" s="142" t="s">
        <v>34</v>
      </c>
      <c r="E809" s="142" t="s">
        <v>79</v>
      </c>
      <c r="F809" s="143">
        <v>45572</v>
      </c>
      <c r="G809" s="143"/>
      <c r="H809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09" s="522" t="str">
        <f>CONCATENATE(Таблица47[[#This Row],[№ заявки в 1С]],Таблица47[[#This Row],[Наименование            ]])</f>
        <v>561[34579] 0906-44 (АТ-6052), 6,0м, БА с перфорацией</v>
      </c>
      <c r="J809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707</v>
      </c>
      <c r="K809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707</v>
      </c>
      <c r="L809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577</v>
      </c>
      <c r="M809" s="522">
        <f>8+122</f>
        <v>130</v>
      </c>
      <c r="N809" s="393">
        <v>577</v>
      </c>
      <c r="O809" s="1001">
        <f>IFERROR(Таблица47[[#This Row],[Количество хлыстов]]-Таблица47[[#This Row],[Обработано в 1С]]-Таблица47[[#This Row],[Корректировка]],"")</f>
        <v>0</v>
      </c>
      <c r="P809" s="638">
        <f>IFERROR((((Таблица47[[#This Row],[Осталось сделать, хлыст]]*Таблица47[[#This Row],[длина]])*Таблица47[[#This Row],[Периметр]])/28),"")</f>
        <v>0</v>
      </c>
      <c r="Q809" s="142" t="s">
        <v>5860</v>
      </c>
      <c r="R809" s="280">
        <f>IFERROR(Таблица47[[#This Row],[Коли-
чество м.п.]]/Таблица47[[#This Row],[Количество хлыстов]],"")</f>
        <v>6</v>
      </c>
      <c r="S809" s="525" t="s">
        <v>78</v>
      </c>
      <c r="T809" s="525">
        <v>4242</v>
      </c>
      <c r="U809" s="526">
        <v>707</v>
      </c>
      <c r="V809" s="525">
        <v>0.20230000000000001</v>
      </c>
      <c r="W809" s="525">
        <v>0.499</v>
      </c>
      <c r="X809" s="525">
        <v>858.15660000000003</v>
      </c>
      <c r="Y809" s="525">
        <v>2116.7579999999998</v>
      </c>
      <c r="Z809" s="525">
        <v>111.56</v>
      </c>
      <c r="AA809" s="525">
        <v>79.91</v>
      </c>
      <c r="AB809" s="525">
        <v>395</v>
      </c>
      <c r="AC809" s="527">
        <v>338971.86</v>
      </c>
    </row>
    <row r="810" spans="1:29" ht="15.75" customHeight="1" x14ac:dyDescent="0.25">
      <c r="A810" s="1130" t="s">
        <v>4678</v>
      </c>
      <c r="B810" s="1126">
        <v>565</v>
      </c>
      <c r="C810" s="1126" t="s">
        <v>4753</v>
      </c>
      <c r="D810" s="1127" t="s">
        <v>34</v>
      </c>
      <c r="E810" s="1127" t="s">
        <v>5662</v>
      </c>
      <c r="F810" s="1129">
        <v>45573</v>
      </c>
      <c r="G810" s="1129"/>
      <c r="H81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0" s="967" t="str">
        <f>CONCATENATE(Таблица47[[#This Row],[№ заявки в 1С]],Таблица47[[#This Row],[Наименование            ]])</f>
        <v>565[93441] д 80х65 2,6м без покрытия</v>
      </c>
      <c r="J810" s="113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145</v>
      </c>
      <c r="K810" s="113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145</v>
      </c>
      <c r="L810" s="113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145</v>
      </c>
      <c r="M810" s="635">
        <v>3</v>
      </c>
      <c r="N810" s="1133">
        <v>145</v>
      </c>
      <c r="O810" s="1013">
        <f>IFERROR(Таблица47[[#This Row],[Количество хлыстов]]-Таблица47[[#This Row],[Обработано в 1С]]-Таблица47[[#This Row],[Корректировка]],"")</f>
        <v>0</v>
      </c>
      <c r="P810" s="638">
        <f>IFERROR((((Таблица47[[#This Row],[Осталось сделать, хлыст]]*Таблица47[[#This Row],[длина]])*Таблица47[[#This Row],[Периметр]])/28),"")</f>
        <v>0</v>
      </c>
      <c r="Q810" s="1127"/>
      <c r="R810" s="1134">
        <f>IFERROR(Таблица47[[#This Row],[Коли-
чество м.п.]]/Таблица47[[#This Row],[Количество хлыстов]],"")</f>
        <v>2.6</v>
      </c>
      <c r="S810" s="960" t="s">
        <v>5567</v>
      </c>
      <c r="T810" s="960">
        <v>384.8</v>
      </c>
      <c r="U810" s="1135">
        <v>148</v>
      </c>
      <c r="V810" s="960">
        <v>0.31140000000000001</v>
      </c>
      <c r="W810" s="960">
        <v>1.5029999999999999</v>
      </c>
      <c r="X810" s="960">
        <v>119.8267</v>
      </c>
      <c r="Y810" s="960">
        <v>578.35440000000006</v>
      </c>
      <c r="Z810" s="960">
        <v>15.58</v>
      </c>
      <c r="AA810" s="960">
        <v>371.24</v>
      </c>
      <c r="AB810" s="960">
        <v>1192.18</v>
      </c>
      <c r="AC810" s="1136">
        <v>142855</v>
      </c>
    </row>
    <row r="811" spans="1:29" ht="15.75" customHeight="1" x14ac:dyDescent="0.25">
      <c r="A811" s="1130" t="s">
        <v>4678</v>
      </c>
      <c r="B811" s="1126">
        <v>565</v>
      </c>
      <c r="C811" s="1126" t="s">
        <v>4753</v>
      </c>
      <c r="D811" s="1127" t="s">
        <v>34</v>
      </c>
      <c r="E811" s="1127" t="s">
        <v>5662</v>
      </c>
      <c r="F811" s="1129">
        <v>45573</v>
      </c>
      <c r="G811" s="1129"/>
      <c r="H81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1" s="967" t="str">
        <f>CONCATENATE(Таблица47[[#This Row],[№ заявки в 1С]],Таблица47[[#This Row],[Наименование            ]])</f>
        <v>565[93442] д 80х65 6м без покрытия</v>
      </c>
      <c r="J811" s="113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</v>
      </c>
      <c r="K811" s="113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</v>
      </c>
      <c r="L811" s="113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40</v>
      </c>
      <c r="M811" s="635"/>
      <c r="N811" s="1133">
        <v>40</v>
      </c>
      <c r="O811" s="1013">
        <f>IFERROR(Таблица47[[#This Row],[Количество хлыстов]]-Таблица47[[#This Row],[Обработано в 1С]]-Таблица47[[#This Row],[Корректировка]],"")</f>
        <v>0</v>
      </c>
      <c r="P811" s="638">
        <f>IFERROR((((Таблица47[[#This Row],[Осталось сделать, хлыст]]*Таблица47[[#This Row],[длина]])*Таблица47[[#This Row],[Периметр]])/28),"")</f>
        <v>0</v>
      </c>
      <c r="Q811" s="1127"/>
      <c r="R811" s="1134">
        <f>IFERROR(Таблица47[[#This Row],[Коли-
чество м.п.]]/Таблица47[[#This Row],[Количество хлыстов]],"")</f>
        <v>6</v>
      </c>
      <c r="S811" s="960" t="s">
        <v>5569</v>
      </c>
      <c r="T811" s="960">
        <v>240</v>
      </c>
      <c r="U811" s="1135">
        <v>40</v>
      </c>
      <c r="V811" s="960">
        <v>0.31140000000000001</v>
      </c>
      <c r="W811" s="960">
        <v>1.5029999999999999</v>
      </c>
      <c r="X811" s="960">
        <v>74.736000000000004</v>
      </c>
      <c r="Y811" s="960">
        <v>360.72</v>
      </c>
      <c r="Z811" s="960">
        <v>9.7200000000000006</v>
      </c>
      <c r="AA811" s="960">
        <v>357.69</v>
      </c>
      <c r="AB811" s="960">
        <v>1148.6400000000001</v>
      </c>
      <c r="AC811" s="1136">
        <v>85845</v>
      </c>
    </row>
    <row r="812" spans="1:29" customFormat="1" ht="15.75" customHeight="1" x14ac:dyDescent="0.25">
      <c r="A812" s="965" t="s">
        <v>4678</v>
      </c>
      <c r="B812" s="962">
        <v>562</v>
      </c>
      <c r="C812" s="962"/>
      <c r="D812" s="963" t="s">
        <v>13</v>
      </c>
      <c r="E812" s="963" t="s">
        <v>5250</v>
      </c>
      <c r="F812" s="964">
        <v>45573</v>
      </c>
      <c r="G812" s="143"/>
      <c r="H812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2" s="522" t="str">
        <f>CONCATENATE(Таблица47[[#This Row],[№ заявки в 1С]],Таблица47[[#This Row],[Наименование            ]])</f>
        <v>562[41588] А 29 (0073-16) Стойка угловая специальная, 5,0м, 6063 под анод</v>
      </c>
      <c r="J812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96</v>
      </c>
      <c r="K812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96</v>
      </c>
      <c r="L812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96</v>
      </c>
      <c r="M812" s="522"/>
      <c r="N812" s="393">
        <v>96</v>
      </c>
      <c r="O812" s="1001">
        <f>IFERROR(Таблица47[[#This Row],[Количество хлыстов]]-Таблица47[[#This Row],[Обработано в 1С]]-Таблица47[[#This Row],[Корректировка]],"")</f>
        <v>0</v>
      </c>
      <c r="P812" s="638">
        <f>IFERROR((((Таблица47[[#This Row],[Осталось сделать, хлыст]]*Таблица47[[#This Row],[длина]])*Таблица47[[#This Row],[Периметр]])/28),"")</f>
        <v>0</v>
      </c>
      <c r="Q812" s="142"/>
      <c r="R812" s="280">
        <f>IFERROR(Таблица47[[#This Row],[Коли-
чество м.п.]]/Таблица47[[#This Row],[Количество хлыстов]],"")</f>
        <v>5</v>
      </c>
      <c r="S812" s="525" t="s">
        <v>3901</v>
      </c>
      <c r="T812" s="525">
        <v>480</v>
      </c>
      <c r="U812" s="526">
        <v>96</v>
      </c>
      <c r="V812" s="525">
        <v>0.2079</v>
      </c>
      <c r="W812" s="525">
        <v>0.55600000000000005</v>
      </c>
      <c r="X812" s="525">
        <v>99.792000000000002</v>
      </c>
      <c r="Y812" s="525">
        <v>266.88</v>
      </c>
      <c r="Z812" s="525">
        <v>12.97</v>
      </c>
      <c r="AA812" s="525">
        <v>94.59</v>
      </c>
      <c r="AB812" s="525">
        <v>455</v>
      </c>
      <c r="AC812" s="527">
        <v>45405.36</v>
      </c>
    </row>
    <row r="813" spans="1:29" ht="15.75" customHeight="1" x14ac:dyDescent="0.25">
      <c r="A813" s="427" t="s">
        <v>4678</v>
      </c>
      <c r="B813" s="309">
        <v>566</v>
      </c>
      <c r="C813" s="309"/>
      <c r="D813" s="303" t="s">
        <v>4858</v>
      </c>
      <c r="E813" s="303" t="s">
        <v>4734</v>
      </c>
      <c r="F813" s="528">
        <v>45573</v>
      </c>
      <c r="G813" s="528"/>
      <c r="H81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3" s="522" t="str">
        <f>CONCATENATE(Таблица47[[#This Row],[№ заявки в 1С]],Таблица47[[#This Row],[Наименование            ]])</f>
        <v>566[69916] автоуголок 50*50 мм (97082) 6,0м,  сплав 6063 Т6 + упаковка А5</v>
      </c>
      <c r="J81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93</v>
      </c>
      <c r="K81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93</v>
      </c>
      <c r="L81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93</v>
      </c>
      <c r="M813" s="635"/>
      <c r="N813" s="1119">
        <v>93</v>
      </c>
      <c r="O813" s="1013">
        <f>IFERROR(Таблица47[[#This Row],[Количество хлыстов]]-Таблица47[[#This Row],[Обработано в 1С]]-Таблица47[[#This Row],[Корректировка]],"")</f>
        <v>0</v>
      </c>
      <c r="P813" s="638">
        <f>IFERROR((((Таблица47[[#This Row],[Осталось сделать, хлыст]]*Таблица47[[#This Row],[длина]])*Таблица47[[#This Row],[Периметр]])/28),"")</f>
        <v>0</v>
      </c>
      <c r="Q813" s="303"/>
      <c r="R813" s="991">
        <f>IFERROR(Таблица47[[#This Row],[Коли-
чество м.п.]]/Таблица47[[#This Row],[Количество хлыстов]],"")</f>
        <v>6</v>
      </c>
      <c r="S813" s="639" t="s">
        <v>4727</v>
      </c>
      <c r="T813" s="639">
        <v>558</v>
      </c>
      <c r="U813" s="640">
        <v>93</v>
      </c>
      <c r="V813" s="639">
        <v>0.1938</v>
      </c>
      <c r="W813" s="639">
        <v>0.63600000000000001</v>
      </c>
      <c r="X813" s="639">
        <v>108.1404</v>
      </c>
      <c r="Y813" s="639">
        <v>354.88799999999998</v>
      </c>
      <c r="Z813" s="639">
        <v>14.06</v>
      </c>
      <c r="AA813" s="639">
        <v>82.37</v>
      </c>
      <c r="AB813" s="639">
        <v>425</v>
      </c>
      <c r="AC813" s="641">
        <v>45959.67</v>
      </c>
    </row>
    <row r="814" spans="1:29" customFormat="1" ht="15.75" x14ac:dyDescent="0.25">
      <c r="A814" s="147" t="s">
        <v>4678</v>
      </c>
      <c r="B814" s="521">
        <v>568</v>
      </c>
      <c r="C814" s="521"/>
      <c r="D814" s="142" t="s">
        <v>4858</v>
      </c>
      <c r="E814" s="142" t="s">
        <v>4734</v>
      </c>
      <c r="F814" s="143">
        <v>45575</v>
      </c>
      <c r="G814" s="143"/>
      <c r="H814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4" s="522" t="str">
        <f>CONCATENATE(Таблица47[[#This Row],[№ заявки в 1С]],Таблица47[[#This Row],[Наименование            ]])</f>
        <v>568[36867] 8507023 (0680-03) 6,50м, БА сплав 6063 Т6</v>
      </c>
      <c r="J814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21</v>
      </c>
      <c r="K814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21</v>
      </c>
      <c r="L814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101</v>
      </c>
      <c r="M814" s="522"/>
      <c r="N814" s="393">
        <v>21</v>
      </c>
      <c r="O814" s="1001">
        <f>IFERROR(Таблица47[[#This Row],[Количество хлыстов]]-Таблица47[[#This Row],[Обработано в 1С]]-Таблица47[[#This Row],[Корректировка]],"")</f>
        <v>-80</v>
      </c>
      <c r="P814" s="638">
        <f>IFERROR((((Таблица47[[#This Row],[Осталось сделать, хлыст]]*Таблица47[[#This Row],[длина]])*Таблица47[[#This Row],[Периметр]])/28),"")</f>
        <v>-10.037857142857144</v>
      </c>
      <c r="Q814" s="142" t="s">
        <v>5856</v>
      </c>
      <c r="R814" s="280">
        <f>IFERROR(Таблица47[[#This Row],[Коли-
чество м.п.]]/Таблица47[[#This Row],[Количество хлыстов]],"")</f>
        <v>6.5</v>
      </c>
      <c r="S814" s="525" t="s">
        <v>4491</v>
      </c>
      <c r="T814" s="525">
        <v>136.5</v>
      </c>
      <c r="U814" s="526">
        <v>21</v>
      </c>
      <c r="V814" s="525">
        <v>0.54049999999999998</v>
      </c>
      <c r="W814" s="525">
        <v>2.0979999999999999</v>
      </c>
      <c r="X814" s="525">
        <v>73.778300000000002</v>
      </c>
      <c r="Y814" s="525">
        <v>286.37700000000001</v>
      </c>
      <c r="Z814" s="525">
        <v>9.59</v>
      </c>
      <c r="AA814" s="525">
        <v>229.71</v>
      </c>
      <c r="AB814" s="525">
        <v>425</v>
      </c>
      <c r="AC814" s="527">
        <v>31355.759999999998</v>
      </c>
    </row>
    <row r="815" spans="1:29" customFormat="1" ht="15.75" x14ac:dyDescent="0.25">
      <c r="A815" s="147" t="s">
        <v>4678</v>
      </c>
      <c r="B815" s="521">
        <v>568</v>
      </c>
      <c r="C815" s="521"/>
      <c r="D815" s="142" t="s">
        <v>4858</v>
      </c>
      <c r="E815" s="142" t="s">
        <v>4734</v>
      </c>
      <c r="F815" s="143">
        <v>45575</v>
      </c>
      <c r="G815" s="143"/>
      <c r="H815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5" s="522" t="str">
        <f>CONCATENATE(Таблица47[[#This Row],[№ заявки в 1С]],Таблица47[[#This Row],[Наименование            ]])</f>
        <v>568[76123] 8507023 (АГС) 6,50м, БА сплав 6063 Т6</v>
      </c>
      <c r="J815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</v>
      </c>
      <c r="K815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</v>
      </c>
      <c r="L815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101</v>
      </c>
      <c r="M815" s="522">
        <v>35</v>
      </c>
      <c r="N815" s="393">
        <v>45</v>
      </c>
      <c r="O815" s="1001">
        <f>IFERROR(Таблица47[[#This Row],[Количество хлыстов]]-Таблица47[[#This Row],[Обработано в 1С]]-Таблица47[[#This Row],[Корректировка]],"")</f>
        <v>-56</v>
      </c>
      <c r="P815" s="638">
        <f>IFERROR((((Таблица47[[#This Row],[Осталось сделать, хлыст]]*Таблица47[[#This Row],[длина]])*Таблица47[[#This Row],[Периметр]])/28),"")</f>
        <v>-7.0330000000000004</v>
      </c>
      <c r="Q815" s="142"/>
      <c r="R815" s="280">
        <f>IFERROR(Таблица47[[#This Row],[Коли-
чество м.п.]]/Таблица47[[#This Row],[Количество хлыстов]],"")</f>
        <v>6.5</v>
      </c>
      <c r="S815" s="525" t="s">
        <v>4733</v>
      </c>
      <c r="T815" s="525">
        <v>520</v>
      </c>
      <c r="U815" s="526">
        <v>80</v>
      </c>
      <c r="V815" s="525">
        <v>0.54100000000000004</v>
      </c>
      <c r="W815" s="525">
        <v>2.5299999999999998</v>
      </c>
      <c r="X815" s="525">
        <v>281.32</v>
      </c>
      <c r="Y815" s="525">
        <v>1315.6</v>
      </c>
      <c r="Z815" s="525">
        <v>36.57</v>
      </c>
      <c r="AA815" s="525">
        <v>229.93</v>
      </c>
      <c r="AB815" s="525">
        <v>425</v>
      </c>
      <c r="AC815" s="527">
        <v>119561</v>
      </c>
    </row>
    <row r="816" spans="1:29" customFormat="1" ht="15.75" x14ac:dyDescent="0.25">
      <c r="A816" s="147" t="s">
        <v>4678</v>
      </c>
      <c r="B816" s="521">
        <v>568</v>
      </c>
      <c r="C816" s="521"/>
      <c r="D816" s="142" t="s">
        <v>4858</v>
      </c>
      <c r="E816" s="142" t="s">
        <v>4734</v>
      </c>
      <c r="F816" s="143">
        <v>45575</v>
      </c>
      <c r="G816" s="143"/>
      <c r="H81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6" s="522" t="str">
        <f>CONCATENATE(Таблица47[[#This Row],[№ заявки в 1С]],Таблица47[[#This Row],[Наименование            ]])</f>
        <v>568[76124] 8507029-10 (АГС), 6,50м, БА сплав 6063 Т6</v>
      </c>
      <c r="J816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120</v>
      </c>
      <c r="K816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120</v>
      </c>
      <c r="L816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66</v>
      </c>
      <c r="M816" s="522">
        <v>120</v>
      </c>
      <c r="N816" s="393"/>
      <c r="O816" s="1001">
        <f>IFERROR(Таблица47[[#This Row],[Количество хлыстов]]-Таблица47[[#This Row],[Обработано в 1С]]-Таблица47[[#This Row],[Корректировка]],"")</f>
        <v>-66</v>
      </c>
      <c r="P816" s="638">
        <f>IFERROR((((Таблица47[[#This Row],[Осталось сделать, хлыст]]*Таблица47[[#This Row],[длина]])*Таблица47[[#This Row],[Периметр]])/28),"")</f>
        <v>-9.5605714285714303</v>
      </c>
      <c r="Q816" s="142"/>
      <c r="R816" s="280">
        <f>IFERROR(Таблица47[[#This Row],[Коли-
чество м.п.]]/Таблица47[[#This Row],[Количество хлыстов]],"")</f>
        <v>6.5</v>
      </c>
      <c r="S816" s="525" t="s">
        <v>5370</v>
      </c>
      <c r="T816" s="525">
        <v>780</v>
      </c>
      <c r="U816" s="526">
        <v>120</v>
      </c>
      <c r="V816" s="525">
        <v>0.624</v>
      </c>
      <c r="W816" s="525">
        <v>2.6</v>
      </c>
      <c r="X816" s="525">
        <v>486.72</v>
      </c>
      <c r="Y816" s="525">
        <v>2028</v>
      </c>
      <c r="Z816" s="525">
        <v>63.27</v>
      </c>
      <c r="AA816" s="525">
        <v>265.2</v>
      </c>
      <c r="AB816" s="525">
        <v>425</v>
      </c>
      <c r="AC816" s="527">
        <v>206856</v>
      </c>
    </row>
    <row r="817" spans="1:29" customFormat="1" ht="15.75" x14ac:dyDescent="0.25">
      <c r="A817" s="147" t="s">
        <v>4678</v>
      </c>
      <c r="B817" s="521">
        <v>568</v>
      </c>
      <c r="C817" s="521"/>
      <c r="D817" s="142" t="s">
        <v>4858</v>
      </c>
      <c r="E817" s="142" t="s">
        <v>4734</v>
      </c>
      <c r="F817" s="143">
        <v>45575</v>
      </c>
      <c r="G817" s="143"/>
      <c r="H817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7" s="522" t="str">
        <f>CONCATENATE(Таблица47[[#This Row],[№ заявки в 1С]],Таблица47[[#This Row],[Наименование            ]])</f>
        <v>568[30346] 8507025-2 (АГС) шир 222мм, 6,50м, 6063 Т6</v>
      </c>
      <c r="J817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</v>
      </c>
      <c r="K817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</v>
      </c>
      <c r="L817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17" s="522">
        <v>42</v>
      </c>
      <c r="N817" s="393"/>
      <c r="O817" s="1001">
        <f>IFERROR(Таблица47[[#This Row],[Количество хлыстов]]-Таблица47[[#This Row],[Обработано в 1С]]-Таблица47[[#This Row],[Корректировка]],"")</f>
        <v>0</v>
      </c>
      <c r="P817" s="638">
        <f>IFERROR((((Таблица47[[#This Row],[Осталось сделать, хлыст]]*Таблица47[[#This Row],[длина]])*Таблица47[[#This Row],[Периметр]])/28),"")</f>
        <v>0</v>
      </c>
      <c r="Q817" s="142"/>
      <c r="R817" s="280">
        <f>IFERROR(Таблица47[[#This Row],[Коли-
чество м.п.]]/Таблица47[[#This Row],[Количество хлыстов]],"")</f>
        <v>6.5</v>
      </c>
      <c r="S817" s="525" t="s">
        <v>5429</v>
      </c>
      <c r="T817" s="525">
        <v>273</v>
      </c>
      <c r="U817" s="526">
        <v>42</v>
      </c>
      <c r="V817" s="525">
        <v>0.62</v>
      </c>
      <c r="W817" s="525">
        <v>2.544</v>
      </c>
      <c r="X817" s="525">
        <v>169.26</v>
      </c>
      <c r="Y817" s="525">
        <v>694.51199999999994</v>
      </c>
      <c r="Z817" s="525">
        <v>22</v>
      </c>
      <c r="AA817" s="525">
        <v>263.5</v>
      </c>
      <c r="AB817" s="525">
        <v>425</v>
      </c>
      <c r="AC817" s="527">
        <v>71935.5</v>
      </c>
    </row>
    <row r="818" spans="1:29" s="1021" customFormat="1" ht="15.75" x14ac:dyDescent="0.25">
      <c r="A818" s="1106" t="s">
        <v>4978</v>
      </c>
      <c r="B818" s="1067">
        <v>570</v>
      </c>
      <c r="C818" s="1067"/>
      <c r="D818" s="1068" t="s">
        <v>13</v>
      </c>
      <c r="E818" s="1068" t="s">
        <v>892</v>
      </c>
      <c r="F818" s="1069">
        <v>45579</v>
      </c>
      <c r="G818" s="1069"/>
      <c r="H818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8" s="620" t="str">
        <f>CONCATENATE(Таблица47[[#This Row],[№ заявки в 1С]],Таблица47[[#This Row],[Наименование            ]])</f>
        <v>570[81356] 1606-37 (АВА-7227), 5,05 м, сплав 6063 КР Т6, упаковка Т-5</v>
      </c>
      <c r="J818" s="1082">
        <v>426</v>
      </c>
      <c r="K818" s="1082">
        <v>426</v>
      </c>
      <c r="L818" s="1082">
        <v>417</v>
      </c>
      <c r="M818" s="1082">
        <v>9</v>
      </c>
      <c r="N818" s="1120">
        <v>417</v>
      </c>
      <c r="O818" s="1020">
        <f>IFERROR(Таблица47[[#This Row],[Количество хлыстов]]-Таблица47[[#This Row],[Обработано в 1С]]-Таблица47[[#This Row],[Корректировка]],"")</f>
        <v>0</v>
      </c>
      <c r="P818" s="713">
        <f>IFERROR((((Таблица47[[#This Row],[Осталось сделать, хлыст]]*Таблица47[[#This Row],[длина]])*Таблица47[[#This Row],[Периметр]])/28),"")</f>
        <v>0</v>
      </c>
      <c r="Q818" s="1068"/>
      <c r="R818" s="1089">
        <f>IFERROR(Таблица47[[#This Row],[Коли-
чество м.п.]]/Таблица47[[#This Row],[Количество хлыстов]],"")</f>
        <v>5.0500000000000007</v>
      </c>
      <c r="S818" s="1083" t="s">
        <v>4275</v>
      </c>
      <c r="T818" s="1083">
        <v>2151.3000000000002</v>
      </c>
      <c r="U818" s="1084">
        <v>426</v>
      </c>
      <c r="V818" s="1083">
        <v>0.2651</v>
      </c>
      <c r="W818" s="1083">
        <v>0.82099999999999995</v>
      </c>
      <c r="X818" s="1083">
        <v>570.30960000000005</v>
      </c>
      <c r="Y818" s="1083">
        <v>1766.2173</v>
      </c>
      <c r="Z818" s="1083">
        <v>74.14</v>
      </c>
      <c r="AA818" s="1083">
        <v>85.89</v>
      </c>
      <c r="AB818" s="1083">
        <v>324</v>
      </c>
      <c r="AC818" s="1085">
        <v>184775.16</v>
      </c>
    </row>
    <row r="819" spans="1:29" ht="15.75" x14ac:dyDescent="0.25">
      <c r="A819" s="1130" t="s">
        <v>4678</v>
      </c>
      <c r="B819" s="1126">
        <v>571</v>
      </c>
      <c r="C819" s="1126"/>
      <c r="D819" s="1127" t="s">
        <v>13</v>
      </c>
      <c r="E819" s="1127" t="s">
        <v>892</v>
      </c>
      <c r="F819" s="1129">
        <v>45579</v>
      </c>
      <c r="G819" s="528">
        <v>45589</v>
      </c>
      <c r="H81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19" s="522" t="str">
        <f>CONCATENATE(Таблица47[[#This Row],[№ заявки в 1С]],Таблица47[[#This Row],[Наименование            ]])</f>
        <v>571[76596] 1606-39 (197.04) 4,85 м, сплав 6063 КР Т6, упковка Т5</v>
      </c>
      <c r="J81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453</v>
      </c>
      <c r="K81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453</v>
      </c>
      <c r="L81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453</v>
      </c>
      <c r="M819" s="635"/>
      <c r="N819" s="1119">
        <v>453</v>
      </c>
      <c r="O819" s="1013">
        <f>IFERROR(Таблица47[[#This Row],[Количество хлыстов]]-Таблица47[[#This Row],[Обработано в 1С]]-Таблица47[[#This Row],[Корректировка]],"")</f>
        <v>0</v>
      </c>
      <c r="P819" s="638">
        <f>IFERROR((((Таблица47[[#This Row],[Осталось сделать, хлыст]]*Таблица47[[#This Row],[длина]])*Таблица47[[#This Row],[Периметр]])/28),"")</f>
        <v>0</v>
      </c>
      <c r="Q819" s="303"/>
      <c r="R819" s="991">
        <f>IFERROR(Таблица47[[#This Row],[Коли-
чество м.п.]]/Таблица47[[#This Row],[Количество хлыстов]],"")</f>
        <v>4.8500000000000005</v>
      </c>
      <c r="S819" s="639" t="s">
        <v>2841</v>
      </c>
      <c r="T819" s="639">
        <v>2197.0500000000002</v>
      </c>
      <c r="U819" s="640">
        <v>453</v>
      </c>
      <c r="V819" s="639">
        <v>9.5600000000000004E-2</v>
      </c>
      <c r="W819" s="639">
        <v>0.16</v>
      </c>
      <c r="X819" s="639">
        <v>210.03800000000001</v>
      </c>
      <c r="Y819" s="639">
        <v>351.52800000000002</v>
      </c>
      <c r="Z819" s="639">
        <v>27.3</v>
      </c>
      <c r="AA819" s="639">
        <v>49.23</v>
      </c>
      <c r="AB819" s="639">
        <v>515</v>
      </c>
      <c r="AC819" s="641">
        <v>108160.77</v>
      </c>
    </row>
    <row r="820" spans="1:29" ht="15.75" x14ac:dyDescent="0.25">
      <c r="A820" s="1130" t="s">
        <v>4678</v>
      </c>
      <c r="B820" s="1126">
        <v>571</v>
      </c>
      <c r="C820" s="1126"/>
      <c r="D820" s="1127" t="s">
        <v>13</v>
      </c>
      <c r="E820" s="1127" t="s">
        <v>892</v>
      </c>
      <c r="F820" s="1129">
        <v>45579</v>
      </c>
      <c r="G820" s="528">
        <v>45589</v>
      </c>
      <c r="H82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0" s="522" t="str">
        <f>CONCATENATE(Таблица47[[#This Row],[№ заявки в 1С]],Таблица47[[#This Row],[Наименование            ]])</f>
        <v>571[76552] 1606-38 (197.05) 5,15 м, сплав 6063 КР Т6</v>
      </c>
      <c r="J820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564</v>
      </c>
      <c r="K820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564</v>
      </c>
      <c r="L820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563</v>
      </c>
      <c r="M820" s="635">
        <v>1</v>
      </c>
      <c r="N820" s="1119">
        <v>563</v>
      </c>
      <c r="O820" s="1013">
        <f>IFERROR(Таблица47[[#This Row],[Количество хлыстов]]-Таблица47[[#This Row],[Обработано в 1С]]-Таблица47[[#This Row],[Корректировка]],"")</f>
        <v>0</v>
      </c>
      <c r="P820" s="638">
        <f>IFERROR((((Таблица47[[#This Row],[Осталось сделать, хлыст]]*Таблица47[[#This Row],[длина]])*Таблица47[[#This Row],[Периметр]])/28),"")</f>
        <v>0</v>
      </c>
      <c r="Q820" s="303" t="s">
        <v>5719</v>
      </c>
      <c r="R820" s="991">
        <f>IFERROR(Таблица47[[#This Row],[Коли-
чество м.п.]]/Таблица47[[#This Row],[Количество хлыстов]],"")</f>
        <v>5.1499999999999995</v>
      </c>
      <c r="S820" s="639" t="s">
        <v>1975</v>
      </c>
      <c r="T820" s="639">
        <v>2904.6</v>
      </c>
      <c r="U820" s="640">
        <v>564</v>
      </c>
      <c r="V820" s="639">
        <v>0.15790000000000001</v>
      </c>
      <c r="W820" s="639">
        <v>0.309</v>
      </c>
      <c r="X820" s="639">
        <v>458.63630000000001</v>
      </c>
      <c r="Y820" s="639">
        <v>897.52139999999997</v>
      </c>
      <c r="Z820" s="639">
        <v>59.62</v>
      </c>
      <c r="AA820" s="639">
        <v>68.69</v>
      </c>
      <c r="AB820" s="639">
        <v>435</v>
      </c>
      <c r="AC820" s="641">
        <v>199506.81</v>
      </c>
    </row>
    <row r="821" spans="1:29" ht="15.75" x14ac:dyDescent="0.25">
      <c r="A821" s="1130" t="s">
        <v>4678</v>
      </c>
      <c r="B821" s="1126">
        <v>572</v>
      </c>
      <c r="C821" s="1126"/>
      <c r="D821" s="1127" t="s">
        <v>13</v>
      </c>
      <c r="E821" s="1127" t="s">
        <v>292</v>
      </c>
      <c r="F821" s="1129">
        <v>45579</v>
      </c>
      <c r="G821" s="528">
        <v>45589</v>
      </c>
      <c r="H821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1" s="522" t="str">
        <f>CONCATENATE(Таблица47[[#This Row],[№ заявки в 1С]],Таблица47[[#This Row],[Наименование            ]])</f>
        <v>572[87626] 0106-107, 4,0м, 6063 Т6, уп.Т5</v>
      </c>
      <c r="J821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252</v>
      </c>
      <c r="K821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252</v>
      </c>
      <c r="L821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252</v>
      </c>
      <c r="M821" s="635"/>
      <c r="N821" s="1119">
        <v>252</v>
      </c>
      <c r="O821" s="1013">
        <f>IFERROR(Таблица47[[#This Row],[Количество хлыстов]]-Таблица47[[#This Row],[Обработано в 1С]]-Таблица47[[#This Row],[Корректировка]],"")</f>
        <v>0</v>
      </c>
      <c r="P821" s="638">
        <f>IFERROR((((Таблица47[[#This Row],[Осталось сделать, хлыст]]*Таблица47[[#This Row],[длина]])*Таблица47[[#This Row],[Периметр]])/28),"")</f>
        <v>0</v>
      </c>
      <c r="Q821" s="303"/>
      <c r="R821" s="991">
        <f>IFERROR(Таблица47[[#This Row],[Коли-
чество м.п.]]/Таблица47[[#This Row],[Количество хлыстов]],"")</f>
        <v>4</v>
      </c>
      <c r="S821" s="639" t="s">
        <v>4544</v>
      </c>
      <c r="T821" s="639">
        <v>1008</v>
      </c>
      <c r="U821" s="640">
        <v>252</v>
      </c>
      <c r="V821" s="639">
        <v>0.3266</v>
      </c>
      <c r="W821" s="639">
        <v>0.84099999999999997</v>
      </c>
      <c r="X821" s="639">
        <v>329.21280000000002</v>
      </c>
      <c r="Y821" s="639">
        <v>847.72799999999995</v>
      </c>
      <c r="Z821" s="639">
        <v>42.8</v>
      </c>
      <c r="AA821" s="639">
        <v>164.61</v>
      </c>
      <c r="AB821" s="639">
        <v>504</v>
      </c>
      <c r="AC821" s="641">
        <v>165923.25</v>
      </c>
    </row>
    <row r="822" spans="1:29" customFormat="1" ht="15.75" x14ac:dyDescent="0.25">
      <c r="A822" s="147" t="s">
        <v>4678</v>
      </c>
      <c r="B822" s="521">
        <v>573</v>
      </c>
      <c r="C822" s="521"/>
      <c r="D822" s="142" t="s">
        <v>34</v>
      </c>
      <c r="E822" s="142" t="s">
        <v>201</v>
      </c>
      <c r="F822" s="143">
        <v>45579</v>
      </c>
      <c r="G822" s="143"/>
      <c r="H822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2" s="522" t="str">
        <f>CONCATENATE(Таблица47[[#This Row],[№ заявки в 1С]],Таблица47[[#This Row],[Наименование            ]])</f>
        <v>573[34252] 0906-64, 6,0м, 6063 Т1, упаковка Т-5, БА (4000 пресс)</v>
      </c>
      <c r="J822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48</v>
      </c>
      <c r="K822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48</v>
      </c>
      <c r="L822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43</v>
      </c>
      <c r="M822" s="522">
        <v>5</v>
      </c>
      <c r="N822" s="393">
        <v>43</v>
      </c>
      <c r="O822" s="1001">
        <f>IFERROR(Таблица47[[#This Row],[Количество хлыстов]]-Таблица47[[#This Row],[Обработано в 1С]]-Таблица47[[#This Row],[Корректировка]],"")</f>
        <v>0</v>
      </c>
      <c r="P822" s="638">
        <f>IFERROR((((Таблица47[[#This Row],[Осталось сделать, хлыст]]*Таблица47[[#This Row],[длина]])*Таблица47[[#This Row],[Периметр]])/28),"")</f>
        <v>0</v>
      </c>
      <c r="Q822" s="142" t="s">
        <v>5830</v>
      </c>
      <c r="R822" s="280">
        <f>IFERROR(Таблица47[[#This Row],[Коли-
чество м.п.]]/Таблица47[[#This Row],[Количество хлыстов]],"")</f>
        <v>6</v>
      </c>
      <c r="S822" s="525" t="s">
        <v>2561</v>
      </c>
      <c r="T822" s="525">
        <v>288</v>
      </c>
      <c r="U822" s="526">
        <v>48</v>
      </c>
      <c r="V822" s="525">
        <v>0.31109999999999999</v>
      </c>
      <c r="W822" s="525">
        <v>1.7769999999999999</v>
      </c>
      <c r="X822" s="525">
        <v>89.596800000000002</v>
      </c>
      <c r="Y822" s="525">
        <v>511.77600000000001</v>
      </c>
      <c r="Z822" s="525">
        <v>11.65</v>
      </c>
      <c r="AA822" s="525">
        <v>167.68</v>
      </c>
      <c r="AB822" s="525">
        <v>539</v>
      </c>
      <c r="AC822" s="527">
        <v>48292.68</v>
      </c>
    </row>
    <row r="823" spans="1:29" ht="15.75" x14ac:dyDescent="0.25">
      <c r="A823" s="427" t="s">
        <v>4678</v>
      </c>
      <c r="B823" s="309">
        <v>574</v>
      </c>
      <c r="C823" s="309"/>
      <c r="D823" s="303" t="s">
        <v>34</v>
      </c>
      <c r="E823" s="303" t="s">
        <v>201</v>
      </c>
      <c r="F823" s="528">
        <v>45579</v>
      </c>
      <c r="G823" s="528"/>
      <c r="H823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3" s="522" t="str">
        <f>CONCATENATE(Таблица47[[#This Row],[№ заявки в 1С]],Таблица47[[#This Row],[Наименование            ]])</f>
        <v>574[92807] 1406-05, 5,45м,6063 Т6 под анод, упак. Т-5</v>
      </c>
      <c r="J823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31.000000000000004</v>
      </c>
      <c r="K823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31.000000000000004</v>
      </c>
      <c r="L823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31.000000000000004</v>
      </c>
      <c r="M823" s="635"/>
      <c r="N823" s="1119">
        <v>31</v>
      </c>
      <c r="O823" s="1013">
        <f>IFERROR(Таблица47[[#This Row],[Количество хлыстов]]-Таблица47[[#This Row],[Обработано в 1С]]-Таблица47[[#This Row],[Корректировка]],"")</f>
        <v>-3.5527136788005009E-15</v>
      </c>
      <c r="P823" s="638">
        <f>IFERROR((((Таблица47[[#This Row],[Осталось сделать, хлыст]]*Таблица47[[#This Row],[длина]])*Таблица47[[#This Row],[Периметр]])/28),"")</f>
        <v>-4.7589741671215177E-16</v>
      </c>
      <c r="Q823" s="303"/>
      <c r="R823" s="991">
        <f>IFERROR(Таблица47[[#This Row],[Коли-
чество м.п.]]/Таблица47[[#This Row],[Количество хлыстов]],"")</f>
        <v>5.4499999999999993</v>
      </c>
      <c r="S823" s="639" t="s">
        <v>5320</v>
      </c>
      <c r="T823" s="639">
        <v>168.95</v>
      </c>
      <c r="U823" s="640">
        <v>31</v>
      </c>
      <c r="V823" s="639">
        <v>0.68820000000000003</v>
      </c>
      <c r="W823" s="639">
        <v>3.2480000000000002</v>
      </c>
      <c r="X823" s="639">
        <v>116.2714</v>
      </c>
      <c r="Y823" s="639">
        <v>548.74959999999999</v>
      </c>
      <c r="Z823" s="639">
        <v>15.12</v>
      </c>
      <c r="AA823" s="639">
        <v>313.13</v>
      </c>
      <c r="AB823" s="639">
        <v>455</v>
      </c>
      <c r="AC823" s="641">
        <v>52903.48</v>
      </c>
    </row>
    <row r="824" spans="1:29" ht="15.75" x14ac:dyDescent="0.25">
      <c r="A824" s="427" t="s">
        <v>4678</v>
      </c>
      <c r="B824" s="309">
        <v>575</v>
      </c>
      <c r="C824" s="309"/>
      <c r="D824" s="303" t="s">
        <v>34</v>
      </c>
      <c r="E824" s="303" t="s">
        <v>3404</v>
      </c>
      <c r="F824" s="528">
        <v>45579</v>
      </c>
      <c r="G824" s="528"/>
      <c r="H824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4" s="522" t="str">
        <f>CONCATENATE(Таблица47[[#This Row],[№ заявки в 1С]],Таблица47[[#This Row],[Наименование            ]])</f>
        <v>575[81578] 1706-68, 6,0м, 6063 Т1, упаковка Т-5, БА</v>
      </c>
      <c r="J824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140</v>
      </c>
      <c r="K824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140</v>
      </c>
      <c r="L824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140</v>
      </c>
      <c r="M824" s="635"/>
      <c r="N824" s="1119">
        <v>140</v>
      </c>
      <c r="O824" s="1013">
        <f>IFERROR(Таблица47[[#This Row],[Количество хлыстов]]-Таблица47[[#This Row],[Обработано в 1С]]-Таблица47[[#This Row],[Корректировка]],"")</f>
        <v>0</v>
      </c>
      <c r="P824" s="638">
        <f>IFERROR((((Таблица47[[#This Row],[Осталось сделать, хлыст]]*Таблица47[[#This Row],[длина]])*Таблица47[[#This Row],[Периметр]])/28),"")</f>
        <v>0</v>
      </c>
      <c r="Q824" s="303"/>
      <c r="R824" s="991">
        <f>IFERROR(Таблица47[[#This Row],[Коли-
чество м.п.]]/Таблица47[[#This Row],[Количество хлыстов]],"")</f>
        <v>6</v>
      </c>
      <c r="S824" s="639" t="s">
        <v>4582</v>
      </c>
      <c r="T824" s="639">
        <v>840</v>
      </c>
      <c r="U824" s="640">
        <v>140</v>
      </c>
      <c r="V824" s="639">
        <v>0.10100000000000001</v>
      </c>
      <c r="W824" s="639">
        <v>0.30599999999999999</v>
      </c>
      <c r="X824" s="639">
        <v>84.84</v>
      </c>
      <c r="Y824" s="639">
        <v>257.04000000000002</v>
      </c>
      <c r="Z824" s="639">
        <v>11.03</v>
      </c>
      <c r="AA824" s="639">
        <v>39.9</v>
      </c>
      <c r="AB824" s="639">
        <v>395</v>
      </c>
      <c r="AC824" s="641">
        <v>33511.800000000003</v>
      </c>
    </row>
    <row r="825" spans="1:29" ht="15.75" x14ac:dyDescent="0.25">
      <c r="A825" s="427" t="s">
        <v>4678</v>
      </c>
      <c r="B825" s="309">
        <v>575</v>
      </c>
      <c r="C825" s="309"/>
      <c r="D825" s="303" t="s">
        <v>34</v>
      </c>
      <c r="E825" s="303" t="s">
        <v>3404</v>
      </c>
      <c r="F825" s="528">
        <v>45579</v>
      </c>
      <c r="G825" s="528"/>
      <c r="H825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5" s="522" t="str">
        <f>CONCATENATE(Таблица47[[#This Row],[№ заявки в 1С]],Таблица47[[#This Row],[Наименование            ]])</f>
        <v>575[89761] 2606-58, 6,0м, сплав 6063 Т5 (под гибку), упак. Т5</v>
      </c>
      <c r="J825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126</v>
      </c>
      <c r="K825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126</v>
      </c>
      <c r="L825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122</v>
      </c>
      <c r="M825" s="635">
        <v>4</v>
      </c>
      <c r="N825" s="1119">
        <v>122</v>
      </c>
      <c r="O825" s="1013">
        <f>IFERROR(Таблица47[[#This Row],[Количество хлыстов]]-Таблица47[[#This Row],[Обработано в 1С]]-Таблица47[[#This Row],[Корректировка]],"")</f>
        <v>0</v>
      </c>
      <c r="P825" s="638">
        <f>IFERROR((((Таблица47[[#This Row],[Осталось сделать, хлыст]]*Таблица47[[#This Row],[длина]])*Таблица47[[#This Row],[Периметр]])/28),"")</f>
        <v>0</v>
      </c>
      <c r="Q825" s="303" t="s">
        <v>5697</v>
      </c>
      <c r="R825" s="991">
        <f>IFERROR(Таблица47[[#This Row],[Коли-
чество м.п.]]/Таблица47[[#This Row],[Количество хлыстов]],"")</f>
        <v>6</v>
      </c>
      <c r="S825" s="639" t="s">
        <v>5091</v>
      </c>
      <c r="T825" s="639">
        <v>756</v>
      </c>
      <c r="U825" s="640">
        <v>126</v>
      </c>
      <c r="V825" s="639">
        <v>0.1883</v>
      </c>
      <c r="W825" s="639">
        <v>0.318</v>
      </c>
      <c r="X825" s="639">
        <v>142.35480000000001</v>
      </c>
      <c r="Y825" s="639">
        <v>240.40799999999999</v>
      </c>
      <c r="Z825" s="639">
        <v>18.510000000000002</v>
      </c>
      <c r="AA825" s="639">
        <v>74.38</v>
      </c>
      <c r="AB825" s="639">
        <v>395</v>
      </c>
      <c r="AC825" s="641">
        <v>56231.28</v>
      </c>
    </row>
    <row r="826" spans="1:29" ht="15.75" x14ac:dyDescent="0.25">
      <c r="A826" s="427" t="s">
        <v>4678</v>
      </c>
      <c r="B826" s="309" t="s">
        <v>5679</v>
      </c>
      <c r="C826" s="309"/>
      <c r="D826" s="303" t="s">
        <v>34</v>
      </c>
      <c r="E826" s="303" t="s">
        <v>16</v>
      </c>
      <c r="F826" s="528">
        <v>45579</v>
      </c>
      <c r="G826" s="528"/>
      <c r="H826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6" s="522" t="str">
        <f>CONCATENATE(Таблица47[[#This Row],[№ заявки в 1С]],Таблица47[[#This Row],[Наименование            ]])</f>
        <v>OPT001129[13620] 0106-290 (6158), 6,0м, 6063 Т1, тип 1, упаковка Т-5, БА</v>
      </c>
      <c r="J826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</v>
      </c>
      <c r="K826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</v>
      </c>
      <c r="L826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80</v>
      </c>
      <c r="M826" s="635"/>
      <c r="N826" s="1119">
        <v>80</v>
      </c>
      <c r="O826" s="1013">
        <f>IFERROR(Таблица47[[#This Row],[Количество хлыстов]]-Таблица47[[#This Row],[Обработано в 1С]]-Таблица47[[#This Row],[Корректировка]],"")</f>
        <v>0</v>
      </c>
      <c r="P826" s="638">
        <f>IFERROR((((Таблица47[[#This Row],[Осталось сделать, хлыст]]*Таблица47[[#This Row],[длина]])*Таблица47[[#This Row],[Периметр]])/28),"")</f>
        <v>0</v>
      </c>
      <c r="Q826" s="303"/>
      <c r="R826" s="991">
        <f>IFERROR(Таблица47[[#This Row],[Коли-
чество м.п.]]/Таблица47[[#This Row],[Количество хлыстов]],"")</f>
        <v>6</v>
      </c>
      <c r="S826" s="639" t="s">
        <v>5693</v>
      </c>
      <c r="T826" s="639">
        <v>480</v>
      </c>
      <c r="U826" s="640">
        <v>80</v>
      </c>
      <c r="V826" s="639">
        <v>0.29970000000000002</v>
      </c>
      <c r="W826" s="639">
        <v>1.6739999999999999</v>
      </c>
      <c r="X826" s="639">
        <v>143.85599999999999</v>
      </c>
      <c r="Y826" s="639">
        <v>803.52</v>
      </c>
      <c r="Z826" s="639">
        <v>18.7</v>
      </c>
      <c r="AA826" s="639">
        <v>136.36000000000001</v>
      </c>
      <c r="AB826" s="639">
        <v>455</v>
      </c>
      <c r="AC826" s="641">
        <v>65452.800000000003</v>
      </c>
    </row>
    <row r="827" spans="1:29" customFormat="1" ht="15.75" x14ac:dyDescent="0.25">
      <c r="A827" s="147"/>
      <c r="B827" s="521">
        <v>577</v>
      </c>
      <c r="C827" s="521"/>
      <c r="D827" s="142" t="s">
        <v>4858</v>
      </c>
      <c r="E827" s="142" t="s">
        <v>5213</v>
      </c>
      <c r="F827" s="143">
        <v>45581</v>
      </c>
      <c r="G827" s="143">
        <v>45621</v>
      </c>
      <c r="H827" s="142" t="s">
        <v>677</v>
      </c>
      <c r="I827" s="522" t="str">
        <f>CONCATENATE(Таблица47[[#This Row],[№ заявки в 1С]],Таблица47[[#This Row],[Наименование            ]])</f>
        <v>577[89443] Корпус_КУДР.676621.015.01-04 (1703мм) Д сплав 6063</v>
      </c>
      <c r="J827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27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27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27" s="522"/>
      <c r="N827" s="393"/>
      <c r="O827" s="1001" t="str">
        <f>IFERROR(Таблица47[[#This Row],[Количество хлыстов]]-Таблица47[[#This Row],[Обработано в 1С]]-Таблица47[[#This Row],[Корректировка]],"")</f>
        <v/>
      </c>
      <c r="P827" s="638" t="str">
        <f>IFERROR((((Таблица47[[#This Row],[Осталось сделать, хлыст]]*Таблица47[[#This Row],[длина]])*Таблица47[[#This Row],[Периметр]])/28),"")</f>
        <v/>
      </c>
      <c r="Q827" s="142"/>
      <c r="R827" s="280">
        <f>IFERROR(Таблица47[[#This Row],[Коли-
чество м.п.]]/Таблица47[[#This Row],[Количество хлыстов]],"")</f>
        <v>1.7029999999999998</v>
      </c>
      <c r="S827" s="525" t="s">
        <v>4867</v>
      </c>
      <c r="T827" s="525">
        <v>596.04999999999995</v>
      </c>
      <c r="U827" s="526">
        <v>350</v>
      </c>
      <c r="V827" s="525">
        <v>8.3500000000000005E-2</v>
      </c>
      <c r="W827" s="525">
        <v>0.14000000000000001</v>
      </c>
      <c r="X827" s="525">
        <v>49.770200000000003</v>
      </c>
      <c r="Y827" s="525">
        <v>83.447000000000003</v>
      </c>
      <c r="Z827" s="525">
        <v>6.47</v>
      </c>
      <c r="AA827" s="525">
        <v>92.68</v>
      </c>
      <c r="AB827" s="525">
        <v>1109.9000000000001</v>
      </c>
      <c r="AC827" s="527">
        <v>55240</v>
      </c>
    </row>
    <row r="828" spans="1:29" customFormat="1" ht="15.75" x14ac:dyDescent="0.25">
      <c r="A828" s="147"/>
      <c r="B828" s="521">
        <v>578</v>
      </c>
      <c r="C828" s="521"/>
      <c r="D828" s="142" t="s">
        <v>4858</v>
      </c>
      <c r="E828" s="142" t="s">
        <v>5691</v>
      </c>
      <c r="F828" s="143">
        <v>45582</v>
      </c>
      <c r="G828" s="143">
        <v>45585</v>
      </c>
      <c r="H828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8" s="522" t="str">
        <f>CONCATENATE(Таблица47[[#This Row],[№ заявки в 1С]],Таблица47[[#This Row],[Наименование            ]])</f>
        <v>578[93748] Лист алюминиевый 2х1200х3000 АМГ2Н</v>
      </c>
      <c r="J828" s="522">
        <v>3</v>
      </c>
      <c r="K828" s="522">
        <v>3</v>
      </c>
      <c r="L828" s="522">
        <v>3</v>
      </c>
      <c r="M828" s="522"/>
      <c r="N828" s="393">
        <v>3</v>
      </c>
      <c r="O828" s="1001">
        <f>IFERROR(Таблица47[[#This Row],[Количество хлыстов]]-Таблица47[[#This Row],[Обработано в 1С]]-Таблица47[[#This Row],[Корректировка]],"")</f>
        <v>0</v>
      </c>
      <c r="P828" s="638">
        <f>IFERROR((((Таблица47[[#This Row],[Осталось сделать, хлыст]]*Таблица47[[#This Row],[длина]])*Таблица47[[#This Row],[Периметр]])/28),"")</f>
        <v>0</v>
      </c>
      <c r="Q828" s="142"/>
      <c r="R828" s="280">
        <f>IFERROR(Таблица47[[#This Row],[Коли-
чество м.п.]]/Таблица47[[#This Row],[Количество хлыстов]],"")</f>
        <v>3</v>
      </c>
      <c r="S828" s="525" t="s">
        <v>5692</v>
      </c>
      <c r="T828" s="525">
        <v>9</v>
      </c>
      <c r="U828" s="526">
        <v>3</v>
      </c>
      <c r="V828" s="525">
        <v>2.4039999999999999</v>
      </c>
      <c r="W828" s="525">
        <v>6.43</v>
      </c>
      <c r="X828" s="525">
        <v>21.635999999999999</v>
      </c>
      <c r="Y828" s="525">
        <v>57.87</v>
      </c>
      <c r="Z828" s="525">
        <v>2.81</v>
      </c>
      <c r="AA828" s="525">
        <v>3165.56</v>
      </c>
      <c r="AB828" s="525">
        <v>1316.79</v>
      </c>
      <c r="AC828" s="527">
        <v>28490.04</v>
      </c>
    </row>
    <row r="829" spans="1:29" ht="15.75" x14ac:dyDescent="0.25">
      <c r="A829" s="1130" t="s">
        <v>4678</v>
      </c>
      <c r="B829" s="1126">
        <v>579</v>
      </c>
      <c r="C829" s="1126"/>
      <c r="D829" s="1127" t="s">
        <v>13</v>
      </c>
      <c r="E829" s="1127" t="s">
        <v>2973</v>
      </c>
      <c r="F829" s="1129">
        <v>45586</v>
      </c>
      <c r="G829" s="528"/>
      <c r="H82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29" s="522" t="str">
        <f>CONCATENATE(Таблица47[[#This Row],[№ заявки в 1С]],Таблица47[[#This Row],[Наименование            ]])</f>
        <v>579[77502] 0706-85 4,9 м, сплав 6063Кр, сост Т1, уп. Т5</v>
      </c>
      <c r="J82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108</v>
      </c>
      <c r="K82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108</v>
      </c>
      <c r="L82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108</v>
      </c>
      <c r="M829" s="635"/>
      <c r="N829" s="1119">
        <v>108</v>
      </c>
      <c r="O829" s="1013">
        <f>IFERROR(Таблица47[[#This Row],[Количество хлыстов]]-Таблица47[[#This Row],[Обработано в 1С]]-Таблица47[[#This Row],[Корректировка]],"")</f>
        <v>0</v>
      </c>
      <c r="P829" s="638">
        <f>IFERROR((((Таблица47[[#This Row],[Осталось сделать, хлыст]]*Таблица47[[#This Row],[длина]])*Таблица47[[#This Row],[Периметр]])/28),"")</f>
        <v>0</v>
      </c>
      <c r="Q829" s="303"/>
      <c r="R829" s="991">
        <f>IFERROR(Таблица47[[#This Row],[Коли-
чество м.п.]]/Таблица47[[#This Row],[Количество хлыстов]],"")</f>
        <v>4.9000000000000004</v>
      </c>
      <c r="S829" s="639" t="s">
        <v>1751</v>
      </c>
      <c r="T829" s="639">
        <v>529.20000000000005</v>
      </c>
      <c r="U829" s="640">
        <v>108</v>
      </c>
      <c r="V829" s="639">
        <v>0.66659999999999997</v>
      </c>
      <c r="W829" s="639">
        <v>1.994</v>
      </c>
      <c r="X829" s="639">
        <v>352.7647</v>
      </c>
      <c r="Y829" s="639">
        <v>1055.2248</v>
      </c>
      <c r="Z829" s="639">
        <v>45.86</v>
      </c>
      <c r="AA829" s="639">
        <v>359.3</v>
      </c>
      <c r="AB829" s="639">
        <v>539</v>
      </c>
      <c r="AC829" s="641">
        <v>190140.18</v>
      </c>
    </row>
    <row r="830" spans="1:29" ht="15.75" x14ac:dyDescent="0.25">
      <c r="A830" s="1130" t="s">
        <v>4678</v>
      </c>
      <c r="B830" s="1126">
        <v>580</v>
      </c>
      <c r="C830" s="1126"/>
      <c r="D830" s="1127" t="s">
        <v>13</v>
      </c>
      <c r="E830" s="1127" t="s">
        <v>32</v>
      </c>
      <c r="F830" s="1129">
        <v>45586</v>
      </c>
      <c r="G830" s="528"/>
      <c r="H83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0" s="522" t="str">
        <f>CONCATENATE(Таблица47[[#This Row],[№ заявки в 1С]],Таблица47[[#This Row],[Наименование            ]])</f>
        <v>580[81356] 1606-37 (АВА-7227), 5,05 м, сплав 6063 КР Т6, упаковка Т-5</v>
      </c>
      <c r="J83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3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3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30" s="635">
        <v>2</v>
      </c>
      <c r="N830" s="1119">
        <v>118</v>
      </c>
      <c r="O830" s="1013" t="str">
        <f>IFERROR(Таблица47[[#This Row],[Количество хлыстов]]-Таблица47[[#This Row],[Обработано в 1С]]-Таблица47[[#This Row],[Корректировка]],"")</f>
        <v/>
      </c>
      <c r="P830" s="638" t="str">
        <f>IFERROR((((Таблица47[[#This Row],[Осталось сделать, хлыст]]*Таблица47[[#This Row],[длина]])*Таблица47[[#This Row],[Периметр]])/28),"")</f>
        <v/>
      </c>
      <c r="Q830" s="303" t="s">
        <v>4809</v>
      </c>
      <c r="R830" s="991">
        <f>IFERROR(Таблица47[[#This Row],[Коли-
чество м.п.]]/Таблица47[[#This Row],[Количество хлыстов]],"")</f>
        <v>5.05</v>
      </c>
      <c r="S830" s="639" t="s">
        <v>4275</v>
      </c>
      <c r="T830" s="639">
        <v>606</v>
      </c>
      <c r="U830" s="640">
        <v>120</v>
      </c>
      <c r="V830" s="639">
        <v>0.2651</v>
      </c>
      <c r="W830" s="639">
        <v>0.82099999999999995</v>
      </c>
      <c r="X830" s="639">
        <v>160.6506</v>
      </c>
      <c r="Y830" s="639">
        <v>497.52600000000001</v>
      </c>
      <c r="Z830" s="639">
        <v>20.88</v>
      </c>
      <c r="AA830" s="639">
        <v>115.32</v>
      </c>
      <c r="AB830" s="639">
        <v>435</v>
      </c>
      <c r="AC830" s="641">
        <v>69883.009999999995</v>
      </c>
    </row>
    <row r="831" spans="1:29" customFormat="1" ht="15.75" x14ac:dyDescent="0.25">
      <c r="A831" s="171" t="s">
        <v>4678</v>
      </c>
      <c r="B831" s="625">
        <v>581</v>
      </c>
      <c r="C831" s="625" t="s">
        <v>4753</v>
      </c>
      <c r="D831" s="162" t="s">
        <v>13</v>
      </c>
      <c r="E831" s="162" t="s">
        <v>43</v>
      </c>
      <c r="F831" s="168">
        <v>45586</v>
      </c>
      <c r="G831" s="143"/>
      <c r="H831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1" s="522" t="str">
        <f>CONCATENATE(Таблица47[[#This Row],[№ заявки в 1С]],Таблица47[[#This Row],[Наименование            ]])</f>
        <v>581[92099] ТР 25*2 (Д) 6м, АД31</v>
      </c>
      <c r="J831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31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128</v>
      </c>
      <c r="L831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128</v>
      </c>
      <c r="M831" s="522"/>
      <c r="N831" s="393">
        <v>128</v>
      </c>
      <c r="O831" s="1001">
        <f>IFERROR(Таблица47[[#This Row],[Количество хлыстов]]-Таблица47[[#This Row],[Обработано в 1С]]-Таблица47[[#This Row],[Корректировка]],"")</f>
        <v>0</v>
      </c>
      <c r="P831" s="638">
        <f>IFERROR((((Таблица47[[#This Row],[Осталось сделать, хлыст]]*Таблица47[[#This Row],[длина]])*Таблица47[[#This Row],[Периметр]])/28),"")</f>
        <v>0</v>
      </c>
      <c r="Q831" s="142"/>
      <c r="R831" s="280">
        <f>IFERROR(Таблица47[[#This Row],[Коли-
чество м.п.]]/Таблица47[[#This Row],[Количество хлыстов]],"")</f>
        <v>6</v>
      </c>
      <c r="S831" s="525" t="s">
        <v>5252</v>
      </c>
      <c r="T831" s="525">
        <v>768</v>
      </c>
      <c r="U831" s="526">
        <v>128</v>
      </c>
      <c r="V831" s="525">
        <v>7.9000000000000001E-2</v>
      </c>
      <c r="W831" s="525">
        <v>0.39200000000000002</v>
      </c>
      <c r="X831" s="525">
        <v>60.671999999999997</v>
      </c>
      <c r="Y831" s="525">
        <v>301.05599999999998</v>
      </c>
      <c r="Z831" s="525">
        <v>7.89</v>
      </c>
      <c r="AA831" s="525">
        <v>75.959999999999994</v>
      </c>
      <c r="AB831" s="525">
        <v>961.56</v>
      </c>
      <c r="AC831" s="527">
        <v>58340</v>
      </c>
    </row>
    <row r="832" spans="1:29" s="1021" customFormat="1" ht="15.75" x14ac:dyDescent="0.25">
      <c r="A832" s="1106" t="s">
        <v>4978</v>
      </c>
      <c r="B832" s="1067">
        <v>582</v>
      </c>
      <c r="C832" s="1067"/>
      <c r="D832" s="1068" t="s">
        <v>13</v>
      </c>
      <c r="E832" s="1068" t="s">
        <v>892</v>
      </c>
      <c r="F832" s="1069">
        <v>45586</v>
      </c>
      <c r="G832" s="1069"/>
      <c r="H832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2" s="620" t="str">
        <f>CONCATENATE(Таблица47[[#This Row],[№ заявки в 1С]],Таблица47[[#This Row],[Наименование            ]])</f>
        <v>582[81357] 1606-37 (АВА-7227), 4,45 м, сплав 6063 КР Т6, упаковка Т-5</v>
      </c>
      <c r="J832" s="1082">
        <v>299</v>
      </c>
      <c r="K832" s="1082">
        <v>299</v>
      </c>
      <c r="L832" s="1082">
        <v>294</v>
      </c>
      <c r="M832" s="1082">
        <v>5</v>
      </c>
      <c r="N832" s="1120">
        <v>294</v>
      </c>
      <c r="O832" s="1020">
        <f>IFERROR(Таблица47[[#This Row],[Количество хлыстов]]-Таблица47[[#This Row],[Обработано в 1С]]-Таблица47[[#This Row],[Корректировка]],"")</f>
        <v>0</v>
      </c>
      <c r="P832" s="713">
        <f>IFERROR((((Таблица47[[#This Row],[Осталось сделать, хлыст]]*Таблица47[[#This Row],[длина]])*Таблица47[[#This Row],[Периметр]])/28),"")</f>
        <v>0</v>
      </c>
      <c r="Q832" s="1068"/>
      <c r="R832" s="1089">
        <f>IFERROR(Таблица47[[#This Row],[Коли-
чество м.п.]]/Таблица47[[#This Row],[Количество хлыстов]],"")</f>
        <v>4.45</v>
      </c>
      <c r="S832" s="1083" t="s">
        <v>4276</v>
      </c>
      <c r="T832" s="1083">
        <v>1330.55</v>
      </c>
      <c r="U832" s="1084">
        <v>299</v>
      </c>
      <c r="V832" s="1083">
        <v>0.2651</v>
      </c>
      <c r="W832" s="1083">
        <v>0.82099999999999995</v>
      </c>
      <c r="X832" s="1083">
        <v>352.72879999999998</v>
      </c>
      <c r="Y832" s="1083">
        <v>1092.3815999999999</v>
      </c>
      <c r="Z832" s="1083">
        <v>45.85</v>
      </c>
      <c r="AA832" s="1083">
        <v>87.48</v>
      </c>
      <c r="AB832" s="1083">
        <v>330</v>
      </c>
      <c r="AC832" s="1085">
        <v>116396.51</v>
      </c>
    </row>
    <row r="833" spans="1:29" s="1021" customFormat="1" ht="15.75" x14ac:dyDescent="0.25">
      <c r="A833" s="1106" t="s">
        <v>4978</v>
      </c>
      <c r="B833" s="1067">
        <v>582</v>
      </c>
      <c r="C833" s="1067"/>
      <c r="D833" s="1068" t="s">
        <v>13</v>
      </c>
      <c r="E833" s="1068" t="s">
        <v>892</v>
      </c>
      <c r="F833" s="1069">
        <v>45586</v>
      </c>
      <c r="G833" s="1069"/>
      <c r="H833" s="1068" t="s">
        <v>23</v>
      </c>
      <c r="I833" s="620" t="str">
        <f>CONCATENATE(Таблица47[[#This Row],[№ заявки в 1С]],Таблица47[[#This Row],[Наименование            ]])</f>
        <v>582[76552] 1606-38 (197.05) 5,15 м, сплав 6063 КР Т6</v>
      </c>
      <c r="J833" s="1082">
        <v>340</v>
      </c>
      <c r="K833" s="1082">
        <v>340</v>
      </c>
      <c r="L833" s="1082">
        <v>334</v>
      </c>
      <c r="M833" s="1082">
        <v>6</v>
      </c>
      <c r="N833" s="1120">
        <v>300</v>
      </c>
      <c r="O833" s="1020">
        <f>IFERROR(Таблица47[[#This Row],[Количество хлыстов]]-Таблица47[[#This Row],[Обработано в 1С]]-Таблица47[[#This Row],[Корректировка]],"")</f>
        <v>0</v>
      </c>
      <c r="P833" s="713">
        <f>IFERROR((((Таблица47[[#This Row],[Осталось сделать, хлыст]]*Таблица47[[#This Row],[длина]])*Таблица47[[#This Row],[Периметр]])/28),"")</f>
        <v>0</v>
      </c>
      <c r="Q833" s="1068"/>
      <c r="R833" s="1089">
        <f>IFERROR(Таблица47[[#This Row],[Коли-
чество м.п.]]/Таблица47[[#This Row],[Количество хлыстов]],"")</f>
        <v>5.15</v>
      </c>
      <c r="S833" s="1083" t="s">
        <v>1975</v>
      </c>
      <c r="T833" s="1083">
        <v>1751</v>
      </c>
      <c r="U833" s="1084">
        <v>340</v>
      </c>
      <c r="V833" s="1083">
        <v>0.15790000000000001</v>
      </c>
      <c r="W833" s="1083">
        <v>0.309</v>
      </c>
      <c r="X833" s="1083">
        <v>276.48289999999997</v>
      </c>
      <c r="Y833" s="1083">
        <v>541.05899999999997</v>
      </c>
      <c r="Z833" s="1083">
        <v>35.94</v>
      </c>
      <c r="AA833" s="1083">
        <v>52.11</v>
      </c>
      <c r="AB833" s="1083">
        <v>330</v>
      </c>
      <c r="AC833" s="1085">
        <v>91239.360000000001</v>
      </c>
    </row>
    <row r="834" spans="1:29" s="1021" customFormat="1" ht="15.75" x14ac:dyDescent="0.25">
      <c r="A834" s="1106" t="s">
        <v>4978</v>
      </c>
      <c r="B834" s="1067">
        <v>582</v>
      </c>
      <c r="C834" s="1067"/>
      <c r="D834" s="1068" t="s">
        <v>13</v>
      </c>
      <c r="E834" s="1068" t="s">
        <v>892</v>
      </c>
      <c r="F834" s="1069">
        <v>45586</v>
      </c>
      <c r="G834" s="1069"/>
      <c r="H834" s="106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4" s="620" t="str">
        <f>CONCATENATE(Таблица47[[#This Row],[№ заявки в 1С]],Таблица47[[#This Row],[Наименование            ]])</f>
        <v>582[76596] 1606-39 (197.04) 4,85 м, сплав 6063 КР Т6, упковка Т5</v>
      </c>
      <c r="J834" s="1082">
        <v>779</v>
      </c>
      <c r="K834" s="1082">
        <v>779</v>
      </c>
      <c r="L834" s="1082">
        <v>778</v>
      </c>
      <c r="M834" s="1082">
        <v>1</v>
      </c>
      <c r="N834" s="1120">
        <v>778</v>
      </c>
      <c r="O834" s="1020">
        <f>IFERROR(Таблица47[[#This Row],[Количество хлыстов]]-Таблица47[[#This Row],[Обработано в 1С]]-Таблица47[[#This Row],[Корректировка]],"")</f>
        <v>0</v>
      </c>
      <c r="P834" s="713">
        <f>IFERROR((((Таблица47[[#This Row],[Осталось сделать, хлыст]]*Таблица47[[#This Row],[длина]])*Таблица47[[#This Row],[Периметр]])/28),"")</f>
        <v>0</v>
      </c>
      <c r="Q834" s="1068"/>
      <c r="R834" s="1089">
        <f>IFERROR(Таблица47[[#This Row],[Коли-
чество м.п.]]/Таблица47[[#This Row],[Количество хлыстов]],"")</f>
        <v>4.8500000000000005</v>
      </c>
      <c r="S834" s="1083" t="s">
        <v>2841</v>
      </c>
      <c r="T834" s="1083">
        <v>3778.15</v>
      </c>
      <c r="U834" s="1084">
        <v>779</v>
      </c>
      <c r="V834" s="1083">
        <v>9.5600000000000004E-2</v>
      </c>
      <c r="W834" s="1083">
        <v>0.16</v>
      </c>
      <c r="X834" s="1083">
        <v>361.19110000000001</v>
      </c>
      <c r="Y834" s="1083">
        <v>604.50400000000002</v>
      </c>
      <c r="Z834" s="1083">
        <v>46.95</v>
      </c>
      <c r="AA834" s="1083">
        <v>31.55</v>
      </c>
      <c r="AB834" s="1083">
        <v>330</v>
      </c>
      <c r="AC834" s="1085">
        <v>119193.08</v>
      </c>
    </row>
    <row r="835" spans="1:29" s="1021" customFormat="1" ht="15.75" x14ac:dyDescent="0.25">
      <c r="A835" s="1106" t="s">
        <v>4978</v>
      </c>
      <c r="B835" s="1067">
        <v>582</v>
      </c>
      <c r="C835" s="1067"/>
      <c r="D835" s="1068" t="s">
        <v>13</v>
      </c>
      <c r="E835" s="1068" t="s">
        <v>892</v>
      </c>
      <c r="F835" s="1069">
        <v>45586</v>
      </c>
      <c r="G835" s="1069"/>
      <c r="H835" s="1137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5" s="1004" t="str">
        <f>CONCATENATE(Таблица47[[#This Row],[№ заявки в 1С]],Таблица47[[#This Row],[Наименование            ]])</f>
        <v>582[76672] 1606-39, 4,85 м, анод 4-5мкм с дробью, уп в стрейч мини-пачки</v>
      </c>
      <c r="J835" s="1138">
        <v>21</v>
      </c>
      <c r="K835" s="1138">
        <v>21</v>
      </c>
      <c r="L835" s="1138">
        <v>21</v>
      </c>
      <c r="M835" s="1082"/>
      <c r="N835" s="1120">
        <v>21</v>
      </c>
      <c r="O835" s="1139">
        <f>IFERROR(Таблица47[[#This Row],[Количество хлыстов]]-Таблица47[[#This Row],[Обработано в 1С]]-Таблица47[[#This Row],[Корректировка]],"")</f>
        <v>0</v>
      </c>
      <c r="P835" s="713">
        <f>IFERROR((((Таблица47[[#This Row],[Осталось сделать, хлыст]]*Таблица47[[#This Row],[длина]])*Таблица47[[#This Row],[Периметр]])/28),"")</f>
        <v>0</v>
      </c>
      <c r="Q835" s="1068"/>
      <c r="R835" s="1089">
        <f>IFERROR(Таблица47[[#This Row],[Коли-
чество м.п.]]/Таблица47[[#This Row],[Количество хлыстов]],"")</f>
        <v>4.8499999999999996</v>
      </c>
      <c r="S835" s="1083" t="s">
        <v>5486</v>
      </c>
      <c r="T835" s="1083">
        <v>101.85</v>
      </c>
      <c r="U835" s="1084">
        <v>21</v>
      </c>
      <c r="V835" s="1083">
        <v>9.5600000000000004E-2</v>
      </c>
      <c r="W835" s="1083">
        <v>0.16</v>
      </c>
      <c r="X835" s="1083">
        <v>9.7369000000000003</v>
      </c>
      <c r="Y835" s="1083">
        <v>16.295999999999999</v>
      </c>
      <c r="Z835" s="1083">
        <v>1.27</v>
      </c>
      <c r="AA835" s="1083">
        <v>31.55</v>
      </c>
      <c r="AB835" s="1083">
        <v>330</v>
      </c>
      <c r="AC835" s="1085">
        <v>3213.16</v>
      </c>
    </row>
    <row r="836" spans="1:29" customFormat="1" ht="15.75" x14ac:dyDescent="0.25">
      <c r="A836" s="147" t="s">
        <v>4678</v>
      </c>
      <c r="B836" s="521" t="s">
        <v>5703</v>
      </c>
      <c r="C836" s="521"/>
      <c r="D836" s="142" t="s">
        <v>34</v>
      </c>
      <c r="E836" s="142" t="s">
        <v>16</v>
      </c>
      <c r="F836" s="143">
        <v>45586</v>
      </c>
      <c r="G836" s="143"/>
      <c r="H836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6" s="522" t="str">
        <f>CONCATENATE(Таблица47[[#This Row],[№ заявки в 1С]],Таблица47[[#This Row],[Наименование            ]])</f>
        <v>OPT001166[13620] 0106-290 (6158), 6,0м, 6063 Т1, тип 1, упаковка Т-5, БА</v>
      </c>
      <c r="J836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176</v>
      </c>
      <c r="K836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176</v>
      </c>
      <c r="L836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176</v>
      </c>
      <c r="M836" s="522"/>
      <c r="N836" s="393">
        <v>176</v>
      </c>
      <c r="O836" s="1001">
        <f>IFERROR(Таблица47[[#This Row],[Количество хлыстов]]-Таблица47[[#This Row],[Обработано в 1С]]-Таблица47[[#This Row],[Корректировка]],"")</f>
        <v>0</v>
      </c>
      <c r="P836" s="638">
        <f>IFERROR((((Таблица47[[#This Row],[Осталось сделать, хлыст]]*Таблица47[[#This Row],[длина]])*Таблица47[[#This Row],[Периметр]])/28),"")</f>
        <v>0</v>
      </c>
      <c r="Q836" s="142"/>
      <c r="R836" s="280">
        <f>IFERROR(Таблица47[[#This Row],[Коли-
чество м.п.]]/Таблица47[[#This Row],[Количество хлыстов]],"")</f>
        <v>6</v>
      </c>
      <c r="S836" s="525" t="s">
        <v>5693</v>
      </c>
      <c r="T836" s="525">
        <v>1056</v>
      </c>
      <c r="U836" s="526">
        <v>176</v>
      </c>
      <c r="V836" s="525">
        <v>0.29970000000000002</v>
      </c>
      <c r="W836" s="525">
        <v>1.6739999999999999</v>
      </c>
      <c r="X836" s="525">
        <v>316.48320000000001</v>
      </c>
      <c r="Y836" s="525">
        <v>1767.7439999999999</v>
      </c>
      <c r="Z836" s="525">
        <v>41.14</v>
      </c>
      <c r="AA836" s="525">
        <v>136.36000000000001</v>
      </c>
      <c r="AB836" s="525">
        <v>455</v>
      </c>
      <c r="AC836" s="527">
        <v>143996.16</v>
      </c>
    </row>
    <row r="837" spans="1:29" customFormat="1" ht="15.75" x14ac:dyDescent="0.25">
      <c r="A837" s="171" t="s">
        <v>4678</v>
      </c>
      <c r="B837" s="625">
        <v>584</v>
      </c>
      <c r="C837" s="625" t="s">
        <v>4753</v>
      </c>
      <c r="D837" s="162" t="s">
        <v>13</v>
      </c>
      <c r="E837" s="162" t="s">
        <v>289</v>
      </c>
      <c r="F837" s="168">
        <v>45586</v>
      </c>
      <c r="G837" s="143"/>
      <c r="H837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7" s="522" t="str">
        <f>CONCATENATE(Таблица47[[#This Row],[№ заявки в 1С]],Таблица47[[#This Row],[Наименование            ]])</f>
        <v>584[89457] АП 2168 Д, кроншейн большой 2400 (1700х52мм), 6063</v>
      </c>
      <c r="J837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</v>
      </c>
      <c r="K837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</v>
      </c>
      <c r="L837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</v>
      </c>
      <c r="M837" s="522"/>
      <c r="N837" s="393">
        <v>11</v>
      </c>
      <c r="O837" s="1001">
        <f>IFERROR(Таблица47[[#This Row],[Количество хлыстов]]-Таблица47[[#This Row],[Обработано в 1С]]-Таблица47[[#This Row],[Корректировка]],"")</f>
        <v>0</v>
      </c>
      <c r="P837" s="638">
        <f>IFERROR((((Таблица47[[#This Row],[Осталось сделать, хлыст]]*Таблица47[[#This Row],[длина]])*Таблица47[[#This Row],[Периметр]])/28),"")</f>
        <v>0</v>
      </c>
      <c r="Q837" s="142"/>
      <c r="R837" s="280">
        <f>IFERROR(Таблица47[[#This Row],[Коли-
чество м.п.]]/Таблица47[[#This Row],[Количество хлыстов]],"")</f>
        <v>1</v>
      </c>
      <c r="S837" s="525" t="s">
        <v>4903</v>
      </c>
      <c r="T837" s="525">
        <v>11</v>
      </c>
      <c r="U837" s="526">
        <v>11</v>
      </c>
      <c r="V837" s="525">
        <v>0.55000000000000004</v>
      </c>
      <c r="W837" s="525">
        <v>2.5499999999999998</v>
      </c>
      <c r="X837" s="525">
        <v>6.05</v>
      </c>
      <c r="Y837" s="525">
        <v>28.05</v>
      </c>
      <c r="Z837" s="525">
        <v>0.79</v>
      </c>
      <c r="AA837" s="525">
        <v>3290.91</v>
      </c>
      <c r="AB837" s="525">
        <v>5983.47</v>
      </c>
      <c r="AC837" s="527">
        <v>36200</v>
      </c>
    </row>
    <row r="838" spans="1:29" customFormat="1" ht="15.75" x14ac:dyDescent="0.25">
      <c r="A838" s="147"/>
      <c r="B838" s="521">
        <v>583</v>
      </c>
      <c r="C838" s="521"/>
      <c r="D838" s="142" t="s">
        <v>4858</v>
      </c>
      <c r="E838" s="142" t="s">
        <v>5708</v>
      </c>
      <c r="F838" s="143">
        <v>45586</v>
      </c>
      <c r="G838" s="143"/>
      <c r="H838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8" s="522" t="str">
        <f>CONCATENATE(Таблица47[[#This Row],[№ заявки в 1С]],Таблица47[[#This Row],[Наименование            ]])</f>
        <v>583[81523] СЛ-Л-04, Ламель Z образная (АТ-8033) 100*90, 6,0м, Ад31 Т1</v>
      </c>
      <c r="J838" s="522">
        <v>25</v>
      </c>
      <c r="K838" s="522">
        <v>25</v>
      </c>
      <c r="L838" s="522">
        <v>25</v>
      </c>
      <c r="M838" s="522"/>
      <c r="N838" s="393">
        <v>25</v>
      </c>
      <c r="O838" s="1001">
        <f>IFERROR(Таблица47[[#This Row],[Количество хлыстов]]-Таблица47[[#This Row],[Обработано в 1С]]-Таблица47[[#This Row],[Корректировка]],"")</f>
        <v>0</v>
      </c>
      <c r="P838" s="638">
        <f>IFERROR((((Таблица47[[#This Row],[Осталось сделать, хлыст]]*Таблица47[[#This Row],[длина]])*Таблица47[[#This Row],[Периметр]])/28),"")</f>
        <v>0</v>
      </c>
      <c r="Q838" s="142"/>
      <c r="R838" s="280">
        <f>IFERROR(Таблица47[[#This Row],[Коли-
чество м.п.]]/Таблица47[[#This Row],[Количество хлыстов]],"")</f>
        <v>6</v>
      </c>
      <c r="S838" s="525" t="s">
        <v>5709</v>
      </c>
      <c r="T838" s="525">
        <v>150</v>
      </c>
      <c r="U838" s="526">
        <v>25</v>
      </c>
      <c r="V838" s="525">
        <v>0.34320000000000001</v>
      </c>
      <c r="W838" s="525">
        <v>0.69699999999999995</v>
      </c>
      <c r="X838" s="525">
        <v>51.48</v>
      </c>
      <c r="Y838" s="525">
        <v>104.55</v>
      </c>
      <c r="Z838" s="525">
        <v>6.69</v>
      </c>
      <c r="AA838" s="525">
        <v>154.44</v>
      </c>
      <c r="AB838" s="525">
        <v>450</v>
      </c>
      <c r="AC838" s="527">
        <v>23166</v>
      </c>
    </row>
    <row r="839" spans="1:29" ht="15.75" x14ac:dyDescent="0.25">
      <c r="A839" s="427" t="s">
        <v>4678</v>
      </c>
      <c r="B839" s="309">
        <v>587</v>
      </c>
      <c r="C839" s="309" t="s">
        <v>4753</v>
      </c>
      <c r="D839" s="303" t="s">
        <v>34</v>
      </c>
      <c r="E839" s="303" t="s">
        <v>576</v>
      </c>
      <c r="F839" s="528">
        <v>45587</v>
      </c>
      <c r="G839" s="528"/>
      <c r="H839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39" s="522" t="str">
        <f>CONCATENATE(Таблица47[[#This Row],[№ заявки в 1С]],Таблица47[[#This Row],[Наименование            ]])</f>
        <v>587[93891] 221505 д, АД31 Т1, 2,05м без покрытия</v>
      </c>
      <c r="J839" s="635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389</v>
      </c>
      <c r="K839" s="635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389</v>
      </c>
      <c r="L839" s="635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389</v>
      </c>
      <c r="M839" s="635"/>
      <c r="N839" s="1119">
        <v>389</v>
      </c>
      <c r="O839" s="1013">
        <f>IFERROR(Таблица47[[#This Row],[Количество хлыстов]]-Таблица47[[#This Row],[Обработано в 1С]]-Таблица47[[#This Row],[Корректировка]],"")</f>
        <v>0</v>
      </c>
      <c r="P839" s="638">
        <f>IFERROR((((Таблица47[[#This Row],[Осталось сделать, хлыст]]*Таблица47[[#This Row],[длина]])*Таблица47[[#This Row],[Периметр]])/28),"")</f>
        <v>0</v>
      </c>
      <c r="Q839" s="303"/>
      <c r="R839" s="991">
        <f>IFERROR(Таблица47[[#This Row],[Коли-
чество м.п.]]/Таблица47[[#This Row],[Количество хлыстов]],"")</f>
        <v>2.0500000000000003</v>
      </c>
      <c r="S839" s="639" t="s">
        <v>5712</v>
      </c>
      <c r="T839" s="639">
        <v>797.45</v>
      </c>
      <c r="U839" s="640">
        <v>389</v>
      </c>
      <c r="V839" s="639">
        <v>0.54179999999999995</v>
      </c>
      <c r="W839" s="639">
        <v>1.3069999999999999</v>
      </c>
      <c r="X839" s="639">
        <v>432.05840000000001</v>
      </c>
      <c r="Y839" s="639">
        <v>1042.2672</v>
      </c>
      <c r="Z839" s="639">
        <v>56.17</v>
      </c>
      <c r="AA839" s="639">
        <v>421.34</v>
      </c>
      <c r="AB839" s="639">
        <v>777.67</v>
      </c>
      <c r="AC839" s="641">
        <v>336000</v>
      </c>
    </row>
    <row r="840" spans="1:29" ht="15.75" x14ac:dyDescent="0.25">
      <c r="A840" s="1130" t="s">
        <v>4678</v>
      </c>
      <c r="B840" s="1126">
        <v>588</v>
      </c>
      <c r="C840" s="1126"/>
      <c r="D840" s="1127" t="s">
        <v>13</v>
      </c>
      <c r="E840" s="1127" t="s">
        <v>5714</v>
      </c>
      <c r="F840" s="1129">
        <v>45587</v>
      </c>
      <c r="G840" s="528"/>
      <c r="H840" s="30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0" s="522" t="str">
        <f>CONCATENATE(Таблица47[[#This Row],[№ заявки в 1С]],Таблица47[[#This Row],[Наименование            ]])</f>
        <v>588[865] автополоса 155*4мм (0106-152)  6,0м  60631 Т6  уп Т5</v>
      </c>
      <c r="J840" s="635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40" s="635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40" s="635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40" s="635">
        <v>2</v>
      </c>
      <c r="N840" s="1119">
        <v>73</v>
      </c>
      <c r="O840" s="1013" t="str">
        <f>IFERROR(Таблица47[[#This Row],[Количество хлыстов]]-Таблица47[[#This Row],[Обработано в 1С]]-Таблица47[[#This Row],[Корректировка]],"")</f>
        <v/>
      </c>
      <c r="P840" s="638" t="str">
        <f>IFERROR((((Таблица47[[#This Row],[Осталось сделать, хлыст]]*Таблица47[[#This Row],[длина]])*Таблица47[[#This Row],[Периметр]])/28),"")</f>
        <v/>
      </c>
      <c r="Q840" s="303"/>
      <c r="R840" s="991">
        <f>IFERROR(Таблица47[[#This Row],[Коли-
чество м.п.]]/Таблица47[[#This Row],[Количество хлыстов]],"")</f>
        <v>6</v>
      </c>
      <c r="S840" s="639" t="s">
        <v>4748</v>
      </c>
      <c r="T840" s="639">
        <v>450</v>
      </c>
      <c r="U840" s="640">
        <v>75</v>
      </c>
      <c r="V840" s="639">
        <v>0.33660000000000001</v>
      </c>
      <c r="W840" s="639">
        <v>1.2350000000000001</v>
      </c>
      <c r="X840" s="639">
        <v>151.47</v>
      </c>
      <c r="Y840" s="639">
        <v>555.75</v>
      </c>
      <c r="Z840" s="639">
        <v>19.690000000000001</v>
      </c>
      <c r="AA840" s="639">
        <v>143.06</v>
      </c>
      <c r="AB840" s="639">
        <v>425</v>
      </c>
      <c r="AC840" s="641">
        <v>64374.75</v>
      </c>
    </row>
    <row r="841" spans="1:29" customFormat="1" ht="15.75" x14ac:dyDescent="0.25">
      <c r="A841" s="965" t="s">
        <v>4678</v>
      </c>
      <c r="B841" s="962">
        <v>591</v>
      </c>
      <c r="C841" s="962"/>
      <c r="D841" s="963" t="s">
        <v>13</v>
      </c>
      <c r="E841" s="963" t="s">
        <v>156</v>
      </c>
      <c r="F841" s="964">
        <v>45589</v>
      </c>
      <c r="G841" s="143"/>
      <c r="H841" s="142" t="s">
        <v>23</v>
      </c>
      <c r="I841" s="522" t="str">
        <f>CONCATENATE(Таблица47[[#This Row],[№ заявки в 1С]],Таблица47[[#This Row],[Наименование            ]])</f>
        <v>591[44723] 0706-93 3,0 м, сплав 6063 КР</v>
      </c>
      <c r="J841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227</v>
      </c>
      <c r="K841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227</v>
      </c>
      <c r="L841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227</v>
      </c>
      <c r="M841" s="522"/>
      <c r="N841" s="393"/>
      <c r="O841" s="1001">
        <f>IFERROR(Таблица47[[#This Row],[Количество хлыстов]]-Таблица47[[#This Row],[Обработано в 1С]]-Таблица47[[#This Row],[Корректировка]],"")</f>
        <v>0</v>
      </c>
      <c r="P841" s="638">
        <f>IFERROR((((Таблица47[[#This Row],[Осталось сделать, хлыст]]*Таблица47[[#This Row],[длина]])*Таблица47[[#This Row],[Периметр]])/28),"")</f>
        <v>0</v>
      </c>
      <c r="Q841" s="142"/>
      <c r="R841" s="280">
        <f>IFERROR(Таблица47[[#This Row],[Коли-
чество м.п.]]/Таблица47[[#This Row],[Количество хлыстов]],"")</f>
        <v>3</v>
      </c>
      <c r="S841" s="525" t="s">
        <v>3678</v>
      </c>
      <c r="T841" s="525">
        <v>681</v>
      </c>
      <c r="U841" s="526">
        <v>227</v>
      </c>
      <c r="V841" s="525">
        <v>0.81599999999999995</v>
      </c>
      <c r="W841" s="525">
        <v>2.7610000000000001</v>
      </c>
      <c r="X841" s="525">
        <v>555.69600000000003</v>
      </c>
      <c r="Y841" s="525">
        <v>1880.241</v>
      </c>
      <c r="Z841" s="525">
        <v>72.239999999999995</v>
      </c>
      <c r="AA841" s="525">
        <v>371.28</v>
      </c>
      <c r="AB841" s="525">
        <v>455</v>
      </c>
      <c r="AC841" s="527">
        <v>252841.68</v>
      </c>
    </row>
    <row r="842" spans="1:29" customFormat="1" ht="15.75" x14ac:dyDescent="0.25">
      <c r="A842" s="965" t="s">
        <v>4678</v>
      </c>
      <c r="B842" s="962">
        <v>592</v>
      </c>
      <c r="C842" s="962"/>
      <c r="D842" s="963" t="s">
        <v>13</v>
      </c>
      <c r="E842" s="963" t="s">
        <v>37</v>
      </c>
      <c r="F842" s="964">
        <v>45589</v>
      </c>
      <c r="G842" s="143"/>
      <c r="H842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2" s="522" t="str">
        <f>CONCATENATE(Таблица47[[#This Row],[№ заявки в 1С]],Таблица47[[#This Row],[Наименование            ]])</f>
        <v>592[82182] 1706-83, 3,0 м,  6063 Т6 упаковка Т5</v>
      </c>
      <c r="J842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180</v>
      </c>
      <c r="K842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180</v>
      </c>
      <c r="L842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180</v>
      </c>
      <c r="M842" s="522"/>
      <c r="N842" s="393">
        <v>180</v>
      </c>
      <c r="O842" s="1001">
        <f>IFERROR(Таблица47[[#This Row],[Количество хлыстов]]-Таблица47[[#This Row],[Обработано в 1С]]-Таблица47[[#This Row],[Корректировка]],"")</f>
        <v>0</v>
      </c>
      <c r="P842" s="638">
        <f>IFERROR((((Таблица47[[#This Row],[Осталось сделать, хлыст]]*Таблица47[[#This Row],[длина]])*Таблица47[[#This Row],[Периметр]])/28),"")</f>
        <v>0</v>
      </c>
      <c r="Q842" s="142"/>
      <c r="R842" s="280">
        <f>IFERROR(Таблица47[[#This Row],[Коли-
чество м.п.]]/Таблица47[[#This Row],[Количество хлыстов]],"")</f>
        <v>3</v>
      </c>
      <c r="S842" s="525" t="s">
        <v>3645</v>
      </c>
      <c r="T842" s="525">
        <v>540</v>
      </c>
      <c r="U842" s="526">
        <v>180</v>
      </c>
      <c r="V842" s="525">
        <v>0.27829999999999999</v>
      </c>
      <c r="W842" s="525">
        <v>0.98499999999999999</v>
      </c>
      <c r="X842" s="525">
        <v>150.28200000000001</v>
      </c>
      <c r="Y842" s="525">
        <v>531.9</v>
      </c>
      <c r="Z842" s="525">
        <v>19.54</v>
      </c>
      <c r="AA842" s="525" t="s">
        <v>17</v>
      </c>
      <c r="AB842" s="525" t="s">
        <v>17</v>
      </c>
      <c r="AC842" s="527" t="s">
        <v>17</v>
      </c>
    </row>
    <row r="843" spans="1:29" customFormat="1" ht="15.75" x14ac:dyDescent="0.25">
      <c r="A843" s="171" t="s">
        <v>4678</v>
      </c>
      <c r="B843" s="625">
        <v>593</v>
      </c>
      <c r="C843" s="625"/>
      <c r="D843" s="162" t="s">
        <v>13</v>
      </c>
      <c r="E843" s="162" t="s">
        <v>80</v>
      </c>
      <c r="F843" s="168">
        <v>45589</v>
      </c>
      <c r="G843" s="143">
        <v>45607</v>
      </c>
      <c r="H843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3" s="522" t="str">
        <f>CONCATENATE(Таблица47[[#This Row],[№ заявки в 1С]],Таблица47[[#This Row],[Наименование            ]])</f>
        <v>593[80497] АТ-6485, 3,65 м, cплав 6063</v>
      </c>
      <c r="J843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171</v>
      </c>
      <c r="K843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171</v>
      </c>
      <c r="L843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171</v>
      </c>
      <c r="M843" s="522"/>
      <c r="N843" s="393">
        <v>171</v>
      </c>
      <c r="O843" s="1001">
        <f>IFERROR(Таблица47[[#This Row],[Количество хлыстов]]-Таблица47[[#This Row],[Обработано в 1С]]-Таблица47[[#This Row],[Корректировка]],"")</f>
        <v>0</v>
      </c>
      <c r="P843" s="638">
        <f>IFERROR((((Таблица47[[#This Row],[Осталось сделать, хлыст]]*Таблица47[[#This Row],[длина]])*Таблица47[[#This Row],[Периметр]])/28),"")</f>
        <v>0</v>
      </c>
      <c r="Q843" s="142"/>
      <c r="R843" s="280">
        <f>IFERROR(Таблица47[[#This Row],[Коли-
чество м.п.]]/Таблица47[[#This Row],[Количество хлыстов]],"")</f>
        <v>3.65</v>
      </c>
      <c r="S843" s="525" t="s">
        <v>3121</v>
      </c>
      <c r="T843" s="525">
        <v>624.15</v>
      </c>
      <c r="U843" s="526">
        <v>171</v>
      </c>
      <c r="V843" s="525">
        <v>0.30480000000000002</v>
      </c>
      <c r="W843" s="525">
        <v>1.4590000000000001</v>
      </c>
      <c r="X843" s="525">
        <v>190.24090000000001</v>
      </c>
      <c r="Y843" s="525">
        <v>910.63490000000002</v>
      </c>
      <c r="Z843" s="525">
        <v>24.73</v>
      </c>
      <c r="AA843" s="525">
        <v>149.66</v>
      </c>
      <c r="AB843" s="525">
        <v>491</v>
      </c>
      <c r="AC843" s="527">
        <v>93410.29</v>
      </c>
    </row>
    <row r="844" spans="1:29" customFormat="1" ht="15.75" x14ac:dyDescent="0.25">
      <c r="A844" s="171" t="s">
        <v>4678</v>
      </c>
      <c r="B844" s="625">
        <v>593</v>
      </c>
      <c r="C844" s="625"/>
      <c r="D844" s="162" t="s">
        <v>13</v>
      </c>
      <c r="E844" s="162" t="s">
        <v>80</v>
      </c>
      <c r="F844" s="168">
        <v>45589</v>
      </c>
      <c r="G844" s="143">
        <v>45607</v>
      </c>
      <c r="H844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4" s="522" t="str">
        <f>CONCATENATE(Таблица47[[#This Row],[№ заявки в 1С]],Таблица47[[#This Row],[Наименование            ]])</f>
        <v>593[69152] АТ-6485, 4,5 м, cплав 6063</v>
      </c>
      <c r="J844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255</v>
      </c>
      <c r="K844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255</v>
      </c>
      <c r="L844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255</v>
      </c>
      <c r="M844" s="522"/>
      <c r="N844" s="393">
        <v>255</v>
      </c>
      <c r="O844" s="1001">
        <f>IFERROR(Таблица47[[#This Row],[Количество хлыстов]]-Таблица47[[#This Row],[Обработано в 1С]]-Таблица47[[#This Row],[Корректировка]],"")</f>
        <v>0</v>
      </c>
      <c r="P844" s="638">
        <f>IFERROR((((Таблица47[[#This Row],[Осталось сделать, хлыст]]*Таблица47[[#This Row],[длина]])*Таблица47[[#This Row],[Периметр]])/28),"")</f>
        <v>0</v>
      </c>
      <c r="Q844" s="142"/>
      <c r="R844" s="280">
        <f>IFERROR(Таблица47[[#This Row],[Коли-
чество м.п.]]/Таблица47[[#This Row],[Количество хлыстов]],"")</f>
        <v>4.5</v>
      </c>
      <c r="S844" s="525" t="s">
        <v>85</v>
      </c>
      <c r="T844" s="525">
        <v>1147.5</v>
      </c>
      <c r="U844" s="526">
        <v>255</v>
      </c>
      <c r="V844" s="525">
        <v>0.30480000000000002</v>
      </c>
      <c r="W844" s="525">
        <v>1.4590000000000001</v>
      </c>
      <c r="X844" s="525">
        <v>349.75799999999998</v>
      </c>
      <c r="Y844" s="525">
        <v>1674.2025000000001</v>
      </c>
      <c r="Z844" s="525">
        <v>45.47</v>
      </c>
      <c r="AA844" s="525">
        <v>149.66</v>
      </c>
      <c r="AB844" s="525">
        <v>491</v>
      </c>
      <c r="AC844" s="527">
        <v>171734.85</v>
      </c>
    </row>
    <row r="845" spans="1:29" customFormat="1" ht="15.75" x14ac:dyDescent="0.25">
      <c r="A845" s="965" t="s">
        <v>4678</v>
      </c>
      <c r="B845" s="962">
        <v>594</v>
      </c>
      <c r="C845" s="962"/>
      <c r="D845" s="963" t="s">
        <v>13</v>
      </c>
      <c r="E845" s="963" t="s">
        <v>32</v>
      </c>
      <c r="F845" s="964">
        <v>45589</v>
      </c>
      <c r="G845" s="964"/>
      <c r="H84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5" s="967" t="str">
        <f>CONCATENATE(Таблица47[[#This Row],[№ заявки в 1С]],Таблица47[[#This Row],[Наименование            ]])</f>
        <v>594[81356] 1606-37 (АВА-7227), 5,05 м, сплав 6063 КР Т6, упаковка Т-5</v>
      </c>
      <c r="J845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45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45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45" s="522">
        <v>8</v>
      </c>
      <c r="N845" s="968">
        <v>659</v>
      </c>
      <c r="O845" s="1006" t="str">
        <f>IFERROR(Таблица47[[#This Row],[Количество хлыстов]]-Таблица47[[#This Row],[Обработано в 1С]]-Таблица47[[#This Row],[Корректировка]],"")</f>
        <v/>
      </c>
      <c r="P845" s="1007" t="str">
        <f>IFERROR((((Таблица47[[#This Row],[Осталось сделать, хлыст]]*Таблица47[[#This Row],[длина]])*Таблица47[[#This Row],[Периметр]])/28),"")</f>
        <v/>
      </c>
      <c r="Q845" s="963"/>
      <c r="R845" s="969">
        <f>IFERROR(Таблица47[[#This Row],[Коли-
чество м.п.]]/Таблица47[[#This Row],[Количество хлыстов]],"")</f>
        <v>5.05</v>
      </c>
      <c r="S845" s="961" t="s">
        <v>4275</v>
      </c>
      <c r="T845" s="961">
        <v>3368.35</v>
      </c>
      <c r="U845" s="970">
        <v>667</v>
      </c>
      <c r="V845" s="961">
        <v>0.2651</v>
      </c>
      <c r="W845" s="961">
        <v>0.82099999999999995</v>
      </c>
      <c r="X845" s="961">
        <v>892.94960000000003</v>
      </c>
      <c r="Y845" s="961">
        <v>2765.4153999999999</v>
      </c>
      <c r="Z845" s="961">
        <v>116.08</v>
      </c>
      <c r="AA845" s="961">
        <v>142.88999999999999</v>
      </c>
      <c r="AB845" s="961">
        <v>539</v>
      </c>
      <c r="AC845" s="971">
        <v>481299.83</v>
      </c>
    </row>
    <row r="846" spans="1:29" customFormat="1" ht="15.75" x14ac:dyDescent="0.25">
      <c r="A846" s="965" t="s">
        <v>4678</v>
      </c>
      <c r="B846" s="962">
        <v>594</v>
      </c>
      <c r="C846" s="962"/>
      <c r="D846" s="963" t="s">
        <v>13</v>
      </c>
      <c r="E846" s="963" t="s">
        <v>32</v>
      </c>
      <c r="F846" s="964">
        <v>45589</v>
      </c>
      <c r="G846" s="964"/>
      <c r="H84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6" s="967" t="str">
        <f>CONCATENATE(Таблица47[[#This Row],[№ заявки в 1С]],Таблица47[[#This Row],[Наименование            ]])</f>
        <v>594[81357] 1606-37 (АВА-7227), 4,45 м, сплав 6063 КР Т6, упаковка Т-5</v>
      </c>
      <c r="J84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58</v>
      </c>
      <c r="K84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58</v>
      </c>
      <c r="L84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58</v>
      </c>
      <c r="M846" s="522">
        <v>2</v>
      </c>
      <c r="N846" s="968">
        <v>56</v>
      </c>
      <c r="O846" s="1006">
        <f>IFERROR(Таблица47[[#This Row],[Количество хлыстов]]-Таблица47[[#This Row],[Обработано в 1С]]-Таблица47[[#This Row],[Корректировка]],"")</f>
        <v>-2</v>
      </c>
      <c r="P846" s="1007">
        <f>IFERROR((((Таблица47[[#This Row],[Осталось сделать, хлыст]]*Таблица47[[#This Row],[длина]])*Таблица47[[#This Row],[Периметр]])/28),"")</f>
        <v>-8.4263928571428587E-2</v>
      </c>
      <c r="Q846" s="963"/>
      <c r="R846" s="969">
        <f>IFERROR(Таблица47[[#This Row],[Коли-
чество м.п.]]/Таблица47[[#This Row],[Количество хлыстов]],"")</f>
        <v>4.45</v>
      </c>
      <c r="S846" s="961" t="s">
        <v>4276</v>
      </c>
      <c r="T846" s="961">
        <v>258.10000000000002</v>
      </c>
      <c r="U846" s="970">
        <v>58</v>
      </c>
      <c r="V846" s="961">
        <v>0.2651</v>
      </c>
      <c r="W846" s="961">
        <v>0.82099999999999995</v>
      </c>
      <c r="X846" s="961">
        <v>68.422300000000007</v>
      </c>
      <c r="Y846" s="961">
        <v>211.90010000000001</v>
      </c>
      <c r="Z846" s="961">
        <v>8.89</v>
      </c>
      <c r="AA846" s="961">
        <v>136.53</v>
      </c>
      <c r="AB846" s="961">
        <v>515</v>
      </c>
      <c r="AC846" s="971">
        <v>35238.39</v>
      </c>
    </row>
    <row r="847" spans="1:29" customFormat="1" ht="15.75" x14ac:dyDescent="0.25">
      <c r="A847" s="171" t="s">
        <v>4678</v>
      </c>
      <c r="B847" s="625">
        <v>595</v>
      </c>
      <c r="C847" s="625" t="s">
        <v>4753</v>
      </c>
      <c r="D847" s="162" t="s">
        <v>13</v>
      </c>
      <c r="E847" s="162" t="s">
        <v>30</v>
      </c>
      <c r="F847" s="168">
        <v>45590</v>
      </c>
      <c r="G847" s="143"/>
      <c r="H847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47" s="522" t="str">
        <f>CONCATENATE(Таблица47[[#This Row],[№ заявки в 1С]],Таблица47[[#This Row],[Наименование            ]])</f>
        <v>595[92081] Полоса Амг3 3000*100*1 Д</v>
      </c>
      <c r="J847" s="522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47" s="522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47" s="522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47" s="522"/>
      <c r="N847" s="393">
        <v>348</v>
      </c>
      <c r="O847" s="1001" t="str">
        <f>IFERROR(Таблица47[[#This Row],[Количество хлыстов]]-Таблица47[[#This Row],[Обработано в 1С]]-Таблица47[[#This Row],[Корректировка]],"")</f>
        <v/>
      </c>
      <c r="P847" s="638" t="str">
        <f>IFERROR((((Таблица47[[#This Row],[Осталось сделать, хлыст]]*Таблица47[[#This Row],[длина]])*Таблица47[[#This Row],[Периметр]])/28),"")</f>
        <v/>
      </c>
      <c r="Q847" s="142" t="s">
        <v>5835</v>
      </c>
      <c r="R847" s="280">
        <f>IFERROR(Таблица47[[#This Row],[Коли-
чество м.п.]]/Таблица47[[#This Row],[Количество хлыстов]],"")</f>
        <v>1</v>
      </c>
      <c r="S847" s="525" t="s">
        <v>5470</v>
      </c>
      <c r="T847" s="525">
        <v>348</v>
      </c>
      <c r="U847" s="526">
        <v>348</v>
      </c>
      <c r="V847" s="525">
        <v>0.60599999999999998</v>
      </c>
      <c r="W847" s="525">
        <v>0.8</v>
      </c>
      <c r="X847" s="525">
        <v>210.88800000000001</v>
      </c>
      <c r="Y847" s="525">
        <v>278.39999999999998</v>
      </c>
      <c r="Z847" s="525">
        <v>27.42</v>
      </c>
      <c r="AA847" s="525">
        <v>629.5</v>
      </c>
      <c r="AB847" s="525">
        <v>1038.78</v>
      </c>
      <c r="AC847" s="527">
        <v>219066</v>
      </c>
    </row>
    <row r="848" spans="1:29" customFormat="1" ht="15.75" x14ac:dyDescent="0.25">
      <c r="A848" s="965" t="s">
        <v>4678</v>
      </c>
      <c r="B848" s="962">
        <v>597</v>
      </c>
      <c r="C848" s="521" t="s">
        <v>4753</v>
      </c>
      <c r="D848" s="142" t="s">
        <v>13</v>
      </c>
      <c r="E848" s="963" t="s">
        <v>5230</v>
      </c>
      <c r="F848" s="964">
        <v>45590</v>
      </c>
      <c r="G848" s="964"/>
      <c r="H848" s="1005" t="s">
        <v>677</v>
      </c>
      <c r="I848" s="967" t="str">
        <f>CONCATENATE(Таблица47[[#This Row],[№ заявки в 1С]],Таблица47[[#This Row],[Наименование            ]])</f>
        <v>597[92164] А 03.10 (Д) 6 м, 6060 Т6</v>
      </c>
      <c r="J84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4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4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48" s="522"/>
      <c r="N848" s="968"/>
      <c r="O848" s="1006">
        <f>IFERROR(Таблица47[[#This Row],[Количество хлыстов]]-Таблица47[[#This Row],[Обработано в 1С]]-Таблица47[[#This Row],[Корректировка]],"")</f>
        <v>12</v>
      </c>
      <c r="P848" s="1007">
        <v>44</v>
      </c>
      <c r="Q848" s="963"/>
      <c r="R848" s="969">
        <f>IFERROR(Таблица47[[#This Row],[Коли-
чество м.п.]]/Таблица47[[#This Row],[Количество хлыстов]],"")</f>
        <v>6</v>
      </c>
      <c r="S848" s="961" t="s">
        <v>5276</v>
      </c>
      <c r="T848" s="961">
        <v>72</v>
      </c>
      <c r="U848" s="970">
        <v>12</v>
      </c>
      <c r="V848" s="961">
        <v>1.2526999999999999</v>
      </c>
      <c r="W848" s="961">
        <v>3.91</v>
      </c>
      <c r="X848" s="961">
        <v>90.194400000000002</v>
      </c>
      <c r="Y848" s="961">
        <v>281.52</v>
      </c>
      <c r="Z848" s="961">
        <v>11.73</v>
      </c>
      <c r="AA848" s="961">
        <v>308.33</v>
      </c>
      <c r="AB848" s="961">
        <v>246.14</v>
      </c>
      <c r="AC848" s="971">
        <v>22200</v>
      </c>
    </row>
    <row r="849" spans="1:29" customFormat="1" ht="15.75" x14ac:dyDescent="0.25">
      <c r="A849" s="965" t="s">
        <v>4678</v>
      </c>
      <c r="B849" s="962">
        <v>597</v>
      </c>
      <c r="C849" s="521" t="s">
        <v>4753</v>
      </c>
      <c r="D849" s="142" t="s">
        <v>13</v>
      </c>
      <c r="E849" s="963" t="s">
        <v>5230</v>
      </c>
      <c r="F849" s="964">
        <v>45590</v>
      </c>
      <c r="G849" s="964"/>
      <c r="H849" s="1005" t="s">
        <v>677</v>
      </c>
      <c r="I849" s="967" t="str">
        <f>CONCATENATE(Таблица47[[#This Row],[№ заявки в 1С]],Таблица47[[#This Row],[Наименование            ]])</f>
        <v>597[92167] Шина 3*30 (Д) 4,6 м, 6060 Т6</v>
      </c>
      <c r="J84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4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4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49" s="522"/>
      <c r="N849" s="968"/>
      <c r="O849" s="1006">
        <f>IFERROR(Таблица47[[#This Row],[Количество хлыстов]]-Таблица47[[#This Row],[Обработано в 1С]]-Таблица47[[#This Row],[Корректировка]],"")</f>
        <v>54</v>
      </c>
      <c r="P849" s="1007"/>
      <c r="Q849" s="963"/>
      <c r="R849" s="969">
        <f>IFERROR(Таблица47[[#This Row],[Коли-
чество м.п.]]/Таблица47[[#This Row],[Количество хлыстов]],"")</f>
        <v>4.6000000000000005</v>
      </c>
      <c r="S849" s="961" t="s">
        <v>5273</v>
      </c>
      <c r="T849" s="961">
        <v>248.4</v>
      </c>
      <c r="U849" s="970">
        <v>54</v>
      </c>
      <c r="V849" s="961">
        <v>6.3399999999999998E-2</v>
      </c>
      <c r="W849" s="961">
        <v>0.23799999999999999</v>
      </c>
      <c r="X849" s="961">
        <v>15.7486</v>
      </c>
      <c r="Y849" s="961">
        <v>59.119199999999999</v>
      </c>
      <c r="Z849" s="961">
        <v>2.0499999999999998</v>
      </c>
      <c r="AA849" s="961">
        <v>68.44</v>
      </c>
      <c r="AB849" s="961">
        <v>1079.46</v>
      </c>
      <c r="AC849" s="971">
        <v>17000</v>
      </c>
    </row>
    <row r="850" spans="1:29" customFormat="1" ht="15.75" x14ac:dyDescent="0.25">
      <c r="A850" s="965" t="s">
        <v>4678</v>
      </c>
      <c r="B850" s="962">
        <v>597</v>
      </c>
      <c r="C850" s="521" t="s">
        <v>4753</v>
      </c>
      <c r="D850" s="142" t="s">
        <v>13</v>
      </c>
      <c r="E850" s="963" t="s">
        <v>5230</v>
      </c>
      <c r="F850" s="964">
        <v>45590</v>
      </c>
      <c r="G850" s="964"/>
      <c r="H850" s="1005" t="s">
        <v>677</v>
      </c>
      <c r="I850" s="967" t="str">
        <f>CONCATENATE(Таблица47[[#This Row],[№ заявки в 1С]],Таблица47[[#This Row],[Наименование            ]])</f>
        <v>597[92159] А03.9 (Д) 6м, 6060 Т6</v>
      </c>
      <c r="J85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0" s="522"/>
      <c r="N850" s="968"/>
      <c r="O850" s="1006">
        <f>IFERROR(Таблица47[[#This Row],[Количество хлыстов]]-Таблица47[[#This Row],[Обработано в 1С]]-Таблица47[[#This Row],[Корректировка]],"")</f>
        <v>168</v>
      </c>
      <c r="P850" s="1007"/>
      <c r="Q850" s="963"/>
      <c r="R850" s="969">
        <f>IFERROR(Таблица47[[#This Row],[Коли-
чество м.п.]]/Таблица47[[#This Row],[Количество хлыстов]],"")</f>
        <v>6</v>
      </c>
      <c r="S850" s="961" t="s">
        <v>5275</v>
      </c>
      <c r="T850" s="961">
        <v>1008</v>
      </c>
      <c r="U850" s="970">
        <v>168</v>
      </c>
      <c r="V850" s="961">
        <v>0.59199999999999997</v>
      </c>
      <c r="W850" s="961">
        <v>1.5840000000000001</v>
      </c>
      <c r="X850" s="961">
        <v>596.73599999999999</v>
      </c>
      <c r="Y850" s="961">
        <v>1596.672</v>
      </c>
      <c r="Z850" s="961">
        <v>77.58</v>
      </c>
      <c r="AA850" s="961">
        <v>320.44</v>
      </c>
      <c r="AB850" s="961">
        <v>541.28</v>
      </c>
      <c r="AC850" s="971">
        <v>323000</v>
      </c>
    </row>
    <row r="851" spans="1:29" customFormat="1" ht="15.75" x14ac:dyDescent="0.25">
      <c r="A851" s="965" t="s">
        <v>4678</v>
      </c>
      <c r="B851" s="962">
        <v>597</v>
      </c>
      <c r="C851" s="521" t="s">
        <v>4753</v>
      </c>
      <c r="D851" s="142" t="s">
        <v>13</v>
      </c>
      <c r="E851" s="963" t="s">
        <v>5230</v>
      </c>
      <c r="F851" s="964">
        <v>45590</v>
      </c>
      <c r="G851" s="964"/>
      <c r="H851" s="1005" t="s">
        <v>677</v>
      </c>
      <c r="I851" s="967" t="str">
        <f>CONCATENATE(Таблица47[[#This Row],[№ заявки в 1С]],Таблица47[[#This Row],[Наименование            ]])</f>
        <v>597[93906] А-48.150 (Д), 6м, 6060 Т6</v>
      </c>
      <c r="J85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1" s="522"/>
      <c r="N851" s="968"/>
      <c r="O851" s="1006">
        <f>IFERROR(Таблица47[[#This Row],[Количество хлыстов]]-Таблица47[[#This Row],[Обработано в 1С]]-Таблица47[[#This Row],[Корректировка]],"")</f>
        <v>6</v>
      </c>
      <c r="P851" s="1007"/>
      <c r="Q851" s="963"/>
      <c r="R851" s="969">
        <f>IFERROR(Таблица47[[#This Row],[Коли-
чество м.п.]]/Таблица47[[#This Row],[Количество хлыстов]],"")</f>
        <v>6</v>
      </c>
      <c r="S851" s="961" t="s">
        <v>5729</v>
      </c>
      <c r="T851" s="961">
        <v>36</v>
      </c>
      <c r="U851" s="970">
        <v>6</v>
      </c>
      <c r="V851" s="961">
        <v>0.52700000000000002</v>
      </c>
      <c r="W851" s="961">
        <v>2.044</v>
      </c>
      <c r="X851" s="961">
        <v>18.972000000000001</v>
      </c>
      <c r="Y851" s="961">
        <v>73.584000000000003</v>
      </c>
      <c r="Z851" s="961">
        <v>2.4700000000000002</v>
      </c>
      <c r="AA851" s="961">
        <v>472.22</v>
      </c>
      <c r="AB851" s="961">
        <v>896.06</v>
      </c>
      <c r="AC851" s="971">
        <v>17000</v>
      </c>
    </row>
    <row r="852" spans="1:29" customFormat="1" ht="15.75" x14ac:dyDescent="0.25">
      <c r="A852" s="965" t="s">
        <v>4678</v>
      </c>
      <c r="B852" s="962">
        <v>597</v>
      </c>
      <c r="C852" s="521" t="s">
        <v>4753</v>
      </c>
      <c r="D852" s="142" t="s">
        <v>13</v>
      </c>
      <c r="E852" s="963" t="s">
        <v>5230</v>
      </c>
      <c r="F852" s="964">
        <v>45590</v>
      </c>
      <c r="G852" s="964"/>
      <c r="H852" s="1005" t="s">
        <v>677</v>
      </c>
      <c r="I852" s="967" t="str">
        <f>CONCATENATE(Таблица47[[#This Row],[№ заявки в 1С]],Таблица47[[#This Row],[Наименование            ]])</f>
        <v>597[92044] А28 (Д),  6м, 6060 Т6</v>
      </c>
      <c r="J85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2" s="522"/>
      <c r="N852" s="968"/>
      <c r="O852" s="1006">
        <f>IFERROR(Таблица47[[#This Row],[Количество хлыстов]]-Таблица47[[#This Row],[Обработано в 1С]]-Таблица47[[#This Row],[Корректировка]],"")</f>
        <v>158</v>
      </c>
      <c r="P852" s="1007"/>
      <c r="Q852" s="963"/>
      <c r="R852" s="969">
        <f>IFERROR(Таблица47[[#This Row],[Коли-
чество м.п.]]/Таблица47[[#This Row],[Количество хлыстов]],"")</f>
        <v>6</v>
      </c>
      <c r="S852" s="961" t="s">
        <v>5231</v>
      </c>
      <c r="T852" s="961">
        <v>948</v>
      </c>
      <c r="U852" s="970">
        <v>158</v>
      </c>
      <c r="V852" s="961">
        <v>0.27100000000000002</v>
      </c>
      <c r="W852" s="961">
        <v>1.2569999999999999</v>
      </c>
      <c r="X852" s="961">
        <v>256.90800000000002</v>
      </c>
      <c r="Y852" s="961">
        <v>1191.636</v>
      </c>
      <c r="Z852" s="961">
        <v>33.4</v>
      </c>
      <c r="AA852" s="961">
        <v>125.53</v>
      </c>
      <c r="AB852" s="961">
        <v>463.2</v>
      </c>
      <c r="AC852" s="971">
        <v>119000</v>
      </c>
    </row>
    <row r="853" spans="1:29" customFormat="1" ht="15.75" x14ac:dyDescent="0.25">
      <c r="A853" s="965" t="s">
        <v>4678</v>
      </c>
      <c r="B853" s="962">
        <v>597</v>
      </c>
      <c r="C853" s="521" t="s">
        <v>4753</v>
      </c>
      <c r="D853" s="142" t="s">
        <v>13</v>
      </c>
      <c r="E853" s="963" t="s">
        <v>5230</v>
      </c>
      <c r="F853" s="964">
        <v>45590</v>
      </c>
      <c r="G853" s="964"/>
      <c r="H853" s="1005" t="s">
        <v>677</v>
      </c>
      <c r="I853" s="967" t="str">
        <f>CONCATENATE(Таблица47[[#This Row],[№ заявки в 1С]],Таблица47[[#This Row],[Наименование            ]])</f>
        <v>597[92165] А 03.17 (Д) 4 м, 6060 Т6</v>
      </c>
      <c r="J85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3" s="522"/>
      <c r="N853" s="968"/>
      <c r="O853" s="1006">
        <f>IFERROR(Таблица47[[#This Row],[Количество хлыстов]]-Таблица47[[#This Row],[Обработано в 1С]]-Таблица47[[#This Row],[Корректировка]],"")</f>
        <v>22</v>
      </c>
      <c r="P853" s="1007"/>
      <c r="Q853" s="963"/>
      <c r="R853" s="969">
        <f>IFERROR(Таблица47[[#This Row],[Коли-
чество м.п.]]/Таблица47[[#This Row],[Количество хлыстов]],"")</f>
        <v>4</v>
      </c>
      <c r="S853" s="961" t="s">
        <v>5274</v>
      </c>
      <c r="T853" s="961">
        <v>88</v>
      </c>
      <c r="U853" s="970">
        <v>22</v>
      </c>
      <c r="V853" s="961">
        <v>1.4718</v>
      </c>
      <c r="W853" s="961">
        <v>5.3</v>
      </c>
      <c r="X853" s="961">
        <v>129.51840000000001</v>
      </c>
      <c r="Y853" s="961">
        <v>466.4</v>
      </c>
      <c r="Z853" s="961">
        <v>16.84</v>
      </c>
      <c r="AA853" s="961">
        <v>964.77</v>
      </c>
      <c r="AB853" s="961">
        <v>655.51</v>
      </c>
      <c r="AC853" s="971">
        <v>84900</v>
      </c>
    </row>
    <row r="854" spans="1:29" customFormat="1" ht="15.75" x14ac:dyDescent="0.25">
      <c r="A854" s="965" t="s">
        <v>4678</v>
      </c>
      <c r="B854" s="962">
        <v>597</v>
      </c>
      <c r="C854" s="521" t="s">
        <v>4753</v>
      </c>
      <c r="D854" s="142" t="s">
        <v>13</v>
      </c>
      <c r="E854" s="963" t="s">
        <v>5230</v>
      </c>
      <c r="F854" s="964">
        <v>45590</v>
      </c>
      <c r="G854" s="964"/>
      <c r="H854" s="1005" t="s">
        <v>677</v>
      </c>
      <c r="I854" s="967" t="str">
        <f>CONCATENATE(Таблица47[[#This Row],[№ заявки в 1С]],Таблица47[[#This Row],[Наименование            ]])</f>
        <v>597[92124] А-967.1 (Д), 6м, 6060Т6</v>
      </c>
      <c r="J85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4" s="522"/>
      <c r="N854" s="968"/>
      <c r="O854" s="1006">
        <f>IFERROR(Таблица47[[#This Row],[Количество хлыстов]]-Таблица47[[#This Row],[Обработано в 1С]]-Таблица47[[#This Row],[Корректировка]],"")</f>
        <v>60</v>
      </c>
      <c r="P854" s="1007"/>
      <c r="Q854" s="963"/>
      <c r="R854" s="969">
        <f>IFERROR(Таблица47[[#This Row],[Коли-
чество м.п.]]/Таблица47[[#This Row],[Количество хлыстов]],"")</f>
        <v>6</v>
      </c>
      <c r="S854" s="961" t="s">
        <v>5240</v>
      </c>
      <c r="T854" s="961">
        <v>360</v>
      </c>
      <c r="U854" s="970">
        <v>60</v>
      </c>
      <c r="V854" s="961">
        <v>0.83199999999999996</v>
      </c>
      <c r="W854" s="961">
        <v>1.9359999999999999</v>
      </c>
      <c r="X854" s="961">
        <v>299.52</v>
      </c>
      <c r="Y854" s="961">
        <v>696.96</v>
      </c>
      <c r="Z854" s="961">
        <v>38.94</v>
      </c>
      <c r="AA854" s="961">
        <v>498.89</v>
      </c>
      <c r="AB854" s="961">
        <v>599.63</v>
      </c>
      <c r="AC854" s="971">
        <v>179600</v>
      </c>
    </row>
    <row r="855" spans="1:29" customFormat="1" ht="15.75" x14ac:dyDescent="0.25">
      <c r="A855" s="965" t="s">
        <v>4678</v>
      </c>
      <c r="B855" s="962">
        <v>598</v>
      </c>
      <c r="C855" s="521" t="s">
        <v>4753</v>
      </c>
      <c r="D855" s="142" t="s">
        <v>13</v>
      </c>
      <c r="E855" s="963" t="s">
        <v>5230</v>
      </c>
      <c r="F855" s="964">
        <v>45590</v>
      </c>
      <c r="G855" s="964"/>
      <c r="H855" s="1005" t="s">
        <v>677</v>
      </c>
      <c r="I855" s="967" t="str">
        <f>CONCATENATE(Таблица47[[#This Row],[№ заявки в 1С]],Таблица47[[#This Row],[Наименование            ]])</f>
        <v>598[93911] Труба 50*50*2 (Д) 6 м, 6060 Т6</v>
      </c>
      <c r="J85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5" s="522"/>
      <c r="N855" s="968"/>
      <c r="O855" s="1006">
        <f>IFERROR(Таблица47[[#This Row],[Количество хлыстов]]-Таблица47[[#This Row],[Обработано в 1С]]-Таблица47[[#This Row],[Корректировка]],"")</f>
        <v>2</v>
      </c>
      <c r="P855" s="1007">
        <v>73</v>
      </c>
      <c r="Q855" s="963"/>
      <c r="R855" s="969">
        <f>IFERROR(Таблица47[[#This Row],[Коли-
чество м.п.]]/Таблица47[[#This Row],[Количество хлыстов]],"")</f>
        <v>6</v>
      </c>
      <c r="S855" s="961" t="s">
        <v>5730</v>
      </c>
      <c r="T855" s="961">
        <v>12</v>
      </c>
      <c r="U855" s="970">
        <v>2</v>
      </c>
      <c r="V855" s="961">
        <v>0.20399999999999999</v>
      </c>
      <c r="W855" s="961">
        <v>2.98</v>
      </c>
      <c r="X855" s="961">
        <v>2.448</v>
      </c>
      <c r="Y855" s="961">
        <v>35.76</v>
      </c>
      <c r="Z855" s="961">
        <v>0.32</v>
      </c>
      <c r="AA855" s="961">
        <v>141.66999999999999</v>
      </c>
      <c r="AB855" s="961">
        <v>694.44</v>
      </c>
      <c r="AC855" s="971">
        <v>1700</v>
      </c>
    </row>
    <row r="856" spans="1:29" customFormat="1" ht="15.75" x14ac:dyDescent="0.25">
      <c r="A856" s="965" t="s">
        <v>4678</v>
      </c>
      <c r="B856" s="962">
        <v>598</v>
      </c>
      <c r="C856" s="521" t="s">
        <v>4753</v>
      </c>
      <c r="D856" s="142" t="s">
        <v>13</v>
      </c>
      <c r="E856" s="963" t="s">
        <v>5230</v>
      </c>
      <c r="F856" s="964">
        <v>45590</v>
      </c>
      <c r="G856" s="964"/>
      <c r="H856" s="1005" t="s">
        <v>677</v>
      </c>
      <c r="I856" s="967" t="str">
        <f>CONCATENATE(Таблица47[[#This Row],[№ заявки в 1С]],Таблица47[[#This Row],[Наименование            ]])</f>
        <v>598[93913] А153 (Д), профиль,  6м, 6060 Т66</v>
      </c>
      <c r="J85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6" s="522"/>
      <c r="N856" s="968"/>
      <c r="O856" s="1006">
        <f>IFERROR(Таблица47[[#This Row],[Количество хлыстов]]-Таблица47[[#This Row],[Обработано в 1С]]-Таблица47[[#This Row],[Корректировка]],"")</f>
        <v>343</v>
      </c>
      <c r="P856" s="1007"/>
      <c r="Q856" s="963"/>
      <c r="R856" s="969">
        <f>IFERROR(Таблица47[[#This Row],[Коли-
чество м.п.]]/Таблица47[[#This Row],[Количество хлыстов]],"")</f>
        <v>6</v>
      </c>
      <c r="S856" s="961" t="s">
        <v>5731</v>
      </c>
      <c r="T856" s="961">
        <v>2058</v>
      </c>
      <c r="U856" s="970">
        <v>343</v>
      </c>
      <c r="V856" s="961">
        <v>0.17100000000000001</v>
      </c>
      <c r="W856" s="961">
        <v>0.42799999999999999</v>
      </c>
      <c r="X856" s="961">
        <v>351.91800000000001</v>
      </c>
      <c r="Y856" s="961">
        <v>880.82399999999996</v>
      </c>
      <c r="Z856" s="961">
        <v>45.75</v>
      </c>
      <c r="AA856" s="961">
        <v>99.13</v>
      </c>
      <c r="AB856" s="961">
        <v>579.67999999999995</v>
      </c>
      <c r="AC856" s="971">
        <v>204000</v>
      </c>
    </row>
    <row r="857" spans="1:29" customFormat="1" ht="15.75" x14ac:dyDescent="0.25">
      <c r="A857" s="965" t="s">
        <v>4678</v>
      </c>
      <c r="B857" s="962">
        <v>598</v>
      </c>
      <c r="C857" s="521" t="s">
        <v>4753</v>
      </c>
      <c r="D857" s="142" t="s">
        <v>13</v>
      </c>
      <c r="E857" s="963" t="s">
        <v>5230</v>
      </c>
      <c r="F857" s="964">
        <v>45590</v>
      </c>
      <c r="G857" s="964"/>
      <c r="H857" s="1005" t="s">
        <v>677</v>
      </c>
      <c r="I857" s="967" t="str">
        <f>CONCATENATE(Таблица47[[#This Row],[№ заявки в 1С]],Таблица47[[#This Row],[Наименование            ]])</f>
        <v>598[93916] А176 (Д), профиль,  6м, 6060 Т66</v>
      </c>
      <c r="J85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7" s="522"/>
      <c r="N857" s="968"/>
      <c r="O857" s="1006">
        <f>IFERROR(Таблица47[[#This Row],[Количество хлыстов]]-Таблица47[[#This Row],[Обработано в 1С]]-Таблица47[[#This Row],[Корректировка]],"")</f>
        <v>38</v>
      </c>
      <c r="P857" s="1007"/>
      <c r="Q857" s="963"/>
      <c r="R857" s="969">
        <f>IFERROR(Таблица47[[#This Row],[Коли-
чество м.п.]]/Таблица47[[#This Row],[Количество хлыстов]],"")</f>
        <v>6</v>
      </c>
      <c r="S857" s="961" t="s">
        <v>5732</v>
      </c>
      <c r="T857" s="961">
        <v>228</v>
      </c>
      <c r="U857" s="970">
        <v>38</v>
      </c>
      <c r="V857" s="961">
        <v>0.1125</v>
      </c>
      <c r="W857" s="961">
        <v>0.29699999999999999</v>
      </c>
      <c r="X857" s="961">
        <v>25.65</v>
      </c>
      <c r="Y857" s="961">
        <v>67.715999999999994</v>
      </c>
      <c r="Z857" s="961">
        <v>3.33</v>
      </c>
      <c r="AA857" s="961">
        <v>74.56</v>
      </c>
      <c r="AB857" s="961">
        <v>662.77</v>
      </c>
      <c r="AC857" s="971">
        <v>17000</v>
      </c>
    </row>
    <row r="858" spans="1:29" customFormat="1" ht="15.75" x14ac:dyDescent="0.25">
      <c r="A858" s="965" t="s">
        <v>4678</v>
      </c>
      <c r="B858" s="962">
        <v>598</v>
      </c>
      <c r="C858" s="521" t="s">
        <v>4753</v>
      </c>
      <c r="D858" s="142" t="s">
        <v>13</v>
      </c>
      <c r="E858" s="963" t="s">
        <v>5230</v>
      </c>
      <c r="F858" s="964">
        <v>45590</v>
      </c>
      <c r="G858" s="964"/>
      <c r="H858" s="1005" t="s">
        <v>677</v>
      </c>
      <c r="I858" s="967" t="str">
        <f>CONCATENATE(Таблица47[[#This Row],[№ заявки в 1С]],Таблица47[[#This Row],[Наименование            ]])</f>
        <v>598[93918] А18 (Д), профиль,  6м, 6060 Т6</v>
      </c>
      <c r="J85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8" s="522"/>
      <c r="N858" s="968"/>
      <c r="O858" s="1006">
        <f>IFERROR(Таблица47[[#This Row],[Количество хлыстов]]-Таблица47[[#This Row],[Обработано в 1С]]-Таблица47[[#This Row],[Корректировка]],"")</f>
        <v>6</v>
      </c>
      <c r="P858" s="1007"/>
      <c r="Q858" s="963"/>
      <c r="R858" s="969">
        <f>IFERROR(Таблица47[[#This Row],[Коли-
чество м.п.]]/Таблица47[[#This Row],[Количество хлыстов]],"")</f>
        <v>6</v>
      </c>
      <c r="S858" s="961" t="s">
        <v>5733</v>
      </c>
      <c r="T858" s="961">
        <v>36</v>
      </c>
      <c r="U858" s="970">
        <v>6</v>
      </c>
      <c r="V858" s="961">
        <v>0.25509999999999999</v>
      </c>
      <c r="W858" s="961">
        <v>0.61499999999999999</v>
      </c>
      <c r="X858" s="961">
        <v>9.1836000000000002</v>
      </c>
      <c r="Y858" s="961">
        <v>22.14</v>
      </c>
      <c r="Z858" s="961">
        <v>1.19</v>
      </c>
      <c r="AA858" s="961">
        <v>236.11</v>
      </c>
      <c r="AB858" s="961">
        <v>925.56</v>
      </c>
      <c r="AC858" s="971">
        <v>8500</v>
      </c>
    </row>
    <row r="859" spans="1:29" customFormat="1" ht="15.75" x14ac:dyDescent="0.25">
      <c r="A859" s="965" t="s">
        <v>4678</v>
      </c>
      <c r="B859" s="962">
        <v>598</v>
      </c>
      <c r="C859" s="521" t="s">
        <v>4753</v>
      </c>
      <c r="D859" s="142" t="s">
        <v>13</v>
      </c>
      <c r="E859" s="963" t="s">
        <v>5230</v>
      </c>
      <c r="F859" s="964">
        <v>45590</v>
      </c>
      <c r="G859" s="964"/>
      <c r="H859" s="1005" t="s">
        <v>677</v>
      </c>
      <c r="I859" s="967" t="str">
        <f>CONCATENATE(Таблица47[[#This Row],[№ заявки в 1С]],Таблица47[[#This Row],[Наименование            ]])</f>
        <v>598[91475] А24.4 (Д), Профиль, 6м, сплав 6060</v>
      </c>
      <c r="J85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5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5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59" s="522"/>
      <c r="N859" s="968"/>
      <c r="O859" s="1006">
        <f>IFERROR(Таблица47[[#This Row],[Количество хлыстов]]-Таблица47[[#This Row],[Обработано в 1С]]-Таблица47[[#This Row],[Корректировка]],"")</f>
        <v>624</v>
      </c>
      <c r="P859" s="1007"/>
      <c r="Q859" s="963"/>
      <c r="R859" s="969">
        <f>IFERROR(Таблица47[[#This Row],[Коли-
чество м.п.]]/Таблица47[[#This Row],[Количество хлыстов]],"")</f>
        <v>6</v>
      </c>
      <c r="S859" s="961" t="s">
        <v>5272</v>
      </c>
      <c r="T859" s="961">
        <v>3744</v>
      </c>
      <c r="U859" s="970">
        <v>624</v>
      </c>
      <c r="V859" s="961">
        <v>0.23</v>
      </c>
      <c r="W859" s="961">
        <v>0.90500000000000003</v>
      </c>
      <c r="X859" s="961">
        <v>861.12</v>
      </c>
      <c r="Y859" s="961">
        <v>3388.32</v>
      </c>
      <c r="Z859" s="961">
        <v>111.95</v>
      </c>
      <c r="AA859" s="961">
        <v>118.06</v>
      </c>
      <c r="AB859" s="961">
        <v>513.29</v>
      </c>
      <c r="AC859" s="971">
        <v>442000</v>
      </c>
    </row>
    <row r="860" spans="1:29" customFormat="1" ht="15.75" x14ac:dyDescent="0.25">
      <c r="A860" s="965" t="s">
        <v>4678</v>
      </c>
      <c r="B860" s="962">
        <v>598</v>
      </c>
      <c r="C860" s="521" t="s">
        <v>4753</v>
      </c>
      <c r="D860" s="142" t="s">
        <v>13</v>
      </c>
      <c r="E860" s="963" t="s">
        <v>5230</v>
      </c>
      <c r="F860" s="964">
        <v>45590</v>
      </c>
      <c r="G860" s="964"/>
      <c r="H860" s="1005" t="s">
        <v>677</v>
      </c>
      <c r="I860" s="967" t="str">
        <f>CONCATENATE(Таблица47[[#This Row],[№ заявки в 1С]],Таблица47[[#This Row],[Наименование            ]])</f>
        <v>598[92166] А24.5 (Д),  6м, 6060 Т6</v>
      </c>
      <c r="J86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6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6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60" s="522"/>
      <c r="N860" s="968"/>
      <c r="O860" s="1006">
        <f>IFERROR(Таблица47[[#This Row],[Количество хлыстов]]-Таблица47[[#This Row],[Обработано в 1С]]-Таблица47[[#This Row],[Корректировка]],"")</f>
        <v>1</v>
      </c>
      <c r="P860" s="1007"/>
      <c r="Q860" s="963"/>
      <c r="R860" s="969">
        <f>IFERROR(Таблица47[[#This Row],[Коли-
чество м.п.]]/Таблица47[[#This Row],[Количество хлыстов]],"")</f>
        <v>6</v>
      </c>
      <c r="S860" s="961" t="s">
        <v>5277</v>
      </c>
      <c r="T860" s="961">
        <v>6</v>
      </c>
      <c r="U860" s="970">
        <v>1</v>
      </c>
      <c r="V860" s="961">
        <v>0.5</v>
      </c>
      <c r="W860" s="961">
        <v>1.08</v>
      </c>
      <c r="X860" s="961">
        <v>3</v>
      </c>
      <c r="Y860" s="961">
        <v>6.48</v>
      </c>
      <c r="Z860" s="961">
        <v>0.39</v>
      </c>
      <c r="AA860" s="961">
        <v>566.66999999999996</v>
      </c>
      <c r="AB860" s="961">
        <v>1133.33</v>
      </c>
      <c r="AC860" s="971">
        <v>3400</v>
      </c>
    </row>
    <row r="861" spans="1:29" customFormat="1" ht="15.75" x14ac:dyDescent="0.25">
      <c r="A861" s="965" t="s">
        <v>4678</v>
      </c>
      <c r="B861" s="962">
        <v>598</v>
      </c>
      <c r="C861" s="521" t="s">
        <v>4753</v>
      </c>
      <c r="D861" s="142" t="s">
        <v>13</v>
      </c>
      <c r="E861" s="963" t="s">
        <v>5230</v>
      </c>
      <c r="F861" s="964">
        <v>45590</v>
      </c>
      <c r="G861" s="964"/>
      <c r="H861" s="1005" t="s">
        <v>677</v>
      </c>
      <c r="I861" s="967" t="str">
        <f>CONCATENATE(Таблица47[[#This Row],[№ заявки в 1С]],Таблица47[[#This Row],[Наименование            ]])</f>
        <v>598[92044] А28 (Д),  6м, 6060 Т6</v>
      </c>
      <c r="J86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6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6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61" s="522"/>
      <c r="N861" s="968"/>
      <c r="O861" s="1006">
        <f>IFERROR(Таблица47[[#This Row],[Количество хлыстов]]-Таблица47[[#This Row],[Обработано в 1С]]-Таблица47[[#This Row],[Корректировка]],"")</f>
        <v>388</v>
      </c>
      <c r="P861" s="1007"/>
      <c r="Q861" s="963"/>
      <c r="R861" s="969">
        <f>IFERROR(Таблица47[[#This Row],[Коли-
чество м.п.]]/Таблица47[[#This Row],[Количество хлыстов]],"")</f>
        <v>6</v>
      </c>
      <c r="S861" s="961" t="s">
        <v>5231</v>
      </c>
      <c r="T861" s="961">
        <v>2328</v>
      </c>
      <c r="U861" s="970">
        <v>388</v>
      </c>
      <c r="V861" s="961">
        <v>0.27100000000000002</v>
      </c>
      <c r="W861" s="961">
        <v>1.2569999999999999</v>
      </c>
      <c r="X861" s="961">
        <v>630.88800000000003</v>
      </c>
      <c r="Y861" s="961">
        <v>2926.2959999999998</v>
      </c>
      <c r="Z861" s="961">
        <v>82.02</v>
      </c>
      <c r="AA861" s="961">
        <v>146.05000000000001</v>
      </c>
      <c r="AB861" s="961">
        <v>538.91999999999996</v>
      </c>
      <c r="AC861" s="971">
        <v>340000</v>
      </c>
    </row>
    <row r="862" spans="1:29" customFormat="1" ht="15.75" x14ac:dyDescent="0.25">
      <c r="A862" s="965" t="s">
        <v>4678</v>
      </c>
      <c r="B862" s="962">
        <v>598</v>
      </c>
      <c r="C862" s="521" t="s">
        <v>4753</v>
      </c>
      <c r="D862" s="142" t="s">
        <v>13</v>
      </c>
      <c r="E862" s="963" t="s">
        <v>5230</v>
      </c>
      <c r="F862" s="964">
        <v>45590</v>
      </c>
      <c r="G862" s="964"/>
      <c r="H862" s="1005" t="s">
        <v>677</v>
      </c>
      <c r="I862" s="967" t="str">
        <f>CONCATENATE(Таблица47[[#This Row],[№ заявки в 1С]],Таблица47[[#This Row],[Наименование            ]])</f>
        <v>598[93920] А-389 (Д), профиль,  6060 Т6</v>
      </c>
      <c r="J86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6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6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62" s="522"/>
      <c r="N862" s="968"/>
      <c r="O862" s="1006">
        <f>IFERROR(Таблица47[[#This Row],[Количество хлыстов]]-Таблица47[[#This Row],[Обработано в 1С]]-Таблица47[[#This Row],[Корректировка]],"")</f>
        <v>161</v>
      </c>
      <c r="P862" s="1007"/>
      <c r="Q862" s="963"/>
      <c r="R862" s="969">
        <f>IFERROR(Таблица47[[#This Row],[Коли-
чество м.п.]]/Таблица47[[#This Row],[Количество хлыстов]],"")</f>
        <v>6</v>
      </c>
      <c r="S862" s="961" t="s">
        <v>5734</v>
      </c>
      <c r="T862" s="961">
        <v>966</v>
      </c>
      <c r="U862" s="970">
        <v>161</v>
      </c>
      <c r="V862" s="961">
        <v>0.27300000000000002</v>
      </c>
      <c r="W862" s="961">
        <v>0.93899999999999995</v>
      </c>
      <c r="X862" s="961">
        <v>263.71800000000002</v>
      </c>
      <c r="Y862" s="961">
        <v>907.07399999999996</v>
      </c>
      <c r="Z862" s="961">
        <v>34.28</v>
      </c>
      <c r="AA862" s="961">
        <v>158.38999999999999</v>
      </c>
      <c r="AB862" s="961">
        <v>580.16999999999996</v>
      </c>
      <c r="AC862" s="971">
        <v>153000</v>
      </c>
    </row>
    <row r="863" spans="1:29" customFormat="1" ht="15.75" x14ac:dyDescent="0.25">
      <c r="A863" s="965" t="s">
        <v>4678</v>
      </c>
      <c r="B863" s="962">
        <v>598</v>
      </c>
      <c r="C863" s="521" t="s">
        <v>4753</v>
      </c>
      <c r="D863" s="142" t="s">
        <v>13</v>
      </c>
      <c r="E863" s="963" t="s">
        <v>5230</v>
      </c>
      <c r="F863" s="964">
        <v>45590</v>
      </c>
      <c r="G863" s="964"/>
      <c r="H863" s="1005" t="s">
        <v>677</v>
      </c>
      <c r="I863" s="967" t="str">
        <f>CONCATENATE(Таблица47[[#This Row],[№ заявки в 1С]],Таблица47[[#This Row],[Наименование            ]])</f>
        <v>598[93923] А 47.1 (Д), профиль,  6м, 6060 Т66</v>
      </c>
      <c r="J86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6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6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63" s="522"/>
      <c r="N863" s="968"/>
      <c r="O863" s="1006">
        <f>IFERROR(Таблица47[[#This Row],[Количество хлыстов]]-Таблица47[[#This Row],[Обработано в 1С]]-Таблица47[[#This Row],[Корректировка]],"")</f>
        <v>102</v>
      </c>
      <c r="P863" s="1007"/>
      <c r="Q863" s="963"/>
      <c r="R863" s="969">
        <f>IFERROR(Таблица47[[#This Row],[Коли-
чество м.п.]]/Таблица47[[#This Row],[Количество хлыстов]],"")</f>
        <v>6</v>
      </c>
      <c r="S863" s="961" t="s">
        <v>5735</v>
      </c>
      <c r="T863" s="961">
        <v>612</v>
      </c>
      <c r="U863" s="970">
        <v>102</v>
      </c>
      <c r="V863" s="961">
        <v>0.18390000000000001</v>
      </c>
      <c r="W863" s="961">
        <v>0.42</v>
      </c>
      <c r="X863" s="961">
        <v>112.5468</v>
      </c>
      <c r="Y863" s="961">
        <v>257.04000000000002</v>
      </c>
      <c r="Z863" s="961">
        <v>14.63</v>
      </c>
      <c r="AA863" s="961">
        <v>111.11</v>
      </c>
      <c r="AB863" s="961">
        <v>604.19000000000005</v>
      </c>
      <c r="AC863" s="971">
        <v>68000</v>
      </c>
    </row>
    <row r="864" spans="1:29" customFormat="1" ht="15.75" x14ac:dyDescent="0.25">
      <c r="A864" s="965" t="s">
        <v>4678</v>
      </c>
      <c r="B864" s="962">
        <v>598</v>
      </c>
      <c r="C864" s="521" t="s">
        <v>4753</v>
      </c>
      <c r="D864" s="142" t="s">
        <v>13</v>
      </c>
      <c r="E864" s="963" t="s">
        <v>5230</v>
      </c>
      <c r="F864" s="964">
        <v>45590</v>
      </c>
      <c r="G864" s="964"/>
      <c r="H864" s="1005" t="s">
        <v>677</v>
      </c>
      <c r="I864" s="967" t="str">
        <f>CONCATENATE(Таблица47[[#This Row],[№ заявки в 1С]],Таблица47[[#This Row],[Наименование            ]])</f>
        <v>598[93928] А 76 (Д), профиль,  6м, 6060 Т66</v>
      </c>
      <c r="J86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6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86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864" s="522"/>
      <c r="N864" s="968"/>
      <c r="O864" s="1006">
        <f>IFERROR(Таблица47[[#This Row],[Количество хлыстов]]-Таблица47[[#This Row],[Обработано в 1С]]-Таблица47[[#This Row],[Корректировка]],"")</f>
        <v>4</v>
      </c>
      <c r="P864" s="1007"/>
      <c r="Q864" s="963"/>
      <c r="R864" s="969">
        <f>IFERROR(Таблица47[[#This Row],[Коли-
чество м.п.]]/Таблица47[[#This Row],[Количество хлыстов]],"")</f>
        <v>6</v>
      </c>
      <c r="S864" s="961" t="s">
        <v>5736</v>
      </c>
      <c r="T864" s="961">
        <v>24</v>
      </c>
      <c r="U864" s="970">
        <v>4</v>
      </c>
      <c r="V864" s="961">
        <v>0.27400000000000002</v>
      </c>
      <c r="W864" s="961">
        <v>0.66300000000000003</v>
      </c>
      <c r="X864" s="961">
        <v>6.5759999999999996</v>
      </c>
      <c r="Y864" s="961">
        <v>15.912000000000001</v>
      </c>
      <c r="Z864" s="961">
        <v>0.85</v>
      </c>
      <c r="AA864" s="961">
        <v>141.66999999999999</v>
      </c>
      <c r="AB864" s="961">
        <v>517.03</v>
      </c>
      <c r="AC864" s="971">
        <v>3400</v>
      </c>
    </row>
    <row r="865" spans="1:29" customFormat="1" ht="15.75" x14ac:dyDescent="0.25">
      <c r="A865" s="965" t="s">
        <v>4678</v>
      </c>
      <c r="B865" s="962">
        <v>600</v>
      </c>
      <c r="C865" s="962" t="s">
        <v>4753</v>
      </c>
      <c r="D865" s="963" t="s">
        <v>13</v>
      </c>
      <c r="E865" s="963" t="s">
        <v>30</v>
      </c>
      <c r="F865" s="964">
        <v>45593</v>
      </c>
      <c r="G865" s="964"/>
      <c r="H86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65" s="967" t="str">
        <f>CONCATENATE(Таблица47[[#This Row],[№ заявки в 1С]],Таблица47[[#This Row],[Наименование            ]])</f>
        <v>600[91589] Полоса Амг3 2305*912*1,5 Д,</v>
      </c>
      <c r="J865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65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65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65" s="522"/>
      <c r="N865" s="968">
        <v>16</v>
      </c>
      <c r="O865" s="1006" t="str">
        <f>IFERROR(Таблица47[[#This Row],[Количество хлыстов]]-Таблица47[[#This Row],[Обработано в 1С]]-Таблица47[[#This Row],[Корректировка]],"")</f>
        <v/>
      </c>
      <c r="P865" s="1007">
        <v>14</v>
      </c>
      <c r="Q865" s="963" t="s">
        <v>5834</v>
      </c>
      <c r="R865" s="969">
        <f>IFERROR(Таблица47[[#This Row],[Коли-
чество м.п.]]/Таблица47[[#This Row],[Количество хлыстов]],"")</f>
        <v>1</v>
      </c>
      <c r="S865" s="961" t="s">
        <v>5194</v>
      </c>
      <c r="T865" s="961">
        <v>16</v>
      </c>
      <c r="U865" s="970">
        <v>16</v>
      </c>
      <c r="V865" s="961">
        <v>4.21</v>
      </c>
      <c r="W865" s="961">
        <v>8.4190000000000005</v>
      </c>
      <c r="X865" s="961">
        <v>67.36</v>
      </c>
      <c r="Y865" s="961">
        <v>134.70400000000001</v>
      </c>
      <c r="Z865" s="961">
        <v>8.76</v>
      </c>
      <c r="AA865" s="961">
        <v>6222.5</v>
      </c>
      <c r="AB865" s="961">
        <v>1478.03</v>
      </c>
      <c r="AC865" s="971">
        <v>99560</v>
      </c>
    </row>
    <row r="866" spans="1:29" customFormat="1" ht="15.75" x14ac:dyDescent="0.25">
      <c r="A866" s="965" t="s">
        <v>4678</v>
      </c>
      <c r="B866" s="962">
        <v>600</v>
      </c>
      <c r="C866" s="962" t="s">
        <v>4753</v>
      </c>
      <c r="D866" s="963" t="s">
        <v>13</v>
      </c>
      <c r="E866" s="963" t="s">
        <v>30</v>
      </c>
      <c r="F866" s="964">
        <v>45593</v>
      </c>
      <c r="G866" s="964"/>
      <c r="H86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66" s="967" t="str">
        <f>CONCATENATE(Таблица47[[#This Row],[№ заявки в 1С]],Таблица47[[#This Row],[Наименование            ]])</f>
        <v>600[91587] Полоса Амг3 2069,5*1154,5*1,5 Д</v>
      </c>
      <c r="J866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66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66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66" s="522"/>
      <c r="N866" s="968">
        <v>16</v>
      </c>
      <c r="O866" s="1006" t="str">
        <f>IFERROR(Таблица47[[#This Row],[Количество хлыстов]]-Таблица47[[#This Row],[Обработано в 1С]]-Таблица47[[#This Row],[Корректировка]],"")</f>
        <v/>
      </c>
      <c r="P866" s="1007" t="str">
        <f>IFERROR((((Таблица47[[#This Row],[Осталось сделать, хлыст]]*Таблица47[[#This Row],[длина]])*Таблица47[[#This Row],[Периметр]])/28),"")</f>
        <v/>
      </c>
      <c r="Q866" s="963"/>
      <c r="R866" s="969">
        <f>IFERROR(Таблица47[[#This Row],[Коли-
чество м.п.]]/Таблица47[[#This Row],[Количество хлыстов]],"")</f>
        <v>1</v>
      </c>
      <c r="S866" s="961" t="s">
        <v>5195</v>
      </c>
      <c r="T866" s="961">
        <v>16</v>
      </c>
      <c r="U866" s="970">
        <v>16</v>
      </c>
      <c r="V866" s="961">
        <v>4.78</v>
      </c>
      <c r="W866" s="961">
        <v>9.5649999999999995</v>
      </c>
      <c r="X866" s="961">
        <v>76.48</v>
      </c>
      <c r="Y866" s="961">
        <v>153.04</v>
      </c>
      <c r="Z866" s="961">
        <v>9.94</v>
      </c>
      <c r="AA866" s="961">
        <v>6222.5</v>
      </c>
      <c r="AB866" s="961">
        <v>1301.78</v>
      </c>
      <c r="AC866" s="971">
        <v>99560</v>
      </c>
    </row>
    <row r="867" spans="1:29" customFormat="1" ht="15.75" x14ac:dyDescent="0.25">
      <c r="A867" s="965" t="s">
        <v>4678</v>
      </c>
      <c r="B867" s="962">
        <v>600</v>
      </c>
      <c r="C867" s="962" t="s">
        <v>4753</v>
      </c>
      <c r="D867" s="963" t="s">
        <v>13</v>
      </c>
      <c r="E867" s="963" t="s">
        <v>30</v>
      </c>
      <c r="F867" s="964">
        <v>45593</v>
      </c>
      <c r="G867" s="964"/>
      <c r="H86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67" s="967" t="str">
        <f>CONCATENATE(Таблица47[[#This Row],[№ заявки в 1С]],Таблица47[[#This Row],[Наименование            ]])</f>
        <v>600[91586] Полоса Амг3 1330*1152*1,5 Д,</v>
      </c>
      <c r="J867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67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67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67" s="522"/>
      <c r="N867" s="968">
        <v>16</v>
      </c>
      <c r="O867" s="1006" t="str">
        <f>IFERROR(Таблица47[[#This Row],[Количество хлыстов]]-Таблица47[[#This Row],[Обработано в 1С]]-Таблица47[[#This Row],[Корректировка]],"")</f>
        <v/>
      </c>
      <c r="P867" s="1007" t="str">
        <f>IFERROR((((Таблица47[[#This Row],[Осталось сделать, хлыст]]*Таблица47[[#This Row],[длина]])*Таблица47[[#This Row],[Периметр]])/28),"")</f>
        <v/>
      </c>
      <c r="Q867" s="963"/>
      <c r="R867" s="969">
        <f>IFERROR(Таблица47[[#This Row],[Коли-
чество м.п.]]/Таблица47[[#This Row],[Количество хлыстов]],"")</f>
        <v>1</v>
      </c>
      <c r="S867" s="961" t="s">
        <v>5196</v>
      </c>
      <c r="T867" s="961">
        <v>16</v>
      </c>
      <c r="U867" s="970">
        <v>16</v>
      </c>
      <c r="V867" s="961">
        <v>3.07</v>
      </c>
      <c r="W867" s="961">
        <v>6.1360000000000001</v>
      </c>
      <c r="X867" s="961">
        <v>49.12</v>
      </c>
      <c r="Y867" s="961">
        <v>98.176000000000002</v>
      </c>
      <c r="Z867" s="961">
        <v>6.39</v>
      </c>
      <c r="AA867" s="961">
        <v>4760</v>
      </c>
      <c r="AB867" s="961">
        <v>1550.49</v>
      </c>
      <c r="AC867" s="971">
        <v>76160</v>
      </c>
    </row>
    <row r="868" spans="1:29" customFormat="1" ht="15.75" x14ac:dyDescent="0.25">
      <c r="A868" s="965" t="s">
        <v>4678</v>
      </c>
      <c r="B868" s="962">
        <v>600</v>
      </c>
      <c r="C868" s="962" t="s">
        <v>4753</v>
      </c>
      <c r="D868" s="963" t="s">
        <v>13</v>
      </c>
      <c r="E868" s="963" t="s">
        <v>30</v>
      </c>
      <c r="F868" s="964">
        <v>45593</v>
      </c>
      <c r="G868" s="964"/>
      <c r="H86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68" s="967" t="str">
        <f>CONCATENATE(Таблица47[[#This Row],[№ заявки в 1С]],Таблица47[[#This Row],[Наименование            ]])</f>
        <v>600[91588] Полоса Амг3 1089*912*1,5 Д</v>
      </c>
      <c r="J868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68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68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68" s="522"/>
      <c r="N868" s="968">
        <v>16</v>
      </c>
      <c r="O868" s="1006" t="str">
        <f>IFERROR(Таблица47[[#This Row],[Количество хлыстов]]-Таблица47[[#This Row],[Обработано в 1С]]-Таблица47[[#This Row],[Корректировка]],"")</f>
        <v/>
      </c>
      <c r="P868" s="1007" t="str">
        <f>IFERROR((((Таблица47[[#This Row],[Осталось сделать, хлыст]]*Таблица47[[#This Row],[длина]])*Таблица47[[#This Row],[Периметр]])/28),"")</f>
        <v/>
      </c>
      <c r="Q868" s="963"/>
      <c r="R868" s="969">
        <f>IFERROR(Таблица47[[#This Row],[Коли-
чество м.п.]]/Таблица47[[#This Row],[Количество хлыстов]],"")</f>
        <v>1</v>
      </c>
      <c r="S868" s="961" t="s">
        <v>5197</v>
      </c>
      <c r="T868" s="961">
        <v>16</v>
      </c>
      <c r="U868" s="970">
        <v>16</v>
      </c>
      <c r="V868" s="961">
        <v>2</v>
      </c>
      <c r="W868" s="961">
        <v>3.9780000000000002</v>
      </c>
      <c r="X868" s="961">
        <v>32</v>
      </c>
      <c r="Y868" s="961">
        <v>63.648000000000003</v>
      </c>
      <c r="Z868" s="961">
        <v>4.16</v>
      </c>
      <c r="AA868" s="961">
        <v>3297.5</v>
      </c>
      <c r="AB868" s="961">
        <v>1648.75</v>
      </c>
      <c r="AC868" s="971">
        <v>52760</v>
      </c>
    </row>
    <row r="869" spans="1:29" customFormat="1" ht="15.75" x14ac:dyDescent="0.25">
      <c r="A869" s="965" t="s">
        <v>4678</v>
      </c>
      <c r="B869" s="962">
        <v>600</v>
      </c>
      <c r="C869" s="962" t="s">
        <v>4753</v>
      </c>
      <c r="D869" s="963" t="s">
        <v>13</v>
      </c>
      <c r="E869" s="963" t="s">
        <v>30</v>
      </c>
      <c r="F869" s="964">
        <v>45593</v>
      </c>
      <c r="G869" s="964"/>
      <c r="H86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69" s="967" t="str">
        <f>CONCATENATE(Таблица47[[#This Row],[№ заявки в 1С]],Таблица47[[#This Row],[Наименование            ]])</f>
        <v>600[91590] Полоса Амг3 996*618*1,5 Д</v>
      </c>
      <c r="J869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69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69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69" s="522"/>
      <c r="N869" s="968">
        <v>16</v>
      </c>
      <c r="O869" s="1006" t="str">
        <f>IFERROR(Таблица47[[#This Row],[Количество хлыстов]]-Таблица47[[#This Row],[Обработано в 1С]]-Таблица47[[#This Row],[Корректировка]],"")</f>
        <v/>
      </c>
      <c r="P869" s="1007" t="str">
        <f>IFERROR((((Таблица47[[#This Row],[Осталось сделать, хлыст]]*Таблица47[[#This Row],[длина]])*Таблица47[[#This Row],[Периметр]])/28),"")</f>
        <v/>
      </c>
      <c r="Q869" s="963"/>
      <c r="R869" s="969">
        <f>IFERROR(Таблица47[[#This Row],[Коли-
чество м.п.]]/Таблица47[[#This Row],[Количество хлыстов]],"")</f>
        <v>1</v>
      </c>
      <c r="S869" s="961" t="s">
        <v>5198</v>
      </c>
      <c r="T869" s="961">
        <v>16</v>
      </c>
      <c r="U869" s="970">
        <v>16</v>
      </c>
      <c r="V869" s="961">
        <v>1.24</v>
      </c>
      <c r="W869" s="961">
        <v>2.46</v>
      </c>
      <c r="X869" s="961">
        <v>19.84</v>
      </c>
      <c r="Y869" s="961">
        <v>39.36</v>
      </c>
      <c r="Z869" s="961">
        <v>2.58</v>
      </c>
      <c r="AA869" s="961">
        <v>1835</v>
      </c>
      <c r="AB869" s="961">
        <v>1479.84</v>
      </c>
      <c r="AC869" s="971">
        <v>29360</v>
      </c>
    </row>
    <row r="870" spans="1:29" customFormat="1" ht="15.75" x14ac:dyDescent="0.25">
      <c r="A870" s="965" t="s">
        <v>4678</v>
      </c>
      <c r="B870" s="962">
        <v>601</v>
      </c>
      <c r="C870" s="962"/>
      <c r="D870" s="963" t="s">
        <v>34</v>
      </c>
      <c r="E870" s="963" t="s">
        <v>201</v>
      </c>
      <c r="F870" s="964">
        <v>45593</v>
      </c>
      <c r="G870" s="964"/>
      <c r="H87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0" s="967" t="str">
        <f>CONCATENATE(Таблица47[[#This Row],[№ заявки в 1С]],Таблица47[[#This Row],[Наименование            ]])</f>
        <v>601[52379] 0906-65, 6,0м, БА сплав 6063КР Д</v>
      </c>
      <c r="J87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315</v>
      </c>
      <c r="K87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315</v>
      </c>
      <c r="L87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313</v>
      </c>
      <c r="M870" s="522">
        <v>2</v>
      </c>
      <c r="N870" s="968">
        <v>313</v>
      </c>
      <c r="O870" s="1006">
        <f>IFERROR(Таблица47[[#This Row],[Количество хлыстов]]-Таблица47[[#This Row],[Обработано в 1С]]-Таблица47[[#This Row],[Корректировка]],"")</f>
        <v>0</v>
      </c>
      <c r="P870" s="1007">
        <f>IFERROR((((Таблица47[[#This Row],[Осталось сделать, хлыст]]*Таблица47[[#This Row],[длина]])*Таблица47[[#This Row],[Периметр]])/28),"")</f>
        <v>0</v>
      </c>
      <c r="Q870" s="963" t="s">
        <v>5686</v>
      </c>
      <c r="R870" s="969">
        <f>IFERROR(Таблица47[[#This Row],[Коли-
чество м.п.]]/Таблица47[[#This Row],[Количество хлыстов]],"")</f>
        <v>6</v>
      </c>
      <c r="S870" s="961" t="s">
        <v>3403</v>
      </c>
      <c r="T870" s="961">
        <v>1890</v>
      </c>
      <c r="U870" s="970">
        <v>315</v>
      </c>
      <c r="V870" s="961">
        <v>0.15909999999999999</v>
      </c>
      <c r="W870" s="961">
        <v>0.26100000000000001</v>
      </c>
      <c r="X870" s="961">
        <v>300.69900000000001</v>
      </c>
      <c r="Y870" s="961">
        <v>493.29</v>
      </c>
      <c r="Z870" s="961">
        <v>39.090000000000003</v>
      </c>
      <c r="AA870" s="961">
        <v>72.39</v>
      </c>
      <c r="AB870" s="961">
        <v>455</v>
      </c>
      <c r="AC870" s="971">
        <v>136818.04999999999</v>
      </c>
    </row>
    <row r="871" spans="1:29" customFormat="1" ht="15.75" x14ac:dyDescent="0.25">
      <c r="A871" s="965" t="s">
        <v>4678</v>
      </c>
      <c r="B871" s="962">
        <v>602</v>
      </c>
      <c r="C871" s="962"/>
      <c r="D871" s="963" t="s">
        <v>34</v>
      </c>
      <c r="E871" s="963" t="s">
        <v>328</v>
      </c>
      <c r="F871" s="964">
        <v>45593</v>
      </c>
      <c r="G871" s="964"/>
      <c r="H87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1" s="967" t="str">
        <f>CONCATENATE(Таблица47[[#This Row],[№ заявки в 1С]],Таблица47[[#This Row],[Наименование            ]])</f>
        <v>602[70484] 1506-77 (АА-2050-85), 6,0м, 6063 Т6, упаковка Т-5, без покрытия</v>
      </c>
      <c r="J87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258</v>
      </c>
      <c r="K87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258</v>
      </c>
      <c r="L87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250</v>
      </c>
      <c r="M871" s="522">
        <f>1+7</f>
        <v>8</v>
      </c>
      <c r="N871" s="968">
        <v>250</v>
      </c>
      <c r="O871" s="1006">
        <f>IFERROR(Таблица47[[#This Row],[Количество хлыстов]]-Таблица47[[#This Row],[Обработано в 1С]]-Таблица47[[#This Row],[Корректировка]],"")</f>
        <v>0</v>
      </c>
      <c r="P871" s="1007">
        <f>IFERROR((((Таблица47[[#This Row],[Осталось сделать, хлыст]]*Таблица47[[#This Row],[длина]])*Таблица47[[#This Row],[Периметр]])/28),"")</f>
        <v>0</v>
      </c>
      <c r="Q871" s="963" t="s">
        <v>5861</v>
      </c>
      <c r="R871" s="969">
        <f>IFERROR(Таблица47[[#This Row],[Коли-
чество м.п.]]/Таблица47[[#This Row],[Количество хлыстов]],"")</f>
        <v>6</v>
      </c>
      <c r="S871" s="961" t="s">
        <v>4813</v>
      </c>
      <c r="T871" s="961">
        <v>1548</v>
      </c>
      <c r="U871" s="970">
        <v>258</v>
      </c>
      <c r="V871" s="961">
        <v>0.30919999999999997</v>
      </c>
      <c r="W871" s="961">
        <v>1.101</v>
      </c>
      <c r="X871" s="961">
        <v>478.64159999999998</v>
      </c>
      <c r="Y871" s="961">
        <v>1704.348</v>
      </c>
      <c r="Z871" s="961">
        <v>62.22</v>
      </c>
      <c r="AA871" s="961">
        <v>140.69</v>
      </c>
      <c r="AB871" s="961">
        <v>455</v>
      </c>
      <c r="AC871" s="971">
        <v>217781.93</v>
      </c>
    </row>
    <row r="872" spans="1:29" customFormat="1" ht="15.75" x14ac:dyDescent="0.25">
      <c r="A872" s="965" t="s">
        <v>4678</v>
      </c>
      <c r="B872" s="962">
        <v>603</v>
      </c>
      <c r="C872" s="962"/>
      <c r="D872" s="963" t="s">
        <v>34</v>
      </c>
      <c r="E872" s="963" t="s">
        <v>3404</v>
      </c>
      <c r="F872" s="964">
        <v>45593</v>
      </c>
      <c r="G872" s="964"/>
      <c r="H87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2" s="967" t="str">
        <f>CONCATENATE(Таблица47[[#This Row],[№ заявки в 1С]],Таблица47[[#This Row],[Наименование            ]])</f>
        <v>603[81578] 1706-68, 6,0м, 6063 Т1, упаковка Т-5, БА</v>
      </c>
      <c r="J87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322</v>
      </c>
      <c r="K87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322</v>
      </c>
      <c r="L87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322</v>
      </c>
      <c r="M872" s="522"/>
      <c r="N872" s="968">
        <v>322</v>
      </c>
      <c r="O872" s="1006">
        <f>IFERROR(Таблица47[[#This Row],[Количество хлыстов]]-Таблица47[[#This Row],[Обработано в 1С]]-Таблица47[[#This Row],[Корректировка]],"")</f>
        <v>0</v>
      </c>
      <c r="P872" s="1007">
        <f>IFERROR((((Таблица47[[#This Row],[Осталось сделать, хлыст]]*Таблица47[[#This Row],[длина]])*Таблица47[[#This Row],[Периметр]])/28),"")</f>
        <v>0</v>
      </c>
      <c r="Q872" s="963"/>
      <c r="R872" s="969">
        <f>IFERROR(Таблица47[[#This Row],[Коли-
чество м.п.]]/Таблица47[[#This Row],[Количество хлыстов]],"")</f>
        <v>6</v>
      </c>
      <c r="S872" s="961" t="s">
        <v>4582</v>
      </c>
      <c r="T872" s="961">
        <v>1932</v>
      </c>
      <c r="U872" s="970">
        <v>322</v>
      </c>
      <c r="V872" s="961">
        <v>0.10100000000000001</v>
      </c>
      <c r="W872" s="961">
        <v>0.30599999999999999</v>
      </c>
      <c r="X872" s="961">
        <v>195.13200000000001</v>
      </c>
      <c r="Y872" s="961">
        <v>591.19200000000001</v>
      </c>
      <c r="Z872" s="961">
        <v>25.37</v>
      </c>
      <c r="AA872" s="961">
        <v>39.9</v>
      </c>
      <c r="AB872" s="961">
        <v>395</v>
      </c>
      <c r="AC872" s="971">
        <v>77077.14</v>
      </c>
    </row>
    <row r="873" spans="1:29" customFormat="1" ht="15.75" x14ac:dyDescent="0.25">
      <c r="A873" s="965" t="s">
        <v>4678</v>
      </c>
      <c r="B873" s="962">
        <v>603</v>
      </c>
      <c r="C873" s="962"/>
      <c r="D873" s="963" t="s">
        <v>34</v>
      </c>
      <c r="E873" s="963" t="s">
        <v>3404</v>
      </c>
      <c r="F873" s="964">
        <v>45593</v>
      </c>
      <c r="G873" s="964"/>
      <c r="H87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3" s="967" t="str">
        <f>CONCATENATE(Таблица47[[#This Row],[№ заявки в 1С]],Таблица47[[#This Row],[Наименование            ]])</f>
        <v>603[81579] 1706-69, 6,0м, 6063 Т6, упаковка Т-5, БА</v>
      </c>
      <c r="J87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284</v>
      </c>
      <c r="K87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284</v>
      </c>
      <c r="L87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284</v>
      </c>
      <c r="M873" s="522"/>
      <c r="N873" s="968">
        <v>284</v>
      </c>
      <c r="O873" s="1006">
        <f>IFERROR(Таблица47[[#This Row],[Количество хлыстов]]-Таблица47[[#This Row],[Обработано в 1С]]-Таблица47[[#This Row],[Корректировка]],"")</f>
        <v>0</v>
      </c>
      <c r="P873" s="1007">
        <f>IFERROR((((Таблица47[[#This Row],[Осталось сделать, хлыст]]*Таблица47[[#This Row],[длина]])*Таблица47[[#This Row],[Периметр]])/28),"")</f>
        <v>0</v>
      </c>
      <c r="Q873" s="963"/>
      <c r="R873" s="969">
        <f>IFERROR(Таблица47[[#This Row],[Коли-
чество м.п.]]/Таблица47[[#This Row],[Количество хлыстов]],"")</f>
        <v>6</v>
      </c>
      <c r="S873" s="961" t="s">
        <v>4994</v>
      </c>
      <c r="T873" s="961">
        <v>1704</v>
      </c>
      <c r="U873" s="970">
        <v>284</v>
      </c>
      <c r="V873" s="961">
        <v>0.21959999999999999</v>
      </c>
      <c r="W873" s="961">
        <v>0.35</v>
      </c>
      <c r="X873" s="961">
        <v>374.19839999999999</v>
      </c>
      <c r="Y873" s="961">
        <v>596.4</v>
      </c>
      <c r="Z873" s="961">
        <v>48.65</v>
      </c>
      <c r="AA873" s="961">
        <v>86.74</v>
      </c>
      <c r="AB873" s="961">
        <v>395</v>
      </c>
      <c r="AC873" s="971">
        <v>147808.37</v>
      </c>
    </row>
    <row r="874" spans="1:29" customFormat="1" ht="15.75" x14ac:dyDescent="0.25">
      <c r="A874" s="965" t="s">
        <v>4678</v>
      </c>
      <c r="B874" s="962">
        <v>603</v>
      </c>
      <c r="C874" s="962"/>
      <c r="D874" s="963" t="s">
        <v>34</v>
      </c>
      <c r="E874" s="963" t="s">
        <v>3404</v>
      </c>
      <c r="F874" s="964">
        <v>45593</v>
      </c>
      <c r="G874" s="964"/>
      <c r="H87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4" s="967" t="str">
        <f>CONCATENATE(Таблица47[[#This Row],[№ заявки в 1С]],Таблица47[[#This Row],[Наименование            ]])</f>
        <v>603[89968] 2606-57, 6,0м, 6063 Т6, уп.Т5, БА</v>
      </c>
      <c r="J87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239</v>
      </c>
      <c r="K87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239</v>
      </c>
      <c r="L87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239</v>
      </c>
      <c r="M874" s="522"/>
      <c r="N874" s="968">
        <v>239</v>
      </c>
      <c r="O874" s="1006">
        <f>IFERROR(Таблица47[[#This Row],[Количество хлыстов]]-Таблица47[[#This Row],[Обработано в 1С]]-Таблица47[[#This Row],[Корректировка]],"")</f>
        <v>0</v>
      </c>
      <c r="P874" s="1007">
        <f>IFERROR((((Таблица47[[#This Row],[Осталось сделать, хлыст]]*Таблица47[[#This Row],[длина]])*Таблица47[[#This Row],[Периметр]])/28),"")</f>
        <v>0</v>
      </c>
      <c r="Q874" s="963"/>
      <c r="R874" s="969">
        <f>IFERROR(Таблица47[[#This Row],[Коли-
чество м.п.]]/Таблица47[[#This Row],[Количество хлыстов]],"")</f>
        <v>6</v>
      </c>
      <c r="S874" s="961" t="s">
        <v>5003</v>
      </c>
      <c r="T874" s="961">
        <v>1434</v>
      </c>
      <c r="U874" s="970">
        <v>239</v>
      </c>
      <c r="V874" s="961">
        <v>0.27439999999999998</v>
      </c>
      <c r="W874" s="961">
        <v>0.56100000000000005</v>
      </c>
      <c r="X874" s="961">
        <v>393.4896</v>
      </c>
      <c r="Y874" s="961">
        <v>804.47400000000005</v>
      </c>
      <c r="Z874" s="961">
        <v>51.15</v>
      </c>
      <c r="AA874" s="961">
        <v>108.39</v>
      </c>
      <c r="AB874" s="961">
        <v>395</v>
      </c>
      <c r="AC874" s="971">
        <v>155428.39000000001</v>
      </c>
    </row>
    <row r="875" spans="1:29" customFormat="1" ht="15.75" x14ac:dyDescent="0.25">
      <c r="A875" s="965" t="s">
        <v>4678</v>
      </c>
      <c r="B875" s="962">
        <v>604</v>
      </c>
      <c r="C875" s="962" t="s">
        <v>4753</v>
      </c>
      <c r="D875" s="963" t="s">
        <v>13</v>
      </c>
      <c r="E875" s="963" t="s">
        <v>30</v>
      </c>
      <c r="F875" s="964">
        <v>45593</v>
      </c>
      <c r="G875" s="964"/>
      <c r="H87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5" s="967" t="str">
        <f>CONCATENATE(Таблица47[[#This Row],[№ заявки в 1С]],Таблица47[[#This Row],[Наименование            ]])</f>
        <v>604[89956] ПКФ (177 5050 Д L=1100 АД31Т1</v>
      </c>
      <c r="J875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875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875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875" s="522"/>
      <c r="N875" s="968">
        <v>32</v>
      </c>
      <c r="O875" s="1006" t="str">
        <f>IFERROR(Таблица47[[#This Row],[Количество хлыстов]]-Таблица47[[#This Row],[Обработано в 1С]]-Таблица47[[#This Row],[Корректировка]],"")</f>
        <v/>
      </c>
      <c r="P875" s="1007">
        <v>3</v>
      </c>
      <c r="Q875" s="963" t="s">
        <v>5836</v>
      </c>
      <c r="R875" s="969">
        <f>IFERROR(Таблица47[[#This Row],[Коли-
чество м.п.]]/Таблица47[[#This Row],[Количество хлыстов]],"")</f>
        <v>1</v>
      </c>
      <c r="S875" s="961" t="s">
        <v>5140</v>
      </c>
      <c r="T875" s="961">
        <v>32</v>
      </c>
      <c r="U875" s="970">
        <v>32</v>
      </c>
      <c r="V875" s="961">
        <v>0.17249999999999999</v>
      </c>
      <c r="W875" s="961">
        <v>0.81499999999999995</v>
      </c>
      <c r="X875" s="961">
        <v>5.52</v>
      </c>
      <c r="Y875" s="961">
        <v>26.08</v>
      </c>
      <c r="Z875" s="961">
        <v>0.72</v>
      </c>
      <c r="AA875" s="961">
        <v>337.5</v>
      </c>
      <c r="AB875" s="961">
        <v>1956.52</v>
      </c>
      <c r="AC875" s="971">
        <v>10800</v>
      </c>
    </row>
    <row r="876" spans="1:29" customFormat="1" ht="15.75" x14ac:dyDescent="0.25">
      <c r="A876" s="965" t="s">
        <v>4678</v>
      </c>
      <c r="B876" s="962">
        <v>604</v>
      </c>
      <c r="C876" s="962" t="s">
        <v>4753</v>
      </c>
      <c r="D876" s="963" t="s">
        <v>13</v>
      </c>
      <c r="E876" s="963" t="s">
        <v>30</v>
      </c>
      <c r="F876" s="964">
        <v>45593</v>
      </c>
      <c r="G876" s="964"/>
      <c r="H87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6" s="967" t="str">
        <f>CONCATENATE(Таблица47[[#This Row],[№ заявки в 1С]],Таблица47[[#This Row],[Наименование            ]])</f>
        <v>604[89957] ПКФ (176) 5033 Д L=1100 АД31Т1</v>
      </c>
      <c r="J87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</v>
      </c>
      <c r="K87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</v>
      </c>
      <c r="L87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</v>
      </c>
      <c r="M876" s="522"/>
      <c r="N876" s="968">
        <v>32</v>
      </c>
      <c r="O876" s="1006">
        <f>IFERROR(Таблица47[[#This Row],[Количество хлыстов]]-Таблица47[[#This Row],[Обработано в 1С]]-Таблица47[[#This Row],[Корректировка]],"")</f>
        <v>0</v>
      </c>
      <c r="P876" s="1007">
        <f>IFERROR((((Таблица47[[#This Row],[Осталось сделать, хлыст]]*Таблица47[[#This Row],[длина]])*Таблица47[[#This Row],[Периметр]])/28),"")</f>
        <v>0</v>
      </c>
      <c r="Q876" s="963"/>
      <c r="R876" s="969">
        <f>IFERROR(Таблица47[[#This Row],[Коли-
чество м.п.]]/Таблица47[[#This Row],[Количество хлыстов]],"")</f>
        <v>1</v>
      </c>
      <c r="S876" s="961" t="s">
        <v>5141</v>
      </c>
      <c r="T876" s="961">
        <v>32</v>
      </c>
      <c r="U876" s="970">
        <v>32</v>
      </c>
      <c r="V876" s="961">
        <v>0.1701</v>
      </c>
      <c r="W876" s="961">
        <v>0.76500000000000001</v>
      </c>
      <c r="X876" s="961">
        <v>5.4432</v>
      </c>
      <c r="Y876" s="961">
        <v>24.48</v>
      </c>
      <c r="Z876" s="961">
        <v>0.71</v>
      </c>
      <c r="AA876" s="961">
        <v>337.5</v>
      </c>
      <c r="AB876" s="961">
        <v>1984.13</v>
      </c>
      <c r="AC876" s="971">
        <v>10800</v>
      </c>
    </row>
    <row r="877" spans="1:29" customFormat="1" ht="15.75" x14ac:dyDescent="0.25">
      <c r="A877" s="965" t="s">
        <v>4678</v>
      </c>
      <c r="B877" s="962">
        <v>604</v>
      </c>
      <c r="C877" s="962" t="s">
        <v>4753</v>
      </c>
      <c r="D877" s="963" t="s">
        <v>13</v>
      </c>
      <c r="E877" s="963" t="s">
        <v>30</v>
      </c>
      <c r="F877" s="964">
        <v>45593</v>
      </c>
      <c r="G877" s="964"/>
      <c r="H87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7" s="967" t="str">
        <f>CONCATENATE(Таблица47[[#This Row],[№ заявки в 1С]],Таблица47[[#This Row],[Наименование            ]])</f>
        <v>604[89958] ПКФ (177) 5050 Д L=1250 АД31Т1</v>
      </c>
      <c r="J87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87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87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877" s="522"/>
      <c r="N877" s="968">
        <v>8</v>
      </c>
      <c r="O877" s="1006">
        <f>IFERROR(Таблица47[[#This Row],[Количество хлыстов]]-Таблица47[[#This Row],[Обработано в 1С]]-Таблица47[[#This Row],[Корректировка]],"")</f>
        <v>0</v>
      </c>
      <c r="P877" s="1007">
        <f>IFERROR((((Таблица47[[#This Row],[Осталось сделать, хлыст]]*Таблица47[[#This Row],[длина]])*Таблица47[[#This Row],[Периметр]])/28),"")</f>
        <v>0</v>
      </c>
      <c r="Q877" s="963"/>
      <c r="R877" s="969">
        <f>IFERROR(Таблица47[[#This Row],[Коли-
чество м.п.]]/Таблица47[[#This Row],[Количество хлыстов]],"")</f>
        <v>1</v>
      </c>
      <c r="S877" s="961" t="s">
        <v>5142</v>
      </c>
      <c r="T877" s="961">
        <v>8</v>
      </c>
      <c r="U877" s="970">
        <v>8</v>
      </c>
      <c r="V877" s="961">
        <v>0.17249999999999999</v>
      </c>
      <c r="W877" s="961">
        <v>0.81499999999999995</v>
      </c>
      <c r="X877" s="961">
        <v>1.38</v>
      </c>
      <c r="Y877" s="961">
        <v>6.52</v>
      </c>
      <c r="Z877" s="961">
        <v>0.18</v>
      </c>
      <c r="AA877" s="961">
        <v>375</v>
      </c>
      <c r="AB877" s="961">
        <v>2173.91</v>
      </c>
      <c r="AC877" s="971">
        <v>3000</v>
      </c>
    </row>
    <row r="878" spans="1:29" customFormat="1" ht="15.75" x14ac:dyDescent="0.25">
      <c r="A878" s="965" t="s">
        <v>4678</v>
      </c>
      <c r="B878" s="962">
        <v>604</v>
      </c>
      <c r="C878" s="962" t="s">
        <v>4753</v>
      </c>
      <c r="D878" s="963" t="s">
        <v>13</v>
      </c>
      <c r="E878" s="963" t="s">
        <v>30</v>
      </c>
      <c r="F878" s="964">
        <v>45593</v>
      </c>
      <c r="G878" s="964"/>
      <c r="H87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8" s="967" t="str">
        <f>CONCATENATE(Таблица47[[#This Row],[№ заявки в 1С]],Таблица47[[#This Row],[Наименование            ]])</f>
        <v>604[89959] ПКФ (176) 5033 Д L=1250 АД31Т1</v>
      </c>
      <c r="J87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</v>
      </c>
      <c r="K87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87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878" s="522"/>
      <c r="N878" s="968">
        <v>8</v>
      </c>
      <c r="O878" s="1006">
        <f>IFERROR(Таблица47[[#This Row],[Количество хлыстов]]-Таблица47[[#This Row],[Обработано в 1С]]-Таблица47[[#This Row],[Корректировка]],"")</f>
        <v>0</v>
      </c>
      <c r="P878" s="1007">
        <f>IFERROR((((Таблица47[[#This Row],[Осталось сделать, хлыст]]*Таблица47[[#This Row],[длина]])*Таблица47[[#This Row],[Периметр]])/28),"")</f>
        <v>0</v>
      </c>
      <c r="Q878" s="963"/>
      <c r="R878" s="969">
        <f>IFERROR(Таблица47[[#This Row],[Коли-
чество м.п.]]/Таблица47[[#This Row],[Количество хлыстов]],"")</f>
        <v>1</v>
      </c>
      <c r="S878" s="961" t="s">
        <v>5143</v>
      </c>
      <c r="T878" s="961">
        <v>8</v>
      </c>
      <c r="U878" s="970">
        <v>8</v>
      </c>
      <c r="V878" s="961">
        <v>0.1701</v>
      </c>
      <c r="W878" s="961">
        <v>0.76500000000000001</v>
      </c>
      <c r="X878" s="961">
        <v>1.3608</v>
      </c>
      <c r="Y878" s="961">
        <v>6.12</v>
      </c>
      <c r="Z878" s="961">
        <v>0.18</v>
      </c>
      <c r="AA878" s="961">
        <v>375</v>
      </c>
      <c r="AB878" s="961">
        <v>2204.59</v>
      </c>
      <c r="AC878" s="971">
        <v>3000</v>
      </c>
    </row>
    <row r="879" spans="1:29" customFormat="1" ht="15.75" x14ac:dyDescent="0.25">
      <c r="A879" s="965" t="s">
        <v>4678</v>
      </c>
      <c r="B879" s="962">
        <v>604</v>
      </c>
      <c r="C879" s="962" t="s">
        <v>4753</v>
      </c>
      <c r="D879" s="963" t="s">
        <v>13</v>
      </c>
      <c r="E879" s="963" t="s">
        <v>30</v>
      </c>
      <c r="F879" s="964">
        <v>45593</v>
      </c>
      <c r="G879" s="964"/>
      <c r="H87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79" s="967" t="str">
        <f>CONCATENATE(Таблица47[[#This Row],[№ заявки в 1С]],Таблица47[[#This Row],[Наименование            ]])</f>
        <v>604[89960] ПКФ (177) 5050 Д L=1560 АД31Т1</v>
      </c>
      <c r="J87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</v>
      </c>
      <c r="K87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</v>
      </c>
      <c r="L87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80</v>
      </c>
      <c r="M879" s="522"/>
      <c r="N879" s="968">
        <v>80</v>
      </c>
      <c r="O879" s="1006">
        <f>IFERROR(Таблица47[[#This Row],[Количество хлыстов]]-Таблица47[[#This Row],[Обработано в 1С]]-Таблица47[[#This Row],[Корректировка]],"")</f>
        <v>0</v>
      </c>
      <c r="P879" s="1007">
        <f>IFERROR((((Таблица47[[#This Row],[Осталось сделать, хлыст]]*Таблица47[[#This Row],[длина]])*Таблица47[[#This Row],[Периметр]])/28),"")</f>
        <v>0</v>
      </c>
      <c r="Q879" s="963"/>
      <c r="R879" s="969">
        <f>IFERROR(Таблица47[[#This Row],[Коли-
чество м.п.]]/Таблица47[[#This Row],[Количество хлыстов]],"")</f>
        <v>1</v>
      </c>
      <c r="S879" s="961" t="s">
        <v>5144</v>
      </c>
      <c r="T879" s="961">
        <v>80</v>
      </c>
      <c r="U879" s="970">
        <v>80</v>
      </c>
      <c r="V879" s="961">
        <v>0.17249999999999999</v>
      </c>
      <c r="W879" s="961">
        <v>0.81499999999999995</v>
      </c>
      <c r="X879" s="961">
        <v>13.8</v>
      </c>
      <c r="Y879" s="961">
        <v>65.2</v>
      </c>
      <c r="Z879" s="961">
        <v>1.79</v>
      </c>
      <c r="AA879" s="961">
        <v>330</v>
      </c>
      <c r="AB879" s="961">
        <v>1913.04</v>
      </c>
      <c r="AC879" s="971">
        <v>26400</v>
      </c>
    </row>
    <row r="880" spans="1:29" customFormat="1" ht="15.75" x14ac:dyDescent="0.25">
      <c r="A880" s="965" t="s">
        <v>4678</v>
      </c>
      <c r="B880" s="962">
        <v>604</v>
      </c>
      <c r="C880" s="962" t="s">
        <v>4753</v>
      </c>
      <c r="D880" s="963" t="s">
        <v>13</v>
      </c>
      <c r="E880" s="963" t="s">
        <v>30</v>
      </c>
      <c r="F880" s="964">
        <v>45593</v>
      </c>
      <c r="G880" s="964"/>
      <c r="H88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0" s="967" t="str">
        <f>CONCATENATE(Таблица47[[#This Row],[№ заявки в 1С]],Таблица47[[#This Row],[Наименование            ]])</f>
        <v>604[89961] ПКФ (176) 5033 Д L=1560 АД31Т1</v>
      </c>
      <c r="J88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</v>
      </c>
      <c r="K88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</v>
      </c>
      <c r="L88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80</v>
      </c>
      <c r="M880" s="522"/>
      <c r="N880" s="968">
        <v>80</v>
      </c>
      <c r="O880" s="1006">
        <f>IFERROR(Таблица47[[#This Row],[Количество хлыстов]]-Таблица47[[#This Row],[Обработано в 1С]]-Таблица47[[#This Row],[Корректировка]],"")</f>
        <v>0</v>
      </c>
      <c r="P880" s="1007">
        <f>IFERROR((((Таблица47[[#This Row],[Осталось сделать, хлыст]]*Таблица47[[#This Row],[длина]])*Таблица47[[#This Row],[Периметр]])/28),"")</f>
        <v>0</v>
      </c>
      <c r="Q880" s="963"/>
      <c r="R880" s="969">
        <f>IFERROR(Таблица47[[#This Row],[Коли-
чество м.п.]]/Таблица47[[#This Row],[Количество хлыстов]],"")</f>
        <v>1</v>
      </c>
      <c r="S880" s="961" t="s">
        <v>5145</v>
      </c>
      <c r="T880" s="961">
        <v>80</v>
      </c>
      <c r="U880" s="970">
        <v>80</v>
      </c>
      <c r="V880" s="961">
        <v>0.1701</v>
      </c>
      <c r="W880" s="961">
        <v>0.76500000000000001</v>
      </c>
      <c r="X880" s="961">
        <v>13.608000000000001</v>
      </c>
      <c r="Y880" s="961">
        <v>61.2</v>
      </c>
      <c r="Z880" s="961">
        <v>1.77</v>
      </c>
      <c r="AA880" s="961">
        <v>330</v>
      </c>
      <c r="AB880" s="961">
        <v>1940.04</v>
      </c>
      <c r="AC880" s="971">
        <v>26400</v>
      </c>
    </row>
    <row r="881" spans="1:29" customFormat="1" ht="15.75" x14ac:dyDescent="0.25">
      <c r="A881" s="965" t="s">
        <v>4678</v>
      </c>
      <c r="B881" s="962">
        <v>605</v>
      </c>
      <c r="C881" s="962" t="s">
        <v>4753</v>
      </c>
      <c r="D881" s="963" t="s">
        <v>13</v>
      </c>
      <c r="E881" s="963" t="s">
        <v>30</v>
      </c>
      <c r="F881" s="964">
        <v>45593</v>
      </c>
      <c r="G881" s="964"/>
      <c r="H88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1" s="967" t="str">
        <f>CONCATENATE(Таблица47[[#This Row],[№ заявки в 1С]],Таблица47[[#This Row],[Наименование            ]])</f>
        <v>605[89644] балка Ад-35 Д, L=1070</v>
      </c>
      <c r="J88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</v>
      </c>
      <c r="L88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</v>
      </c>
      <c r="M881" s="522"/>
      <c r="N881" s="968">
        <v>16</v>
      </c>
      <c r="O881" s="1006">
        <f>IFERROR(Таблица47[[#This Row],[Количество хлыстов]]-Таблица47[[#This Row],[Обработано в 1С]]-Таблица47[[#This Row],[Корректировка]],"")</f>
        <v>0</v>
      </c>
      <c r="P881" s="1007">
        <f>IFERROR((((Таблица47[[#This Row],[Осталось сделать, хлыст]]*Таблица47[[#This Row],[длина]])*Таблица47[[#This Row],[Периметр]])/28),"")</f>
        <v>0</v>
      </c>
      <c r="Q881" s="963"/>
      <c r="R881" s="969">
        <f>IFERROR(Таблица47[[#This Row],[Коли-
чество м.п.]]/Таблица47[[#This Row],[Количество хлыстов]],"")</f>
        <v>1</v>
      </c>
      <c r="S881" s="961" t="s">
        <v>5047</v>
      </c>
      <c r="T881" s="961">
        <v>16</v>
      </c>
      <c r="U881" s="970">
        <v>16</v>
      </c>
      <c r="V881" s="961">
        <v>0.34</v>
      </c>
      <c r="W881" s="961">
        <v>4.3959999999999999</v>
      </c>
      <c r="X881" s="961">
        <v>5.44</v>
      </c>
      <c r="Y881" s="961">
        <v>70.335999999999999</v>
      </c>
      <c r="Z881" s="961">
        <v>0.71</v>
      </c>
      <c r="AA881" s="961">
        <v>698.75</v>
      </c>
      <c r="AB881" s="961">
        <v>2055.15</v>
      </c>
      <c r="AC881" s="971">
        <v>11180</v>
      </c>
    </row>
    <row r="882" spans="1:29" customFormat="1" ht="15.75" x14ac:dyDescent="0.25">
      <c r="A882" s="965" t="s">
        <v>4678</v>
      </c>
      <c r="B882" s="962">
        <v>605</v>
      </c>
      <c r="C882" s="962" t="s">
        <v>4753</v>
      </c>
      <c r="D882" s="963" t="s">
        <v>13</v>
      </c>
      <c r="E882" s="963" t="s">
        <v>30</v>
      </c>
      <c r="F882" s="964">
        <v>45593</v>
      </c>
      <c r="G882" s="964"/>
      <c r="H88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2" s="967" t="str">
        <f>CONCATENATE(Таблица47[[#This Row],[№ заявки в 1С]],Таблица47[[#This Row],[Наименование            ]])</f>
        <v>605[89646] балка Ад-35 Д, L=1370</v>
      </c>
      <c r="J88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</v>
      </c>
      <c r="L88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40</v>
      </c>
      <c r="M882" s="522"/>
      <c r="N882" s="968">
        <v>40</v>
      </c>
      <c r="O882" s="1006">
        <f>IFERROR(Таблица47[[#This Row],[Количество хлыстов]]-Таблица47[[#This Row],[Обработано в 1С]]-Таблица47[[#This Row],[Корректировка]],"")</f>
        <v>0</v>
      </c>
      <c r="P882" s="1007">
        <f>IFERROR((((Таблица47[[#This Row],[Осталось сделать, хлыст]]*Таблица47[[#This Row],[длина]])*Таблица47[[#This Row],[Периметр]])/28),"")</f>
        <v>0</v>
      </c>
      <c r="Q882" s="963"/>
      <c r="R882" s="969">
        <f>IFERROR(Таблица47[[#This Row],[Коли-
чество м.п.]]/Таблица47[[#This Row],[Количество хлыстов]],"")</f>
        <v>1</v>
      </c>
      <c r="S882" s="961" t="s">
        <v>5049</v>
      </c>
      <c r="T882" s="961">
        <v>40</v>
      </c>
      <c r="U882" s="970">
        <v>40</v>
      </c>
      <c r="V882" s="961">
        <v>0.435</v>
      </c>
      <c r="W882" s="961">
        <v>5.6280000000000001</v>
      </c>
      <c r="X882" s="961">
        <v>17.399999999999999</v>
      </c>
      <c r="Y882" s="961">
        <v>225.12</v>
      </c>
      <c r="Z882" s="961">
        <v>2.2599999999999998</v>
      </c>
      <c r="AA882" s="961">
        <v>908.38</v>
      </c>
      <c r="AB882" s="961">
        <v>2088.2199999999998</v>
      </c>
      <c r="AC882" s="971">
        <v>36335</v>
      </c>
    </row>
    <row r="883" spans="1:29" customFormat="1" ht="15.75" x14ac:dyDescent="0.25">
      <c r="A883" s="965" t="s">
        <v>4678</v>
      </c>
      <c r="B883" s="962">
        <v>605</v>
      </c>
      <c r="C883" s="962" t="s">
        <v>4753</v>
      </c>
      <c r="D883" s="963" t="s">
        <v>13</v>
      </c>
      <c r="E883" s="963" t="s">
        <v>30</v>
      </c>
      <c r="F883" s="964">
        <v>45593</v>
      </c>
      <c r="G883" s="964"/>
      <c r="H88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3" s="967" t="str">
        <f>CONCATENATE(Таблица47[[#This Row],[№ заявки в 1С]],Таблица47[[#This Row],[Наименование            ]])</f>
        <v>605[89648] балка Ад-35 Д, L=300</v>
      </c>
      <c r="J88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160</v>
      </c>
      <c r="L88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160</v>
      </c>
      <c r="M883" s="522"/>
      <c r="N883" s="968">
        <v>160</v>
      </c>
      <c r="O883" s="1006">
        <f>IFERROR(Таблица47[[#This Row],[Количество хлыстов]]-Таблица47[[#This Row],[Обработано в 1С]]-Таблица47[[#This Row],[Корректировка]],"")</f>
        <v>0</v>
      </c>
      <c r="P883" s="1007">
        <f>IFERROR((((Таблица47[[#This Row],[Осталось сделать, хлыст]]*Таблица47[[#This Row],[длина]])*Таблица47[[#This Row],[Периметр]])/28),"")</f>
        <v>0</v>
      </c>
      <c r="Q883" s="963"/>
      <c r="R883" s="969">
        <f>IFERROR(Таблица47[[#This Row],[Коли-
чество м.п.]]/Таблица47[[#This Row],[Количество хлыстов]],"")</f>
        <v>1</v>
      </c>
      <c r="S883" s="961" t="s">
        <v>5044</v>
      </c>
      <c r="T883" s="961">
        <v>160</v>
      </c>
      <c r="U883" s="970">
        <v>160</v>
      </c>
      <c r="V883" s="961">
        <v>9.6000000000000002E-2</v>
      </c>
      <c r="W883" s="961">
        <v>1.2330000000000001</v>
      </c>
      <c r="X883" s="961">
        <v>15.36</v>
      </c>
      <c r="Y883" s="961">
        <v>197.28</v>
      </c>
      <c r="Z883" s="961">
        <v>2</v>
      </c>
      <c r="AA883" s="961">
        <v>174.69</v>
      </c>
      <c r="AB883" s="961">
        <v>1819.66</v>
      </c>
      <c r="AC883" s="971">
        <v>27950</v>
      </c>
    </row>
    <row r="884" spans="1:29" customFormat="1" ht="15.75" x14ac:dyDescent="0.25">
      <c r="A884" s="965" t="s">
        <v>4678</v>
      </c>
      <c r="B884" s="962">
        <v>605</v>
      </c>
      <c r="C884" s="962" t="s">
        <v>4753</v>
      </c>
      <c r="D884" s="963" t="s">
        <v>13</v>
      </c>
      <c r="E884" s="963" t="s">
        <v>30</v>
      </c>
      <c r="F884" s="964">
        <v>45593</v>
      </c>
      <c r="G884" s="964"/>
      <c r="H88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4" s="967" t="str">
        <f>CONCATENATE(Таблица47[[#This Row],[№ заявки в 1С]],Таблица47[[#This Row],[Наименование            ]])</f>
        <v>605[89933] балка Ад-35 Д, L=3085</v>
      </c>
      <c r="J88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20</v>
      </c>
      <c r="L88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20</v>
      </c>
      <c r="M884" s="522"/>
      <c r="N884" s="968">
        <v>20</v>
      </c>
      <c r="O884" s="1006">
        <f>IFERROR(Таблица47[[#This Row],[Количество хлыстов]]-Таблица47[[#This Row],[Обработано в 1С]]-Таблица47[[#This Row],[Корректировка]],"")</f>
        <v>0</v>
      </c>
      <c r="P884" s="1007">
        <f>IFERROR((((Таблица47[[#This Row],[Осталось сделать, хлыст]]*Таблица47[[#This Row],[длина]])*Таблица47[[#This Row],[Периметр]])/28),"")</f>
        <v>0</v>
      </c>
      <c r="Q884" s="963"/>
      <c r="R884" s="969">
        <f>IFERROR(Таблица47[[#This Row],[Коли-
чество м.п.]]/Таблица47[[#This Row],[Количество хлыстов]],"")</f>
        <v>1</v>
      </c>
      <c r="S884" s="961" t="s">
        <v>5051</v>
      </c>
      <c r="T884" s="961">
        <v>20</v>
      </c>
      <c r="U884" s="970">
        <v>20</v>
      </c>
      <c r="V884" s="961">
        <v>0.97799999999999998</v>
      </c>
      <c r="W884" s="961">
        <v>12.673999999999999</v>
      </c>
      <c r="X884" s="961">
        <v>19.559999999999999</v>
      </c>
      <c r="Y884" s="961">
        <v>253.48</v>
      </c>
      <c r="Z884" s="961">
        <v>2.54</v>
      </c>
      <c r="AA884" s="961">
        <v>2096.25</v>
      </c>
      <c r="AB884" s="961">
        <v>2143.4</v>
      </c>
      <c r="AC884" s="971">
        <v>41925</v>
      </c>
    </row>
    <row r="885" spans="1:29" customFormat="1" ht="15.75" x14ac:dyDescent="0.25">
      <c r="A885" s="965" t="s">
        <v>4678</v>
      </c>
      <c r="B885" s="962">
        <v>605</v>
      </c>
      <c r="C885" s="962" t="s">
        <v>4753</v>
      </c>
      <c r="D885" s="963" t="s">
        <v>13</v>
      </c>
      <c r="E885" s="963" t="s">
        <v>30</v>
      </c>
      <c r="F885" s="964">
        <v>45593</v>
      </c>
      <c r="G885" s="964"/>
      <c r="H88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5" s="967" t="str">
        <f>CONCATENATE(Таблица47[[#This Row],[№ заявки в 1С]],Таблица47[[#This Row],[Наименование            ]])</f>
        <v>605[89935] балка Ад-35 Д, L=4570</v>
      </c>
      <c r="J88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</v>
      </c>
      <c r="L88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</v>
      </c>
      <c r="M885" s="522"/>
      <c r="N885" s="968">
        <v>8</v>
      </c>
      <c r="O885" s="1006">
        <f>IFERROR(Таблица47[[#This Row],[Количество хлыстов]]-Таблица47[[#This Row],[Обработано в 1С]]-Таблица47[[#This Row],[Корректировка]],"")</f>
        <v>0</v>
      </c>
      <c r="P885" s="1007">
        <f>IFERROR((((Таблица47[[#This Row],[Осталось сделать, хлыст]]*Таблица47[[#This Row],[длина]])*Таблица47[[#This Row],[Периметр]])/28),"")</f>
        <v>0</v>
      </c>
      <c r="Q885" s="963"/>
      <c r="R885" s="969">
        <f>IFERROR(Таблица47[[#This Row],[Коли-
чество м.п.]]/Таблица47[[#This Row],[Количество хлыстов]],"")</f>
        <v>1</v>
      </c>
      <c r="S885" s="961" t="s">
        <v>5054</v>
      </c>
      <c r="T885" s="961">
        <v>8</v>
      </c>
      <c r="U885" s="970">
        <v>8</v>
      </c>
      <c r="V885" s="961">
        <v>1.4490000000000001</v>
      </c>
      <c r="W885" s="961">
        <v>18.774000000000001</v>
      </c>
      <c r="X885" s="961">
        <v>11.592000000000001</v>
      </c>
      <c r="Y885" s="961">
        <v>150.19200000000001</v>
      </c>
      <c r="Z885" s="961">
        <v>1.51</v>
      </c>
      <c r="AA885" s="961">
        <v>2795</v>
      </c>
      <c r="AB885" s="961">
        <v>1928.92</v>
      </c>
      <c r="AC885" s="971">
        <v>22360</v>
      </c>
    </row>
    <row r="886" spans="1:29" customFormat="1" ht="15.75" x14ac:dyDescent="0.25">
      <c r="A886" s="965" t="s">
        <v>4678</v>
      </c>
      <c r="B886" s="962">
        <v>605</v>
      </c>
      <c r="C886" s="962" t="s">
        <v>4753</v>
      </c>
      <c r="D886" s="963" t="s">
        <v>13</v>
      </c>
      <c r="E886" s="963" t="s">
        <v>30</v>
      </c>
      <c r="F886" s="964">
        <v>45593</v>
      </c>
      <c r="G886" s="964"/>
      <c r="H88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6" s="967" t="str">
        <f>CONCATENATE(Таблица47[[#This Row],[№ заявки в 1С]],Таблица47[[#This Row],[Наименование            ]])</f>
        <v>605[89937] балка Ад-35 Д, L=4940</v>
      </c>
      <c r="J88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88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886" s="522"/>
      <c r="N886" s="968">
        <v>4</v>
      </c>
      <c r="O886" s="1006">
        <f>IFERROR(Таблица47[[#This Row],[Количество хлыстов]]-Таблица47[[#This Row],[Обработано в 1С]]-Таблица47[[#This Row],[Корректировка]],"")</f>
        <v>0</v>
      </c>
      <c r="P886" s="1007">
        <f>IFERROR((((Таблица47[[#This Row],[Осталось сделать, хлыст]]*Таблица47[[#This Row],[длина]])*Таблица47[[#This Row],[Периметр]])/28),"")</f>
        <v>0</v>
      </c>
      <c r="Q886" s="963"/>
      <c r="R886" s="969">
        <f>IFERROR(Таблица47[[#This Row],[Коли-
чество м.п.]]/Таблица47[[#This Row],[Количество хлыстов]],"")</f>
        <v>1</v>
      </c>
      <c r="S886" s="961" t="s">
        <v>5055</v>
      </c>
      <c r="T886" s="961">
        <v>4</v>
      </c>
      <c r="U886" s="970">
        <v>4</v>
      </c>
      <c r="V886" s="961">
        <v>1.5660000000000001</v>
      </c>
      <c r="W886" s="961">
        <v>20.294</v>
      </c>
      <c r="X886" s="961">
        <v>6.2640000000000002</v>
      </c>
      <c r="Y886" s="961">
        <v>81.176000000000002</v>
      </c>
      <c r="Z886" s="961">
        <v>0.81</v>
      </c>
      <c r="AA886" s="961">
        <v>3493.75</v>
      </c>
      <c r="AB886" s="961">
        <v>2231</v>
      </c>
      <c r="AC886" s="971">
        <v>13975</v>
      </c>
    </row>
    <row r="887" spans="1:29" customFormat="1" ht="15.75" x14ac:dyDescent="0.25">
      <c r="A887" s="965" t="s">
        <v>4678</v>
      </c>
      <c r="B887" s="962">
        <v>605</v>
      </c>
      <c r="C887" s="962" t="s">
        <v>4753</v>
      </c>
      <c r="D887" s="963" t="s">
        <v>13</v>
      </c>
      <c r="E887" s="963" t="s">
        <v>30</v>
      </c>
      <c r="F887" s="964">
        <v>45593</v>
      </c>
      <c r="G887" s="964"/>
      <c r="H88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7" s="967" t="str">
        <f>CONCATENATE(Таблица47[[#This Row],[№ заявки в 1С]],Таблица47[[#This Row],[Наименование            ]])</f>
        <v>605[89938] балка Ад-35 Д, L=5005</v>
      </c>
      <c r="J88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60</v>
      </c>
      <c r="L88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60</v>
      </c>
      <c r="M887" s="522"/>
      <c r="N887" s="968">
        <v>60</v>
      </c>
      <c r="O887" s="1006">
        <f>IFERROR(Таблица47[[#This Row],[Количество хлыстов]]-Таблица47[[#This Row],[Обработано в 1С]]-Таблица47[[#This Row],[Корректировка]],"")</f>
        <v>0</v>
      </c>
      <c r="P887" s="1007">
        <f>IFERROR((((Таблица47[[#This Row],[Осталось сделать, хлыст]]*Таблица47[[#This Row],[длина]])*Таблица47[[#This Row],[Периметр]])/28),"")</f>
        <v>0</v>
      </c>
      <c r="Q887" s="963"/>
      <c r="R887" s="969">
        <f>IFERROR(Таблица47[[#This Row],[Коли-
чество м.п.]]/Таблица47[[#This Row],[Количество хлыстов]],"")</f>
        <v>1</v>
      </c>
      <c r="S887" s="961" t="s">
        <v>5056</v>
      </c>
      <c r="T887" s="961">
        <v>60</v>
      </c>
      <c r="U887" s="970">
        <v>60</v>
      </c>
      <c r="V887" s="961">
        <v>1.587</v>
      </c>
      <c r="W887" s="961">
        <v>20.561</v>
      </c>
      <c r="X887" s="961">
        <v>95.22</v>
      </c>
      <c r="Y887" s="961">
        <v>1233.6600000000001</v>
      </c>
      <c r="Z887" s="961">
        <v>12.38</v>
      </c>
      <c r="AA887" s="961">
        <v>3260.83</v>
      </c>
      <c r="AB887" s="961">
        <v>2054.7199999999998</v>
      </c>
      <c r="AC887" s="971">
        <v>195650</v>
      </c>
    </row>
    <row r="888" spans="1:29" customFormat="1" ht="15.75" x14ac:dyDescent="0.25">
      <c r="A888" s="965" t="s">
        <v>4678</v>
      </c>
      <c r="B888" s="962">
        <v>605</v>
      </c>
      <c r="C888" s="962" t="s">
        <v>4753</v>
      </c>
      <c r="D888" s="963" t="s">
        <v>13</v>
      </c>
      <c r="E888" s="963" t="s">
        <v>30</v>
      </c>
      <c r="F888" s="964">
        <v>45593</v>
      </c>
      <c r="G888" s="964"/>
      <c r="H88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8" s="967" t="str">
        <f>CONCATENATE(Таблица47[[#This Row],[№ заявки в 1С]],Таблица47[[#This Row],[Наименование            ]])</f>
        <v>605[89940] балка Ад-35 Д, L=5135</v>
      </c>
      <c r="J88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48</v>
      </c>
      <c r="L88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48</v>
      </c>
      <c r="M888" s="522"/>
      <c r="N888" s="968">
        <v>48</v>
      </c>
      <c r="O888" s="1006">
        <f>IFERROR(Таблица47[[#This Row],[Количество хлыстов]]-Таблица47[[#This Row],[Обработано в 1С]]-Таблица47[[#This Row],[Корректировка]],"")</f>
        <v>0</v>
      </c>
      <c r="P888" s="1007">
        <f>IFERROR((((Таблица47[[#This Row],[Осталось сделать, хлыст]]*Таблица47[[#This Row],[длина]])*Таблица47[[#This Row],[Периметр]])/28),"")</f>
        <v>0</v>
      </c>
      <c r="Q888" s="963"/>
      <c r="R888" s="969">
        <f>IFERROR(Таблица47[[#This Row],[Коли-
чество м.п.]]/Таблица47[[#This Row],[Количество хлыстов]],"")</f>
        <v>1</v>
      </c>
      <c r="S888" s="961" t="s">
        <v>5058</v>
      </c>
      <c r="T888" s="961">
        <v>48</v>
      </c>
      <c r="U888" s="970">
        <v>48</v>
      </c>
      <c r="V888" s="961">
        <v>1.6279999999999999</v>
      </c>
      <c r="W888" s="961">
        <v>21.094999999999999</v>
      </c>
      <c r="X888" s="961">
        <v>78.144000000000005</v>
      </c>
      <c r="Y888" s="961">
        <v>1012.56</v>
      </c>
      <c r="Z888" s="961">
        <v>10.16</v>
      </c>
      <c r="AA888" s="961">
        <v>3377.29</v>
      </c>
      <c r="AB888" s="961">
        <v>2074.5</v>
      </c>
      <c r="AC888" s="971">
        <v>162110</v>
      </c>
    </row>
    <row r="889" spans="1:29" customFormat="1" ht="15.75" x14ac:dyDescent="0.25">
      <c r="A889" s="965" t="s">
        <v>4678</v>
      </c>
      <c r="B889" s="962">
        <v>605</v>
      </c>
      <c r="C889" s="962" t="s">
        <v>4753</v>
      </c>
      <c r="D889" s="963" t="s">
        <v>13</v>
      </c>
      <c r="E889" s="963" t="s">
        <v>30</v>
      </c>
      <c r="F889" s="964">
        <v>45593</v>
      </c>
      <c r="G889" s="964"/>
      <c r="H88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89" s="967" t="str">
        <f>CONCATENATE(Таблица47[[#This Row],[№ заявки в 1С]],Таблица47[[#This Row],[Наименование            ]])</f>
        <v>605[90213] балка Ад-35 Д, L=5090</v>
      </c>
      <c r="J88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8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88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889" s="522"/>
      <c r="N889" s="968">
        <v>4</v>
      </c>
      <c r="O889" s="1006">
        <f>IFERROR(Таблица47[[#This Row],[Количество хлыстов]]-Таблица47[[#This Row],[Обработано в 1С]]-Таблица47[[#This Row],[Корректировка]],"")</f>
        <v>0</v>
      </c>
      <c r="P889" s="1007">
        <f>IFERROR((((Таблица47[[#This Row],[Осталось сделать, хлыст]]*Таблица47[[#This Row],[длина]])*Таблица47[[#This Row],[Периметр]])/28),"")</f>
        <v>0</v>
      </c>
      <c r="Q889" s="963"/>
      <c r="R889" s="969">
        <f>IFERROR(Таблица47[[#This Row],[Коли-
чество м.п.]]/Таблица47[[#This Row],[Количество хлыстов]],"")</f>
        <v>1</v>
      </c>
      <c r="S889" s="961" t="s">
        <v>5057</v>
      </c>
      <c r="T889" s="961">
        <v>4</v>
      </c>
      <c r="U889" s="970">
        <v>4</v>
      </c>
      <c r="V889" s="961">
        <v>1.6140000000000001</v>
      </c>
      <c r="W889" s="961">
        <v>20.91</v>
      </c>
      <c r="X889" s="961">
        <v>6.4560000000000004</v>
      </c>
      <c r="Y889" s="961">
        <v>83.64</v>
      </c>
      <c r="Z889" s="961">
        <v>0.84</v>
      </c>
      <c r="AA889" s="961">
        <v>3493.75</v>
      </c>
      <c r="AB889" s="961">
        <v>2164.65</v>
      </c>
      <c r="AC889" s="971">
        <v>13975</v>
      </c>
    </row>
    <row r="890" spans="1:29" customFormat="1" ht="15.75" x14ac:dyDescent="0.25">
      <c r="A890" s="965" t="s">
        <v>4678</v>
      </c>
      <c r="B890" s="962">
        <v>605</v>
      </c>
      <c r="C890" s="962" t="s">
        <v>4753</v>
      </c>
      <c r="D890" s="963" t="s">
        <v>13</v>
      </c>
      <c r="E890" s="963" t="s">
        <v>30</v>
      </c>
      <c r="F890" s="964">
        <v>45593</v>
      </c>
      <c r="G890" s="964"/>
      <c r="H89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0" s="967" t="str">
        <f>CONCATENATE(Таблица47[[#This Row],[№ заявки в 1С]],Таблица47[[#This Row],[Наименование            ]])</f>
        <v>605[90214] балка Ад-35 Д, L=4200</v>
      </c>
      <c r="J89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9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89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890" s="522"/>
      <c r="N890" s="968">
        <v>4</v>
      </c>
      <c r="O890" s="1006">
        <f>IFERROR(Таблица47[[#This Row],[Количество хлыстов]]-Таблица47[[#This Row],[Обработано в 1С]]-Таблица47[[#This Row],[Корректировка]],"")</f>
        <v>0</v>
      </c>
      <c r="P890" s="1007">
        <f>IFERROR((((Таблица47[[#This Row],[Осталось сделать, хлыст]]*Таблица47[[#This Row],[длина]])*Таблица47[[#This Row],[Периметр]])/28),"")</f>
        <v>0</v>
      </c>
      <c r="Q890" s="963"/>
      <c r="R890" s="969">
        <f>IFERROR(Таблица47[[#This Row],[Коли-
чество м.п.]]/Таблица47[[#This Row],[Количество хлыстов]],"")</f>
        <v>1</v>
      </c>
      <c r="S890" s="961" t="s">
        <v>5053</v>
      </c>
      <c r="T890" s="961">
        <v>4</v>
      </c>
      <c r="U890" s="970">
        <v>4</v>
      </c>
      <c r="V890" s="961">
        <v>1.3320000000000001</v>
      </c>
      <c r="W890" s="961">
        <v>17.254000000000001</v>
      </c>
      <c r="X890" s="961">
        <v>5.3280000000000003</v>
      </c>
      <c r="Y890" s="961">
        <v>69.016000000000005</v>
      </c>
      <c r="Z890" s="961">
        <v>0.69</v>
      </c>
      <c r="AA890" s="961">
        <v>2795</v>
      </c>
      <c r="AB890" s="961">
        <v>2098.35</v>
      </c>
      <c r="AC890" s="971">
        <v>11180</v>
      </c>
    </row>
    <row r="891" spans="1:29" customFormat="1" ht="15.75" x14ac:dyDescent="0.25">
      <c r="A891" s="965" t="s">
        <v>4678</v>
      </c>
      <c r="B891" s="962">
        <v>605</v>
      </c>
      <c r="C891" s="962" t="s">
        <v>4753</v>
      </c>
      <c r="D891" s="963" t="s">
        <v>13</v>
      </c>
      <c r="E891" s="963" t="s">
        <v>30</v>
      </c>
      <c r="F891" s="964">
        <v>45593</v>
      </c>
      <c r="G891" s="964"/>
      <c r="H89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1" s="967" t="str">
        <f>CONCATENATE(Таблица47[[#This Row],[№ заявки в 1С]],Таблица47[[#This Row],[Наименование            ]])</f>
        <v>605[90215] балка Ад-35 Д, L=3950</v>
      </c>
      <c r="J89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9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89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891" s="522"/>
      <c r="N891" s="968">
        <v>4</v>
      </c>
      <c r="O891" s="1006">
        <f>IFERROR(Таблица47[[#This Row],[Количество хлыстов]]-Таблица47[[#This Row],[Обработано в 1С]]-Таблица47[[#This Row],[Корректировка]],"")</f>
        <v>0</v>
      </c>
      <c r="P891" s="1007">
        <f>IFERROR((((Таблица47[[#This Row],[Осталось сделать, хлыст]]*Таблица47[[#This Row],[длина]])*Таблица47[[#This Row],[Периметр]])/28),"")</f>
        <v>0</v>
      </c>
      <c r="Q891" s="963"/>
      <c r="R891" s="969">
        <f>IFERROR(Таблица47[[#This Row],[Коли-
чество м.п.]]/Таблица47[[#This Row],[Количество хлыстов]],"")</f>
        <v>1</v>
      </c>
      <c r="S891" s="961" t="s">
        <v>5052</v>
      </c>
      <c r="T891" s="961">
        <v>4</v>
      </c>
      <c r="U891" s="970">
        <v>4</v>
      </c>
      <c r="V891" s="961">
        <v>1.2529999999999999</v>
      </c>
      <c r="W891" s="961">
        <v>16.227</v>
      </c>
      <c r="X891" s="961">
        <v>5.0119999999999996</v>
      </c>
      <c r="Y891" s="961">
        <v>64.908000000000001</v>
      </c>
      <c r="Z891" s="961">
        <v>0.65</v>
      </c>
      <c r="AA891" s="961">
        <v>3493.75</v>
      </c>
      <c r="AB891" s="961">
        <v>2788.31</v>
      </c>
      <c r="AC891" s="971">
        <v>13975</v>
      </c>
    </row>
    <row r="892" spans="1:29" customFormat="1" ht="15.75" x14ac:dyDescent="0.25">
      <c r="A892" s="965" t="s">
        <v>4678</v>
      </c>
      <c r="B892" s="962">
        <v>605</v>
      </c>
      <c r="C892" s="962" t="s">
        <v>4753</v>
      </c>
      <c r="D892" s="963" t="s">
        <v>13</v>
      </c>
      <c r="E892" s="963" t="s">
        <v>30</v>
      </c>
      <c r="F892" s="964">
        <v>45593</v>
      </c>
      <c r="G892" s="964"/>
      <c r="H89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2" s="967" t="str">
        <f>CONCATENATE(Таблица47[[#This Row],[№ заявки в 1С]],Таблица47[[#This Row],[Наименование            ]])</f>
        <v>605[90216] балка Ад-35 Д, L=1361</v>
      </c>
      <c r="J89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9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</v>
      </c>
      <c r="L89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</v>
      </c>
      <c r="M892" s="522"/>
      <c r="N892" s="968">
        <v>4</v>
      </c>
      <c r="O892" s="1006">
        <f>IFERROR(Таблица47[[#This Row],[Количество хлыстов]]-Таблица47[[#This Row],[Обработано в 1С]]-Таблица47[[#This Row],[Корректировка]],"")</f>
        <v>0</v>
      </c>
      <c r="P892" s="1007">
        <f>IFERROR((((Таблица47[[#This Row],[Осталось сделать, хлыст]]*Таблица47[[#This Row],[длина]])*Таблица47[[#This Row],[Периметр]])/28),"")</f>
        <v>0</v>
      </c>
      <c r="Q892" s="963"/>
      <c r="R892" s="969">
        <f>IFERROR(Таблица47[[#This Row],[Коли-
чество м.п.]]/Таблица47[[#This Row],[Количество хлыстов]],"")</f>
        <v>1</v>
      </c>
      <c r="S892" s="961" t="s">
        <v>5048</v>
      </c>
      <c r="T892" s="961">
        <v>4</v>
      </c>
      <c r="U892" s="970">
        <v>4</v>
      </c>
      <c r="V892" s="961">
        <v>0.432</v>
      </c>
      <c r="W892" s="961">
        <v>5.5910000000000002</v>
      </c>
      <c r="X892" s="961">
        <v>1.728</v>
      </c>
      <c r="Y892" s="961">
        <v>22.364000000000001</v>
      </c>
      <c r="Z892" s="961">
        <v>0.22</v>
      </c>
      <c r="AA892" s="961">
        <v>698.75</v>
      </c>
      <c r="AB892" s="961">
        <v>1617.48</v>
      </c>
      <c r="AC892" s="971">
        <v>2795</v>
      </c>
    </row>
    <row r="893" spans="1:29" customFormat="1" ht="15.75" x14ac:dyDescent="0.25">
      <c r="A893" s="965" t="s">
        <v>4678</v>
      </c>
      <c r="B893" s="962">
        <v>605</v>
      </c>
      <c r="C893" s="962" t="s">
        <v>4753</v>
      </c>
      <c r="D893" s="963" t="s">
        <v>13</v>
      </c>
      <c r="E893" s="963" t="s">
        <v>30</v>
      </c>
      <c r="F893" s="964">
        <v>45593</v>
      </c>
      <c r="G893" s="964"/>
      <c r="H89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3" s="967" t="str">
        <f>CONCATENATE(Таблица47[[#This Row],[№ заявки в 1С]],Таблица47[[#This Row],[Наименование            ]])</f>
        <v>605[90220] балка Ад-35 Д, L=700</v>
      </c>
      <c r="J89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89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</v>
      </c>
      <c r="L89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</v>
      </c>
      <c r="M893" s="522"/>
      <c r="N893" s="968">
        <v>12</v>
      </c>
      <c r="O893" s="1006">
        <f>IFERROR(Таблица47[[#This Row],[Количество хлыстов]]-Таблица47[[#This Row],[Обработано в 1С]]-Таблица47[[#This Row],[Корректировка]],"")</f>
        <v>0</v>
      </c>
      <c r="P893" s="1007">
        <f>IFERROR((((Таблица47[[#This Row],[Осталось сделать, хлыст]]*Таблица47[[#This Row],[длина]])*Таблица47[[#This Row],[Периметр]])/28),"")</f>
        <v>0</v>
      </c>
      <c r="Q893" s="963"/>
      <c r="R893" s="969">
        <f>IFERROR(Таблица47[[#This Row],[Коли-
чество м.п.]]/Таблица47[[#This Row],[Количество хлыстов]],"")</f>
        <v>1</v>
      </c>
      <c r="S893" s="961" t="s">
        <v>5045</v>
      </c>
      <c r="T893" s="961">
        <v>12</v>
      </c>
      <c r="U893" s="970">
        <v>12</v>
      </c>
      <c r="V893" s="961">
        <v>0.222</v>
      </c>
      <c r="W893" s="961">
        <v>2.8759999999999999</v>
      </c>
      <c r="X893" s="961">
        <v>2.6640000000000001</v>
      </c>
      <c r="Y893" s="961">
        <v>34.512</v>
      </c>
      <c r="Z893" s="961">
        <v>0.35</v>
      </c>
      <c r="AA893" s="961">
        <v>465.83</v>
      </c>
      <c r="AB893" s="961">
        <v>2098.35</v>
      </c>
      <c r="AC893" s="971">
        <v>5590</v>
      </c>
    </row>
    <row r="894" spans="1:29" customFormat="1" ht="15.75" x14ac:dyDescent="0.25">
      <c r="A894" s="965" t="s">
        <v>4678</v>
      </c>
      <c r="B894" s="962">
        <v>606</v>
      </c>
      <c r="C894" s="962"/>
      <c r="D894" s="963" t="s">
        <v>13</v>
      </c>
      <c r="E894" s="963" t="s">
        <v>5789</v>
      </c>
      <c r="F894" s="964">
        <v>45594</v>
      </c>
      <c r="G894" s="964"/>
      <c r="H89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4" s="967" t="str">
        <f>CONCATENATE(Таблица47[[#This Row],[№ заявки в 1С]],Таблица47[[#This Row],[Наименование            ]])</f>
        <v>606[1055] Уголок 30*15*2, ФС-Д-017, (9999-61), 6м, БА</v>
      </c>
      <c r="J89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45</v>
      </c>
      <c r="K89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45</v>
      </c>
      <c r="L89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45</v>
      </c>
      <c r="M894" s="522"/>
      <c r="N894" s="968">
        <v>45</v>
      </c>
      <c r="O894" s="1006">
        <f>IFERROR(Таблица47[[#This Row],[Количество хлыстов]]-Таблица47[[#This Row],[Обработано в 1С]]-Таблица47[[#This Row],[Корректировка]],"")</f>
        <v>0</v>
      </c>
      <c r="P894" s="1007">
        <f>IFERROR((((Таблица47[[#This Row],[Осталось сделать, хлыст]]*Таблица47[[#This Row],[длина]])*Таблица47[[#This Row],[Периметр]])/28),"")</f>
        <v>0</v>
      </c>
      <c r="Q894" s="963"/>
      <c r="R894" s="969">
        <f>IFERROR(Таблица47[[#This Row],[Коли-
чество м.п.]]/Таблица47[[#This Row],[Количество хлыстов]],"")</f>
        <v>6</v>
      </c>
      <c r="S894" s="961" t="s">
        <v>5790</v>
      </c>
      <c r="T894" s="961">
        <v>270</v>
      </c>
      <c r="U894" s="970">
        <v>45</v>
      </c>
      <c r="V894" s="961">
        <v>9.4E-2</v>
      </c>
      <c r="W894" s="961">
        <v>0.23300000000000001</v>
      </c>
      <c r="X894" s="961">
        <v>25.38</v>
      </c>
      <c r="Y894" s="961">
        <v>62.91</v>
      </c>
      <c r="Z894" s="961">
        <v>3.3</v>
      </c>
      <c r="AA894" s="961">
        <v>51.89</v>
      </c>
      <c r="AB894" s="961">
        <v>552</v>
      </c>
      <c r="AC894" s="971">
        <v>14010.3</v>
      </c>
    </row>
    <row r="895" spans="1:29" customFormat="1" ht="15.75" x14ac:dyDescent="0.25">
      <c r="A895" s="965" t="s">
        <v>4678</v>
      </c>
      <c r="B895" s="962">
        <v>607</v>
      </c>
      <c r="C895" s="962"/>
      <c r="D895" s="963" t="s">
        <v>4858</v>
      </c>
      <c r="E895" s="963" t="s">
        <v>4734</v>
      </c>
      <c r="F895" s="964">
        <v>45597</v>
      </c>
      <c r="G895" s="964"/>
      <c r="H89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5" s="967" t="str">
        <f>CONCATENATE(Таблица47[[#This Row],[№ заявки в 1С]],Таблица47[[#This Row],[Наименование            ]])</f>
        <v>607[56993] автоуголок 90*60*2мм (0506-17, 97083)6,0м 6063 Т6</v>
      </c>
      <c r="J89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48</v>
      </c>
      <c r="K89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48</v>
      </c>
      <c r="L89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48</v>
      </c>
      <c r="M895" s="522"/>
      <c r="N895" s="968">
        <v>48</v>
      </c>
      <c r="O895" s="1006">
        <f>IFERROR(Таблица47[[#This Row],[Количество хлыстов]]-Таблица47[[#This Row],[Обработано в 1С]]-Таблица47[[#This Row],[Корректировка]],"")</f>
        <v>0</v>
      </c>
      <c r="P895" s="1007">
        <f>IFERROR((((Таблица47[[#This Row],[Осталось сделать, хлыст]]*Таблица47[[#This Row],[длина]])*Таблица47[[#This Row],[Периметр]])/28),"")</f>
        <v>0</v>
      </c>
      <c r="Q895" s="963"/>
      <c r="R895" s="969">
        <f>IFERROR(Таблица47[[#This Row],[Коли-
чество м.п.]]/Таблица47[[#This Row],[Количество хлыстов]],"")</f>
        <v>6</v>
      </c>
      <c r="S895" s="961" t="s">
        <v>4567</v>
      </c>
      <c r="T895" s="961">
        <v>288</v>
      </c>
      <c r="U895" s="970">
        <v>48</v>
      </c>
      <c r="V895" s="961">
        <v>0.29759999999999998</v>
      </c>
      <c r="W895" s="961">
        <v>0.67600000000000005</v>
      </c>
      <c r="X895" s="961">
        <v>85.708799999999997</v>
      </c>
      <c r="Y895" s="961">
        <v>194.68799999999999</v>
      </c>
      <c r="Z895" s="961">
        <v>11.14</v>
      </c>
      <c r="AA895" s="961">
        <v>126.48</v>
      </c>
      <c r="AB895" s="961">
        <v>425</v>
      </c>
      <c r="AC895" s="971">
        <v>36426.239999999998</v>
      </c>
    </row>
    <row r="896" spans="1:29" customFormat="1" ht="15.75" x14ac:dyDescent="0.25">
      <c r="A896" s="965" t="s">
        <v>4678</v>
      </c>
      <c r="B896" s="962">
        <v>609</v>
      </c>
      <c r="C896" s="962" t="s">
        <v>4753</v>
      </c>
      <c r="D896" s="963" t="s">
        <v>13</v>
      </c>
      <c r="E896" s="963" t="s">
        <v>612</v>
      </c>
      <c r="F896" s="964">
        <v>45597</v>
      </c>
      <c r="G896" s="964"/>
      <c r="H89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6" s="967" t="str">
        <f>CONCATENATE(Таблица47[[#This Row],[№ заявки в 1С]],Таблица47[[#This Row],[Наименование            ]])</f>
        <v>609[94089] Лист АМГ2М 1200*500*1,5 (Д)</v>
      </c>
      <c r="J896" s="967">
        <v>12</v>
      </c>
      <c r="K896" s="967">
        <v>12</v>
      </c>
      <c r="L896" s="967">
        <v>12</v>
      </c>
      <c r="M896" s="522"/>
      <c r="N896" s="968">
        <v>12</v>
      </c>
      <c r="O896" s="1006">
        <f>IFERROR(Таблица47[[#This Row],[Количество хлыстов]]-Таблица47[[#This Row],[Обработано в 1С]]-Таблица47[[#This Row],[Корректировка]],"")</f>
        <v>0</v>
      </c>
      <c r="P896" s="1007">
        <v>1</v>
      </c>
      <c r="Q896" s="963"/>
      <c r="R896" s="969">
        <f>IFERROR(Таблица47[[#This Row],[Коли-
чество м.п.]]/Таблица47[[#This Row],[Количество хлыстов]],"")</f>
        <v>1</v>
      </c>
      <c r="S896" s="961" t="s">
        <v>5796</v>
      </c>
      <c r="T896" s="961">
        <v>12</v>
      </c>
      <c r="U896" s="970">
        <v>12</v>
      </c>
      <c r="V896" s="961">
        <v>1.2</v>
      </c>
      <c r="W896" s="961">
        <v>2.242</v>
      </c>
      <c r="X896" s="961">
        <v>14.4</v>
      </c>
      <c r="Y896" s="961">
        <v>26.904</v>
      </c>
      <c r="Z896" s="961">
        <v>1.87</v>
      </c>
      <c r="AA896" s="961">
        <v>2135</v>
      </c>
      <c r="AB896" s="961">
        <v>1779.17</v>
      </c>
      <c r="AC896" s="971">
        <v>25620.05</v>
      </c>
    </row>
    <row r="897" spans="1:29" customFormat="1" ht="15.75" x14ac:dyDescent="0.25">
      <c r="A897" s="965" t="s">
        <v>4678</v>
      </c>
      <c r="B897" s="962">
        <v>610</v>
      </c>
      <c r="C897" s="962" t="s">
        <v>4753</v>
      </c>
      <c r="D897" s="963" t="s">
        <v>13</v>
      </c>
      <c r="E897" s="963" t="s">
        <v>612</v>
      </c>
      <c r="F897" s="964">
        <v>45597</v>
      </c>
      <c r="G897" s="168"/>
      <c r="H89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7" s="967" t="str">
        <f>CONCATENATE(Таблица47[[#This Row],[№ заявки в 1С]],Таблица47[[#This Row],[Наименование            ]])</f>
        <v>610[93277] Лист АМГ2М 2,5*1500*500 (Д)</v>
      </c>
      <c r="J897" s="967">
        <v>36</v>
      </c>
      <c r="K897" s="967">
        <v>36</v>
      </c>
      <c r="L897" s="967">
        <v>36</v>
      </c>
      <c r="M897" s="522"/>
      <c r="N897" s="968">
        <v>36</v>
      </c>
      <c r="O897" s="1006">
        <f>IFERROR(Таблица47[[#This Row],[Количество хлыстов]]-Таблица47[[#This Row],[Обработано в 1С]]-Таблица47[[#This Row],[Корректировка]],"")</f>
        <v>0</v>
      </c>
      <c r="P897" s="1007">
        <v>3</v>
      </c>
      <c r="Q897" s="963"/>
      <c r="R897" s="969">
        <f>IFERROR(Таблица47[[#This Row],[Коли-
чество м.п.]]/Таблица47[[#This Row],[Количество хлыстов]],"")</f>
        <v>1</v>
      </c>
      <c r="S897" s="961" t="s">
        <v>5684</v>
      </c>
      <c r="T897" s="961">
        <v>36</v>
      </c>
      <c r="U897" s="970">
        <v>36</v>
      </c>
      <c r="V897" s="961">
        <v>1.5</v>
      </c>
      <c r="W897" s="961">
        <v>5</v>
      </c>
      <c r="X897" s="961">
        <v>54</v>
      </c>
      <c r="Y897" s="961">
        <v>180</v>
      </c>
      <c r="Z897" s="961">
        <v>7.02</v>
      </c>
      <c r="AA897" s="961">
        <v>2135</v>
      </c>
      <c r="AB897" s="961">
        <v>1423.33</v>
      </c>
      <c r="AC897" s="971">
        <v>76859.820000000007</v>
      </c>
    </row>
    <row r="898" spans="1:29" customFormat="1" ht="15.75" x14ac:dyDescent="0.25">
      <c r="A898" s="965" t="s">
        <v>4678</v>
      </c>
      <c r="B898" s="962">
        <v>612</v>
      </c>
      <c r="C898" s="962" t="s">
        <v>4753</v>
      </c>
      <c r="D898" s="963" t="s">
        <v>13</v>
      </c>
      <c r="E898" s="963" t="s">
        <v>3752</v>
      </c>
      <c r="F898" s="964">
        <v>45598</v>
      </c>
      <c r="G898" s="168">
        <v>45642</v>
      </c>
      <c r="H89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8" s="967" t="str">
        <f>CONCATENATE(Таблица47[[#This Row],[№ заявки в 1С]],Таблица47[[#This Row],[Наименование            ]])</f>
        <v>612[90361] Профиль 253.02 (45*45) (Д) 6м , 6063 Т6</v>
      </c>
      <c r="J89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</v>
      </c>
      <c r="K89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</v>
      </c>
      <c r="L89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40</v>
      </c>
      <c r="M898" s="522"/>
      <c r="N898" s="968">
        <v>40</v>
      </c>
      <c r="O898" s="1006">
        <f>IFERROR(Таблица47[[#This Row],[Количество хлыстов]]-Таблица47[[#This Row],[Обработано в 1С]]-Таблица47[[#This Row],[Корректировка]],"")</f>
        <v>0</v>
      </c>
      <c r="P898" s="1007">
        <f>IFERROR((((Таблица47[[#This Row],[Осталось сделать, хлыст]]*Таблица47[[#This Row],[длина]])*Таблица47[[#This Row],[Периметр]])/28),"")</f>
        <v>0</v>
      </c>
      <c r="Q898" s="963"/>
      <c r="R898" s="969">
        <f>IFERROR(Таблица47[[#This Row],[Коли-
чество м.п.]]/Таблица47[[#This Row],[Количество хлыстов]],"")</f>
        <v>6</v>
      </c>
      <c r="S898" s="961" t="s">
        <v>5430</v>
      </c>
      <c r="T898" s="961">
        <v>240</v>
      </c>
      <c r="U898" s="970">
        <v>40</v>
      </c>
      <c r="V898" s="961">
        <v>0.18</v>
      </c>
      <c r="W898" s="961">
        <v>0.48</v>
      </c>
      <c r="X898" s="961">
        <v>43.2</v>
      </c>
      <c r="Y898" s="961">
        <v>115.2</v>
      </c>
      <c r="Z898" s="961">
        <v>5.62</v>
      </c>
      <c r="AA898" s="961">
        <v>195.83</v>
      </c>
      <c r="AB898" s="961">
        <v>1087.96</v>
      </c>
      <c r="AC898" s="971">
        <v>47000</v>
      </c>
    </row>
    <row r="899" spans="1:29" customFormat="1" ht="15.75" x14ac:dyDescent="0.25">
      <c r="A899" s="965" t="s">
        <v>4678</v>
      </c>
      <c r="B899" s="962" t="s">
        <v>5803</v>
      </c>
      <c r="C899" s="962"/>
      <c r="D899" s="963" t="s">
        <v>34</v>
      </c>
      <c r="E899" s="963" t="s">
        <v>16</v>
      </c>
      <c r="F899" s="964">
        <v>45598</v>
      </c>
      <c r="G899" s="964"/>
      <c r="H89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899" s="967" t="str">
        <f>CONCATENATE(Таблица47[[#This Row],[№ заявки в 1С]],Таблица47[[#This Row],[Наименование            ]])</f>
        <v>OPT001244[61440] 0106-289, 6,0м, 6063 Т1, упаковка Т-5, под анод тип 1, БА</v>
      </c>
      <c r="J89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841</v>
      </c>
      <c r="K89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841</v>
      </c>
      <c r="L89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839</v>
      </c>
      <c r="M899" s="522">
        <v>2</v>
      </c>
      <c r="N899" s="968">
        <v>839</v>
      </c>
      <c r="O899" s="1006">
        <f>IFERROR(Таблица47[[#This Row],[Количество хлыстов]]-Таблица47[[#This Row],[Обработано в 1С]]-Таблица47[[#This Row],[Корректировка]],"")</f>
        <v>0</v>
      </c>
      <c r="P899" s="1007">
        <f>IFERROR((((Таблица47[[#This Row],[Осталось сделать, хлыст]]*Таблица47[[#This Row],[длина]])*Таблица47[[#This Row],[Периметр]])/28),"")</f>
        <v>0</v>
      </c>
      <c r="Q899" s="963" t="s">
        <v>6068</v>
      </c>
      <c r="R899" s="969">
        <f>IFERROR(Таблица47[[#This Row],[Коли-
чество м.п.]]/Таблица47[[#This Row],[Количество хлыстов]],"")</f>
        <v>6</v>
      </c>
      <c r="S899" s="961" t="s">
        <v>2845</v>
      </c>
      <c r="T899" s="961">
        <v>5046</v>
      </c>
      <c r="U899" s="970">
        <v>841</v>
      </c>
      <c r="V899" s="961">
        <v>0.15909999999999999</v>
      </c>
      <c r="W899" s="961">
        <v>0.26</v>
      </c>
      <c r="X899" s="961">
        <v>802.81859999999995</v>
      </c>
      <c r="Y899" s="961">
        <v>1311.96</v>
      </c>
      <c r="Z899" s="961">
        <v>104.37</v>
      </c>
      <c r="AA899" s="961">
        <v>96.26</v>
      </c>
      <c r="AB899" s="961">
        <v>605</v>
      </c>
      <c r="AC899" s="971">
        <v>485705.25</v>
      </c>
    </row>
    <row r="900" spans="1:29" customFormat="1" ht="15.75" x14ac:dyDescent="0.25">
      <c r="A900" s="965" t="s">
        <v>4678</v>
      </c>
      <c r="B900" s="962" t="s">
        <v>5804</v>
      </c>
      <c r="C900" s="962"/>
      <c r="D900" s="963" t="s">
        <v>34</v>
      </c>
      <c r="E900" s="963" t="s">
        <v>16</v>
      </c>
      <c r="F900" s="964">
        <v>45598</v>
      </c>
      <c r="G900" s="964"/>
      <c r="H900" s="61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0" s="967" t="str">
        <f>CONCATENATE(Таблица47[[#This Row],[№ заявки в 1С]],Таблица47[[#This Row],[Наименование            ]])</f>
        <v>OPT001246[35197] 0106-238, 6,0м, 6063 Т1, упаковка Т-5, под анод тип 1 ,БА</v>
      </c>
      <c r="J90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143</v>
      </c>
      <c r="K90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143</v>
      </c>
      <c r="L90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143</v>
      </c>
      <c r="M900" s="522"/>
      <c r="N900" s="968">
        <v>143</v>
      </c>
      <c r="O900" s="1006">
        <f>IFERROR(Таблица47[[#This Row],[Количество хлыстов]]-Таблица47[[#This Row],[Обработано в 1С]]-Таблица47[[#This Row],[Корректировка]],"")</f>
        <v>0</v>
      </c>
      <c r="P900" s="1007">
        <f>IFERROR((((Таблица47[[#This Row],[Осталось сделать, хлыст]]*Таблица47[[#This Row],[длина]])*Таблица47[[#This Row],[Периметр]])/28),"")</f>
        <v>0</v>
      </c>
      <c r="Q900" s="963"/>
      <c r="R900" s="969">
        <f>IFERROR(Таблица47[[#This Row],[Коли-
чество м.п.]]/Таблица47[[#This Row],[Количество хлыстов]],"")</f>
        <v>6</v>
      </c>
      <c r="S900" s="961" t="s">
        <v>2859</v>
      </c>
      <c r="T900" s="961">
        <v>858</v>
      </c>
      <c r="U900" s="970">
        <v>143</v>
      </c>
      <c r="V900" s="961">
        <v>0.27260000000000001</v>
      </c>
      <c r="W900" s="961">
        <v>0.72899999999999998</v>
      </c>
      <c r="X900" s="961">
        <v>233.89080000000001</v>
      </c>
      <c r="Y900" s="961">
        <v>625.48199999999997</v>
      </c>
      <c r="Z900" s="961">
        <v>30.41</v>
      </c>
      <c r="AA900" s="961">
        <v>124.03</v>
      </c>
      <c r="AB900" s="961">
        <v>455</v>
      </c>
      <c r="AC900" s="971">
        <v>106420.31</v>
      </c>
    </row>
    <row r="901" spans="1:29" customFormat="1" ht="15.75" x14ac:dyDescent="0.25">
      <c r="A901" s="171" t="s">
        <v>4678</v>
      </c>
      <c r="B901" s="625">
        <v>613</v>
      </c>
      <c r="C901" s="625"/>
      <c r="D901" s="162" t="s">
        <v>13</v>
      </c>
      <c r="E901" s="162" t="s">
        <v>5250</v>
      </c>
      <c r="F901" s="168">
        <v>45598</v>
      </c>
      <c r="G901" s="964"/>
      <c r="H90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1" s="967" t="str">
        <f>CONCATENATE(Таблица47[[#This Row],[№ заявки в 1С]],Таблица47[[#This Row],[Наименование            ]])</f>
        <v>613[41589] А 14 (0072-09) Прогон бесполочный, 5,0м, 6063 КР</v>
      </c>
      <c r="J90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0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108</v>
      </c>
      <c r="L90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108</v>
      </c>
      <c r="M901" s="522"/>
      <c r="N901" s="968">
        <v>108</v>
      </c>
      <c r="O901" s="1006">
        <f>IFERROR(Таблица47[[#This Row],[Количество хлыстов]]-Таблица47[[#This Row],[Обработано в 1С]]-Таблица47[[#This Row],[Корректировка]],"")</f>
        <v>0</v>
      </c>
      <c r="P901" s="1007">
        <f>IFERROR((((Таблица47[[#This Row],[Осталось сделать, хлыст]]*Таблица47[[#This Row],[длина]])*Таблица47[[#This Row],[Периметр]])/28),"")</f>
        <v>0</v>
      </c>
      <c r="Q901" s="963"/>
      <c r="R901" s="969">
        <f>IFERROR(Таблица47[[#This Row],[Коли-
чество м.п.]]/Таблица47[[#This Row],[Количество хлыстов]],"")</f>
        <v>5</v>
      </c>
      <c r="S901" s="961" t="s">
        <v>117</v>
      </c>
      <c r="T901" s="961">
        <v>540</v>
      </c>
      <c r="U901" s="970">
        <v>108</v>
      </c>
      <c r="V901" s="961">
        <v>0.1734</v>
      </c>
      <c r="W901" s="961">
        <v>0.35099999999999998</v>
      </c>
      <c r="X901" s="961">
        <v>93.635999999999996</v>
      </c>
      <c r="Y901" s="961">
        <v>189.54</v>
      </c>
      <c r="Z901" s="961">
        <v>12.17</v>
      </c>
      <c r="AA901" s="961">
        <v>78.900000000000006</v>
      </c>
      <c r="AB901" s="961">
        <v>455</v>
      </c>
      <c r="AC901" s="971">
        <v>42604.38</v>
      </c>
    </row>
    <row r="902" spans="1:29" customFormat="1" ht="15.75" x14ac:dyDescent="0.25">
      <c r="A902" s="171" t="s">
        <v>4678</v>
      </c>
      <c r="B902" s="625">
        <v>613</v>
      </c>
      <c r="C902" s="625"/>
      <c r="D902" s="162" t="s">
        <v>13</v>
      </c>
      <c r="E902" s="162" t="s">
        <v>5250</v>
      </c>
      <c r="F902" s="168">
        <v>45598</v>
      </c>
      <c r="G902" s="168"/>
      <c r="H902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2" s="967" t="str">
        <f>CONCATENATE(Таблица47[[#This Row],[№ заявки в 1С]],Таблица47[[#This Row],[Наименование            ]])</f>
        <v>613[62126] А 22 (0073-15), Н-профиль, 5,0м, 6063 Кр</v>
      </c>
      <c r="J90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0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131</v>
      </c>
      <c r="L90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131</v>
      </c>
      <c r="M902" s="522"/>
      <c r="N902" s="968">
        <v>131</v>
      </c>
      <c r="O902" s="1006">
        <f>IFERROR(Таблица47[[#This Row],[Количество хлыстов]]-Таблица47[[#This Row],[Обработано в 1С]]-Таблица47[[#This Row],[Корректировка]],"")</f>
        <v>0</v>
      </c>
      <c r="P902" s="1007">
        <f>IFERROR((((Таблица47[[#This Row],[Осталось сделать, хлыст]]*Таблица47[[#This Row],[длина]])*Таблица47[[#This Row],[Периметр]])/28),"")</f>
        <v>0</v>
      </c>
      <c r="Q902" s="963"/>
      <c r="R902" s="969">
        <f>IFERROR(Таблица47[[#This Row],[Коли-
чество м.п.]]/Таблица47[[#This Row],[Количество хлыстов]],"")</f>
        <v>5</v>
      </c>
      <c r="S902" s="961" t="s">
        <v>3502</v>
      </c>
      <c r="T902" s="961">
        <v>655</v>
      </c>
      <c r="U902" s="970">
        <v>131</v>
      </c>
      <c r="V902" s="961">
        <v>0.13220000000000001</v>
      </c>
      <c r="W902" s="961">
        <v>0.33</v>
      </c>
      <c r="X902" s="961">
        <v>86.590999999999994</v>
      </c>
      <c r="Y902" s="961">
        <v>216.15</v>
      </c>
      <c r="Z902" s="961">
        <v>11.26</v>
      </c>
      <c r="AA902" s="961">
        <v>60.15</v>
      </c>
      <c r="AB902" s="961">
        <v>455</v>
      </c>
      <c r="AC902" s="971">
        <v>39398.910000000003</v>
      </c>
    </row>
    <row r="903" spans="1:29" customFormat="1" ht="15.75" x14ac:dyDescent="0.25">
      <c r="A903" s="171" t="s">
        <v>4678</v>
      </c>
      <c r="B903" s="625">
        <v>613</v>
      </c>
      <c r="C903" s="625"/>
      <c r="D903" s="162" t="s">
        <v>13</v>
      </c>
      <c r="E903" s="200" t="s">
        <v>5250</v>
      </c>
      <c r="F903" s="168">
        <v>45598</v>
      </c>
      <c r="G903" s="168"/>
      <c r="H903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3" s="967" t="str">
        <f>CONCATENATE(Таблица47[[#This Row],[№ заявки в 1С]],Таблица47[[#This Row],[Наименование            ]])</f>
        <v>613[42543] А 31 (0072-06) Прогон бесполочный однопазовый, 5,0м, 6063 КР</v>
      </c>
      <c r="J90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</v>
      </c>
      <c r="K90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366</v>
      </c>
      <c r="L90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285</v>
      </c>
      <c r="M903" s="522">
        <v>2</v>
      </c>
      <c r="N903" s="968">
        <v>285</v>
      </c>
      <c r="O903" s="1006">
        <f>IFERROR(Таблица47[[#This Row],[Количество хлыстов]]-Таблица47[[#This Row],[Обработано в 1С]]-Таблица47[[#This Row],[Корректировка]],"")</f>
        <v>0</v>
      </c>
      <c r="P903" s="1007">
        <f>IFERROR((((Таблица47[[#This Row],[Осталось сделать, хлыст]]*Таблица47[[#This Row],[длина]])*Таблица47[[#This Row],[Периметр]])/28),"")</f>
        <v>0</v>
      </c>
      <c r="Q903" s="963"/>
      <c r="R903" s="969">
        <f>IFERROR(Таблица47[[#This Row],[Коли-
чество м.п.]]/Таблица47[[#This Row],[Количество хлыстов]],"")</f>
        <v>5</v>
      </c>
      <c r="S903" s="961" t="s">
        <v>299</v>
      </c>
      <c r="T903" s="961">
        <v>1435</v>
      </c>
      <c r="U903" s="970">
        <v>287</v>
      </c>
      <c r="V903" s="961">
        <v>0.1381</v>
      </c>
      <c r="W903" s="961">
        <v>0.35199999999999998</v>
      </c>
      <c r="X903" s="961">
        <v>198.17349999999999</v>
      </c>
      <c r="Y903" s="961">
        <v>505.12</v>
      </c>
      <c r="Z903" s="961">
        <v>25.76</v>
      </c>
      <c r="AA903" s="961">
        <v>62.84</v>
      </c>
      <c r="AB903" s="961">
        <v>455</v>
      </c>
      <c r="AC903" s="971">
        <v>90168.94</v>
      </c>
    </row>
    <row r="904" spans="1:29" customFormat="1" ht="15.75" x14ac:dyDescent="0.25">
      <c r="A904" s="965" t="s">
        <v>4678</v>
      </c>
      <c r="B904" s="962">
        <v>608</v>
      </c>
      <c r="C904" s="962" t="s">
        <v>4753</v>
      </c>
      <c r="D904" s="963" t="s">
        <v>34</v>
      </c>
      <c r="E904" s="963" t="s">
        <v>4467</v>
      </c>
      <c r="F904" s="964">
        <v>45597</v>
      </c>
      <c r="G904" s="964"/>
      <c r="H90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4" s="967" t="str">
        <f>CONCATENATE(Таблица47[[#This Row],[№ заявки в 1С]],Таблица47[[#This Row],[Наименование            ]])</f>
        <v>608[91323] д 40х80 B-Rxtr, 6,05м БА</v>
      </c>
      <c r="J904" s="115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6.7355371900826446</v>
      </c>
      <c r="K904" s="115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6.7355371900826446</v>
      </c>
      <c r="L90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</v>
      </c>
      <c r="M904" s="1152">
        <v>1</v>
      </c>
      <c r="N904" s="968">
        <v>6</v>
      </c>
      <c r="O904" s="1006">
        <f>IFERROR(Таблица47[[#This Row],[Количество хлыстов]]-Таблица47[[#This Row],[Обработано в 1С]]-Таблица47[[#This Row],[Корректировка]],"")</f>
        <v>0</v>
      </c>
      <c r="P904" s="1007">
        <f>IFERROR((((Таблица47[[#This Row],[Осталось сделать, хлыст]]*Таблица47[[#This Row],[длина]])*Таблица47[[#This Row],[Периметр]])/28),"")</f>
        <v>0</v>
      </c>
      <c r="Q904" s="963"/>
      <c r="R904" s="969">
        <f>IFERROR(Таблица47[[#This Row],[Коли-
чество м.п.]]/Таблица47[[#This Row],[Количество хлыстов]],"")</f>
        <v>6.05</v>
      </c>
      <c r="S904" s="961" t="s">
        <v>5164</v>
      </c>
      <c r="T904" s="1151">
        <v>42.35</v>
      </c>
      <c r="U904" s="970">
        <v>7</v>
      </c>
      <c r="V904" s="961">
        <v>0.47399999999999998</v>
      </c>
      <c r="W904" s="961">
        <v>2.613</v>
      </c>
      <c r="X904" s="961">
        <v>20.073899999999998</v>
      </c>
      <c r="Y904" s="961">
        <v>110.6606</v>
      </c>
      <c r="Z904" s="961">
        <v>2.61</v>
      </c>
      <c r="AA904" s="961">
        <v>510.04</v>
      </c>
      <c r="AB904" s="961">
        <v>1076.03</v>
      </c>
      <c r="AC904" s="971">
        <v>21600.12</v>
      </c>
    </row>
    <row r="905" spans="1:29" s="966" customFormat="1" ht="15.75" x14ac:dyDescent="0.25">
      <c r="A905" s="419" t="s">
        <v>4978</v>
      </c>
      <c r="B905" s="617">
        <v>614</v>
      </c>
      <c r="C905" s="617"/>
      <c r="D905" s="618" t="s">
        <v>34</v>
      </c>
      <c r="E905" s="618" t="s">
        <v>5016</v>
      </c>
      <c r="F905" s="619">
        <v>45601</v>
      </c>
      <c r="G905" s="619"/>
      <c r="H905" s="618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5" s="1004" t="str">
        <f>CONCATENATE(Таблица47[[#This Row],[№ заявки в 1С]],Таблица47[[#This Row],[Наименование            ]])</f>
        <v>614[13150] N22/34 (0106-142), 6,0м, с перфорацией, БА</v>
      </c>
      <c r="J905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05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05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05" s="620"/>
      <c r="N905" s="677">
        <v>30</v>
      </c>
      <c r="O905" s="1154" t="str">
        <f>IFERROR(Таблица47[[#This Row],[Количество хлыстов]]-Таблица47[[#This Row],[Обработано в 1С]]-Таблица47[[#This Row],[Корректировка]],"")</f>
        <v/>
      </c>
      <c r="P905" s="654" t="str">
        <f>IFERROR((((Таблица47[[#This Row],[Осталось сделать, хлыст]]*Таблица47[[#This Row],[длина]])*Таблица47[[#This Row],[Периметр]])/28),"")</f>
        <v/>
      </c>
      <c r="Q905" s="618"/>
      <c r="R905" s="692">
        <f>IFERROR(Таблица47[[#This Row],[Коли-
чество м.п.]]/Таблица47[[#This Row],[Количество хлыстов]],"")</f>
        <v>6</v>
      </c>
      <c r="S905" s="622" t="s">
        <v>5017</v>
      </c>
      <c r="T905" s="622">
        <v>180</v>
      </c>
      <c r="U905" s="623">
        <v>30</v>
      </c>
      <c r="V905" s="622">
        <v>0.2591</v>
      </c>
      <c r="W905" s="622">
        <v>0.47899999999999998</v>
      </c>
      <c r="X905" s="622">
        <v>46.637999999999998</v>
      </c>
      <c r="Y905" s="622">
        <v>86.22</v>
      </c>
      <c r="Z905" s="622">
        <v>6.06</v>
      </c>
      <c r="AA905" s="622">
        <v>69.959999999999994</v>
      </c>
      <c r="AB905" s="622">
        <v>270</v>
      </c>
      <c r="AC905" s="624">
        <v>12592.26</v>
      </c>
    </row>
    <row r="906" spans="1:29" s="966" customFormat="1" ht="15.75" x14ac:dyDescent="0.25">
      <c r="A906" s="419" t="s">
        <v>4978</v>
      </c>
      <c r="B906" s="617">
        <v>615</v>
      </c>
      <c r="C906" s="617"/>
      <c r="D906" s="618" t="s">
        <v>34</v>
      </c>
      <c r="E906" s="618" t="s">
        <v>5016</v>
      </c>
      <c r="F906" s="619">
        <v>45601</v>
      </c>
      <c r="G906" s="619"/>
      <c r="H906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6" s="1004" t="str">
        <f>CONCATENATE(Таблица47[[#This Row],[№ заявки в 1С]],Таблица47[[#This Row],[Наименование            ]])</f>
        <v>615[13150] N22/34 (0106-142), 6,0м, с перфорацией, БА</v>
      </c>
      <c r="J906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06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06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06" s="620"/>
      <c r="N906" s="677">
        <v>30</v>
      </c>
      <c r="O906" s="1154" t="str">
        <f>IFERROR(Таблица47[[#This Row],[Количество хлыстов]]-Таблица47[[#This Row],[Обработано в 1С]]-Таблица47[[#This Row],[Корректировка]],"")</f>
        <v/>
      </c>
      <c r="P906" s="654" t="str">
        <f>IFERROR((((Таблица47[[#This Row],[Осталось сделать, хлыст]]*Таблица47[[#This Row],[длина]])*Таблица47[[#This Row],[Периметр]])/28),"")</f>
        <v/>
      </c>
      <c r="Q906" s="618"/>
      <c r="R906" s="692">
        <f>IFERROR(Таблица47[[#This Row],[Коли-
чество м.п.]]/Таблица47[[#This Row],[Количество хлыстов]],"")</f>
        <v>6</v>
      </c>
      <c r="S906" s="622" t="s">
        <v>5017</v>
      </c>
      <c r="T906" s="622">
        <v>180</v>
      </c>
      <c r="U906" s="623">
        <v>30</v>
      </c>
      <c r="V906" s="622">
        <v>0.2591</v>
      </c>
      <c r="W906" s="622">
        <v>0.47899999999999998</v>
      </c>
      <c r="X906" s="622">
        <v>46.637999999999998</v>
      </c>
      <c r="Y906" s="622">
        <v>86.22</v>
      </c>
      <c r="Z906" s="622">
        <v>6.06</v>
      </c>
      <c r="AA906" s="622">
        <v>69.959999999999994</v>
      </c>
      <c r="AB906" s="622">
        <v>270</v>
      </c>
      <c r="AC906" s="624">
        <v>12592.26</v>
      </c>
    </row>
    <row r="907" spans="1:29" customFormat="1" ht="15.75" x14ac:dyDescent="0.25">
      <c r="A907" s="965" t="s">
        <v>4678</v>
      </c>
      <c r="B907" s="962">
        <v>616</v>
      </c>
      <c r="C907" s="962" t="s">
        <v>4753</v>
      </c>
      <c r="D907" s="963" t="s">
        <v>34</v>
      </c>
      <c r="E907" s="963" t="s">
        <v>5827</v>
      </c>
      <c r="F907" s="964">
        <v>45603</v>
      </c>
      <c r="G907" s="964"/>
      <c r="H90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7" s="967" t="str">
        <f>CONCATENATE(Таблица47[[#This Row],[№ заявки в 1С]],Таблица47[[#This Row],[Наименование            ]])</f>
        <v>616[90467] Д Основания ТИС-Р-3 (профиль 1111-116), 475мм, БА</v>
      </c>
      <c r="J90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328</v>
      </c>
      <c r="K90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328</v>
      </c>
      <c r="L90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328</v>
      </c>
      <c r="M907" s="522"/>
      <c r="N907" s="968">
        <v>328</v>
      </c>
      <c r="O907" s="1006">
        <f>IFERROR(Таблица47[[#This Row],[Количество хлыстов]]-Таблица47[[#This Row],[Обработано в 1С]]-Таблица47[[#This Row],[Корректировка]],"")</f>
        <v>0</v>
      </c>
      <c r="P907" s="1007">
        <f>IFERROR((((Таблица47[[#This Row],[Осталось сделать, хлыст]]*Таблица47[[#This Row],[длина]])*Таблица47[[#This Row],[Периметр]])/28),"")</f>
        <v>0</v>
      </c>
      <c r="Q907" s="963"/>
      <c r="R907" s="969">
        <f>IFERROR(Таблица47[[#This Row],[Коли-
чество м.п.]]/Таблица47[[#This Row],[Количество хлыстов]],"")</f>
        <v>1</v>
      </c>
      <c r="S907" s="961" t="s">
        <v>5083</v>
      </c>
      <c r="T907" s="961">
        <v>328</v>
      </c>
      <c r="U907" s="970">
        <v>328</v>
      </c>
      <c r="V907" s="961">
        <v>0.66020000000000001</v>
      </c>
      <c r="W907" s="961">
        <v>2.6480000000000001</v>
      </c>
      <c r="X907" s="961">
        <v>216.54560000000001</v>
      </c>
      <c r="Y907" s="961">
        <v>868.54399999999998</v>
      </c>
      <c r="Z907" s="961">
        <v>28.15</v>
      </c>
      <c r="AA907" s="961">
        <v>668.6</v>
      </c>
      <c r="AB907" s="961">
        <v>1012.72</v>
      </c>
      <c r="AC907" s="971">
        <v>219300</v>
      </c>
    </row>
    <row r="908" spans="1:29" s="966" customFormat="1" ht="15.75" x14ac:dyDescent="0.25">
      <c r="A908" s="419" t="s">
        <v>4978</v>
      </c>
      <c r="B908" s="617">
        <v>617</v>
      </c>
      <c r="C908" s="617"/>
      <c r="D908" s="618" t="s">
        <v>34</v>
      </c>
      <c r="E908" s="618" t="s">
        <v>45</v>
      </c>
      <c r="F908" s="619">
        <v>45604</v>
      </c>
      <c r="G908" s="619"/>
      <c r="H908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8" s="1004" t="str">
        <f>CONCATENATE(Таблица47[[#This Row],[№ заявки в 1С]],Таблица47[[#This Row],[Наименование            ]])</f>
        <v>617[18639] 0306-68 3,0м, 6063 Т6, упаковка Т-5, БА</v>
      </c>
      <c r="J908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08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08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08" s="620"/>
      <c r="N908" s="677">
        <v>90</v>
      </c>
      <c r="O908" s="1154" t="str">
        <f>IFERROR(Таблица47[[#This Row],[Количество хлыстов]]-Таблица47[[#This Row],[Обработано в 1С]]-Таблица47[[#This Row],[Корректировка]],"")</f>
        <v/>
      </c>
      <c r="P908" s="654" t="str">
        <f>IFERROR((((Таблица47[[#This Row],[Осталось сделать, хлыст]]*Таблица47[[#This Row],[длина]])*Таблица47[[#This Row],[Периметр]])/28),"")</f>
        <v/>
      </c>
      <c r="Q908" s="618"/>
      <c r="R908" s="692">
        <f>IFERROR(Таблица47[[#This Row],[Коли-
чество м.п.]]/Таблица47[[#This Row],[Количество хлыстов]],"")</f>
        <v>3</v>
      </c>
      <c r="S908" s="622" t="s">
        <v>5159</v>
      </c>
      <c r="T908" s="622">
        <v>270</v>
      </c>
      <c r="U908" s="623">
        <v>90</v>
      </c>
      <c r="V908" s="622">
        <v>0.36620000000000003</v>
      </c>
      <c r="W908" s="622">
        <v>2.0230000000000001</v>
      </c>
      <c r="X908" s="622">
        <v>98.873999999999995</v>
      </c>
      <c r="Y908" s="622">
        <v>546.21</v>
      </c>
      <c r="Z908" s="622">
        <v>12.85</v>
      </c>
      <c r="AA908" s="622">
        <v>120.75</v>
      </c>
      <c r="AB908" s="622">
        <v>329.75</v>
      </c>
      <c r="AC908" s="624">
        <v>32603.7</v>
      </c>
    </row>
    <row r="909" spans="1:29" s="966" customFormat="1" ht="15.75" x14ac:dyDescent="0.25">
      <c r="A909" s="419" t="s">
        <v>4978</v>
      </c>
      <c r="B909" s="617">
        <v>618</v>
      </c>
      <c r="C909" s="617"/>
      <c r="D909" s="618" t="s">
        <v>34</v>
      </c>
      <c r="E909" s="618" t="s">
        <v>45</v>
      </c>
      <c r="F909" s="619">
        <v>45604</v>
      </c>
      <c r="G909" s="619"/>
      <c r="H909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09" s="1004" t="str">
        <f>CONCATENATE(Таблица47[[#This Row],[№ заявки в 1С]],Таблица47[[#This Row],[Наименование            ]])</f>
        <v>618[25954] 0306-68, 3,0м, БЦ с дробью + стрейч</v>
      </c>
      <c r="J909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09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09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09" s="620">
        <v>1</v>
      </c>
      <c r="N909" s="677">
        <v>2</v>
      </c>
      <c r="O909" s="1154" t="str">
        <f>IFERROR(Таблица47[[#This Row],[Количество хлыстов]]-Таблица47[[#This Row],[Обработано в 1С]]-Таблица47[[#This Row],[Корректировка]],"")</f>
        <v/>
      </c>
      <c r="P909" s="654" t="str">
        <f>IFERROR((((Таблица47[[#This Row],[Осталось сделать, хлыст]]*Таблица47[[#This Row],[длина]])*Таблица47[[#This Row],[Периметр]])/28),"")</f>
        <v/>
      </c>
      <c r="Q909" s="618" t="s">
        <v>5913</v>
      </c>
      <c r="R909" s="692">
        <f>IFERROR(Таблица47[[#This Row],[Коли-
чество м.п.]]/Таблица47[[#This Row],[Количество хлыстов]],"")</f>
        <v>3</v>
      </c>
      <c r="S909" s="622" t="s">
        <v>5462</v>
      </c>
      <c r="T909" s="622">
        <v>9</v>
      </c>
      <c r="U909" s="623">
        <v>3</v>
      </c>
      <c r="V909" s="622">
        <v>0.36620000000000003</v>
      </c>
      <c r="W909" s="622">
        <v>2.0230000000000001</v>
      </c>
      <c r="X909" s="622">
        <v>3.2957999999999998</v>
      </c>
      <c r="Y909" s="622">
        <v>18.207000000000001</v>
      </c>
      <c r="Z909" s="622">
        <v>0.43</v>
      </c>
      <c r="AA909" s="622">
        <v>120.75</v>
      </c>
      <c r="AB909" s="622">
        <v>329.75</v>
      </c>
      <c r="AC909" s="624">
        <v>1086.79</v>
      </c>
    </row>
    <row r="910" spans="1:29" customFormat="1" ht="15.75" x14ac:dyDescent="0.25">
      <c r="A910" s="965" t="s">
        <v>4678</v>
      </c>
      <c r="B910" s="962">
        <v>620</v>
      </c>
      <c r="C910" s="962"/>
      <c r="D910" s="963" t="s">
        <v>13</v>
      </c>
      <c r="E910" s="963" t="s">
        <v>37</v>
      </c>
      <c r="F910" s="964">
        <v>45607</v>
      </c>
      <c r="G910" s="964"/>
      <c r="H91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0" s="967" t="str">
        <f>CONCATENATE(Таблица47[[#This Row],[№ заявки в 1С]],Таблица47[[#This Row],[Наименование            ]])</f>
        <v>620[83730] 1606-65, 3,0м, 6063 Т1</v>
      </c>
      <c r="J91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701</v>
      </c>
      <c r="K91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701</v>
      </c>
      <c r="L91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701</v>
      </c>
      <c r="M910" s="522"/>
      <c r="N910" s="968">
        <v>701</v>
      </c>
      <c r="O910" s="1006">
        <f>IFERROR(Таблица47[[#This Row],[Количество хлыстов]]-Таблица47[[#This Row],[Обработано в 1С]]-Таблица47[[#This Row],[Корректировка]],"")</f>
        <v>0</v>
      </c>
      <c r="P910" s="1007">
        <f>IFERROR((((Таблица47[[#This Row],[Осталось сделать, хлыст]]*Таблица47[[#This Row],[длина]])*Таблица47[[#This Row],[Периметр]])/28),"")</f>
        <v>0</v>
      </c>
      <c r="Q910" s="970">
        <f>Таблица47[[#This Row],[Площадь общая, м2]]/28</f>
        <v>5.6705892857142857</v>
      </c>
      <c r="R910" s="969">
        <f>IFERROR(Таблица47[[#This Row],[Коли-
чество м.п.]]/Таблица47[[#This Row],[Количество хлыстов]],"")</f>
        <v>3</v>
      </c>
      <c r="S910" s="961" t="s">
        <v>3802</v>
      </c>
      <c r="T910" s="961">
        <v>2103</v>
      </c>
      <c r="U910" s="970">
        <v>701</v>
      </c>
      <c r="V910" s="961">
        <v>7.5499999999999998E-2</v>
      </c>
      <c r="W910" s="961">
        <v>0.248</v>
      </c>
      <c r="X910" s="961">
        <v>158.7765</v>
      </c>
      <c r="Y910" s="961">
        <v>521.54399999999998</v>
      </c>
      <c r="Z910" s="961">
        <v>20.64</v>
      </c>
      <c r="AA910" s="961">
        <v>44.32</v>
      </c>
      <c r="AB910" s="961">
        <v>587</v>
      </c>
      <c r="AC910" s="971">
        <v>93201.81</v>
      </c>
    </row>
    <row r="911" spans="1:29" customFormat="1" ht="15.75" x14ac:dyDescent="0.25">
      <c r="A911" s="171" t="s">
        <v>4678</v>
      </c>
      <c r="B911" s="625">
        <v>621</v>
      </c>
      <c r="C911" s="625"/>
      <c r="D911" s="162" t="s">
        <v>13</v>
      </c>
      <c r="E911" s="162" t="s">
        <v>556</v>
      </c>
      <c r="F911" s="168">
        <v>45607</v>
      </c>
      <c r="G911" s="964"/>
      <c r="H91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1" s="967" t="str">
        <f>CONCATENATE(Таблица47[[#This Row],[№ заявки в 1С]],Таблица47[[#This Row],[Наименование            ]])</f>
        <v>621[87833] 1806-93, 6,0м, сплав 6063 КР, состТ6, упаковка.Т5</v>
      </c>
      <c r="J91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309</v>
      </c>
      <c r="K91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309</v>
      </c>
      <c r="L91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308</v>
      </c>
      <c r="M911" s="522">
        <v>1</v>
      </c>
      <c r="N911" s="968">
        <v>308</v>
      </c>
      <c r="O911" s="1006">
        <f>IFERROR(Таблица47[[#This Row],[Количество хлыстов]]-Таблица47[[#This Row],[Обработано в 1С]]-Таблица47[[#This Row],[Корректировка]],"")</f>
        <v>0</v>
      </c>
      <c r="P911" s="1007">
        <f>IFERROR((((Таблица47[[#This Row],[Осталось сделать, хлыст]]*Таблица47[[#This Row],[длина]])*Таблица47[[#This Row],[Периметр]])/28),"")</f>
        <v>0</v>
      </c>
      <c r="Q911" s="970">
        <f>Таблица47[[#This Row],[Площадь общая, м2]]/28</f>
        <v>27.743785714285714</v>
      </c>
      <c r="R911" s="969">
        <f>IFERROR(Таблица47[[#This Row],[Коли-
чество м.п.]]/Таблица47[[#This Row],[Количество хлыстов]],"")</f>
        <v>6</v>
      </c>
      <c r="S911" s="961" t="s">
        <v>4785</v>
      </c>
      <c r="T911" s="961">
        <v>1854</v>
      </c>
      <c r="U911" s="970">
        <v>309</v>
      </c>
      <c r="V911" s="961">
        <v>0.41899999999999998</v>
      </c>
      <c r="W911" s="961">
        <v>0.75800000000000001</v>
      </c>
      <c r="X911" s="961">
        <v>776.82600000000002</v>
      </c>
      <c r="Y911" s="961">
        <v>1405.3320000000001</v>
      </c>
      <c r="Z911" s="961">
        <v>100.99</v>
      </c>
      <c r="AA911" s="961">
        <v>190.65</v>
      </c>
      <c r="AB911" s="961">
        <v>455</v>
      </c>
      <c r="AC911" s="971">
        <v>353455.83</v>
      </c>
    </row>
    <row r="912" spans="1:29" customFormat="1" ht="15.75" x14ac:dyDescent="0.25">
      <c r="A912" s="965" t="s">
        <v>4678</v>
      </c>
      <c r="B912" s="962">
        <v>622</v>
      </c>
      <c r="C912" s="962"/>
      <c r="D912" s="963" t="s">
        <v>13</v>
      </c>
      <c r="E912" s="963" t="s">
        <v>892</v>
      </c>
      <c r="F912" s="964">
        <v>45607</v>
      </c>
      <c r="G912" s="964"/>
      <c r="H91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2" s="967" t="str">
        <f>CONCATENATE(Таблица47[[#This Row],[№ заявки в 1С]],Таблица47[[#This Row],[Наименование            ]])</f>
        <v>622[76596] 1606-39 (197.04) 4,85 м, сплав 6063 КР Т6, упковка Т5</v>
      </c>
      <c r="J91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569</v>
      </c>
      <c r="K91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569</v>
      </c>
      <c r="L91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569</v>
      </c>
      <c r="M912" s="522"/>
      <c r="N912" s="968">
        <v>569</v>
      </c>
      <c r="O912" s="1006">
        <f>IFERROR(Таблица47[[#This Row],[Количество хлыстов]]-Таблица47[[#This Row],[Обработано в 1С]]-Таблица47[[#This Row],[Корректировка]],"")</f>
        <v>0</v>
      </c>
      <c r="P912" s="1007">
        <f>IFERROR((((Таблица47[[#This Row],[Осталось сделать, хлыст]]*Таблица47[[#This Row],[длина]])*Таблица47[[#This Row],[Периметр]])/28),"")</f>
        <v>0</v>
      </c>
      <c r="Q912" s="970">
        <f>Таблица47[[#This Row],[Площадь общая, м2]]/28</f>
        <v>9.4222321428571423</v>
      </c>
      <c r="R912" s="969">
        <f>IFERROR(Таблица47[[#This Row],[Коли-
чество м.п.]]/Таблица47[[#This Row],[Количество хлыстов]],"")</f>
        <v>4.8500000000000005</v>
      </c>
      <c r="S912" s="961" t="s">
        <v>2841</v>
      </c>
      <c r="T912" s="961">
        <v>2759.65</v>
      </c>
      <c r="U912" s="970">
        <v>569</v>
      </c>
      <c r="V912" s="961">
        <v>9.5600000000000004E-2</v>
      </c>
      <c r="W912" s="961">
        <v>0.16</v>
      </c>
      <c r="X912" s="961">
        <v>263.82249999999999</v>
      </c>
      <c r="Y912" s="961">
        <v>441.54399999999998</v>
      </c>
      <c r="Z912" s="961">
        <v>34.299999999999997</v>
      </c>
      <c r="AA912" s="961">
        <v>49.23</v>
      </c>
      <c r="AB912" s="961">
        <v>515</v>
      </c>
      <c r="AC912" s="971">
        <v>135868.60999999999</v>
      </c>
    </row>
    <row r="913" spans="1:29" customFormat="1" ht="15.75" x14ac:dyDescent="0.25">
      <c r="A913" s="965" t="s">
        <v>4678</v>
      </c>
      <c r="B913" s="962">
        <v>623</v>
      </c>
      <c r="C913" s="962"/>
      <c r="D913" s="963" t="s">
        <v>34</v>
      </c>
      <c r="E913" s="963" t="s">
        <v>201</v>
      </c>
      <c r="F913" s="964">
        <v>45607</v>
      </c>
      <c r="G913" s="964"/>
      <c r="H91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3" s="967" t="str">
        <f>CONCATENATE(Таблица47[[#This Row],[№ заявки в 1С]],Таблица47[[#This Row],[Наименование            ]])</f>
        <v>623[92807] 1406-05, 5,45м,6063 Т6 под анод, упак. Т-5</v>
      </c>
      <c r="J91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58</v>
      </c>
      <c r="K91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58</v>
      </c>
      <c r="L91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58</v>
      </c>
      <c r="M913" s="522"/>
      <c r="N913" s="968">
        <v>58</v>
      </c>
      <c r="O913" s="1006">
        <f>IFERROR(Таблица47[[#This Row],[Количество хлыстов]]-Таблица47[[#This Row],[Обработано в 1С]]-Таблица47[[#This Row],[Корректировка]],"")</f>
        <v>0</v>
      </c>
      <c r="P913" s="1007">
        <f>IFERROR((((Таблица47[[#This Row],[Осталось сделать, хлыст]]*Таблица47[[#This Row],[длина]])*Таблица47[[#This Row],[Периметр]])/28),"")</f>
        <v>0</v>
      </c>
      <c r="Q913" s="963"/>
      <c r="R913" s="969">
        <f>IFERROR(Таблица47[[#This Row],[Коли-
чество м.п.]]/Таблица47[[#This Row],[Количество хлыстов]],"")</f>
        <v>5.45</v>
      </c>
      <c r="S913" s="961" t="s">
        <v>5320</v>
      </c>
      <c r="T913" s="961">
        <v>316.10000000000002</v>
      </c>
      <c r="U913" s="970">
        <v>58</v>
      </c>
      <c r="V913" s="961">
        <v>0.68820000000000003</v>
      </c>
      <c r="W913" s="961">
        <v>3.2480000000000002</v>
      </c>
      <c r="X913" s="961">
        <v>217.54</v>
      </c>
      <c r="Y913" s="961">
        <v>1026.6928</v>
      </c>
      <c r="Z913" s="961">
        <v>28.28</v>
      </c>
      <c r="AA913" s="961">
        <v>313.13</v>
      </c>
      <c r="AB913" s="961">
        <v>455</v>
      </c>
      <c r="AC913" s="971">
        <v>98980.71</v>
      </c>
    </row>
    <row r="914" spans="1:29" customFormat="1" ht="15.75" x14ac:dyDescent="0.25">
      <c r="A914" s="965" t="s">
        <v>4678</v>
      </c>
      <c r="B914" s="962">
        <v>624</v>
      </c>
      <c r="C914" s="962"/>
      <c r="D914" s="963" t="s">
        <v>34</v>
      </c>
      <c r="E914" s="963" t="s">
        <v>14</v>
      </c>
      <c r="F914" s="964">
        <v>45607</v>
      </c>
      <c r="G914" s="964"/>
      <c r="H91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4" s="967" t="str">
        <f>CONCATENATE(Таблица47[[#This Row],[№ заявки в 1С]],Таблица47[[#This Row],[Наименование            ]])</f>
        <v>624[59210] 0906-89, 6,05м, сплав 6063КР Т6, упак.Т5</v>
      </c>
      <c r="J91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174</v>
      </c>
      <c r="K91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174</v>
      </c>
      <c r="L91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174</v>
      </c>
      <c r="M914" s="522"/>
      <c r="N914" s="968">
        <v>174</v>
      </c>
      <c r="O914" s="1006">
        <f>IFERROR(Таблица47[[#This Row],[Количество хлыстов]]-Таблица47[[#This Row],[Обработано в 1С]]-Таблица47[[#This Row],[Корректировка]],"")</f>
        <v>0</v>
      </c>
      <c r="P914" s="1007">
        <f>IFERROR((((Таблица47[[#This Row],[Осталось сделать, хлыст]]*Таблица47[[#This Row],[длина]])*Таблица47[[#This Row],[Периметр]])/28),"")</f>
        <v>0</v>
      </c>
      <c r="Q914" s="963"/>
      <c r="R914" s="969">
        <f>IFERROR(Таблица47[[#This Row],[Коли-
чество м.п.]]/Таблица47[[#This Row],[Количество хлыстов]],"")</f>
        <v>6.05</v>
      </c>
      <c r="S914" s="961" t="s">
        <v>5253</v>
      </c>
      <c r="T914" s="961">
        <v>1052.7</v>
      </c>
      <c r="U914" s="970">
        <v>174</v>
      </c>
      <c r="V914" s="961">
        <v>0.223</v>
      </c>
      <c r="W914" s="961">
        <v>1.0349999999999999</v>
      </c>
      <c r="X914" s="961">
        <v>234.75210000000001</v>
      </c>
      <c r="Y914" s="961">
        <v>1089.5445</v>
      </c>
      <c r="Z914" s="961">
        <v>30.52</v>
      </c>
      <c r="AA914" s="961">
        <v>98.12</v>
      </c>
      <c r="AB914" s="961">
        <v>440</v>
      </c>
      <c r="AC914" s="971">
        <v>103290.92</v>
      </c>
    </row>
    <row r="915" spans="1:29" customFormat="1" ht="15.75" x14ac:dyDescent="0.25">
      <c r="A915" s="965" t="s">
        <v>4678</v>
      </c>
      <c r="B915" s="962">
        <v>625</v>
      </c>
      <c r="C915" s="962"/>
      <c r="D915" s="963" t="s">
        <v>34</v>
      </c>
      <c r="E915" s="963" t="s">
        <v>3404</v>
      </c>
      <c r="F915" s="964">
        <v>45607</v>
      </c>
      <c r="G915" s="964"/>
      <c r="H91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5" s="967" t="str">
        <f>CONCATENATE(Таблица47[[#This Row],[№ заявки в 1С]],Таблица47[[#This Row],[Наименование            ]])</f>
        <v>625[81578] 1706-68, 6,0м, 6063 Т1, упаковка Т-5, БА</v>
      </c>
      <c r="J91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553</v>
      </c>
      <c r="K91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553</v>
      </c>
      <c r="L91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544</v>
      </c>
      <c r="M915" s="522">
        <v>9</v>
      </c>
      <c r="N915" s="968">
        <v>544</v>
      </c>
      <c r="O915" s="1006">
        <f>IFERROR(Таблица47[[#This Row],[Количество хлыстов]]-Таблица47[[#This Row],[Обработано в 1С]]-Таблица47[[#This Row],[Корректировка]],"")</f>
        <v>0</v>
      </c>
      <c r="P915" s="1007">
        <f>IFERROR((((Таблица47[[#This Row],[Осталось сделать, хлыст]]*Таблица47[[#This Row],[длина]])*Таблица47[[#This Row],[Периметр]])/28),"")</f>
        <v>0</v>
      </c>
      <c r="Q915" s="963" t="s">
        <v>5945</v>
      </c>
      <c r="R915" s="969">
        <f>IFERROR(Таблица47[[#This Row],[Коли-
чество м.п.]]/Таблица47[[#This Row],[Количество хлыстов]],"")</f>
        <v>6</v>
      </c>
      <c r="S915" s="961" t="s">
        <v>4582</v>
      </c>
      <c r="T915" s="961">
        <v>3318</v>
      </c>
      <c r="U915" s="970">
        <v>553</v>
      </c>
      <c r="V915" s="961">
        <v>0.10100000000000001</v>
      </c>
      <c r="W915" s="961">
        <v>0.30599999999999999</v>
      </c>
      <c r="X915" s="961">
        <v>335.11799999999999</v>
      </c>
      <c r="Y915" s="961">
        <v>1015.308</v>
      </c>
      <c r="Z915" s="961">
        <v>43.57</v>
      </c>
      <c r="AA915" s="961">
        <v>39.9</v>
      </c>
      <c r="AB915" s="961">
        <v>395</v>
      </c>
      <c r="AC915" s="971">
        <v>132371.60999999999</v>
      </c>
    </row>
    <row r="916" spans="1:29" customFormat="1" ht="15.75" x14ac:dyDescent="0.25">
      <c r="A916" s="965" t="s">
        <v>4678</v>
      </c>
      <c r="B916" s="962">
        <v>625</v>
      </c>
      <c r="C916" s="962"/>
      <c r="D916" s="963" t="s">
        <v>34</v>
      </c>
      <c r="E916" s="963" t="s">
        <v>3404</v>
      </c>
      <c r="F916" s="964">
        <v>45607</v>
      </c>
      <c r="G916" s="964"/>
      <c r="H91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6" s="967" t="str">
        <f>CONCATENATE(Таблица47[[#This Row],[№ заявки в 1С]],Таблица47[[#This Row],[Наименование            ]])</f>
        <v>625[81738] 1706-70, 6,0м, 6063 Т1, упаковка Т-5, БА</v>
      </c>
      <c r="J91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546</v>
      </c>
      <c r="K91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546</v>
      </c>
      <c r="L91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545</v>
      </c>
      <c r="M916" s="522">
        <v>1</v>
      </c>
      <c r="N916" s="968">
        <v>545</v>
      </c>
      <c r="O916" s="1006">
        <f>IFERROR(Таблица47[[#This Row],[Количество хлыстов]]-Таблица47[[#This Row],[Обработано в 1С]]-Таблица47[[#This Row],[Корректировка]],"")</f>
        <v>0</v>
      </c>
      <c r="P916" s="1007">
        <f>IFERROR((((Таблица47[[#This Row],[Осталось сделать, хлыст]]*Таблица47[[#This Row],[длина]])*Таблица47[[#This Row],[Периметр]])/28),"")</f>
        <v>0</v>
      </c>
      <c r="Q916" s="963"/>
      <c r="R916" s="969">
        <f>IFERROR(Таблица47[[#This Row],[Коли-
чество м.п.]]/Таблица47[[#This Row],[Количество хлыстов]],"")</f>
        <v>6</v>
      </c>
      <c r="S916" s="961" t="s">
        <v>4378</v>
      </c>
      <c r="T916" s="961">
        <v>3276</v>
      </c>
      <c r="U916" s="970">
        <v>546</v>
      </c>
      <c r="V916" s="961">
        <v>0.25169999999999998</v>
      </c>
      <c r="W916" s="961">
        <v>0.56699999999999995</v>
      </c>
      <c r="X916" s="961">
        <v>824.56920000000002</v>
      </c>
      <c r="Y916" s="961">
        <v>1857.492</v>
      </c>
      <c r="Z916" s="961">
        <v>107.19</v>
      </c>
      <c r="AA916" s="961">
        <v>99.42</v>
      </c>
      <c r="AB916" s="961">
        <v>395</v>
      </c>
      <c r="AC916" s="971">
        <v>325704.83</v>
      </c>
    </row>
    <row r="917" spans="1:29" customFormat="1" ht="15.75" x14ac:dyDescent="0.25">
      <c r="A917" s="965" t="s">
        <v>4678</v>
      </c>
      <c r="B917" s="962">
        <v>625</v>
      </c>
      <c r="C917" s="962"/>
      <c r="D917" s="963" t="s">
        <v>34</v>
      </c>
      <c r="E917" s="963" t="s">
        <v>3404</v>
      </c>
      <c r="F917" s="964">
        <v>45607</v>
      </c>
      <c r="G917" s="964"/>
      <c r="H91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7" s="967" t="str">
        <f>CONCATENATE(Таблица47[[#This Row],[№ заявки в 1С]],Таблица47[[#This Row],[Наименование            ]])</f>
        <v>625[89761] 2606-58, 6,0м, сплав 6063 Т5 (под гибку), упак. Т5</v>
      </c>
      <c r="J91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126</v>
      </c>
      <c r="K91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126</v>
      </c>
      <c r="L91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126</v>
      </c>
      <c r="M917" s="522"/>
      <c r="N917" s="968">
        <v>126</v>
      </c>
      <c r="O917" s="1006">
        <f>IFERROR(Таблица47[[#This Row],[Количество хлыстов]]-Таблица47[[#This Row],[Обработано в 1С]]-Таблица47[[#This Row],[Корректировка]],"")</f>
        <v>0</v>
      </c>
      <c r="P917" s="1007">
        <f>IFERROR((((Таблица47[[#This Row],[Осталось сделать, хлыст]]*Таблица47[[#This Row],[длина]])*Таблица47[[#This Row],[Периметр]])/28),"")</f>
        <v>0</v>
      </c>
      <c r="Q917" s="963"/>
      <c r="R917" s="969">
        <f>IFERROR(Таблица47[[#This Row],[Коли-
чество м.п.]]/Таблица47[[#This Row],[Количество хлыстов]],"")</f>
        <v>6</v>
      </c>
      <c r="S917" s="961" t="s">
        <v>5091</v>
      </c>
      <c r="T917" s="961">
        <v>756</v>
      </c>
      <c r="U917" s="970">
        <v>126</v>
      </c>
      <c r="V917" s="961">
        <v>0.1883</v>
      </c>
      <c r="W917" s="961">
        <v>0.318</v>
      </c>
      <c r="X917" s="961">
        <v>142.35480000000001</v>
      </c>
      <c r="Y917" s="961">
        <v>240.40799999999999</v>
      </c>
      <c r="Z917" s="961">
        <v>18.510000000000002</v>
      </c>
      <c r="AA917" s="961">
        <v>74.38</v>
      </c>
      <c r="AB917" s="961">
        <v>395</v>
      </c>
      <c r="AC917" s="971">
        <v>56230.15</v>
      </c>
    </row>
    <row r="918" spans="1:29" customFormat="1" ht="15.75" x14ac:dyDescent="0.25">
      <c r="A918" s="147" t="s">
        <v>4678</v>
      </c>
      <c r="B918" s="521" t="s">
        <v>5844</v>
      </c>
      <c r="C918" s="521"/>
      <c r="D918" s="142" t="s">
        <v>34</v>
      </c>
      <c r="E918" s="142" t="s">
        <v>16</v>
      </c>
      <c r="F918" s="143">
        <v>45607</v>
      </c>
      <c r="G918" s="143"/>
      <c r="H918" s="14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18" s="522" t="str">
        <f>CONCATENATE(Таблица47[[#This Row],[№ заявки в 1С]],Таблица47[[#This Row],[Наименование            ]])</f>
        <v>OPT001284[13620] 0106-290 (6158), 6,0м, 6063 Т1, тип 1, упаковка Т-5, БА</v>
      </c>
      <c r="J918" s="522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160</v>
      </c>
      <c r="K918" s="522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160</v>
      </c>
      <c r="L918" s="522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160</v>
      </c>
      <c r="M918" s="522"/>
      <c r="N918" s="393">
        <v>160</v>
      </c>
      <c r="O918" s="1006">
        <f>IFERROR(Таблица47[[#This Row],[Количество хлыстов]]-Таблица47[[#This Row],[Обработано в 1С]]-Таблица47[[#This Row],[Корректировка]],"")</f>
        <v>0</v>
      </c>
      <c r="P918" s="1007">
        <f>IFERROR((((Таблица47[[#This Row],[Осталось сделать, хлыст]]*Таблица47[[#This Row],[длина]])*Таблица47[[#This Row],[Периметр]])/28),"")</f>
        <v>0</v>
      </c>
      <c r="Q918" s="142"/>
      <c r="R918" s="280">
        <f>IFERROR(Таблица47[[#This Row],[Коли-
чество м.п.]]/Таблица47[[#This Row],[Количество хлыстов]],"")</f>
        <v>6</v>
      </c>
      <c r="S918" s="525" t="s">
        <v>5693</v>
      </c>
      <c r="T918" s="525">
        <v>960</v>
      </c>
      <c r="U918" s="526">
        <v>160</v>
      </c>
      <c r="V918" s="525">
        <v>0.29970000000000002</v>
      </c>
      <c r="W918" s="525">
        <v>1.6739999999999999</v>
      </c>
      <c r="X918" s="525">
        <v>287.71199999999999</v>
      </c>
      <c r="Y918" s="525">
        <v>1607.04</v>
      </c>
      <c r="Z918" s="525">
        <v>37.4</v>
      </c>
      <c r="AA918" s="525">
        <v>136.36000000000001</v>
      </c>
      <c r="AB918" s="525">
        <v>455</v>
      </c>
      <c r="AC918" s="527">
        <v>130908.96</v>
      </c>
    </row>
    <row r="919" spans="1:29" s="966" customFormat="1" ht="15.75" x14ac:dyDescent="0.25">
      <c r="A919" s="419" t="s">
        <v>4978</v>
      </c>
      <c r="B919" s="617">
        <v>626</v>
      </c>
      <c r="C919" s="617"/>
      <c r="D919" s="618" t="s">
        <v>34</v>
      </c>
      <c r="E919" s="618" t="s">
        <v>4807</v>
      </c>
      <c r="F919" s="619">
        <v>45608</v>
      </c>
      <c r="G919" s="619"/>
      <c r="H919" s="618" t="s">
        <v>23</v>
      </c>
      <c r="I919" s="620" t="str">
        <f>CONCATENATE(Таблица47[[#This Row],[№ заявки в 1С]],Таблица47[[#This Row],[Наименование            ]])</f>
        <v>626[39525] 215233, рама верх R8/R10, 5,1 м, сплав 6060 Т66, БА</v>
      </c>
      <c r="J919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19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19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19" s="620"/>
      <c r="N919" s="677">
        <v>168</v>
      </c>
      <c r="O919" s="1154" t="str">
        <f>IFERROR(Таблица47[[#This Row],[Количество хлыстов]]-Таблица47[[#This Row],[Обработано в 1С]]-Таблица47[[#This Row],[Корректировка]],"")</f>
        <v/>
      </c>
      <c r="P919" s="654" t="str">
        <f>IFERROR((((Таблица47[[#This Row],[Осталось сделать, хлыст]]*Таблица47[[#This Row],[длина]])*Таблица47[[#This Row],[Периметр]])/28),"")</f>
        <v/>
      </c>
      <c r="Q919" s="618"/>
      <c r="R919" s="692">
        <f>IFERROR(Таблица47[[#This Row],[Коли-
чество м.п.]]/Таблица47[[#This Row],[Количество хлыстов]],"")</f>
        <v>5.0999999999999996</v>
      </c>
      <c r="S919" s="622" t="s">
        <v>5119</v>
      </c>
      <c r="T919" s="622">
        <v>1101.5999999999999</v>
      </c>
      <c r="U919" s="623">
        <v>216</v>
      </c>
      <c r="V919" s="622">
        <v>0.19020000000000001</v>
      </c>
      <c r="W919" s="622">
        <v>0.48699999999999999</v>
      </c>
      <c r="X919" s="622">
        <v>209.52430000000001</v>
      </c>
      <c r="Y919" s="622">
        <v>536.47919999999999</v>
      </c>
      <c r="Z919" s="622">
        <v>27.24</v>
      </c>
      <c r="AA919" s="622">
        <v>62.53</v>
      </c>
      <c r="AB919" s="622">
        <v>328.75</v>
      </c>
      <c r="AC919" s="624">
        <v>68881.119999999995</v>
      </c>
    </row>
    <row r="920" spans="1:29" s="966" customFormat="1" ht="15.75" x14ac:dyDescent="0.25">
      <c r="A920" s="419" t="s">
        <v>4978</v>
      </c>
      <c r="B920" s="617">
        <v>626</v>
      </c>
      <c r="C920" s="617"/>
      <c r="D920" s="618" t="s">
        <v>34</v>
      </c>
      <c r="E920" s="618" t="s">
        <v>4807</v>
      </c>
      <c r="F920" s="619">
        <v>45609</v>
      </c>
      <c r="G920" s="619"/>
      <c r="H920" s="618" t="s">
        <v>23</v>
      </c>
      <c r="I920" s="620" t="str">
        <f>CONCATENATE(Таблица47[[#This Row],[№ заявки в 1С]],Таблица47[[#This Row],[Наименование            ]])</f>
        <v>626[73377] 215232, рама бок/низ R10, 4,9 м, сплав 6060 Т66, БА</v>
      </c>
      <c r="J920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0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0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20" s="620"/>
      <c r="N920" s="677">
        <v>334</v>
      </c>
      <c r="O920" s="1154" t="str">
        <f>IFERROR(Таблица47[[#This Row],[Количество хлыстов]]-Таблица47[[#This Row],[Обработано в 1С]]-Таблица47[[#This Row],[Корректировка]],"")</f>
        <v/>
      </c>
      <c r="P920" s="654" t="str">
        <f>IFERROR((((Таблица47[[#This Row],[Осталось сделать, хлыст]]*Таблица47[[#This Row],[длина]])*Таблица47[[#This Row],[Периметр]])/28),"")</f>
        <v/>
      </c>
      <c r="Q920" s="618"/>
      <c r="R920" s="692">
        <f>IFERROR(Таблица47[[#This Row],[Коли-
чество м.п.]]/Таблица47[[#This Row],[Количество хлыстов]],"")</f>
        <v>4.9000000000000004</v>
      </c>
      <c r="S920" s="622" t="s">
        <v>4897</v>
      </c>
      <c r="T920" s="622">
        <v>1646.4</v>
      </c>
      <c r="U920" s="623">
        <v>336</v>
      </c>
      <c r="V920" s="622">
        <v>0.14419999999999999</v>
      </c>
      <c r="W920" s="622">
        <v>0.33200000000000002</v>
      </c>
      <c r="X920" s="622">
        <v>237.4109</v>
      </c>
      <c r="Y920" s="622">
        <v>546.60479999999995</v>
      </c>
      <c r="Z920" s="622">
        <v>30.86</v>
      </c>
      <c r="AA920" s="622">
        <v>47.41</v>
      </c>
      <c r="AB920" s="622">
        <v>328.75</v>
      </c>
      <c r="AC920" s="624">
        <v>78048.83</v>
      </c>
    </row>
    <row r="921" spans="1:29" s="966" customFormat="1" ht="15.75" x14ac:dyDescent="0.25">
      <c r="A921" s="419" t="s">
        <v>4978</v>
      </c>
      <c r="B921" s="617">
        <v>626</v>
      </c>
      <c r="C921" s="617"/>
      <c r="D921" s="618" t="s">
        <v>34</v>
      </c>
      <c r="E921" s="618" t="s">
        <v>4807</v>
      </c>
      <c r="F921" s="619">
        <v>45610</v>
      </c>
      <c r="G921" s="619"/>
      <c r="H921" s="618" t="s">
        <v>23</v>
      </c>
      <c r="I921" s="620" t="str">
        <f>CONCATENATE(Таблица47[[#This Row],[№ заявки в 1С]],Таблица47[[#This Row],[Наименование            ]])</f>
        <v>626[41108] 216074, ВЕРХНЯЯ БАЛКА, 5,95 м, сплав АД31Т1, БА</v>
      </c>
      <c r="J921" s="62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1" s="62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1" s="62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21" s="620"/>
      <c r="N921" s="677">
        <v>68</v>
      </c>
      <c r="O921" s="1154" t="str">
        <f>IFERROR(Таблица47[[#This Row],[Количество хлыстов]]-Таблица47[[#This Row],[Обработано в 1С]]-Таблица47[[#This Row],[Корректировка]],"")</f>
        <v/>
      </c>
      <c r="P921" s="654" t="str">
        <f>IFERROR((((Таблица47[[#This Row],[Осталось сделать, хлыст]]*Таблица47[[#This Row],[длина]])*Таблица47[[#This Row],[Периметр]])/28),"")</f>
        <v/>
      </c>
      <c r="Q921" s="618"/>
      <c r="R921" s="692">
        <f>IFERROR(Таблица47[[#This Row],[Коли-
чество м.п.]]/Таблица47[[#This Row],[Количество хлыстов]],"")</f>
        <v>5.95</v>
      </c>
      <c r="S921" s="622" t="s">
        <v>4805</v>
      </c>
      <c r="T921" s="622">
        <v>416.5</v>
      </c>
      <c r="U921" s="623">
        <v>70</v>
      </c>
      <c r="V921" s="622">
        <v>0.58020000000000005</v>
      </c>
      <c r="W921" s="622">
        <v>1.306</v>
      </c>
      <c r="X921" s="622">
        <v>241.6533</v>
      </c>
      <c r="Y921" s="622">
        <v>543.94899999999996</v>
      </c>
      <c r="Z921" s="622">
        <v>31.41</v>
      </c>
      <c r="AA921" s="622">
        <v>190.74</v>
      </c>
      <c r="AB921" s="622">
        <v>328.75</v>
      </c>
      <c r="AC921" s="624">
        <v>79443.520000000004</v>
      </c>
    </row>
    <row r="922" spans="1:29" s="1021" customFormat="1" ht="15.75" x14ac:dyDescent="0.25">
      <c r="A922" s="419" t="s">
        <v>4978</v>
      </c>
      <c r="B922" s="617">
        <v>626</v>
      </c>
      <c r="C922" s="617"/>
      <c r="D922" s="618" t="s">
        <v>34</v>
      </c>
      <c r="E922" s="618" t="s">
        <v>4807</v>
      </c>
      <c r="F922" s="619">
        <v>45611</v>
      </c>
      <c r="G922" s="619"/>
      <c r="H922" s="1153" t="s">
        <v>23</v>
      </c>
      <c r="I922" s="1004" t="str">
        <f>CONCATENATE(Таблица47[[#This Row],[№ заявки в 1С]],Таблица47[[#This Row],[Наименование            ]])</f>
        <v>626[64905] 216033, БОК, 6,0 м, сплав АД31Т1, БА</v>
      </c>
      <c r="J922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2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2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22" s="620"/>
      <c r="N922" s="677">
        <v>216</v>
      </c>
      <c r="O922" s="1154" t="str">
        <f>IFERROR(Таблица47[[#This Row],[Количество хлыстов]]-Таблица47[[#This Row],[Обработано в 1С]]-Таблица47[[#This Row],[Корректировка]],"")</f>
        <v/>
      </c>
      <c r="P922" s="654" t="str">
        <f>IFERROR((((Таблица47[[#This Row],[Осталось сделать, хлыст]]*Таблица47[[#This Row],[длина]])*Таблица47[[#This Row],[Периметр]])/28),"")</f>
        <v/>
      </c>
      <c r="Q922" s="618"/>
      <c r="R922" s="692">
        <f>IFERROR(Таблица47[[#This Row],[Коли-
чество м.п.]]/Таблица47[[#This Row],[Количество хлыстов]],"")</f>
        <v>6</v>
      </c>
      <c r="S922" s="622" t="s">
        <v>4804</v>
      </c>
      <c r="T922" s="622">
        <v>1008</v>
      </c>
      <c r="U922" s="623">
        <v>168</v>
      </c>
      <c r="V922" s="622">
        <v>0.27610000000000001</v>
      </c>
      <c r="W922" s="622">
        <v>0.93400000000000005</v>
      </c>
      <c r="X922" s="622">
        <v>278.30880000000002</v>
      </c>
      <c r="Y922" s="622">
        <v>941.47199999999998</v>
      </c>
      <c r="Z922" s="622">
        <v>36.18</v>
      </c>
      <c r="AA922" s="622">
        <v>90.77</v>
      </c>
      <c r="AB922" s="622">
        <v>328.75</v>
      </c>
      <c r="AC922" s="624">
        <v>91494.02</v>
      </c>
    </row>
    <row r="923" spans="1:29" s="1021" customFormat="1" ht="15.75" x14ac:dyDescent="0.25">
      <c r="A923" s="419" t="s">
        <v>4978</v>
      </c>
      <c r="B923" s="617">
        <v>626</v>
      </c>
      <c r="C923" s="617"/>
      <c r="D923" s="618" t="s">
        <v>34</v>
      </c>
      <c r="E923" s="618" t="s">
        <v>4807</v>
      </c>
      <c r="F923" s="619">
        <v>45608</v>
      </c>
      <c r="G923" s="619"/>
      <c r="H923" s="1153" t="s">
        <v>23</v>
      </c>
      <c r="I923" s="1004" t="str">
        <f>CONCATENATE(Таблица47[[#This Row],[№ заявки в 1С]],Таблица47[[#This Row],[Наименование            ]])</f>
        <v>626[50071] 216004, рама, 5,3 м, сплав АД 31 Т1 , упаковка А3</v>
      </c>
      <c r="J923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3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3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23" s="620"/>
      <c r="N923" s="677">
        <v>529</v>
      </c>
      <c r="O923" s="1154" t="str">
        <f>IFERROR(Таблица47[[#This Row],[Количество хлыстов]]-Таблица47[[#This Row],[Обработано в 1С]]-Таблица47[[#This Row],[Корректировка]],"")</f>
        <v/>
      </c>
      <c r="P923" s="654" t="str">
        <f>IFERROR((((Таблица47[[#This Row],[Осталось сделать, хлыст]]*Таблица47[[#This Row],[длина]])*Таблица47[[#This Row],[Периметр]])/28),"")</f>
        <v/>
      </c>
      <c r="Q923" s="618"/>
      <c r="R923" s="692">
        <f>IFERROR(Таблица47[[#This Row],[Коли-
чество м.п.]]/Таблица47[[#This Row],[Количество хлыстов]],"")</f>
        <v>5.3</v>
      </c>
      <c r="S923" s="622" t="s">
        <v>4806</v>
      </c>
      <c r="T923" s="622">
        <v>2809</v>
      </c>
      <c r="U923" s="623">
        <v>530</v>
      </c>
      <c r="V923" s="622">
        <v>0.22270000000000001</v>
      </c>
      <c r="W923" s="622">
        <v>0.52700000000000002</v>
      </c>
      <c r="X923" s="622">
        <v>625.5643</v>
      </c>
      <c r="Y923" s="622">
        <v>1480.3430000000001</v>
      </c>
      <c r="Z923" s="622">
        <v>81.319999999999993</v>
      </c>
      <c r="AA923" s="622">
        <v>73.209999999999994</v>
      </c>
      <c r="AB923" s="622">
        <v>328.75</v>
      </c>
      <c r="AC923" s="624">
        <v>205654.26</v>
      </c>
    </row>
    <row r="924" spans="1:29" s="1021" customFormat="1" ht="15.75" x14ac:dyDescent="0.25">
      <c r="A924" s="419" t="s">
        <v>4978</v>
      </c>
      <c r="B924" s="617">
        <v>627</v>
      </c>
      <c r="C924" s="617"/>
      <c r="D924" s="618" t="s">
        <v>13</v>
      </c>
      <c r="E924" s="618" t="s">
        <v>5853</v>
      </c>
      <c r="F924" s="619">
        <v>45608</v>
      </c>
      <c r="G924" s="619"/>
      <c r="H924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4" s="1004" t="str">
        <f>CONCATENATE(Таблица47[[#This Row],[№ заявки в 1С]],Таблица47[[#This Row],[Наименование            ]])</f>
        <v>627[866] автоуголок 150*55*3мм (0106-153) 6,0м АД31 Т1 уп. Т5</v>
      </c>
      <c r="J924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4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4" s="1004">
        <v>28</v>
      </c>
      <c r="M924" s="620">
        <v>1</v>
      </c>
      <c r="N924" s="677">
        <v>28</v>
      </c>
      <c r="O924" s="1154">
        <f>IFERROR(Таблица47[[#This Row],[Количество хлыстов]]-Таблица47[[#This Row],[Обработано в 1С]]-Таблица47[[#This Row],[Корректировка]],"")</f>
        <v>0</v>
      </c>
      <c r="P924" s="654">
        <f>IFERROR((((Таблица47[[#This Row],[Осталось сделать, хлыст]]*Таблица47[[#This Row],[длина]])*Таблица47[[#This Row],[Периметр]])/28),"")</f>
        <v>0</v>
      </c>
      <c r="Q924" s="618"/>
      <c r="R924" s="692">
        <f>IFERROR(Таблица47[[#This Row],[Коли-
чество м.п.]]/Таблица47[[#This Row],[Количество хлыстов]],"")</f>
        <v>6</v>
      </c>
      <c r="S924" s="622" t="s">
        <v>5342</v>
      </c>
      <c r="T924" s="622">
        <v>174</v>
      </c>
      <c r="U924" s="623">
        <v>29</v>
      </c>
      <c r="V924" s="622">
        <v>0.42199999999999999</v>
      </c>
      <c r="W924" s="622">
        <v>1.389</v>
      </c>
      <c r="X924" s="622">
        <v>73.427999999999997</v>
      </c>
      <c r="Y924" s="622">
        <v>241.68600000000001</v>
      </c>
      <c r="Z924" s="622">
        <v>9.5500000000000007</v>
      </c>
      <c r="AA924" s="622">
        <v>104.66</v>
      </c>
      <c r="AB924" s="622">
        <v>248</v>
      </c>
      <c r="AC924" s="624">
        <v>18210.14</v>
      </c>
    </row>
    <row r="925" spans="1:29" s="1021" customFormat="1" ht="15.75" x14ac:dyDescent="0.25">
      <c r="A925" s="419" t="s">
        <v>4978</v>
      </c>
      <c r="B925" s="617">
        <v>627</v>
      </c>
      <c r="C925" s="617"/>
      <c r="D925" s="618" t="s">
        <v>13</v>
      </c>
      <c r="E925" s="618" t="s">
        <v>5853</v>
      </c>
      <c r="F925" s="619">
        <v>45608</v>
      </c>
      <c r="G925" s="619"/>
      <c r="H925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5" s="967" t="str">
        <f>CONCATENATE(Таблица47[[#This Row],[№ заявки в 1С]],Таблица47[[#This Row],[Наименование            ]])</f>
        <v>627[91049] автоуголок  полукруглый 100х100 (219152) , алюминиевый профиль, 6,0 м, анод с дробью + стрейч</v>
      </c>
      <c r="J925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25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25" s="1004">
        <v>24</v>
      </c>
      <c r="M925" s="620"/>
      <c r="N925" s="677">
        <v>24</v>
      </c>
      <c r="O925" s="1154">
        <f>IFERROR(Таблица47[[#This Row],[Количество хлыстов]]-Таблица47[[#This Row],[Обработано в 1С]]-Таблица47[[#This Row],[Корректировка]],"")</f>
        <v>0</v>
      </c>
      <c r="P925" s="1168">
        <f>IFERROR((((Таблица47[[#This Row],[Осталось сделать, хлыст]]*Таблица47[[#This Row],[длина]])*Таблица47[[#This Row],[Периметр]])/28),"")</f>
        <v>0</v>
      </c>
      <c r="Q925" s="618"/>
      <c r="R925" s="655">
        <f>IFERROR(Таблица47[[#This Row],[Коли-
чество м.п.]]/Таблица47[[#This Row],[Количество хлыстов]],"")</f>
        <v>6</v>
      </c>
      <c r="S925" s="622" t="s">
        <v>5854</v>
      </c>
      <c r="T925" s="622">
        <v>144</v>
      </c>
      <c r="U925" s="623">
        <v>24</v>
      </c>
      <c r="V925" s="622">
        <v>0.36420000000000002</v>
      </c>
      <c r="W925" s="622">
        <v>1.0720000000000001</v>
      </c>
      <c r="X925" s="622">
        <v>52.444800000000001</v>
      </c>
      <c r="Y925" s="622">
        <v>154.36799999999999</v>
      </c>
      <c r="Z925" s="622">
        <v>6.82</v>
      </c>
      <c r="AA925" s="622">
        <v>90.32</v>
      </c>
      <c r="AB925" s="622">
        <v>248</v>
      </c>
      <c r="AC925" s="624">
        <v>13006.31</v>
      </c>
    </row>
    <row r="926" spans="1:29" ht="15.75" x14ac:dyDescent="0.25">
      <c r="A926" s="1130" t="s">
        <v>4678</v>
      </c>
      <c r="B926" s="1126">
        <v>628</v>
      </c>
      <c r="C926" s="1126"/>
      <c r="D926" s="1127" t="s">
        <v>13</v>
      </c>
      <c r="E926" s="1127" t="s">
        <v>5853</v>
      </c>
      <c r="F926" s="1129">
        <v>45608</v>
      </c>
      <c r="G926" s="964"/>
      <c r="H92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6" s="967" t="str">
        <f>CONCATENATE(Таблица47[[#This Row],[№ заявки в 1С]],Таблица47[[#This Row],[Наименование            ]])</f>
        <v>628[77780] автоуголок 250*40мм (1706-75, 97101) 6,0м, сплав 6063 Т6 +  упаковка А5</v>
      </c>
      <c r="J92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41</v>
      </c>
      <c r="K92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41</v>
      </c>
      <c r="L926" s="967">
        <v>34</v>
      </c>
      <c r="M926" s="522">
        <v>7</v>
      </c>
      <c r="N926" s="968">
        <v>34</v>
      </c>
      <c r="O926" s="1006">
        <f>IFERROR(Таблица47[[#This Row],[Количество хлыстов]]-Таблица47[[#This Row],[Обработано в 1С]]-Таблица47[[#This Row],[Корректировка]],"")</f>
        <v>0</v>
      </c>
      <c r="P926" s="1157">
        <f>IFERROR((((Таблица47[[#This Row],[Осталось сделать, хлыст]]*Таблица47[[#This Row],[длина]])*Таблица47[[#This Row],[Периметр]])/28),"")</f>
        <v>0</v>
      </c>
      <c r="Q926" s="963"/>
      <c r="R926" s="1159">
        <f>IFERROR(Таблица47[[#This Row],[Коли-
чество м.п.]]/Таблица47[[#This Row],[Количество хлыстов]],"")</f>
        <v>6</v>
      </c>
      <c r="S926" s="961" t="s">
        <v>5216</v>
      </c>
      <c r="T926" s="961">
        <v>246</v>
      </c>
      <c r="U926" s="970">
        <v>41</v>
      </c>
      <c r="V926" s="961">
        <v>0.60040000000000004</v>
      </c>
      <c r="W926" s="961">
        <v>2.5739999999999998</v>
      </c>
      <c r="X926" s="961">
        <v>147.69839999999999</v>
      </c>
      <c r="Y926" s="961">
        <v>633.20399999999995</v>
      </c>
      <c r="Z926" s="961">
        <v>19.2</v>
      </c>
      <c r="AA926" s="961">
        <v>255.17</v>
      </c>
      <c r="AB926" s="961">
        <v>425</v>
      </c>
      <c r="AC926" s="971">
        <v>62771.82</v>
      </c>
    </row>
    <row r="927" spans="1:29" ht="15.75" x14ac:dyDescent="0.25">
      <c r="A927" s="1130" t="s">
        <v>4678</v>
      </c>
      <c r="B927" s="1126">
        <v>628</v>
      </c>
      <c r="C927" s="1126"/>
      <c r="D927" s="1127" t="s">
        <v>13</v>
      </c>
      <c r="E927" s="1127" t="s">
        <v>5853</v>
      </c>
      <c r="F927" s="1129">
        <v>45608</v>
      </c>
      <c r="G927" s="964"/>
      <c r="H92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7" s="967" t="str">
        <f>CONCATENATE(Таблица47[[#This Row],[№ заявки в 1С]],Таблица47[[#This Row],[Наименование            ]])</f>
        <v>628[865] автополоса 155*4мм (0106-152)  6,0м  6063 Т6  уп Т5</v>
      </c>
      <c r="J92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</v>
      </c>
      <c r="K92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</v>
      </c>
      <c r="L92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</v>
      </c>
      <c r="M927" s="522"/>
      <c r="N927" s="968">
        <v>30</v>
      </c>
      <c r="O927" s="1006">
        <f>IFERROR(Таблица47[[#This Row],[Количество хлыстов]]-Таблица47[[#This Row],[Обработано в 1С]]-Таблица47[[#This Row],[Корректировка]],"")</f>
        <v>0</v>
      </c>
      <c r="P927" s="1157">
        <f>IFERROR((((Таблица47[[#This Row],[Осталось сделать, хлыст]]*Таблица47[[#This Row],[длина]])*Таблица47[[#This Row],[Периметр]])/28),"")</f>
        <v>0</v>
      </c>
      <c r="Q927" s="963"/>
      <c r="R927" s="1159">
        <f>IFERROR(Таблица47[[#This Row],[Коли-
чество м.п.]]/Таблица47[[#This Row],[Количество хлыстов]],"")</f>
        <v>6</v>
      </c>
      <c r="S927" s="961" t="s">
        <v>5862</v>
      </c>
      <c r="T927" s="961">
        <v>180</v>
      </c>
      <c r="U927" s="970">
        <v>30</v>
      </c>
      <c r="V927" s="961">
        <v>0.33660000000000001</v>
      </c>
      <c r="W927" s="961">
        <v>1.2350000000000001</v>
      </c>
      <c r="X927" s="961">
        <v>60.588000000000001</v>
      </c>
      <c r="Y927" s="961">
        <v>222.3</v>
      </c>
      <c r="Z927" s="961">
        <v>7.88</v>
      </c>
      <c r="AA927" s="961">
        <v>143.06</v>
      </c>
      <c r="AB927" s="961">
        <v>425</v>
      </c>
      <c r="AC927" s="971">
        <v>25749.9</v>
      </c>
    </row>
    <row r="928" spans="1:29" ht="15.75" x14ac:dyDescent="0.25">
      <c r="A928" s="965" t="s">
        <v>4678</v>
      </c>
      <c r="B928" s="962">
        <v>628</v>
      </c>
      <c r="C928" s="962"/>
      <c r="D928" s="963" t="s">
        <v>13</v>
      </c>
      <c r="E928" s="963" t="s">
        <v>5853</v>
      </c>
      <c r="F928" s="964">
        <v>45608</v>
      </c>
      <c r="G928" s="964"/>
      <c r="H92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8" s="967" t="str">
        <f>CONCATENATE(Таблица47[[#This Row],[№ заявки в 1С]],Таблица47[[#This Row],[Наименование            ]])</f>
        <v>628[69917] автоуголок 250*40мм (1706-75) 6,0м, сплав Ад31+  упаковка Т5</v>
      </c>
      <c r="J92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68</v>
      </c>
      <c r="K92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68</v>
      </c>
      <c r="L928" s="967">
        <v>48</v>
      </c>
      <c r="M928" s="522">
        <v>20</v>
      </c>
      <c r="N928" s="968">
        <v>48</v>
      </c>
      <c r="O928" s="1006">
        <f>IFERROR(Таблица47[[#This Row],[Количество хлыстов]]-Таблица47[[#This Row],[Обработано в 1С]]-Таблица47[[#This Row],[Корректировка]],"")</f>
        <v>0</v>
      </c>
      <c r="P928" s="1157">
        <f>IFERROR((((Таблица47[[#This Row],[Осталось сделать, хлыст]]*Таблица47[[#This Row],[длина]])*Таблица47[[#This Row],[Периметр]])/28),"")</f>
        <v>0</v>
      </c>
      <c r="Q928" s="963"/>
      <c r="R928" s="1159">
        <f>IFERROR(Таблица47[[#This Row],[Коли-
чество м.п.]]/Таблица47[[#This Row],[Количество хлыстов]],"")</f>
        <v>6</v>
      </c>
      <c r="S928" s="961" t="s">
        <v>5281</v>
      </c>
      <c r="T928" s="961">
        <v>408</v>
      </c>
      <c r="U928" s="970">
        <v>68</v>
      </c>
      <c r="V928" s="961">
        <v>0.59919999999999995</v>
      </c>
      <c r="W928" s="961">
        <v>2.5739999999999998</v>
      </c>
      <c r="X928" s="961">
        <v>244.4736</v>
      </c>
      <c r="Y928" s="961">
        <v>1050.192</v>
      </c>
      <c r="Z928" s="961">
        <v>31.78</v>
      </c>
      <c r="AA928" s="961">
        <v>254.66</v>
      </c>
      <c r="AB928" s="961">
        <v>425</v>
      </c>
      <c r="AC928" s="971">
        <v>103901.28</v>
      </c>
    </row>
    <row r="929" spans="1:29" ht="15.75" x14ac:dyDescent="0.25">
      <c r="A929" s="965" t="s">
        <v>4939</v>
      </c>
      <c r="B929" s="962">
        <v>630</v>
      </c>
      <c r="C929" s="962"/>
      <c r="D929" s="963" t="s">
        <v>34</v>
      </c>
      <c r="E929" s="963" t="s">
        <v>3404</v>
      </c>
      <c r="F929" s="964">
        <v>45611</v>
      </c>
      <c r="G929" s="964"/>
      <c r="H92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29" s="967" t="str">
        <f>CONCATENATE(Таблица47[[#This Row],[№ заявки в 1С]],Таблица47[[#This Row],[Наименование            ]])</f>
        <v>630[81738] 1706-70, 6,0м, 6063 Т1, упаковка Т-5, БА</v>
      </c>
      <c r="J92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252</v>
      </c>
      <c r="K92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252</v>
      </c>
      <c r="L92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251</v>
      </c>
      <c r="M929" s="522">
        <v>1</v>
      </c>
      <c r="N929" s="968">
        <v>251</v>
      </c>
      <c r="O929" s="1006">
        <f>IFERROR(Таблица47[[#This Row],[Количество хлыстов]]-Таблица47[[#This Row],[Обработано в 1С]]-Таблица47[[#This Row],[Корректировка]],"")</f>
        <v>0</v>
      </c>
      <c r="P929" s="1157">
        <f>IFERROR((((Таблица47[[#This Row],[Осталось сделать, хлыст]]*Таблица47[[#This Row],[длина]])*Таблица47[[#This Row],[Периметр]])/28),"")</f>
        <v>0</v>
      </c>
      <c r="Q929" s="963"/>
      <c r="R929" s="1159">
        <f>IFERROR(Таблица47[[#This Row],[Коли-
чество м.п.]]/Таблица47[[#This Row],[Количество хлыстов]],"")</f>
        <v>6</v>
      </c>
      <c r="S929" s="961" t="s">
        <v>4378</v>
      </c>
      <c r="T929" s="961">
        <v>1512</v>
      </c>
      <c r="U929" s="970">
        <v>252</v>
      </c>
      <c r="V929" s="961">
        <v>0.25169999999999998</v>
      </c>
      <c r="W929" s="961">
        <v>0.56699999999999995</v>
      </c>
      <c r="X929" s="961">
        <v>380.57040000000001</v>
      </c>
      <c r="Y929" s="961">
        <v>857.30399999999997</v>
      </c>
      <c r="Z929" s="961">
        <v>49.47</v>
      </c>
      <c r="AA929" s="961" t="s">
        <v>17</v>
      </c>
      <c r="AB929" s="961" t="s">
        <v>17</v>
      </c>
      <c r="AC929" s="971" t="s">
        <v>17</v>
      </c>
    </row>
    <row r="930" spans="1:29" ht="15.75" x14ac:dyDescent="0.25">
      <c r="A930" s="965" t="s">
        <v>4939</v>
      </c>
      <c r="B930" s="962">
        <v>630</v>
      </c>
      <c r="C930" s="962"/>
      <c r="D930" s="963" t="s">
        <v>34</v>
      </c>
      <c r="E930" s="963" t="s">
        <v>3404</v>
      </c>
      <c r="F930" s="964">
        <v>45611</v>
      </c>
      <c r="G930" s="964"/>
      <c r="H93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0" s="967" t="str">
        <f>CONCATENATE(Таблица47[[#This Row],[№ заявки в 1С]],Таблица47[[#This Row],[Наименование            ]])</f>
        <v>630[89435] 2606-56, 6,0м, 6063 Т6, уп.Т5, БА</v>
      </c>
      <c r="J93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121</v>
      </c>
      <c r="K93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121</v>
      </c>
      <c r="L93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121</v>
      </c>
      <c r="M930" s="522"/>
      <c r="N930" s="968">
        <v>121</v>
      </c>
      <c r="O930" s="1006">
        <f>IFERROR(Таблица47[[#This Row],[Количество хлыстов]]-Таблица47[[#This Row],[Обработано в 1С]]-Таблица47[[#This Row],[Корректировка]],"")</f>
        <v>0</v>
      </c>
      <c r="P930" s="1157">
        <f>IFERROR((((Таблица47[[#This Row],[Осталось сделать, хлыст]]*Таблица47[[#This Row],[длина]])*Таблица47[[#This Row],[Периметр]])/28),"")</f>
        <v>0</v>
      </c>
      <c r="Q930" s="963"/>
      <c r="R930" s="1159">
        <f>IFERROR(Таблица47[[#This Row],[Коли-
чество м.п.]]/Таблица47[[#This Row],[Количество хлыстов]],"")</f>
        <v>6</v>
      </c>
      <c r="S930" s="961" t="s">
        <v>4998</v>
      </c>
      <c r="T930" s="961">
        <v>726</v>
      </c>
      <c r="U930" s="970">
        <v>121</v>
      </c>
      <c r="V930" s="961">
        <v>0.3075</v>
      </c>
      <c r="W930" s="961">
        <v>0.85</v>
      </c>
      <c r="X930" s="961">
        <v>223.245</v>
      </c>
      <c r="Y930" s="961">
        <v>617.1</v>
      </c>
      <c r="Z930" s="961">
        <v>29.02</v>
      </c>
      <c r="AA930" s="961" t="s">
        <v>17</v>
      </c>
      <c r="AB930" s="961" t="s">
        <v>17</v>
      </c>
      <c r="AC930" s="971" t="s">
        <v>17</v>
      </c>
    </row>
    <row r="931" spans="1:29" ht="15.75" x14ac:dyDescent="0.25">
      <c r="A931" s="965" t="s">
        <v>4939</v>
      </c>
      <c r="B931" s="962">
        <v>630</v>
      </c>
      <c r="C931" s="962"/>
      <c r="D931" s="963" t="s">
        <v>34</v>
      </c>
      <c r="E931" s="963" t="s">
        <v>3404</v>
      </c>
      <c r="F931" s="964">
        <v>45611</v>
      </c>
      <c r="G931" s="964"/>
      <c r="H93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1" s="967" t="str">
        <f>CONCATENATE(Таблица47[[#This Row],[№ заявки в 1С]],Таблица47[[#This Row],[Наименование            ]])</f>
        <v>630[89761] 2606-58, 6,0м, сплав 6063 Т5 (под гибку), упак. Т5</v>
      </c>
      <c r="J93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144</v>
      </c>
      <c r="K93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144</v>
      </c>
      <c r="L93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144</v>
      </c>
      <c r="M931" s="522"/>
      <c r="N931" s="968">
        <v>144</v>
      </c>
      <c r="O931" s="1006">
        <f>IFERROR(Таблица47[[#This Row],[Количество хлыстов]]-Таблица47[[#This Row],[Обработано в 1С]]-Таблица47[[#This Row],[Корректировка]],"")</f>
        <v>0</v>
      </c>
      <c r="P931" s="1157">
        <f>IFERROR((((Таблица47[[#This Row],[Осталось сделать, хлыст]]*Таблица47[[#This Row],[длина]])*Таблица47[[#This Row],[Периметр]])/28),"")</f>
        <v>0</v>
      </c>
      <c r="Q931" s="963"/>
      <c r="R931" s="1159">
        <f>IFERROR(Таблица47[[#This Row],[Коли-
чество м.п.]]/Таблица47[[#This Row],[Количество хлыстов]],"")</f>
        <v>6</v>
      </c>
      <c r="S931" s="961" t="s">
        <v>5091</v>
      </c>
      <c r="T931" s="961">
        <v>864</v>
      </c>
      <c r="U931" s="970">
        <v>144</v>
      </c>
      <c r="V931" s="961">
        <v>0.1883</v>
      </c>
      <c r="W931" s="961">
        <v>0.318</v>
      </c>
      <c r="X931" s="961">
        <v>162.69120000000001</v>
      </c>
      <c r="Y931" s="961">
        <v>274.75200000000001</v>
      </c>
      <c r="Z931" s="961">
        <v>21.15</v>
      </c>
      <c r="AA931" s="961" t="s">
        <v>17</v>
      </c>
      <c r="AB931" s="961" t="s">
        <v>17</v>
      </c>
      <c r="AC931" s="971" t="s">
        <v>17</v>
      </c>
    </row>
    <row r="932" spans="1:29" ht="15.75" x14ac:dyDescent="0.25">
      <c r="A932" s="965" t="s">
        <v>4678</v>
      </c>
      <c r="B932" s="962">
        <v>631</v>
      </c>
      <c r="C932" s="962" t="s">
        <v>4753</v>
      </c>
      <c r="D932" s="963" t="s">
        <v>34</v>
      </c>
      <c r="E932" s="963" t="s">
        <v>4323</v>
      </c>
      <c r="F932" s="964">
        <v>45611</v>
      </c>
      <c r="G932" s="964"/>
      <c r="H93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2" s="967" t="str">
        <f>CONCATENATE(Таблица47[[#This Row],[№ заявки в 1С]],Таблица47[[#This Row],[Наименование            ]])</f>
        <v>631[94349] Д 10,4х15,9мм, 3,06м, БА</v>
      </c>
      <c r="J93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150</v>
      </c>
      <c r="K93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150</v>
      </c>
      <c r="L93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150</v>
      </c>
      <c r="M932" s="522"/>
      <c r="N932" s="968">
        <v>150</v>
      </c>
      <c r="O932" s="1006">
        <f>IFERROR(Таблица47[[#This Row],[Количество хлыстов]]-Таблица47[[#This Row],[Обработано в 1С]]-Таблица47[[#This Row],[Корректировка]],"")</f>
        <v>0</v>
      </c>
      <c r="P932" s="1157">
        <f>IFERROR((((Таблица47[[#This Row],[Осталось сделать, хлыст]]*Таблица47[[#This Row],[длина]])*Таблица47[[#This Row],[Периметр]])/28),"")</f>
        <v>0</v>
      </c>
      <c r="Q932" s="963"/>
      <c r="R932" s="1159">
        <f>IFERROR(Таблица47[[#This Row],[Коли-
чество м.п.]]/Таблица47[[#This Row],[Количество хлыстов]],"")</f>
        <v>3.06</v>
      </c>
      <c r="S932" s="961" t="s">
        <v>5881</v>
      </c>
      <c r="T932" s="961">
        <v>459</v>
      </c>
      <c r="U932" s="970">
        <v>150</v>
      </c>
      <c r="V932" s="961">
        <v>7.0999999999999994E-2</v>
      </c>
      <c r="W932" s="961">
        <v>0.12</v>
      </c>
      <c r="X932" s="961">
        <v>32.588999999999999</v>
      </c>
      <c r="Y932" s="961">
        <v>55.08</v>
      </c>
      <c r="Z932" s="961">
        <v>4.24</v>
      </c>
      <c r="AA932" s="961">
        <v>104.8</v>
      </c>
      <c r="AB932" s="961">
        <v>1476.06</v>
      </c>
      <c r="AC932" s="971">
        <v>48103.199999999997</v>
      </c>
    </row>
    <row r="933" spans="1:29" ht="15.75" x14ac:dyDescent="0.25">
      <c r="A933" s="965" t="s">
        <v>4678</v>
      </c>
      <c r="B933" s="962">
        <v>632</v>
      </c>
      <c r="C933" s="962"/>
      <c r="D933" s="963" t="s">
        <v>13</v>
      </c>
      <c r="E933" s="963" t="s">
        <v>657</v>
      </c>
      <c r="F933" s="964">
        <v>45614</v>
      </c>
      <c r="G933" s="964"/>
      <c r="H93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3" s="967" t="str">
        <f>CONCATENATE(Таблица47[[#This Row],[№ заявки в 1С]],Таблица47[[#This Row],[Наименование            ]])</f>
        <v>632[68773] 0906-71, 5,8 м, сплав 6063 КР Т1</v>
      </c>
      <c r="J93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108</v>
      </c>
      <c r="K93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108</v>
      </c>
      <c r="L93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108</v>
      </c>
      <c r="M933" s="522"/>
      <c r="N933" s="968">
        <v>108</v>
      </c>
      <c r="O933" s="1006">
        <f>IFERROR(Таблица47[[#This Row],[Количество хлыстов]]-Таблица47[[#This Row],[Обработано в 1С]]-Таблица47[[#This Row],[Корректировка]],"")</f>
        <v>0</v>
      </c>
      <c r="P933" s="1007">
        <f>IFERROR((((Таблица47[[#This Row],[Осталось сделать, хлыст]]*Таблица47[[#This Row],[длина]])*Таблица47[[#This Row],[Периметр]])/28),"")</f>
        <v>0</v>
      </c>
      <c r="Q933" s="963"/>
      <c r="R933" s="969">
        <f>IFERROR(Таблица47[[#This Row],[Коли-
чество м.п.]]/Таблица47[[#This Row],[Количество хлыстов]],"")</f>
        <v>5.8</v>
      </c>
      <c r="S933" s="961" t="s">
        <v>2963</v>
      </c>
      <c r="T933" s="961">
        <v>626.4</v>
      </c>
      <c r="U933" s="970">
        <v>108</v>
      </c>
      <c r="V933" s="961">
        <v>0.1724</v>
      </c>
      <c r="W933" s="961">
        <v>0.41499999999999998</v>
      </c>
      <c r="X933" s="961">
        <v>107.9914</v>
      </c>
      <c r="Y933" s="961">
        <v>259.95600000000002</v>
      </c>
      <c r="Z933" s="961">
        <v>14.04</v>
      </c>
      <c r="AA933" s="961">
        <v>78.44</v>
      </c>
      <c r="AB933" s="961">
        <v>455</v>
      </c>
      <c r="AC933" s="971">
        <v>49136.07</v>
      </c>
    </row>
    <row r="934" spans="1:29" ht="15.75" x14ac:dyDescent="0.25">
      <c r="A934" s="965" t="s">
        <v>4678</v>
      </c>
      <c r="B934" s="962">
        <v>633</v>
      </c>
      <c r="C934" s="962"/>
      <c r="D934" s="963" t="s">
        <v>34</v>
      </c>
      <c r="E934" s="963" t="s">
        <v>201</v>
      </c>
      <c r="F934" s="964">
        <v>45614</v>
      </c>
      <c r="G934" s="964"/>
      <c r="H93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4" s="967" t="str">
        <f>CONCATENATE(Таблица47[[#This Row],[№ заявки в 1С]],Таблица47[[#This Row],[Наименование            ]])</f>
        <v>633[92807] 1406-05, 5,45м,6063 Т6 под анод, упак. Т-5</v>
      </c>
      <c r="J93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161</v>
      </c>
      <c r="K93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161</v>
      </c>
      <c r="L93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161</v>
      </c>
      <c r="M934" s="522"/>
      <c r="N934" s="968">
        <v>161</v>
      </c>
      <c r="O934" s="1006">
        <f>IFERROR(Таблица47[[#This Row],[Количество хлыстов]]-Таблица47[[#This Row],[Обработано в 1С]]-Таблица47[[#This Row],[Корректировка]],"")</f>
        <v>0</v>
      </c>
      <c r="P934" s="1157">
        <f>IFERROR((((Таблица47[[#This Row],[Осталось сделать, хлыст]]*Таблица47[[#This Row],[длина]])*Таблица47[[#This Row],[Периметр]])/28),"")</f>
        <v>0</v>
      </c>
      <c r="Q934" s="963"/>
      <c r="R934" s="1159">
        <f>IFERROR(Таблица47[[#This Row],[Коли-
чество м.п.]]/Таблица47[[#This Row],[Количество хлыстов]],"")</f>
        <v>5.45</v>
      </c>
      <c r="S934" s="961" t="s">
        <v>5320</v>
      </c>
      <c r="T934" s="961">
        <v>877.45</v>
      </c>
      <c r="U934" s="970">
        <v>161</v>
      </c>
      <c r="V934" s="961">
        <v>0.68820000000000003</v>
      </c>
      <c r="W934" s="961">
        <v>3.2480000000000002</v>
      </c>
      <c r="X934" s="961">
        <v>603.86109999999996</v>
      </c>
      <c r="Y934" s="961">
        <v>2849.9576000000002</v>
      </c>
      <c r="Z934" s="961">
        <v>78.5</v>
      </c>
      <c r="AA934" s="961">
        <v>313.13</v>
      </c>
      <c r="AB934" s="961">
        <v>455</v>
      </c>
      <c r="AC934" s="971">
        <v>274756.8</v>
      </c>
    </row>
    <row r="935" spans="1:29" s="1021" customFormat="1" ht="15.75" x14ac:dyDescent="0.25">
      <c r="A935" s="419" t="s">
        <v>4978</v>
      </c>
      <c r="B935" s="617">
        <v>634</v>
      </c>
      <c r="C935" s="617"/>
      <c r="D935" s="618" t="s">
        <v>13</v>
      </c>
      <c r="E935" s="618" t="s">
        <v>892</v>
      </c>
      <c r="F935" s="619">
        <v>45614</v>
      </c>
      <c r="G935" s="619"/>
      <c r="H935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5" s="1004" t="str">
        <f>CONCATENATE(Таблица47[[#This Row],[№ заявки в 1С]],Таблица47[[#This Row],[Наименование            ]])</f>
        <v>634[81357] 1606-37 (АВА-7227), 4,45 м, сплав 6063 КР Т6, упаковка Т-5</v>
      </c>
      <c r="J935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35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35" s="1004">
        <v>158</v>
      </c>
      <c r="M935" s="620">
        <v>2</v>
      </c>
      <c r="N935" s="677">
        <v>158</v>
      </c>
      <c r="O935" s="1154">
        <f>IFERROR(Таблица47[[#This Row],[Количество хлыстов]]-Таблица47[[#This Row],[Обработано в 1С]]-Таблица47[[#This Row],[Корректировка]],"")</f>
        <v>0</v>
      </c>
      <c r="P935" s="1168">
        <f>IFERROR((((Таблица47[[#This Row],[Осталось сделать, хлыст]]*Таблица47[[#This Row],[длина]])*Таблица47[[#This Row],[Периметр]])/28),"")</f>
        <v>0</v>
      </c>
      <c r="Q935" s="618"/>
      <c r="R935" s="655">
        <f>IFERROR(Таблица47[[#This Row],[Коли-
чество м.п.]]/Таблица47[[#This Row],[Количество хлыстов]],"")</f>
        <v>4.45</v>
      </c>
      <c r="S935" s="622" t="s">
        <v>4276</v>
      </c>
      <c r="T935" s="622">
        <v>712</v>
      </c>
      <c r="U935" s="623">
        <v>160</v>
      </c>
      <c r="V935" s="622">
        <v>0.2651</v>
      </c>
      <c r="W935" s="622">
        <v>0.82099999999999995</v>
      </c>
      <c r="X935" s="622">
        <v>188.75120000000001</v>
      </c>
      <c r="Y935" s="622">
        <v>584.55200000000002</v>
      </c>
      <c r="Z935" s="622">
        <v>24.54</v>
      </c>
      <c r="AA935" s="622">
        <v>87.48</v>
      </c>
      <c r="AB935" s="622">
        <v>330</v>
      </c>
      <c r="AC935" s="624">
        <v>62287.9</v>
      </c>
    </row>
    <row r="936" spans="1:29" s="1021" customFormat="1" ht="15.75" x14ac:dyDescent="0.25">
      <c r="A936" s="419" t="s">
        <v>4978</v>
      </c>
      <c r="B936" s="617">
        <v>634</v>
      </c>
      <c r="C936" s="617"/>
      <c r="D936" s="618" t="s">
        <v>13</v>
      </c>
      <c r="E936" s="618" t="s">
        <v>892</v>
      </c>
      <c r="F936" s="619">
        <v>45614</v>
      </c>
      <c r="G936" s="619"/>
      <c r="H936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6" s="1004" t="str">
        <f>CONCATENATE(Таблица47[[#This Row],[№ заявки в 1С]],Таблица47[[#This Row],[Наименование            ]])</f>
        <v>634[81356] 1606-37 (АВА-7227), 5,05 м, сплав 6063 КР Т6, упаковка Т-5</v>
      </c>
      <c r="J936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36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36" s="1004">
        <v>140</v>
      </c>
      <c r="M936" s="620"/>
      <c r="N936" s="677">
        <v>140</v>
      </c>
      <c r="O936" s="1154">
        <f>IFERROR(Таблица47[[#This Row],[Количество хлыстов]]-Таблица47[[#This Row],[Обработано в 1С]]-Таблица47[[#This Row],[Корректировка]],"")</f>
        <v>0</v>
      </c>
      <c r="P936" s="1168">
        <f>IFERROR((((Таблица47[[#This Row],[Осталось сделать, хлыст]]*Таблица47[[#This Row],[длина]])*Таблица47[[#This Row],[Периметр]])/28),"")</f>
        <v>0</v>
      </c>
      <c r="Q936" s="618"/>
      <c r="R936" s="655">
        <f>IFERROR(Таблица47[[#This Row],[Коли-
чество м.п.]]/Таблица47[[#This Row],[Количество хлыстов]],"")</f>
        <v>5.05</v>
      </c>
      <c r="S936" s="622" t="s">
        <v>4275</v>
      </c>
      <c r="T936" s="622">
        <v>707</v>
      </c>
      <c r="U936" s="623">
        <v>140</v>
      </c>
      <c r="V936" s="622">
        <v>0.2651</v>
      </c>
      <c r="W936" s="622">
        <v>0.82099999999999995</v>
      </c>
      <c r="X936" s="622">
        <v>187.42570000000001</v>
      </c>
      <c r="Y936" s="622">
        <v>580.447</v>
      </c>
      <c r="Z936" s="622">
        <v>24.37</v>
      </c>
      <c r="AA936" s="622">
        <v>87.48</v>
      </c>
      <c r="AB936" s="622">
        <v>330</v>
      </c>
      <c r="AC936" s="624">
        <v>61850.48</v>
      </c>
    </row>
    <row r="937" spans="1:29" ht="15.75" x14ac:dyDescent="0.25">
      <c r="A937" s="171" t="s">
        <v>4678</v>
      </c>
      <c r="B937" s="625">
        <v>635</v>
      </c>
      <c r="C937" s="625"/>
      <c r="D937" s="162" t="s">
        <v>13</v>
      </c>
      <c r="E937" s="162" t="s">
        <v>892</v>
      </c>
      <c r="F937" s="168">
        <v>45614</v>
      </c>
      <c r="G937" s="168"/>
      <c r="H93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7" s="967" t="str">
        <f>CONCATENATE(Таблица47[[#This Row],[№ заявки в 1С]],Таблица47[[#This Row],[Наименование            ]])</f>
        <v>635[78539] 1606-87, 6,1м,  6063 Т1 БА</v>
      </c>
      <c r="J93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631</v>
      </c>
      <c r="K93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631</v>
      </c>
      <c r="L93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631</v>
      </c>
      <c r="M937" s="522"/>
      <c r="N937" s="968">
        <v>631</v>
      </c>
      <c r="O937" s="1006">
        <f>IFERROR(Таблица47[[#This Row],[Количество хлыстов]]-Таблица47[[#This Row],[Обработано в 1С]]-Таблица47[[#This Row],[Корректировка]],"")</f>
        <v>0</v>
      </c>
      <c r="P937" s="1157">
        <f>IFERROR((((Таблица47[[#This Row],[Осталось сделать, хлыст]]*Таблица47[[#This Row],[длина]])*Таблица47[[#This Row],[Периметр]])/28),"")</f>
        <v>0</v>
      </c>
      <c r="Q937" s="963"/>
      <c r="R937" s="1159">
        <f>IFERROR(Таблица47[[#This Row],[Коли-
чество м.п.]]/Таблица47[[#This Row],[Количество хлыстов]],"")</f>
        <v>6.1</v>
      </c>
      <c r="S937" s="961" t="s">
        <v>2964</v>
      </c>
      <c r="T937" s="961">
        <v>3849.1</v>
      </c>
      <c r="U937" s="970">
        <v>631</v>
      </c>
      <c r="V937" s="961">
        <v>8.4900000000000003E-2</v>
      </c>
      <c r="W937" s="961">
        <v>0.13700000000000001</v>
      </c>
      <c r="X937" s="961">
        <v>326.78859999999997</v>
      </c>
      <c r="Y937" s="961">
        <v>527.32669999999996</v>
      </c>
      <c r="Z937" s="961">
        <v>42.48</v>
      </c>
      <c r="AA937" s="961">
        <v>42.03</v>
      </c>
      <c r="AB937" s="961">
        <v>495</v>
      </c>
      <c r="AC937" s="971">
        <v>161760.35</v>
      </c>
    </row>
    <row r="938" spans="1:29" ht="15.75" x14ac:dyDescent="0.25">
      <c r="A938" s="238" t="s">
        <v>4678</v>
      </c>
      <c r="B938" s="1070">
        <v>636</v>
      </c>
      <c r="C938" s="1070"/>
      <c r="D938" s="200" t="s">
        <v>13</v>
      </c>
      <c r="E938" s="200" t="s">
        <v>556</v>
      </c>
      <c r="F938" s="201">
        <v>45614</v>
      </c>
      <c r="G938" s="964"/>
      <c r="H93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8" s="967" t="str">
        <f>CONCATENATE(Таблица47[[#This Row],[№ заявки в 1С]],Таблица47[[#This Row],[Наименование            ]])</f>
        <v>636[87833] 1806-93, 6,0м, сплав 6063 КР, состТ6, упаковка.Т5</v>
      </c>
      <c r="J93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65</v>
      </c>
      <c r="K93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65</v>
      </c>
      <c r="L93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65</v>
      </c>
      <c r="M938" s="522">
        <v>65</v>
      </c>
      <c r="N938" s="968"/>
      <c r="O938" s="1006">
        <f>IFERROR(Таблица47[[#This Row],[Количество хлыстов]]-Таблица47[[#This Row],[Обработано в 1С]]-Таблица47[[#This Row],[Корректировка]],"")</f>
        <v>-65</v>
      </c>
      <c r="P938" s="1157">
        <f>IFERROR((((Таблица47[[#This Row],[Осталось сделать, хлыст]]*Таблица47[[#This Row],[длина]])*Таблица47[[#This Row],[Периметр]])/28),"")</f>
        <v>-5.8360714285714286</v>
      </c>
      <c r="Q938" s="963"/>
      <c r="R938" s="1159">
        <f>IFERROR(Таблица47[[#This Row],[Коли-
чество м.п.]]/Таблица47[[#This Row],[Количество хлыстов]],"")</f>
        <v>6</v>
      </c>
      <c r="S938" s="961" t="s">
        <v>4785</v>
      </c>
      <c r="T938" s="961">
        <v>390</v>
      </c>
      <c r="U938" s="970">
        <v>65</v>
      </c>
      <c r="V938" s="961">
        <v>0.41899999999999998</v>
      </c>
      <c r="W938" s="961">
        <v>0.75800000000000001</v>
      </c>
      <c r="X938" s="961">
        <v>163.41</v>
      </c>
      <c r="Y938" s="961">
        <v>295.62</v>
      </c>
      <c r="Z938" s="961">
        <v>21.24</v>
      </c>
      <c r="AA938" s="961">
        <v>190.65</v>
      </c>
      <c r="AB938" s="961">
        <v>455</v>
      </c>
      <c r="AC938" s="971">
        <v>74351.55</v>
      </c>
    </row>
    <row r="939" spans="1:29" s="1021" customFormat="1" ht="15.75" x14ac:dyDescent="0.25">
      <c r="A939" s="419" t="s">
        <v>4978</v>
      </c>
      <c r="B939" s="617">
        <v>637</v>
      </c>
      <c r="C939" s="617"/>
      <c r="D939" s="618" t="s">
        <v>13</v>
      </c>
      <c r="E939" s="618" t="s">
        <v>2180</v>
      </c>
      <c r="F939" s="619">
        <v>45614</v>
      </c>
      <c r="G939" s="619"/>
      <c r="H939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39" s="1004" t="str">
        <f>CONCATENATE(Таблица47[[#This Row],[№ заявки в 1С]],Таблица47[[#This Row],[Наименование            ]])</f>
        <v>637[93002] 1906-26, 3,05м, Ад31 Т1</v>
      </c>
      <c r="J939" s="1004">
        <v>6</v>
      </c>
      <c r="K939" s="1004">
        <v>6</v>
      </c>
      <c r="L939" s="1004">
        <v>6</v>
      </c>
      <c r="M939" s="620"/>
      <c r="N939" s="677">
        <v>6</v>
      </c>
      <c r="O939" s="1154">
        <f>IFERROR(Таблица47[[#This Row],[Количество хлыстов]]-Таблица47[[#This Row],[Обработано в 1С]]-Таблица47[[#This Row],[Корректировка]],"")</f>
        <v>0</v>
      </c>
      <c r="P939" s="1168">
        <f>IFERROR((((Таблица47[[#This Row],[Осталось сделать, хлыст]]*Таблица47[[#This Row],[длина]])*Таблица47[[#This Row],[Периметр]])/28),"")</f>
        <v>0</v>
      </c>
      <c r="Q939" s="618"/>
      <c r="R939" s="655">
        <f>IFERROR(Таблица47[[#This Row],[Коли-
чество м.п.]]/Таблица47[[#This Row],[Количество хлыстов]],"")</f>
        <v>3.0500000000000003</v>
      </c>
      <c r="S939" s="622" t="s">
        <v>5882</v>
      </c>
      <c r="T939" s="622">
        <v>18.3</v>
      </c>
      <c r="U939" s="623">
        <v>6</v>
      </c>
      <c r="V939" s="622">
        <v>0.42449999999999999</v>
      </c>
      <c r="W939" s="622">
        <v>2.496</v>
      </c>
      <c r="X939" s="622">
        <v>7.7683999999999997</v>
      </c>
      <c r="Y939" s="622">
        <v>45.6768</v>
      </c>
      <c r="Z939" s="622">
        <v>1.01</v>
      </c>
      <c r="AA939" s="622" t="s">
        <v>17</v>
      </c>
      <c r="AB939" s="622" t="s">
        <v>17</v>
      </c>
      <c r="AC939" s="624" t="s">
        <v>17</v>
      </c>
    </row>
    <row r="940" spans="1:29" ht="15.75" x14ac:dyDescent="0.25">
      <c r="A940" s="965" t="s">
        <v>4678</v>
      </c>
      <c r="B940" s="962">
        <v>638</v>
      </c>
      <c r="C940" s="962"/>
      <c r="D940" s="963" t="s">
        <v>34</v>
      </c>
      <c r="E940" s="963" t="s">
        <v>79</v>
      </c>
      <c r="F940" s="964">
        <v>45614</v>
      </c>
      <c r="G940" s="964"/>
      <c r="H94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0" s="967" t="str">
        <f>CONCATENATE(Таблица47[[#This Row],[№ заявки в 1С]],Таблица47[[#This Row],[Наименование            ]])</f>
        <v>638[76098] 1606-28 (полка L), 6,0м, 6063 Т1, упаковка Т-5, БА</v>
      </c>
      <c r="J94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420</v>
      </c>
      <c r="K94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420</v>
      </c>
      <c r="L94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420</v>
      </c>
      <c r="M940" s="522"/>
      <c r="N940" s="968">
        <v>420</v>
      </c>
      <c r="O940" s="1006">
        <f>IFERROR(Таблица47[[#This Row],[Количество хлыстов]]-Таблица47[[#This Row],[Обработано в 1С]]-Таблица47[[#This Row],[Корректировка]],"")</f>
        <v>0</v>
      </c>
      <c r="P940" s="1157">
        <f>IFERROR((((Таблица47[[#This Row],[Осталось сделать, хлыст]]*Таблица47[[#This Row],[длина]])*Таблица47[[#This Row],[Периметр]])/28),"")</f>
        <v>0</v>
      </c>
      <c r="Q940" s="963"/>
      <c r="R940" s="1159">
        <f>IFERROR(Таблица47[[#This Row],[Коли-
чество м.п.]]/Таблица47[[#This Row],[Количество хлыстов]],"")</f>
        <v>6</v>
      </c>
      <c r="S940" s="961" t="s">
        <v>2623</v>
      </c>
      <c r="T940" s="961">
        <v>2520</v>
      </c>
      <c r="U940" s="970">
        <v>420</v>
      </c>
      <c r="V940" s="961">
        <v>9.1399999999999995E-2</v>
      </c>
      <c r="W940" s="961">
        <v>0.19600000000000001</v>
      </c>
      <c r="X940" s="961">
        <v>230.328</v>
      </c>
      <c r="Y940" s="961">
        <v>493.92</v>
      </c>
      <c r="Z940" s="961">
        <v>29.94</v>
      </c>
      <c r="AA940" s="961">
        <v>39.21</v>
      </c>
      <c r="AB940" s="961">
        <v>429</v>
      </c>
      <c r="AC940" s="971">
        <v>98810.71</v>
      </c>
    </row>
    <row r="941" spans="1:29" ht="15.75" x14ac:dyDescent="0.25">
      <c r="A941" s="965" t="s">
        <v>4678</v>
      </c>
      <c r="B941" s="962">
        <v>639</v>
      </c>
      <c r="C941" s="962"/>
      <c r="D941" s="963" t="s">
        <v>34</v>
      </c>
      <c r="E941" s="963" t="s">
        <v>19</v>
      </c>
      <c r="F941" s="964">
        <v>45614</v>
      </c>
      <c r="G941" s="964"/>
      <c r="H94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1" s="967" t="str">
        <f>CONCATENATE(Таблица47[[#This Row],[№ заявки в 1С]],Таблица47[[#This Row],[Наименование            ]])</f>
        <v>639[93735] 1906-27, 3,1м, 6063 Т6, упаковка Т-5 под анод, БА</v>
      </c>
      <c r="J94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</v>
      </c>
      <c r="K94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</v>
      </c>
      <c r="L94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</v>
      </c>
      <c r="M941" s="522"/>
      <c r="N941" s="968">
        <v>1</v>
      </c>
      <c r="O941" s="1006">
        <f>IFERROR(Таблица47[[#This Row],[Количество хлыстов]]-Таблица47[[#This Row],[Обработано в 1С]]-Таблица47[[#This Row],[Корректировка]],"")</f>
        <v>0</v>
      </c>
      <c r="P941" s="1157">
        <f>IFERROR((((Таблица47[[#This Row],[Осталось сделать, хлыст]]*Таблица47[[#This Row],[длина]])*Таблица47[[#This Row],[Периметр]])/28),"")</f>
        <v>0</v>
      </c>
      <c r="Q941" s="963"/>
      <c r="R941" s="1159">
        <f>IFERROR(Таблица47[[#This Row],[Коли-
чество м.п.]]/Таблица47[[#This Row],[Количество хлыстов]],"")</f>
        <v>3.1</v>
      </c>
      <c r="S941" s="961" t="s">
        <v>5883</v>
      </c>
      <c r="T941" s="961">
        <v>3.1</v>
      </c>
      <c r="U941" s="970">
        <v>1</v>
      </c>
      <c r="V941" s="961">
        <v>0.51539999999999997</v>
      </c>
      <c r="W941" s="961">
        <v>5.7469999999999999</v>
      </c>
      <c r="X941" s="961">
        <v>1.5976999999999999</v>
      </c>
      <c r="Y941" s="961">
        <v>17.8157</v>
      </c>
      <c r="Z941" s="961">
        <v>0.21</v>
      </c>
      <c r="AA941" s="961">
        <v>253.06</v>
      </c>
      <c r="AB941" s="961">
        <v>491</v>
      </c>
      <c r="AC941" s="971">
        <v>784.49</v>
      </c>
    </row>
    <row r="942" spans="1:29" ht="15.75" x14ac:dyDescent="0.25">
      <c r="A942" s="965" t="s">
        <v>4678</v>
      </c>
      <c r="B942" s="962">
        <v>640</v>
      </c>
      <c r="C942" s="962"/>
      <c r="D942" s="963" t="s">
        <v>34</v>
      </c>
      <c r="E942" s="963" t="s">
        <v>3404</v>
      </c>
      <c r="F942" s="964">
        <v>45614</v>
      </c>
      <c r="G942" s="964"/>
      <c r="H94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2" s="967" t="str">
        <f>CONCATENATE(Таблица47[[#This Row],[№ заявки в 1С]],Таблица47[[#This Row],[Наименование            ]])</f>
        <v>640[89968] 2606-57, 6,0м, 6063 Т6, уп.Т5, БА</v>
      </c>
      <c r="J94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352</v>
      </c>
      <c r="K94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352</v>
      </c>
      <c r="L94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352</v>
      </c>
      <c r="M942" s="522"/>
      <c r="N942" s="968">
        <v>352</v>
      </c>
      <c r="O942" s="1006">
        <f>IFERROR(Таблица47[[#This Row],[Количество хлыстов]]-Таблица47[[#This Row],[Обработано в 1С]]-Таблица47[[#This Row],[Корректировка]],"")</f>
        <v>0</v>
      </c>
      <c r="P942" s="1157">
        <f>IFERROR((((Таблица47[[#This Row],[Осталось сделать, хлыст]]*Таблица47[[#This Row],[длина]])*Таблица47[[#This Row],[Периметр]])/28),"")</f>
        <v>0</v>
      </c>
      <c r="Q942" s="963"/>
      <c r="R942" s="1159">
        <f>IFERROR(Таблица47[[#This Row],[Коли-
чество м.п.]]/Таблица47[[#This Row],[Количество хлыстов]],"")</f>
        <v>6</v>
      </c>
      <c r="S942" s="961" t="s">
        <v>5003</v>
      </c>
      <c r="T942" s="961">
        <v>2112</v>
      </c>
      <c r="U942" s="970">
        <v>352</v>
      </c>
      <c r="V942" s="961">
        <v>0.27439999999999998</v>
      </c>
      <c r="W942" s="961">
        <v>0.56100000000000005</v>
      </c>
      <c r="X942" s="961">
        <v>579.53279999999995</v>
      </c>
      <c r="Y942" s="961">
        <v>1184.8320000000001</v>
      </c>
      <c r="Z942" s="961">
        <v>75.34</v>
      </c>
      <c r="AA942" s="961">
        <v>108.39</v>
      </c>
      <c r="AB942" s="961">
        <v>395</v>
      </c>
      <c r="AC942" s="971">
        <v>228915.46</v>
      </c>
    </row>
    <row r="943" spans="1:29" ht="15.75" x14ac:dyDescent="0.25">
      <c r="A943" s="965" t="s">
        <v>4678</v>
      </c>
      <c r="B943" s="962" t="s">
        <v>5884</v>
      </c>
      <c r="C943" s="962"/>
      <c r="D943" s="963" t="s">
        <v>34</v>
      </c>
      <c r="E943" s="963" t="s">
        <v>16</v>
      </c>
      <c r="F943" s="964">
        <v>45614</v>
      </c>
      <c r="G943" s="964"/>
      <c r="H94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3" s="967" t="str">
        <f>CONCATENATE(Таблица47[[#This Row],[№ заявки в 1С]],Таблица47[[#This Row],[Наименование            ]])</f>
        <v>OPT001314[13620] 0106-290 (6158), 6,0м, 6063 Т1, тип 1, упаковка Т-5, БА</v>
      </c>
      <c r="J94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207</v>
      </c>
      <c r="K94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207</v>
      </c>
      <c r="L94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202</v>
      </c>
      <c r="M943" s="522">
        <v>5</v>
      </c>
      <c r="N943" s="968">
        <v>202</v>
      </c>
      <c r="O943" s="1006">
        <f>IFERROR(Таблица47[[#This Row],[Количество хлыстов]]-Таблица47[[#This Row],[Обработано в 1С]]-Таблица47[[#This Row],[Корректировка]],"")</f>
        <v>0</v>
      </c>
      <c r="P943" s="1157">
        <f>IFERROR((((Таблица47[[#This Row],[Осталось сделать, хлыст]]*Таблица47[[#This Row],[длина]])*Таблица47[[#This Row],[Периметр]])/28),"")</f>
        <v>0</v>
      </c>
      <c r="Q943" s="963"/>
      <c r="R943" s="1159">
        <f>IFERROR(Таблица47[[#This Row],[Коли-
чество м.п.]]/Таблица47[[#This Row],[Количество хлыстов]],"")</f>
        <v>6</v>
      </c>
      <c r="S943" s="961" t="s">
        <v>5693</v>
      </c>
      <c r="T943" s="961">
        <v>1242</v>
      </c>
      <c r="U943" s="970">
        <v>207</v>
      </c>
      <c r="V943" s="961">
        <v>0.29970000000000002</v>
      </c>
      <c r="W943" s="961">
        <v>1.6739999999999999</v>
      </c>
      <c r="X943" s="961">
        <v>372.22739999999999</v>
      </c>
      <c r="Y943" s="961">
        <v>2079.1080000000002</v>
      </c>
      <c r="Z943" s="961">
        <v>48.39</v>
      </c>
      <c r="AA943" s="961">
        <v>136.36000000000001</v>
      </c>
      <c r="AB943" s="961">
        <v>455</v>
      </c>
      <c r="AC943" s="971">
        <v>169363.47</v>
      </c>
    </row>
    <row r="944" spans="1:29" ht="15.75" x14ac:dyDescent="0.25">
      <c r="A944" s="965" t="s">
        <v>4678</v>
      </c>
      <c r="B944" s="962">
        <v>641</v>
      </c>
      <c r="C944" s="962"/>
      <c r="D944" s="963" t="s">
        <v>34</v>
      </c>
      <c r="E944" s="963" t="s">
        <v>5885</v>
      </c>
      <c r="F944" s="964">
        <v>45614</v>
      </c>
      <c r="G944" s="964"/>
      <c r="H94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готов</v>
      </c>
      <c r="I944" s="967" t="str">
        <f>CONCATENATE(Таблица47[[#This Row],[№ заявки в 1С]],Таблица47[[#This Row],[Наименование            ]])</f>
        <v>641[41030] 1406-05, 6,0м, БА сплав 6063КР под анод тип 2, Т1, уп.Т5</v>
      </c>
      <c r="J94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38</v>
      </c>
      <c r="K94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38</v>
      </c>
      <c r="L94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38</v>
      </c>
      <c r="M944" s="522"/>
      <c r="N944" s="968"/>
      <c r="O944" s="1006">
        <f>IFERROR(Таблица47[[#This Row],[Количество хлыстов]]-Таблица47[[#This Row],[Обработано в 1С]]-Таблица47[[#This Row],[Корректировка]],"")</f>
        <v>0</v>
      </c>
      <c r="P944" s="1157">
        <f>IFERROR((((Таблица47[[#This Row],[Осталось сделать, хлыст]]*Таблица47[[#This Row],[длина]])*Таблица47[[#This Row],[Периметр]])/28),"")</f>
        <v>0</v>
      </c>
      <c r="Q944" s="963" t="s">
        <v>5082</v>
      </c>
      <c r="R944" s="1159">
        <f>IFERROR(Таблица47[[#This Row],[Коли-
чество м.п.]]/Таблица47[[#This Row],[Количество хлыстов]],"")</f>
        <v>6</v>
      </c>
      <c r="S944" s="961" t="s">
        <v>2719</v>
      </c>
      <c r="T944" s="961">
        <v>228</v>
      </c>
      <c r="U944" s="970">
        <v>38</v>
      </c>
      <c r="V944" s="961">
        <v>0.68820000000000003</v>
      </c>
      <c r="W944" s="961">
        <v>3.2480000000000002</v>
      </c>
      <c r="X944" s="961">
        <v>156.90960000000001</v>
      </c>
      <c r="Y944" s="961">
        <v>740.54399999999998</v>
      </c>
      <c r="Z944" s="961">
        <v>20.399999999999999</v>
      </c>
      <c r="AA944" s="961">
        <v>313.13</v>
      </c>
      <c r="AB944" s="961">
        <v>455</v>
      </c>
      <c r="AC944" s="971">
        <v>71393.87</v>
      </c>
    </row>
    <row r="945" spans="1:29" ht="15.75" x14ac:dyDescent="0.25">
      <c r="A945" s="965" t="s">
        <v>4979</v>
      </c>
      <c r="B945" s="962">
        <v>538</v>
      </c>
      <c r="C945" s="962"/>
      <c r="D945" s="963" t="s">
        <v>34</v>
      </c>
      <c r="E945" s="963" t="s">
        <v>643</v>
      </c>
      <c r="F945" s="964">
        <v>45614</v>
      </c>
      <c r="G945" s="964"/>
      <c r="H94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5" s="967" t="str">
        <f>CONCATENATE(Таблица47[[#This Row],[№ заявки в 1С]],Таблица47[[#This Row],[Наименование            ]])</f>
        <v>538[11558] 0106-206, 4,2м, АД31 Т1, упаковка Т-4, БА</v>
      </c>
      <c r="J945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45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45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45" s="522"/>
      <c r="N945" s="968">
        <v>61</v>
      </c>
      <c r="O945" s="1006" t="str">
        <f>IFERROR(Таблица47[[#This Row],[Количество хлыстов]]-Таблица47[[#This Row],[Обработано в 1С]]-Таблица47[[#This Row],[Корректировка]],"")</f>
        <v/>
      </c>
      <c r="P945" s="1157" t="str">
        <f>IFERROR((((Таблица47[[#This Row],[Осталось сделать, хлыст]]*Таблица47[[#This Row],[длина]])*Таблица47[[#This Row],[Периметр]])/28),"")</f>
        <v/>
      </c>
      <c r="Q945" s="963"/>
      <c r="R945" s="1159">
        <f>IFERROR(Таблица47[[#This Row],[Коли-
чество м.п.]]/Таблица47[[#This Row],[Количество хлыстов]],"")</f>
        <v>4.2</v>
      </c>
      <c r="S945" s="961" t="s">
        <v>888</v>
      </c>
      <c r="T945" s="961">
        <v>256.2</v>
      </c>
      <c r="U945" s="970">
        <v>61</v>
      </c>
      <c r="V945" s="961">
        <v>0.22650000000000001</v>
      </c>
      <c r="W945" s="961">
        <v>0.52700000000000002</v>
      </c>
      <c r="X945" s="961">
        <v>58.029299999999999</v>
      </c>
      <c r="Y945" s="961">
        <v>135.01740000000001</v>
      </c>
      <c r="Z945" s="961">
        <v>7.54</v>
      </c>
      <c r="AA945" s="961">
        <v>109.85</v>
      </c>
      <c r="AB945" s="961">
        <v>485</v>
      </c>
      <c r="AC945" s="971">
        <v>28144.21</v>
      </c>
    </row>
    <row r="946" spans="1:29" ht="15.75" x14ac:dyDescent="0.25">
      <c r="A946" s="965" t="s">
        <v>4979</v>
      </c>
      <c r="B946" s="962">
        <v>538</v>
      </c>
      <c r="C946" s="962"/>
      <c r="D946" s="963" t="s">
        <v>34</v>
      </c>
      <c r="E946" s="963" t="s">
        <v>643</v>
      </c>
      <c r="F946" s="964">
        <v>45614</v>
      </c>
      <c r="G946" s="964"/>
      <c r="H94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6" s="967" t="str">
        <f>CONCATENATE(Таблица47[[#This Row],[№ заявки в 1С]],Таблица47[[#This Row],[Наименование            ]])</f>
        <v>538[23954] 0106-206, 4,8м, АД31 Т1, уп.Т4, БА</v>
      </c>
      <c r="J946" s="967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46" s="967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46" s="967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46" s="522"/>
      <c r="N946" s="968">
        <v>168</v>
      </c>
      <c r="O946" s="1006" t="str">
        <f>IFERROR(Таблица47[[#This Row],[Количество хлыстов]]-Таблица47[[#This Row],[Обработано в 1С]]-Таблица47[[#This Row],[Корректировка]],"")</f>
        <v/>
      </c>
      <c r="P946" s="1157" t="str">
        <f>IFERROR((((Таблица47[[#This Row],[Осталось сделать, хлыст]]*Таблица47[[#This Row],[длина]])*Таблица47[[#This Row],[Периметр]])/28),"")</f>
        <v/>
      </c>
      <c r="Q946" s="963"/>
      <c r="R946" s="1159">
        <f>IFERROR(Таблица47[[#This Row],[Коли-
чество м.п.]]/Таблица47[[#This Row],[Количество хлыстов]],"")</f>
        <v>4.8</v>
      </c>
      <c r="S946" s="961" t="s">
        <v>3476</v>
      </c>
      <c r="T946" s="961">
        <v>806.4</v>
      </c>
      <c r="U946" s="970">
        <v>168</v>
      </c>
      <c r="V946" s="961">
        <v>0.22650000000000001</v>
      </c>
      <c r="W946" s="961">
        <v>0.52700000000000002</v>
      </c>
      <c r="X946" s="961">
        <v>182.64959999999999</v>
      </c>
      <c r="Y946" s="961">
        <v>424.97280000000001</v>
      </c>
      <c r="Z946" s="961">
        <v>23.74</v>
      </c>
      <c r="AA946" s="961">
        <v>109.85</v>
      </c>
      <c r="AB946" s="961">
        <v>485</v>
      </c>
      <c r="AC946" s="971">
        <v>88585.06</v>
      </c>
    </row>
    <row r="947" spans="1:29" ht="15.75" x14ac:dyDescent="0.25">
      <c r="A947" s="965" t="s">
        <v>4678</v>
      </c>
      <c r="B947" s="962">
        <v>643</v>
      </c>
      <c r="C947" s="962" t="s">
        <v>4753</v>
      </c>
      <c r="D947" s="963" t="s">
        <v>13</v>
      </c>
      <c r="E947" s="963" t="s">
        <v>480</v>
      </c>
      <c r="F947" s="964">
        <v>45617</v>
      </c>
      <c r="G947" s="168">
        <v>45642</v>
      </c>
      <c r="H94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7" s="967" t="str">
        <f>CONCATENATE(Таблица47[[#This Row],[№ заявки в 1С]],Таблица47[[#This Row],[Наименование            ]])</f>
        <v>643[90549] Труба 50*1 (Д) 6м , ад31</v>
      </c>
      <c r="J94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</v>
      </c>
      <c r="K94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</v>
      </c>
      <c r="L94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80</v>
      </c>
      <c r="M947" s="522"/>
      <c r="N947" s="968">
        <v>80</v>
      </c>
      <c r="O947" s="1006">
        <f>IFERROR(Таблица47[[#This Row],[Количество хлыстов]]-Таблица47[[#This Row],[Обработано в 1С]]-Таблица47[[#This Row],[Корректировка]],"")</f>
        <v>0</v>
      </c>
      <c r="P947" s="1157">
        <f>IFERROR((((Таблица47[[#This Row],[Осталось сделать, хлыст]]*Таблица47[[#This Row],[длина]])*Таблица47[[#This Row],[Периметр]])/28),"")</f>
        <v>0</v>
      </c>
      <c r="Q947" s="963"/>
      <c r="R947" s="1159">
        <f>IFERROR(Таблица47[[#This Row],[Коли-
чество м.п.]]/Таблица47[[#This Row],[Количество хлыстов]],"")</f>
        <v>6</v>
      </c>
      <c r="S947" s="961" t="s">
        <v>5085</v>
      </c>
      <c r="T947" s="961">
        <v>480</v>
      </c>
      <c r="U947" s="970">
        <v>80</v>
      </c>
      <c r="V947" s="961">
        <v>0.157</v>
      </c>
      <c r="W947" s="961">
        <v>0.42</v>
      </c>
      <c r="X947" s="961">
        <v>75.36</v>
      </c>
      <c r="Y947" s="961">
        <v>201.6</v>
      </c>
      <c r="Z947" s="961">
        <v>9.8000000000000007</v>
      </c>
      <c r="AA947" s="961">
        <v>134.38</v>
      </c>
      <c r="AB947" s="961">
        <v>855.89</v>
      </c>
      <c r="AC947" s="971">
        <v>64500</v>
      </c>
    </row>
    <row r="948" spans="1:29" ht="15.75" x14ac:dyDescent="0.25">
      <c r="A948" s="965" t="s">
        <v>4678</v>
      </c>
      <c r="B948" s="962">
        <v>644</v>
      </c>
      <c r="C948" s="962"/>
      <c r="D948" s="963" t="s">
        <v>13</v>
      </c>
      <c r="E948" s="963" t="s">
        <v>4637</v>
      </c>
      <c r="F948" s="964">
        <v>45618</v>
      </c>
      <c r="G948" s="964"/>
      <c r="H948" s="1005" t="s">
        <v>23</v>
      </c>
      <c r="I948" s="967" t="str">
        <f>CONCATENATE(Таблица47[[#This Row],[№ заявки в 1С]],Таблица47[[#This Row],[Наименование            ]])</f>
        <v>644[76034] 220650 (1606-52, АВА-3665) бортовой боковой 6,0м сплав 6063 Т6</v>
      </c>
      <c r="J94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50</v>
      </c>
      <c r="K94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50</v>
      </c>
      <c r="L94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50</v>
      </c>
      <c r="M948" s="522"/>
      <c r="N948" s="968"/>
      <c r="O948" s="1006">
        <f>IFERROR(Таблица47[[#This Row],[Количество хлыстов]]-Таблица47[[#This Row],[Обработано в 1С]]-Таблица47[[#This Row],[Корректировка]],"")</f>
        <v>0</v>
      </c>
      <c r="P948" s="1157">
        <f>IFERROR((((Таблица47[[#This Row],[Осталось сделать, хлыст]]*Таблица47[[#This Row],[длина]])*Таблица47[[#This Row],[Периметр]])/28),"")</f>
        <v>0</v>
      </c>
      <c r="Q948" s="963"/>
      <c r="R948" s="1159">
        <f>IFERROR(Таблица47[[#This Row],[Коли-
чество м.п.]]/Таблица47[[#This Row],[Количество хлыстов]],"")</f>
        <v>6</v>
      </c>
      <c r="S948" s="961" t="s">
        <v>4461</v>
      </c>
      <c r="T948" s="961">
        <v>300</v>
      </c>
      <c r="U948" s="970">
        <v>50</v>
      </c>
      <c r="V948" s="961">
        <v>0.31</v>
      </c>
      <c r="W948" s="961">
        <v>1.2010000000000001</v>
      </c>
      <c r="X948" s="961">
        <v>93</v>
      </c>
      <c r="Y948" s="961">
        <v>360.3</v>
      </c>
      <c r="Z948" s="961">
        <v>12.09</v>
      </c>
      <c r="AA948" s="961">
        <v>131.75</v>
      </c>
      <c r="AB948" s="961">
        <v>425</v>
      </c>
      <c r="AC948" s="971">
        <v>39525</v>
      </c>
    </row>
    <row r="949" spans="1:29" ht="15.75" x14ac:dyDescent="0.25">
      <c r="A949" s="965" t="s">
        <v>4678</v>
      </c>
      <c r="B949" s="962">
        <v>645</v>
      </c>
      <c r="C949" s="962"/>
      <c r="D949" s="963" t="s">
        <v>13</v>
      </c>
      <c r="E949" s="963" t="s">
        <v>5250</v>
      </c>
      <c r="F949" s="964">
        <v>45621</v>
      </c>
      <c r="G949" s="964"/>
      <c r="H94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49" s="967" t="str">
        <f>CONCATENATE(Таблица47[[#This Row],[№ заявки в 1С]],Таблица47[[#This Row],[Наименование            ]])</f>
        <v>645[376] А 12 (0072-08) Угловая стойка, 5,0м, 6063 КР</v>
      </c>
      <c r="J94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30</v>
      </c>
      <c r="K94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30</v>
      </c>
      <c r="L94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30</v>
      </c>
      <c r="M949" s="522"/>
      <c r="N949" s="968">
        <v>30</v>
      </c>
      <c r="O949" s="1006">
        <f>IFERROR(Таблица47[[#This Row],[Количество хлыстов]]-Таблица47[[#This Row],[Обработано в 1С]]-Таблица47[[#This Row],[Корректировка]],"")</f>
        <v>0</v>
      </c>
      <c r="P949" s="1157">
        <f>IFERROR((((Таблица47[[#This Row],[Осталось сделать, хлыст]]*Таблица47[[#This Row],[длина]])*Таблица47[[#This Row],[Периметр]])/28),"")</f>
        <v>0</v>
      </c>
      <c r="Q949" s="963"/>
      <c r="R949" s="1159">
        <f>IFERROR(Таблица47[[#This Row],[Коли-
чество м.п.]]/Таблица47[[#This Row],[Количество хлыстов]],"")</f>
        <v>5</v>
      </c>
      <c r="S949" s="961" t="s">
        <v>149</v>
      </c>
      <c r="T949" s="961">
        <v>150</v>
      </c>
      <c r="U949" s="970">
        <v>30</v>
      </c>
      <c r="V949" s="961">
        <v>0.18360000000000001</v>
      </c>
      <c r="W949" s="961">
        <v>0.39400000000000002</v>
      </c>
      <c r="X949" s="961">
        <v>27.54</v>
      </c>
      <c r="Y949" s="961">
        <v>59.1</v>
      </c>
      <c r="Z949" s="961">
        <v>3.58</v>
      </c>
      <c r="AA949" s="961">
        <v>83.54</v>
      </c>
      <c r="AB949" s="961">
        <v>455</v>
      </c>
      <c r="AC949" s="971">
        <v>12530.7</v>
      </c>
    </row>
    <row r="950" spans="1:29" ht="15.75" x14ac:dyDescent="0.25">
      <c r="A950" s="965"/>
      <c r="B950" s="962">
        <v>646</v>
      </c>
      <c r="C950" s="962"/>
      <c r="D950" s="963" t="s">
        <v>4858</v>
      </c>
      <c r="E950" s="963" t="s">
        <v>5213</v>
      </c>
      <c r="F950" s="964">
        <v>45621</v>
      </c>
      <c r="G950" s="964"/>
      <c r="H95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0" s="967" t="str">
        <f>CONCATENATE(Таблица47[[#This Row],[№ заявки в 1С]],Таблица47[[#This Row],[Наименование            ]])</f>
        <v>646[91532] Корпус_КУДР.676621.015.01 (1885мм) 6063</v>
      </c>
      <c r="J95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520</v>
      </c>
      <c r="K95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520</v>
      </c>
      <c r="L95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520</v>
      </c>
      <c r="M950" s="522"/>
      <c r="N950" s="968">
        <v>520</v>
      </c>
      <c r="O950" s="1006">
        <f>IFERROR(Таблица47[[#This Row],[Количество хлыстов]]-Таблица47[[#This Row],[Обработано в 1С]]-Таблица47[[#This Row],[Корректировка]],"")</f>
        <v>0</v>
      </c>
      <c r="P950" s="1157">
        <f>IFERROR((((Таблица47[[#This Row],[Осталось сделать, хлыст]]*Таблица47[[#This Row],[длина]])*Таблица47[[#This Row],[Периметр]])/28),"")</f>
        <v>0</v>
      </c>
      <c r="Q950" s="963"/>
      <c r="R950" s="1159">
        <v>1.885</v>
      </c>
      <c r="S950" s="961" t="s">
        <v>5215</v>
      </c>
      <c r="T950" s="961">
        <v>980.2</v>
      </c>
      <c r="U950" s="970">
        <v>520</v>
      </c>
      <c r="V950" s="961">
        <v>0.05</v>
      </c>
      <c r="W950" s="961">
        <v>0.16</v>
      </c>
      <c r="X950" s="961">
        <v>49.01</v>
      </c>
      <c r="Y950" s="961">
        <v>156.83199999999999</v>
      </c>
      <c r="Z950" s="961">
        <v>6.37</v>
      </c>
      <c r="AA950" s="961">
        <v>93.12</v>
      </c>
      <c r="AB950" s="961" t="s">
        <v>17</v>
      </c>
      <c r="AC950" s="971">
        <v>91274</v>
      </c>
    </row>
    <row r="951" spans="1:29" ht="15.75" x14ac:dyDescent="0.25">
      <c r="A951" s="965"/>
      <c r="B951" s="962">
        <v>646</v>
      </c>
      <c r="C951" s="962"/>
      <c r="D951" s="963" t="s">
        <v>4858</v>
      </c>
      <c r="E951" s="963" t="s">
        <v>5213</v>
      </c>
      <c r="F951" s="964">
        <v>45621</v>
      </c>
      <c r="G951" s="964"/>
      <c r="H95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1" s="967" t="str">
        <f>CONCATENATE(Таблица47[[#This Row],[№ заявки в 1С]],Таблица47[[#This Row],[Наименование            ]])</f>
        <v>646[91534] Корпус_КУДР.676621.015.01-01 (1418мм) 6063</v>
      </c>
      <c r="J95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800</v>
      </c>
      <c r="K95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800</v>
      </c>
      <c r="L95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800</v>
      </c>
      <c r="M951" s="522"/>
      <c r="N951" s="968">
        <v>800</v>
      </c>
      <c r="O951" s="1156">
        <f>IFERROR(Таблица47[[#This Row],[Количество хлыстов]]-Таблица47[[#This Row],[Обработано в 1С]]-Таблица47[[#This Row],[Корректировка]],"")</f>
        <v>0</v>
      </c>
      <c r="P951" s="1158">
        <f>IFERROR((((Таблица47[[#This Row],[Осталось сделать, хлыст]]*Таблица47[[#This Row],[длина]])*Таблица47[[#This Row],[Периметр]])/28),"")</f>
        <v>0</v>
      </c>
      <c r="Q951" s="963"/>
      <c r="R951" s="1159">
        <v>1.4179999999999999</v>
      </c>
      <c r="S951" s="961" t="s">
        <v>5214</v>
      </c>
      <c r="T951" s="961">
        <v>1134.4000000000001</v>
      </c>
      <c r="U951" s="970">
        <v>800</v>
      </c>
      <c r="V951" s="961">
        <v>0.05</v>
      </c>
      <c r="W951" s="961">
        <v>0.12</v>
      </c>
      <c r="X951" s="961">
        <v>56.72</v>
      </c>
      <c r="Y951" s="961">
        <v>136.12799999999999</v>
      </c>
      <c r="Z951" s="961">
        <v>7.37</v>
      </c>
      <c r="AA951" s="961">
        <v>86.79</v>
      </c>
      <c r="AB951" s="961" t="s">
        <v>17</v>
      </c>
      <c r="AC951" s="971">
        <v>98459</v>
      </c>
    </row>
    <row r="952" spans="1:29" ht="15.75" x14ac:dyDescent="0.25">
      <c r="A952" s="965" t="s">
        <v>4678</v>
      </c>
      <c r="B952" s="962">
        <v>647</v>
      </c>
      <c r="C952" s="962"/>
      <c r="D952" s="963" t="s">
        <v>13</v>
      </c>
      <c r="E952" s="963" t="s">
        <v>892</v>
      </c>
      <c r="F952" s="964">
        <v>45621</v>
      </c>
      <c r="G952" s="964"/>
      <c r="H95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2" s="967" t="str">
        <f>CONCATENATE(Таблица47[[#This Row],[№ заявки в 1С]],Таблица47[[#This Row],[Наименование            ]])</f>
        <v>647[76552] 1606-38 (197.05) 5,15 м, сплав 6063 КР Т6</v>
      </c>
      <c r="J95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647</v>
      </c>
      <c r="K95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647</v>
      </c>
      <c r="L95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647</v>
      </c>
      <c r="M952" s="522"/>
      <c r="N952" s="968">
        <v>647</v>
      </c>
      <c r="O952" s="1156">
        <f>IFERROR(Таблица47[[#This Row],[Количество хлыстов]]-Таблица47[[#This Row],[Обработано в 1С]]-Таблица47[[#This Row],[Корректировка]],"")</f>
        <v>0</v>
      </c>
      <c r="P952" s="1158">
        <f>IFERROR((((Таблица47[[#This Row],[Осталось сделать, хлыст]]*Таблица47[[#This Row],[длина]])*Таблица47[[#This Row],[Периметр]])/28),"")</f>
        <v>0</v>
      </c>
      <c r="Q952" s="963"/>
      <c r="R952" s="1159">
        <f>IFERROR(Таблица47[[#This Row],[Коли-
чество м.п.]]/Таблица47[[#This Row],[Количество хлыстов]],"")</f>
        <v>5.15</v>
      </c>
      <c r="S952" s="961" t="s">
        <v>1975</v>
      </c>
      <c r="T952" s="961">
        <v>3332.05</v>
      </c>
      <c r="U952" s="970">
        <v>647</v>
      </c>
      <c r="V952" s="961">
        <v>0.15790000000000001</v>
      </c>
      <c r="W952" s="961">
        <v>0.309</v>
      </c>
      <c r="X952" s="961">
        <v>526.13070000000005</v>
      </c>
      <c r="Y952" s="961">
        <v>1029.6034999999999</v>
      </c>
      <c r="Z952" s="961">
        <v>68.400000000000006</v>
      </c>
      <c r="AA952" s="961">
        <v>68.69</v>
      </c>
      <c r="AB952" s="961">
        <v>435</v>
      </c>
      <c r="AC952" s="971">
        <v>228866.85</v>
      </c>
    </row>
    <row r="953" spans="1:29" ht="15.75" x14ac:dyDescent="0.25">
      <c r="A953" s="171" t="s">
        <v>4678</v>
      </c>
      <c r="B953" s="625">
        <v>648</v>
      </c>
      <c r="C953" s="625"/>
      <c r="D953" s="162" t="s">
        <v>13</v>
      </c>
      <c r="E953" s="162" t="s">
        <v>892</v>
      </c>
      <c r="F953" s="168">
        <v>45621</v>
      </c>
      <c r="G953" s="964"/>
      <c r="H953" s="1005" t="s">
        <v>677</v>
      </c>
      <c r="I953" s="967" t="str">
        <f>CONCATENATE(Таблица47[[#This Row],[№ заявки в 1С]],Таблица47[[#This Row],[Наименование            ]])</f>
        <v>648[81357] 1606-37 (АВА-7227), 4,45 м, сплав 6063 КР Т6, упаковка Т-5</v>
      </c>
      <c r="J95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5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95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953" s="522"/>
      <c r="N953" s="968"/>
      <c r="O953" s="1156">
        <f>IFERROR(Таблица47[[#This Row],[Количество хлыстов]]-Таблица47[[#This Row],[Обработано в 1С]]-Таблица47[[#This Row],[Корректировка]],"")</f>
        <v>80</v>
      </c>
      <c r="P953" s="1158">
        <f>IFERROR((((Таблица47[[#This Row],[Осталось сделать, хлыст]]*Таблица47[[#This Row],[длина]])*Таблица47[[#This Row],[Периметр]])/28),"")</f>
        <v>3.3705571428571433</v>
      </c>
      <c r="Q953" s="162"/>
      <c r="R953" s="1159">
        <f>IFERROR(Таблица47[[#This Row],[Коли-
чество м.п.]]/Таблица47[[#This Row],[Количество хлыстов]],"")</f>
        <v>4.45</v>
      </c>
      <c r="S953" s="961" t="s">
        <v>4276</v>
      </c>
      <c r="T953" s="961">
        <v>356</v>
      </c>
      <c r="U953" s="970">
        <v>80</v>
      </c>
      <c r="V953" s="961">
        <v>0.2651</v>
      </c>
      <c r="W953" s="961">
        <v>0.82099999999999995</v>
      </c>
      <c r="X953" s="961">
        <v>94.375600000000006</v>
      </c>
      <c r="Y953" s="961">
        <v>292.27600000000001</v>
      </c>
      <c r="Z953" s="961">
        <v>12.27</v>
      </c>
      <c r="AA953" s="961">
        <v>136.53</v>
      </c>
      <c r="AB953" s="961">
        <v>515</v>
      </c>
      <c r="AC953" s="971">
        <v>48603.43</v>
      </c>
    </row>
    <row r="954" spans="1:29" ht="15.75" x14ac:dyDescent="0.25">
      <c r="A954" s="965" t="s">
        <v>4678</v>
      </c>
      <c r="B954" s="962">
        <v>649</v>
      </c>
      <c r="C954" s="962"/>
      <c r="D954" s="963" t="s">
        <v>13</v>
      </c>
      <c r="E954" s="963" t="s">
        <v>892</v>
      </c>
      <c r="F954" s="964">
        <v>45621</v>
      </c>
      <c r="G954" s="964"/>
      <c r="H95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4" s="967" t="str">
        <f>CONCATENATE(Таблица47[[#This Row],[№ заявки в 1С]],Таблица47[[#This Row],[Наименование            ]])</f>
        <v>649[78293] 1606-88, 6,1м,  6063 Т1 БА</v>
      </c>
      <c r="J95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219.00000000000003</v>
      </c>
      <c r="K95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679</v>
      </c>
      <c r="L95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679</v>
      </c>
      <c r="M954" s="522"/>
      <c r="N954" s="968">
        <v>679</v>
      </c>
      <c r="O954" s="1156">
        <f>IFERROR(Таблица47[[#This Row],[Количество хлыстов]]-Таблица47[[#This Row],[Обработано в 1С]]-Таблица47[[#This Row],[Корректировка]],"")</f>
        <v>0</v>
      </c>
      <c r="P954" s="1158">
        <f>IFERROR((((Таблица47[[#This Row],[Осталось сделать, хлыст]]*Таблица47[[#This Row],[длина]])*Таблица47[[#This Row],[Периметр]])/28),"")</f>
        <v>0</v>
      </c>
      <c r="Q954" s="963"/>
      <c r="R954" s="1159">
        <f>IFERROR(Таблица47[[#This Row],[Коли-
чество м.п.]]/Таблица47[[#This Row],[Количество хлыстов]],"")</f>
        <v>6.1</v>
      </c>
      <c r="S954" s="961" t="s">
        <v>2965</v>
      </c>
      <c r="T954" s="961">
        <v>4141.8999999999996</v>
      </c>
      <c r="U954" s="970">
        <v>679</v>
      </c>
      <c r="V954" s="961">
        <v>8.14E-2</v>
      </c>
      <c r="W954" s="961">
        <v>0.127</v>
      </c>
      <c r="X954" s="961">
        <v>337.15069999999997</v>
      </c>
      <c r="Y954" s="961">
        <v>526.0213</v>
      </c>
      <c r="Z954" s="961">
        <v>43.83</v>
      </c>
      <c r="AA954" s="961">
        <v>40.29</v>
      </c>
      <c r="AB954" s="961">
        <v>495</v>
      </c>
      <c r="AC954" s="971">
        <v>166889.57999999999</v>
      </c>
    </row>
    <row r="955" spans="1:29" ht="15.75" x14ac:dyDescent="0.25">
      <c r="A955" s="171" t="s">
        <v>4678</v>
      </c>
      <c r="B955" s="625">
        <v>651</v>
      </c>
      <c r="C955" s="625"/>
      <c r="D955" s="162" t="s">
        <v>13</v>
      </c>
      <c r="E955" s="162" t="s">
        <v>1116</v>
      </c>
      <c r="F955" s="168">
        <v>45622</v>
      </c>
      <c r="G955" s="964"/>
      <c r="H955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5" s="967" t="str">
        <f>CONCATENATE(Таблица47[[#This Row],[№ заявки в 1С]],Таблица47[[#This Row],[Наименование            ]])</f>
        <v>651[77780] автоуголок 250*40мм (1706-75, 97101) 6,0м, сплав 6063 Т6 +  упаковка А5</v>
      </c>
      <c r="J95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135</v>
      </c>
      <c r="K95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135</v>
      </c>
      <c r="L95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135</v>
      </c>
      <c r="M955" s="522"/>
      <c r="N955" s="968">
        <v>135</v>
      </c>
      <c r="O955" s="1156">
        <f>IFERROR(Таблица47[[#This Row],[Количество хлыстов]]-Таблица47[[#This Row],[Обработано в 1С]]-Таблица47[[#This Row],[Корректировка]],"")</f>
        <v>0</v>
      </c>
      <c r="P955" s="1158">
        <f>IFERROR((((Таблица47[[#This Row],[Осталось сделать, хлыст]]*Таблица47[[#This Row],[длина]])*Таблица47[[#This Row],[Периметр]])/28),"")</f>
        <v>0</v>
      </c>
      <c r="Q955" s="963" t="s">
        <v>17</v>
      </c>
      <c r="R955" s="1159">
        <f>IFERROR(Таблица47[[#This Row],[Коли-
чество м.п.]]/Таблица47[[#This Row],[Количество хлыстов]],"")</f>
        <v>6</v>
      </c>
      <c r="S955" s="961" t="s">
        <v>5216</v>
      </c>
      <c r="T955" s="961">
        <v>810</v>
      </c>
      <c r="U955" s="970">
        <v>135</v>
      </c>
      <c r="V955" s="961">
        <v>0.60040000000000004</v>
      </c>
      <c r="W955" s="961">
        <v>2.5739999999999998</v>
      </c>
      <c r="X955" s="961">
        <v>486.32400000000001</v>
      </c>
      <c r="Y955" s="961">
        <v>2084.94</v>
      </c>
      <c r="Z955" s="961">
        <v>63.22</v>
      </c>
      <c r="AA955" s="961">
        <v>255.17</v>
      </c>
      <c r="AB955" s="961">
        <v>425</v>
      </c>
      <c r="AC955" s="971">
        <v>206687.7</v>
      </c>
    </row>
    <row r="956" spans="1:29" s="1021" customFormat="1" ht="15.75" x14ac:dyDescent="0.25">
      <c r="A956" s="419" t="s">
        <v>4978</v>
      </c>
      <c r="B956" s="617">
        <v>652</v>
      </c>
      <c r="C956" s="617"/>
      <c r="D956" s="618" t="s">
        <v>34</v>
      </c>
      <c r="E956" s="618" t="s">
        <v>4807</v>
      </c>
      <c r="F956" s="619">
        <v>45652</v>
      </c>
      <c r="G956" s="619"/>
      <c r="H956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6" s="967" t="str">
        <f>CONCATENATE(Таблица47[[#This Row],[№ заявки в 1С]],Таблица47[[#This Row],[Наименование            ]])</f>
        <v>652[50071] 216004, рама, 5,3 м, сплав АД 31 Т1 , упаковка А3</v>
      </c>
      <c r="J956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56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56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56" s="620"/>
      <c r="N956" s="677">
        <v>520</v>
      </c>
      <c r="O956" s="1172" t="str">
        <f>IFERROR(Таблица47[[#This Row],[Количество хлыстов]]-Таблица47[[#This Row],[Обработано в 1С]]-Таблица47[[#This Row],[Корректировка]],"")</f>
        <v/>
      </c>
      <c r="P956" s="1173" t="str">
        <f>IFERROR((((Таблица47[[#This Row],[Осталось сделать, хлыст]]*Таблица47[[#This Row],[длина]])*Таблица47[[#This Row],[Периметр]])/28),"")</f>
        <v/>
      </c>
      <c r="Q956" s="618"/>
      <c r="R956" s="655">
        <f>IFERROR(Таблица47[[#This Row],[Коли-
чество м.п.]]/Таблица47[[#This Row],[Количество хлыстов]],"")</f>
        <v>5.3</v>
      </c>
      <c r="S956" s="622" t="s">
        <v>4806</v>
      </c>
      <c r="T956" s="622">
        <v>2756</v>
      </c>
      <c r="U956" s="623">
        <v>520</v>
      </c>
      <c r="V956" s="622">
        <v>0.22270000000000001</v>
      </c>
      <c r="W956" s="622">
        <v>0.52700000000000002</v>
      </c>
      <c r="X956" s="622">
        <v>613.76120000000003</v>
      </c>
      <c r="Y956" s="622">
        <v>1452.412</v>
      </c>
      <c r="Z956" s="622">
        <v>79.790000000000006</v>
      </c>
      <c r="AA956" s="622">
        <v>77.11</v>
      </c>
      <c r="AB956" s="622">
        <v>346.25</v>
      </c>
      <c r="AC956" s="624">
        <v>212514.82</v>
      </c>
    </row>
    <row r="957" spans="1:29" s="1021" customFormat="1" ht="15.75" x14ac:dyDescent="0.25">
      <c r="A957" s="419" t="s">
        <v>4978</v>
      </c>
      <c r="B957" s="617">
        <v>652</v>
      </c>
      <c r="C957" s="617"/>
      <c r="D957" s="618" t="s">
        <v>34</v>
      </c>
      <c r="E957" s="618" t="s">
        <v>4807</v>
      </c>
      <c r="F957" s="619">
        <v>45652</v>
      </c>
      <c r="G957" s="619"/>
      <c r="H957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7" s="967" t="str">
        <f>CONCATENATE(Таблица47[[#This Row],[№ заявки в 1С]],Таблица47[[#This Row],[Наименование            ]])</f>
        <v>652[73377] 215232, рама бок/низ R10, 4,9 м, сплав 6060 Т66, БА</v>
      </c>
      <c r="J957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57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57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57" s="620"/>
      <c r="N957" s="677">
        <v>347</v>
      </c>
      <c r="O957" s="1172" t="str">
        <f>IFERROR(Таблица47[[#This Row],[Количество хлыстов]]-Таблица47[[#This Row],[Обработано в 1С]]-Таблица47[[#This Row],[Корректировка]],"")</f>
        <v/>
      </c>
      <c r="P957" s="1173" t="str">
        <f>IFERROR((((Таблица47[[#This Row],[Осталось сделать, хлыст]]*Таблица47[[#This Row],[длина]])*Таблица47[[#This Row],[Периметр]])/28),"")</f>
        <v/>
      </c>
      <c r="Q957" s="618"/>
      <c r="R957" s="655">
        <f>IFERROR(Таблица47[[#This Row],[Коли-
чество м.п.]]/Таблица47[[#This Row],[Количество хлыстов]],"")</f>
        <v>4.8999999999999995</v>
      </c>
      <c r="S957" s="622" t="s">
        <v>4897</v>
      </c>
      <c r="T957" s="622">
        <v>1700.3</v>
      </c>
      <c r="U957" s="623">
        <v>347</v>
      </c>
      <c r="V957" s="622">
        <v>0.14419999999999999</v>
      </c>
      <c r="W957" s="622">
        <v>0.33200000000000002</v>
      </c>
      <c r="X957" s="622">
        <v>245.1833</v>
      </c>
      <c r="Y957" s="622">
        <v>564.49959999999999</v>
      </c>
      <c r="Z957" s="622">
        <v>31.87</v>
      </c>
      <c r="AA957" s="622">
        <v>49.93</v>
      </c>
      <c r="AB957" s="622">
        <v>346.25</v>
      </c>
      <c r="AC957" s="624">
        <v>84894.7</v>
      </c>
    </row>
    <row r="958" spans="1:29" s="1021" customFormat="1" ht="15.75" x14ac:dyDescent="0.25">
      <c r="A958" s="419" t="s">
        <v>4978</v>
      </c>
      <c r="B958" s="617">
        <v>652</v>
      </c>
      <c r="C958" s="617"/>
      <c r="D958" s="618" t="s">
        <v>34</v>
      </c>
      <c r="E958" s="618" t="s">
        <v>4807</v>
      </c>
      <c r="F958" s="619">
        <v>45652</v>
      </c>
      <c r="G958" s="619"/>
      <c r="H958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8" s="967" t="str">
        <f>CONCATENATE(Таблица47[[#This Row],[№ заявки в 1С]],Таблица47[[#This Row],[Наименование            ]])</f>
        <v>652[75789] 215234, рама-ручка R10/R8, 5.6 м, сплав 6060 Т66, БА</v>
      </c>
      <c r="J958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58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58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58" s="620"/>
      <c r="N958" s="677">
        <v>248</v>
      </c>
      <c r="O958" s="1172" t="str">
        <f>IFERROR(Таблица47[[#This Row],[Количество хлыстов]]-Таблица47[[#This Row],[Обработано в 1С]]-Таблица47[[#This Row],[Корректировка]],"")</f>
        <v/>
      </c>
      <c r="P958" s="1173" t="str">
        <f>IFERROR((((Таблица47[[#This Row],[Осталось сделать, хлыст]]*Таблица47[[#This Row],[длина]])*Таблица47[[#This Row],[Периметр]])/28),"")</f>
        <v/>
      </c>
      <c r="Q958" s="618"/>
      <c r="R958" s="655">
        <f>IFERROR(Таблица47[[#This Row],[Коли-
чество м.п.]]/Таблица47[[#This Row],[Количество хлыстов]],"")</f>
        <v>5.6</v>
      </c>
      <c r="S958" s="622" t="s">
        <v>4898</v>
      </c>
      <c r="T958" s="622">
        <v>1388.8</v>
      </c>
      <c r="U958" s="623">
        <v>248</v>
      </c>
      <c r="V958" s="622">
        <v>0.1734</v>
      </c>
      <c r="W958" s="622">
        <v>0.38200000000000001</v>
      </c>
      <c r="X958" s="622">
        <v>240.81790000000001</v>
      </c>
      <c r="Y958" s="622">
        <v>530.52160000000003</v>
      </c>
      <c r="Z958" s="622">
        <v>31.31</v>
      </c>
      <c r="AA958" s="622">
        <v>60.04</v>
      </c>
      <c r="AB958" s="622">
        <v>346.25</v>
      </c>
      <c r="AC958" s="624">
        <v>83383.55</v>
      </c>
    </row>
    <row r="959" spans="1:29" ht="15.75" x14ac:dyDescent="0.25">
      <c r="A959" s="965" t="s">
        <v>4678</v>
      </c>
      <c r="B959" s="962">
        <v>653</v>
      </c>
      <c r="C959" s="962" t="s">
        <v>4753</v>
      </c>
      <c r="D959" s="963" t="s">
        <v>34</v>
      </c>
      <c r="E959" s="963" t="s">
        <v>576</v>
      </c>
      <c r="F959" s="964">
        <v>45623</v>
      </c>
      <c r="G959" s="964"/>
      <c r="H95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59" s="967" t="str">
        <f>CONCATENATE(Таблица47[[#This Row],[№ заявки в 1С]],Таблица47[[#This Row],[Наименование            ]])</f>
        <v>653[93891] 221505 д, АД31 Т1, 2,05м без покрытия</v>
      </c>
      <c r="J95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311.99999999999994</v>
      </c>
      <c r="K95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311.99999999999994</v>
      </c>
      <c r="L95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311.99999999999994</v>
      </c>
      <c r="M959" s="522"/>
      <c r="N959" s="968">
        <v>312</v>
      </c>
      <c r="O959" s="1156">
        <f>IFERROR(Таблица47[[#This Row],[Количество хлыстов]]-Таблица47[[#This Row],[Обработано в 1С]]-Таблица47[[#This Row],[Корректировка]],"")</f>
        <v>5.6843418860808015E-14</v>
      </c>
      <c r="P959" s="1158">
        <f>IFERROR((((Таблица47[[#This Row],[Осталось сделать, хлыст]]*Таблица47[[#This Row],[длина]])*Таблица47[[#This Row],[Периметр]])/28),"")</f>
        <v>2.254836317661102E-15</v>
      </c>
      <c r="Q959" s="963"/>
      <c r="R959" s="1159">
        <f>IFERROR(Таблица47[[#This Row],[Коли-
чество м.п.]]/Таблица47[[#This Row],[Количество хлыстов]],"")</f>
        <v>2.0500000000000003</v>
      </c>
      <c r="S959" s="961" t="s">
        <v>5712</v>
      </c>
      <c r="T959" s="961">
        <v>639.6</v>
      </c>
      <c r="U959" s="970">
        <v>312</v>
      </c>
      <c r="V959" s="961">
        <v>0.54179999999999995</v>
      </c>
      <c r="W959" s="961">
        <v>1.3069999999999999</v>
      </c>
      <c r="X959" s="961">
        <v>346.53530000000001</v>
      </c>
      <c r="Y959" s="961">
        <v>835.95719999999994</v>
      </c>
      <c r="Z959" s="961">
        <v>45.05</v>
      </c>
      <c r="AA959" s="961">
        <v>426.83</v>
      </c>
      <c r="AB959" s="961">
        <v>787.8</v>
      </c>
      <c r="AC959" s="971">
        <v>273000</v>
      </c>
    </row>
    <row r="960" spans="1:29" ht="15.75" x14ac:dyDescent="0.25">
      <c r="A960" s="965" t="s">
        <v>4678</v>
      </c>
      <c r="B960" s="962">
        <v>655</v>
      </c>
      <c r="C960" s="962" t="s">
        <v>4753</v>
      </c>
      <c r="D960" s="963" t="s">
        <v>4858</v>
      </c>
      <c r="E960" s="963" t="s">
        <v>5935</v>
      </c>
      <c r="F960" s="964">
        <v>45624</v>
      </c>
      <c r="G960" s="964"/>
      <c r="H96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0" s="967" t="str">
        <f>CONCATENATE(Таблица47[[#This Row],[№ заявки в 1С]],Таблица47[[#This Row],[Наименование            ]])</f>
        <v>655[90028] 2575 коробка Д,6м</v>
      </c>
      <c r="J96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12</v>
      </c>
      <c r="K96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12</v>
      </c>
      <c r="L96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12</v>
      </c>
      <c r="M960" s="522"/>
      <c r="N960" s="968">
        <v>12</v>
      </c>
      <c r="O960" s="1156">
        <f>IFERROR(Таблица47[[#This Row],[Количество хлыстов]]-Таблица47[[#This Row],[Обработано в 1С]]-Таблица47[[#This Row],[Корректировка]],"")</f>
        <v>0</v>
      </c>
      <c r="P960" s="1158">
        <f>IFERROR((((Таблица47[[#This Row],[Осталось сделать, хлыст]]*Таблица47[[#This Row],[длина]])*Таблица47[[#This Row],[Периметр]])/28),"")</f>
        <v>0</v>
      </c>
      <c r="Q960" s="963"/>
      <c r="R960" s="1159">
        <f>IFERROR(Таблица47[[#This Row],[Коли-
чество м.п.]]/Таблица47[[#This Row],[Количество хлыстов]],"")</f>
        <v>6</v>
      </c>
      <c r="S960" s="961" t="s">
        <v>5010</v>
      </c>
      <c r="T960" s="961">
        <v>72</v>
      </c>
      <c r="U960" s="970">
        <v>12</v>
      </c>
      <c r="V960" s="961">
        <v>0.29399999999999998</v>
      </c>
      <c r="W960" s="961">
        <v>1.2270000000000001</v>
      </c>
      <c r="X960" s="961">
        <v>21.167999999999999</v>
      </c>
      <c r="Y960" s="961">
        <v>88.343999999999994</v>
      </c>
      <c r="Z960" s="961">
        <v>2.75</v>
      </c>
      <c r="AA960" s="961">
        <v>326.39</v>
      </c>
      <c r="AB960" s="961" t="s">
        <v>17</v>
      </c>
      <c r="AC960" s="971">
        <v>23500</v>
      </c>
    </row>
    <row r="961" spans="1:29" ht="15.75" x14ac:dyDescent="0.25">
      <c r="A961" s="965" t="s">
        <v>4678</v>
      </c>
      <c r="B961" s="962">
        <v>655</v>
      </c>
      <c r="C961" s="962" t="s">
        <v>4753</v>
      </c>
      <c r="D961" s="963" t="s">
        <v>4858</v>
      </c>
      <c r="E961" s="963" t="s">
        <v>5935</v>
      </c>
      <c r="F961" s="964">
        <v>45624</v>
      </c>
      <c r="G961" s="964"/>
      <c r="H96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1" s="967" t="str">
        <f>CONCATENATE(Таблица47[[#This Row],[№ заявки в 1С]],Таблица47[[#This Row],[Наименование            ]])</f>
        <v>655[90078] 2577 полотно, Д, 6м</v>
      </c>
      <c r="J96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20</v>
      </c>
      <c r="K96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20</v>
      </c>
      <c r="L96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20</v>
      </c>
      <c r="M961" s="522"/>
      <c r="N961" s="968">
        <v>20</v>
      </c>
      <c r="O961" s="1156">
        <f>IFERROR(Таблица47[[#This Row],[Количество хлыстов]]-Таблица47[[#This Row],[Обработано в 1С]]-Таблица47[[#This Row],[Корректировка]],"")</f>
        <v>0</v>
      </c>
      <c r="P961" s="1158">
        <f>IFERROR((((Таблица47[[#This Row],[Осталось сделать, хлыст]]*Таблица47[[#This Row],[длина]])*Таблица47[[#This Row],[Периметр]])/28),"")</f>
        <v>0</v>
      </c>
      <c r="Q961" s="963"/>
      <c r="R961" s="1159">
        <f>IFERROR(Таблица47[[#This Row],[Коли-
чество м.п.]]/Таблица47[[#This Row],[Количество хлыстов]],"")</f>
        <v>6</v>
      </c>
      <c r="S961" s="961" t="s">
        <v>5009</v>
      </c>
      <c r="T961" s="961">
        <v>120</v>
      </c>
      <c r="U961" s="970">
        <v>20</v>
      </c>
      <c r="V961" s="961">
        <v>0.29020000000000001</v>
      </c>
      <c r="W961" s="961">
        <v>1.17</v>
      </c>
      <c r="X961" s="961">
        <v>34.823999999999998</v>
      </c>
      <c r="Y961" s="961">
        <v>140.4</v>
      </c>
      <c r="Z961" s="961">
        <v>4.53</v>
      </c>
      <c r="AA961" s="961">
        <v>195.83</v>
      </c>
      <c r="AB961" s="961" t="s">
        <v>17</v>
      </c>
      <c r="AC961" s="971">
        <v>23500</v>
      </c>
    </row>
    <row r="962" spans="1:29" ht="15.75" x14ac:dyDescent="0.25">
      <c r="A962" s="965" t="s">
        <v>4678</v>
      </c>
      <c r="B962" s="962">
        <v>655</v>
      </c>
      <c r="C962" s="962" t="s">
        <v>4753</v>
      </c>
      <c r="D962" s="963" t="s">
        <v>4858</v>
      </c>
      <c r="E962" s="1127" t="s">
        <v>5935</v>
      </c>
      <c r="F962" s="964">
        <v>45624</v>
      </c>
      <c r="G962" s="964"/>
      <c r="H96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2" s="967" t="str">
        <f>CONCATENATE(Таблица47[[#This Row],[№ заявки в 1С]],Таблица47[[#This Row],[Наименование            ]])</f>
        <v>655[94387] 1250.28 профиль накладки угловой_Д_3м</v>
      </c>
      <c r="J96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40</v>
      </c>
      <c r="K96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40</v>
      </c>
      <c r="L96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25</v>
      </c>
      <c r="M962" s="522">
        <v>15</v>
      </c>
      <c r="N962" s="968">
        <v>25</v>
      </c>
      <c r="O962" s="1156">
        <f>IFERROR(Таблица47[[#This Row],[Количество хлыстов]]-Таблица47[[#This Row],[Обработано в 1С]]-Таблица47[[#This Row],[Корректировка]],"")</f>
        <v>0</v>
      </c>
      <c r="P962" s="1158">
        <f>IFERROR((((Таблица47[[#This Row],[Осталось сделать, хлыст]]*Таблица47[[#This Row],[длина]])*Таблица47[[#This Row],[Периметр]])/28),"")</f>
        <v>0</v>
      </c>
      <c r="Q962" s="963"/>
      <c r="R962" s="1159">
        <f>IFERROR(Таблица47[[#This Row],[Коли-
чество м.п.]]/Таблица47[[#This Row],[Количество хлыстов]],"")</f>
        <v>3</v>
      </c>
      <c r="S962" s="961" t="s">
        <v>5934</v>
      </c>
      <c r="T962" s="961">
        <v>120</v>
      </c>
      <c r="U962" s="970">
        <v>40</v>
      </c>
      <c r="V962" s="961">
        <v>7.6999999999999999E-2</v>
      </c>
      <c r="W962" s="961">
        <v>0.14499999999999999</v>
      </c>
      <c r="X962" s="961">
        <v>9.24</v>
      </c>
      <c r="Y962" s="961">
        <v>17.399999999999999</v>
      </c>
      <c r="Z962" s="961">
        <v>1.2</v>
      </c>
      <c r="AA962" s="961">
        <v>195.83</v>
      </c>
      <c r="AB962" s="961" t="s">
        <v>17</v>
      </c>
      <c r="AC962" s="971">
        <v>23500</v>
      </c>
    </row>
    <row r="963" spans="1:29" s="1021" customFormat="1" ht="15.75" x14ac:dyDescent="0.25">
      <c r="A963" s="419" t="s">
        <v>4978</v>
      </c>
      <c r="B963" s="617">
        <v>656</v>
      </c>
      <c r="C963" s="617"/>
      <c r="D963" s="618" t="s">
        <v>13</v>
      </c>
      <c r="E963" s="618" t="s">
        <v>892</v>
      </c>
      <c r="F963" s="619">
        <v>45624</v>
      </c>
      <c r="G963" s="619"/>
      <c r="H963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3" s="967" t="str">
        <f>CONCATENATE(Таблица47[[#This Row],[№ заявки в 1С]],Таблица47[[#This Row],[Наименование            ]])</f>
        <v>656[81357] 1606-37 (АВА-7227), 4,45 м, сплав 6063 КР Т6, упаковка Т-5</v>
      </c>
      <c r="J963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63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63" s="1004">
        <v>876</v>
      </c>
      <c r="M963" s="620">
        <v>2</v>
      </c>
      <c r="N963" s="677">
        <v>876</v>
      </c>
      <c r="O963" s="1172">
        <f>IFERROR(Таблица47[[#This Row],[Количество хлыстов]]-Таблица47[[#This Row],[Обработано в 1С]]-Таблица47[[#This Row],[Корректировка]],"")</f>
        <v>0</v>
      </c>
      <c r="P963" s="1173">
        <f>IFERROR((((Таблица47[[#This Row],[Осталось сделать, хлыст]]*Таблица47[[#This Row],[длина]])*Таблица47[[#This Row],[Периметр]])/28),"")</f>
        <v>0</v>
      </c>
      <c r="Q963" s="618"/>
      <c r="R963" s="655">
        <f>IFERROR(Таблица47[[#This Row],[Коли-
чество м.п.]]/Таблица47[[#This Row],[Количество хлыстов]],"")</f>
        <v>4.45</v>
      </c>
      <c r="S963" s="622" t="s">
        <v>4276</v>
      </c>
      <c r="T963" s="622">
        <v>3907.1</v>
      </c>
      <c r="U963" s="623">
        <v>878</v>
      </c>
      <c r="V963" s="622">
        <v>0.2651</v>
      </c>
      <c r="W963" s="622">
        <v>0.82099999999999995</v>
      </c>
      <c r="X963" s="622">
        <v>1035.7722000000001</v>
      </c>
      <c r="Y963" s="622">
        <v>3207.7291</v>
      </c>
      <c r="Z963" s="622">
        <v>134.65</v>
      </c>
      <c r="AA963" s="622">
        <v>87.48</v>
      </c>
      <c r="AB963" s="622">
        <v>330</v>
      </c>
      <c r="AC963" s="624">
        <v>341804.83</v>
      </c>
    </row>
    <row r="964" spans="1:29" s="1021" customFormat="1" ht="15.75" x14ac:dyDescent="0.25">
      <c r="A964" s="419" t="s">
        <v>4978</v>
      </c>
      <c r="B964" s="617">
        <v>656</v>
      </c>
      <c r="C964" s="617"/>
      <c r="D964" s="618" t="s">
        <v>13</v>
      </c>
      <c r="E964" s="618" t="s">
        <v>892</v>
      </c>
      <c r="F964" s="619">
        <v>45624</v>
      </c>
      <c r="G964" s="619"/>
      <c r="H964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4" s="967" t="str">
        <f>CONCATENATE(Таблица47[[#This Row],[№ заявки в 1С]],Таблица47[[#This Row],[Наименование            ]])</f>
        <v>656[81356] 1606-37 (АВА-7227), 5,05 м, сплав 6063 КР Т6, упаковка Т-5</v>
      </c>
      <c r="J964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64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64" s="1004">
        <v>954</v>
      </c>
      <c r="M964" s="620">
        <v>8</v>
      </c>
      <c r="N964" s="677">
        <v>954</v>
      </c>
      <c r="O964" s="1172">
        <f>IFERROR(Таблица47[[#This Row],[Количество хлыстов]]-Таблица47[[#This Row],[Обработано в 1С]]-Таблица47[[#This Row],[Корректировка]],"")</f>
        <v>0</v>
      </c>
      <c r="P964" s="1173">
        <f>IFERROR((((Таблица47[[#This Row],[Осталось сделать, хлыст]]*Таблица47[[#This Row],[длина]])*Таблица47[[#This Row],[Периметр]])/28),"")</f>
        <v>0</v>
      </c>
      <c r="Q964" s="618"/>
      <c r="R964" s="655">
        <f>IFERROR(Таблица47[[#This Row],[Коли-
чество м.п.]]/Таблица47[[#This Row],[Количество хлыстов]],"")</f>
        <v>5.0500000000000007</v>
      </c>
      <c r="S964" s="622" t="s">
        <v>4275</v>
      </c>
      <c r="T964" s="622">
        <v>4858.1000000000004</v>
      </c>
      <c r="U964" s="623">
        <v>962</v>
      </c>
      <c r="V964" s="622">
        <v>0.2651</v>
      </c>
      <c r="W964" s="622">
        <v>0.82099999999999995</v>
      </c>
      <c r="X964" s="622">
        <v>1287.8823</v>
      </c>
      <c r="Y964" s="622">
        <v>3988.5001000000002</v>
      </c>
      <c r="Z964" s="622">
        <v>167.42</v>
      </c>
      <c r="AA964" s="622">
        <v>87.48</v>
      </c>
      <c r="AB964" s="622">
        <v>330</v>
      </c>
      <c r="AC964" s="624">
        <v>425001.16</v>
      </c>
    </row>
    <row r="965" spans="1:29" s="1021" customFormat="1" ht="15.75" x14ac:dyDescent="0.25">
      <c r="A965" s="419" t="s">
        <v>4978</v>
      </c>
      <c r="B965" s="617">
        <v>657</v>
      </c>
      <c r="C965" s="617"/>
      <c r="D965" s="618" t="s">
        <v>34</v>
      </c>
      <c r="E965" s="618" t="s">
        <v>4807</v>
      </c>
      <c r="F965" s="619">
        <v>45624</v>
      </c>
      <c r="G965" s="619"/>
      <c r="H965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5" s="1004" t="str">
        <f>CONCATENATE(Таблица47[[#This Row],[№ заявки в 1С]],Таблица47[[#This Row],[Наименование            ]])</f>
        <v>657[75789] 215234, рама-ручка R10/R8, 5.6 м, сплав 6060 Т66, БА</v>
      </c>
      <c r="J965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65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65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65" s="620"/>
      <c r="N965" s="677">
        <v>213</v>
      </c>
      <c r="O965" s="1172" t="str">
        <f>IFERROR(Таблица47[[#This Row],[Количество хлыстов]]-Таблица47[[#This Row],[Обработано в 1С]]-Таблица47[[#This Row],[Корректировка]],"")</f>
        <v/>
      </c>
      <c r="P965" s="1173" t="str">
        <f>IFERROR((((Таблица47[[#This Row],[Осталось сделать, хлыст]]*Таблица47[[#This Row],[длина]])*Таблица47[[#This Row],[Периметр]])/28),"")</f>
        <v/>
      </c>
      <c r="Q965" s="618"/>
      <c r="R965" s="655">
        <f>IFERROR(Таблица47[[#This Row],[Коли-
чество м.п.]]/Таблица47[[#This Row],[Количество хлыстов]],"")</f>
        <v>5.6</v>
      </c>
      <c r="S965" s="622" t="s">
        <v>4898</v>
      </c>
      <c r="T965" s="622">
        <v>1192.8</v>
      </c>
      <c r="U965" s="623">
        <v>213</v>
      </c>
      <c r="V965" s="622">
        <v>0.1734</v>
      </c>
      <c r="W965" s="622">
        <v>0.38200000000000001</v>
      </c>
      <c r="X965" s="622">
        <v>206.83150000000001</v>
      </c>
      <c r="Y965" s="622">
        <v>455.64960000000002</v>
      </c>
      <c r="Z965" s="622">
        <v>26.89</v>
      </c>
      <c r="AA965" s="622">
        <v>57.01</v>
      </c>
      <c r="AB965" s="622">
        <v>328.75</v>
      </c>
      <c r="AC965" s="624">
        <v>67995.86</v>
      </c>
    </row>
    <row r="966" spans="1:29" ht="15.75" x14ac:dyDescent="0.25">
      <c r="A966" s="965" t="s">
        <v>4678</v>
      </c>
      <c r="B966" s="962" t="s">
        <v>5944</v>
      </c>
      <c r="C966" s="962"/>
      <c r="D966" s="963" t="s">
        <v>34</v>
      </c>
      <c r="E966" s="963" t="s">
        <v>16</v>
      </c>
      <c r="F966" s="964">
        <v>45625</v>
      </c>
      <c r="G966" s="964"/>
      <c r="H96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6" s="967" t="str">
        <f>CONCATENATE(Таблица47[[#This Row],[№ заявки в 1С]],Таблица47[[#This Row],[Наименование            ]])</f>
        <v>OPT001390[13620] 0106-290 (6158), 6,0м, 6063 Т1, тип 1, упаковка Т-5, БА</v>
      </c>
      <c r="J96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80</v>
      </c>
      <c r="K96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80</v>
      </c>
      <c r="L96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80</v>
      </c>
      <c r="M966" s="522"/>
      <c r="N966" s="968">
        <v>80</v>
      </c>
      <c r="O966" s="1156">
        <f>IFERROR(Таблица47[[#This Row],[Количество хлыстов]]-Таблица47[[#This Row],[Обработано в 1С]]-Таблица47[[#This Row],[Корректировка]],"")</f>
        <v>0</v>
      </c>
      <c r="P966" s="1158">
        <f>IFERROR((((Таблица47[[#This Row],[Осталось сделать, хлыст]]*Таблица47[[#This Row],[длина]])*Таблица47[[#This Row],[Периметр]])/28),"")</f>
        <v>0</v>
      </c>
      <c r="Q966" s="963"/>
      <c r="R966" s="1159">
        <f>IFERROR(Таблица47[[#This Row],[Коли-
чество м.п.]]/Таблица47[[#This Row],[Количество хлыстов]],"")</f>
        <v>6</v>
      </c>
      <c r="S966" s="961" t="s">
        <v>5693</v>
      </c>
      <c r="T966" s="961">
        <v>480</v>
      </c>
      <c r="U966" s="970">
        <v>80</v>
      </c>
      <c r="V966" s="961">
        <v>0.29970000000000002</v>
      </c>
      <c r="W966" s="961">
        <v>1.6739999999999999</v>
      </c>
      <c r="X966" s="961">
        <v>143.85599999999999</v>
      </c>
      <c r="Y966" s="961">
        <v>803.52</v>
      </c>
      <c r="Z966" s="961">
        <v>18.7</v>
      </c>
      <c r="AA966" s="961">
        <v>136.36000000000001</v>
      </c>
      <c r="AB966" s="961">
        <v>455</v>
      </c>
      <c r="AC966" s="971">
        <v>65454.48</v>
      </c>
    </row>
    <row r="967" spans="1:29" ht="15.75" x14ac:dyDescent="0.25">
      <c r="A967" s="965" t="s">
        <v>4678</v>
      </c>
      <c r="B967" s="962">
        <v>658</v>
      </c>
      <c r="C967" s="962" t="s">
        <v>4753</v>
      </c>
      <c r="D967" s="963" t="s">
        <v>13</v>
      </c>
      <c r="E967" s="963" t="s">
        <v>3401</v>
      </c>
      <c r="F967" s="964">
        <v>45628</v>
      </c>
      <c r="G967" s="964"/>
      <c r="H96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7" s="967" t="str">
        <f>CONCATENATE(Таблица47[[#This Row],[№ заявки в 1С]],Таблица47[[#This Row],[Наименование            ]])</f>
        <v>658[94503] Швеллер 6м, АД31</v>
      </c>
      <c r="J96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230</v>
      </c>
      <c r="K96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230</v>
      </c>
      <c r="L96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230</v>
      </c>
      <c r="M967" s="522"/>
      <c r="N967" s="968">
        <v>230</v>
      </c>
      <c r="O967" s="1156">
        <f>IFERROR(Таблица47[[#This Row],[Количество хлыстов]]-Таблица47[[#This Row],[Обработано в 1С]]-Таблица47[[#This Row],[Корректировка]],"")</f>
        <v>0</v>
      </c>
      <c r="P967" s="1158">
        <v>3</v>
      </c>
      <c r="Q967" s="963"/>
      <c r="R967" s="1159">
        <f>IFERROR(Таблица47[[#This Row],[Коли-
чество м.п.]]/Таблица47[[#This Row],[Количество хлыстов]],"")</f>
        <v>6</v>
      </c>
      <c r="S967" s="961" t="s">
        <v>5946</v>
      </c>
      <c r="T967" s="961">
        <v>1380</v>
      </c>
      <c r="U967" s="970">
        <v>230</v>
      </c>
      <c r="V967" s="961">
        <v>7.0000000000000007E-2</v>
      </c>
      <c r="W967" s="961">
        <v>0.2</v>
      </c>
      <c r="X967" s="961">
        <v>96.6</v>
      </c>
      <c r="Y967" s="961">
        <v>276</v>
      </c>
      <c r="Z967" s="961">
        <v>12.56</v>
      </c>
      <c r="AA967" s="961">
        <v>63.56</v>
      </c>
      <c r="AB967" s="961">
        <v>908.01</v>
      </c>
      <c r="AC967" s="971">
        <v>87714</v>
      </c>
    </row>
    <row r="968" spans="1:29" s="1021" customFormat="1" ht="15.75" x14ac:dyDescent="0.25">
      <c r="A968" s="419" t="s">
        <v>4979</v>
      </c>
      <c r="B968" s="617">
        <v>659</v>
      </c>
      <c r="C968" s="617"/>
      <c r="D968" s="618" t="s">
        <v>34</v>
      </c>
      <c r="E968" s="618" t="s">
        <v>643</v>
      </c>
      <c r="F968" s="619">
        <v>45628</v>
      </c>
      <c r="G968" s="619"/>
      <c r="H968" s="1153" t="s">
        <v>23</v>
      </c>
      <c r="I968" s="1004" t="str">
        <f>CONCATENATE(Таблица47[[#This Row],[№ заявки в 1С]],Таблица47[[#This Row],[Наименование            ]])</f>
        <v>659[11558] 0106-206, 4,2м, АД31 Т1, упаковка Т-4, БА</v>
      </c>
      <c r="J968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68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68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68" s="620"/>
      <c r="N968" s="677"/>
      <c r="O968" s="1172" t="str">
        <f>IFERROR(Таблица47[[#This Row],[Количество хлыстов]]-Таблица47[[#This Row],[Обработано в 1С]]-Таблица47[[#This Row],[Корректировка]],"")</f>
        <v/>
      </c>
      <c r="P968" s="1173" t="str">
        <f>IFERROR((((Таблица47[[#This Row],[Осталось сделать, хлыст]]*Таблица47[[#This Row],[длина]])*Таблица47[[#This Row],[Периметр]])/28),"")</f>
        <v/>
      </c>
      <c r="Q968" s="618" t="s">
        <v>5931</v>
      </c>
      <c r="R968" s="655">
        <f>IFERROR(Таблица47[[#This Row],[Коли-
чество м.п.]]/Таблица47[[#This Row],[Количество хлыстов]],"")</f>
        <v>4.2</v>
      </c>
      <c r="S968" s="622" t="s">
        <v>888</v>
      </c>
      <c r="T968" s="622">
        <v>1302</v>
      </c>
      <c r="U968" s="623">
        <v>310</v>
      </c>
      <c r="V968" s="622">
        <v>0.22650000000000001</v>
      </c>
      <c r="W968" s="622">
        <v>0.52700000000000002</v>
      </c>
      <c r="X968" s="622">
        <v>294.90300000000002</v>
      </c>
      <c r="Y968" s="622">
        <v>686.154</v>
      </c>
      <c r="Z968" s="622">
        <v>38.340000000000003</v>
      </c>
      <c r="AA968" s="622" t="s">
        <v>17</v>
      </c>
      <c r="AB968" s="622" t="s">
        <v>17</v>
      </c>
      <c r="AC968" s="624" t="s">
        <v>17</v>
      </c>
    </row>
    <row r="969" spans="1:29" s="1021" customFormat="1" ht="15.75" x14ac:dyDescent="0.25">
      <c r="A969" s="419" t="s">
        <v>4978</v>
      </c>
      <c r="B969" s="617">
        <v>661</v>
      </c>
      <c r="C969" s="617"/>
      <c r="D969" s="618" t="s">
        <v>13</v>
      </c>
      <c r="E969" s="618" t="s">
        <v>1116</v>
      </c>
      <c r="F969" s="619">
        <v>45628</v>
      </c>
      <c r="G969" s="619"/>
      <c r="H969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69" s="1004" t="str">
        <f>CONCATENATE(Таблица47[[#This Row],[№ заявки в 1С]],Таблица47[[#This Row],[Наименование            ]])</f>
        <v>661[93253] автоуголок 150*55*3 (0106-153) 6,0м анод с дробью_стрейч (11хл/загр)</v>
      </c>
      <c r="J969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69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69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69" s="620"/>
      <c r="N969" s="677">
        <v>30</v>
      </c>
      <c r="O969" s="1172" t="str">
        <f>IFERROR(Таблица47[[#This Row],[Количество хлыстов]]-Таблица47[[#This Row],[Обработано в 1С]]-Таблица47[[#This Row],[Корректировка]],"")</f>
        <v/>
      </c>
      <c r="P969" s="1173" t="str">
        <f>IFERROR((((Таблица47[[#This Row],[Осталось сделать, хлыст]]*Таблица47[[#This Row],[длина]])*Таблица47[[#This Row],[Периметр]])/28),"")</f>
        <v/>
      </c>
      <c r="Q969" s="618"/>
      <c r="R969" s="655">
        <f>IFERROR(Таблица47[[#This Row],[Коли-
чество м.п.]]/Таблица47[[#This Row],[Количество хлыстов]],"")</f>
        <v>6</v>
      </c>
      <c r="S969" s="622" t="s">
        <v>5541</v>
      </c>
      <c r="T969" s="622">
        <v>180</v>
      </c>
      <c r="U969" s="623">
        <v>30</v>
      </c>
      <c r="V969" s="622">
        <v>0.42199999999999999</v>
      </c>
      <c r="W969" s="622">
        <v>1.389</v>
      </c>
      <c r="X969" s="622">
        <v>75.959999999999994</v>
      </c>
      <c r="Y969" s="622">
        <v>250.02</v>
      </c>
      <c r="Z969" s="622">
        <v>9.8699999999999992</v>
      </c>
      <c r="AA969" s="622">
        <v>110.56</v>
      </c>
      <c r="AB969" s="622">
        <v>262</v>
      </c>
      <c r="AC969" s="624">
        <v>19901.52</v>
      </c>
    </row>
    <row r="970" spans="1:29" s="1021" customFormat="1" ht="15.75" x14ac:dyDescent="0.25">
      <c r="A970" s="419" t="s">
        <v>4978</v>
      </c>
      <c r="B970" s="617">
        <v>663</v>
      </c>
      <c r="C970" s="617"/>
      <c r="D970" s="618" t="s">
        <v>13</v>
      </c>
      <c r="E970" s="618" t="s">
        <v>556</v>
      </c>
      <c r="F970" s="619">
        <v>45630</v>
      </c>
      <c r="G970" s="619">
        <v>45644</v>
      </c>
      <c r="H970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0" s="967" t="str">
        <f>CONCATENATE(Таблица47[[#This Row],[№ заявки в 1С]],Таблица47[[#This Row],[Наименование            ]])</f>
        <v>663[73119] 1606-01,  3,0 м, БА сплав: АД 31 состояние Т1</v>
      </c>
      <c r="J970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0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0" s="1004">
        <v>540</v>
      </c>
      <c r="M970" s="620">
        <v>3</v>
      </c>
      <c r="N970" s="677">
        <v>540</v>
      </c>
      <c r="O970" s="1172">
        <f>IFERROR(Таблица47[[#This Row],[Количество хлыстов]]-Таблица47[[#This Row],[Обработано в 1С]]-Таблица47[[#This Row],[Корректировка]],"")</f>
        <v>0</v>
      </c>
      <c r="P970" s="1173">
        <f>IFERROR((((Таблица47[[#This Row],[Осталось сделать, хлыст]]*Таблица47[[#This Row],[длина]])*Таблица47[[#This Row],[Периметр]])/28),"")</f>
        <v>0</v>
      </c>
      <c r="Q970" s="618"/>
      <c r="R970" s="655">
        <v>6</v>
      </c>
      <c r="S970" s="622" t="s">
        <v>5170</v>
      </c>
      <c r="T970" s="622">
        <v>1629</v>
      </c>
      <c r="U970" s="623">
        <v>543</v>
      </c>
      <c r="V970" s="622">
        <v>0.20200000000000001</v>
      </c>
      <c r="W970" s="622">
        <v>0.51400000000000001</v>
      </c>
      <c r="X970" s="622">
        <v>329.05799999999999</v>
      </c>
      <c r="Y970" s="622">
        <v>837.30600000000004</v>
      </c>
      <c r="Z970" s="622">
        <v>42.78</v>
      </c>
      <c r="AA970" s="622">
        <v>69.94</v>
      </c>
      <c r="AB970" s="622">
        <v>346.25</v>
      </c>
      <c r="AC970" s="624">
        <v>113936.33</v>
      </c>
    </row>
    <row r="971" spans="1:29" s="1021" customFormat="1" ht="15.75" x14ac:dyDescent="0.25">
      <c r="A971" s="419" t="s">
        <v>4978</v>
      </c>
      <c r="B971" s="617">
        <v>664</v>
      </c>
      <c r="C971" s="617"/>
      <c r="D971" s="618" t="s">
        <v>13</v>
      </c>
      <c r="E971" s="618" t="s">
        <v>556</v>
      </c>
      <c r="F971" s="619">
        <v>45630</v>
      </c>
      <c r="G971" s="619">
        <v>45645</v>
      </c>
      <c r="H971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1" s="967" t="str">
        <f>CONCATENATE(Таблица47[[#This Row],[№ заявки в 1С]],Таблица47[[#This Row],[Наименование            ]])</f>
        <v>664[86933] 0706-96 (Современные системы 221374), 6,0м, Ад31 Т1</v>
      </c>
      <c r="J971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1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1" s="1004">
        <v>36</v>
      </c>
      <c r="M971" s="620"/>
      <c r="N971" s="677">
        <v>36</v>
      </c>
      <c r="O971" s="1172">
        <f>IFERROR(Таблица47[[#This Row],[Количество хлыстов]]-Таблица47[[#This Row],[Обработано в 1С]]-Таблица47[[#This Row],[Корректировка]],"")</f>
        <v>0</v>
      </c>
      <c r="P971" s="1173">
        <f>IFERROR((((Таблица47[[#This Row],[Осталось сделать, хлыст]]*Таблица47[[#This Row],[длина]])*Таблица47[[#This Row],[Периметр]])/28),"")</f>
        <v>0</v>
      </c>
      <c r="Q971" s="618"/>
      <c r="R971" s="655">
        <v>6</v>
      </c>
      <c r="S971" s="622" t="s">
        <v>5950</v>
      </c>
      <c r="T971" s="622">
        <v>216</v>
      </c>
      <c r="U971" s="623">
        <v>36</v>
      </c>
      <c r="V971" s="622">
        <v>0.51629999999999998</v>
      </c>
      <c r="W971" s="622">
        <v>2.516</v>
      </c>
      <c r="X971" s="622">
        <v>111.52079999999999</v>
      </c>
      <c r="Y971" s="622">
        <v>543.45600000000002</v>
      </c>
      <c r="Z971" s="622">
        <v>14.5</v>
      </c>
      <c r="AA971" s="622">
        <v>147.15</v>
      </c>
      <c r="AB971" s="622">
        <v>285</v>
      </c>
      <c r="AC971" s="624">
        <v>31783.43</v>
      </c>
    </row>
    <row r="972" spans="1:29" s="1021" customFormat="1" ht="15.75" x14ac:dyDescent="0.25">
      <c r="A972" s="419" t="s">
        <v>4978</v>
      </c>
      <c r="B972" s="617">
        <v>664</v>
      </c>
      <c r="C972" s="617"/>
      <c r="D972" s="618" t="s">
        <v>13</v>
      </c>
      <c r="E972" s="618" t="s">
        <v>556</v>
      </c>
      <c r="F972" s="619">
        <v>45630</v>
      </c>
      <c r="G972" s="619">
        <v>45645</v>
      </c>
      <c r="H972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2" s="967" t="str">
        <f>CONCATENATE(Таблица47[[#This Row],[№ заявки в 1С]],Таблица47[[#This Row],[Наименование            ]])</f>
        <v>664[30654] 0706-97, 6,0м, сплав АД 31, сост Т1, упаковка Т3</v>
      </c>
      <c r="J972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2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2" s="1004">
        <v>28</v>
      </c>
      <c r="M972" s="620"/>
      <c r="N972" s="677">
        <v>28</v>
      </c>
      <c r="O972" s="1172">
        <f>IFERROR(Таблица47[[#This Row],[Количество хлыстов]]-Таблица47[[#This Row],[Обработано в 1С]]-Таблица47[[#This Row],[Корректировка]],"")</f>
        <v>0</v>
      </c>
      <c r="P972" s="1173">
        <f>IFERROR((((Таблица47[[#This Row],[Осталось сделать, хлыст]]*Таблица47[[#This Row],[длина]])*Таблица47[[#This Row],[Периметр]])/28),"")</f>
        <v>0</v>
      </c>
      <c r="Q972" s="618"/>
      <c r="R972" s="655">
        <v>6</v>
      </c>
      <c r="S972" s="622" t="s">
        <v>5951</v>
      </c>
      <c r="T972" s="622">
        <v>168</v>
      </c>
      <c r="U972" s="623">
        <v>28</v>
      </c>
      <c r="V972" s="622">
        <v>0.51990000000000003</v>
      </c>
      <c r="W972" s="622">
        <v>1.766</v>
      </c>
      <c r="X972" s="622">
        <v>87.343199999999996</v>
      </c>
      <c r="Y972" s="622">
        <v>296.68799999999999</v>
      </c>
      <c r="Z972" s="622">
        <v>11.35</v>
      </c>
      <c r="AA972" s="622">
        <v>148.16999999999999</v>
      </c>
      <c r="AB972" s="622">
        <v>285</v>
      </c>
      <c r="AC972" s="624">
        <v>24892.81</v>
      </c>
    </row>
    <row r="973" spans="1:29" s="1021" customFormat="1" ht="15.75" x14ac:dyDescent="0.25">
      <c r="A973" s="419" t="s">
        <v>4978</v>
      </c>
      <c r="B973" s="617">
        <v>664</v>
      </c>
      <c r="C973" s="617"/>
      <c r="D973" s="618" t="s">
        <v>13</v>
      </c>
      <c r="E973" s="618" t="s">
        <v>556</v>
      </c>
      <c r="F973" s="619">
        <v>45630</v>
      </c>
      <c r="G973" s="619">
        <v>45645</v>
      </c>
      <c r="H973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3" s="967" t="str">
        <f>CONCATENATE(Таблица47[[#This Row],[№ заявки в 1С]],Таблица47[[#This Row],[Наименование            ]])</f>
        <v>664[30652] 0706-98, 6,0м, сплав АД 31, состТ1, упаковка Т3</v>
      </c>
      <c r="J973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3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3" s="1004">
        <v>69</v>
      </c>
      <c r="M973" s="620"/>
      <c r="N973" s="677">
        <v>69</v>
      </c>
      <c r="O973" s="1172">
        <f>IFERROR(Таблица47[[#This Row],[Количество хлыстов]]-Таблица47[[#This Row],[Обработано в 1С]]-Таблица47[[#This Row],[Корректировка]],"")</f>
        <v>0</v>
      </c>
      <c r="P973" s="1173">
        <f>IFERROR((((Таблица47[[#This Row],[Осталось сделать, хлыст]]*Таблица47[[#This Row],[длина]])*Таблица47[[#This Row],[Периметр]])/28),"")</f>
        <v>0</v>
      </c>
      <c r="Q973" s="618"/>
      <c r="R973" s="655">
        <v>6</v>
      </c>
      <c r="S973" s="622" t="s">
        <v>5229</v>
      </c>
      <c r="T973" s="622">
        <v>414</v>
      </c>
      <c r="U973" s="623">
        <v>69</v>
      </c>
      <c r="V973" s="622">
        <v>0.4511</v>
      </c>
      <c r="W973" s="622">
        <v>1.204</v>
      </c>
      <c r="X973" s="622">
        <v>186.75540000000001</v>
      </c>
      <c r="Y973" s="622">
        <v>498.45600000000002</v>
      </c>
      <c r="Z973" s="622">
        <v>24.28</v>
      </c>
      <c r="AA973" s="622">
        <v>128.56</v>
      </c>
      <c r="AB973" s="622">
        <v>285</v>
      </c>
      <c r="AC973" s="624">
        <v>53225.29</v>
      </c>
    </row>
    <row r="974" spans="1:29" s="1021" customFormat="1" ht="15.75" x14ac:dyDescent="0.25">
      <c r="A974" s="419" t="s">
        <v>4978</v>
      </c>
      <c r="B974" s="617">
        <v>664</v>
      </c>
      <c r="C974" s="617"/>
      <c r="D974" s="618" t="s">
        <v>13</v>
      </c>
      <c r="E974" s="618" t="s">
        <v>556</v>
      </c>
      <c r="F974" s="619">
        <v>45630</v>
      </c>
      <c r="G974" s="619">
        <v>45645</v>
      </c>
      <c r="H974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4" s="967" t="str">
        <f>CONCATENATE(Таблица47[[#This Row],[№ заявки в 1С]],Таблица47[[#This Row],[Наименование            ]])</f>
        <v>664[30617] 0706-99, 6,0м, АД 31, сост.Т1, упаковка Т3</v>
      </c>
      <c r="J974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4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4" s="1004">
        <v>155</v>
      </c>
      <c r="M974" s="620"/>
      <c r="N974" s="677">
        <v>155</v>
      </c>
      <c r="O974" s="1172">
        <f>IFERROR(Таблица47[[#This Row],[Количество хлыстов]]-Таблица47[[#This Row],[Обработано в 1С]]-Таблица47[[#This Row],[Корректировка]],"")</f>
        <v>0</v>
      </c>
      <c r="P974" s="1173">
        <f>IFERROR((((Таблица47[[#This Row],[Осталось сделать, хлыст]]*Таблица47[[#This Row],[длина]])*Таблица47[[#This Row],[Периметр]])/28),"")</f>
        <v>0</v>
      </c>
      <c r="Q974" s="618"/>
      <c r="R974" s="655">
        <v>6</v>
      </c>
      <c r="S974" s="622" t="s">
        <v>5227</v>
      </c>
      <c r="T974" s="622">
        <v>930</v>
      </c>
      <c r="U974" s="623">
        <v>155</v>
      </c>
      <c r="V974" s="622">
        <v>0.33710000000000001</v>
      </c>
      <c r="W974" s="622">
        <v>0.90700000000000003</v>
      </c>
      <c r="X974" s="622">
        <v>313.50299999999999</v>
      </c>
      <c r="Y974" s="622">
        <v>843.51</v>
      </c>
      <c r="Z974" s="622">
        <v>40.76</v>
      </c>
      <c r="AA974" s="622">
        <v>96.07</v>
      </c>
      <c r="AB974" s="622">
        <v>285</v>
      </c>
      <c r="AC974" s="624">
        <v>89348.36</v>
      </c>
    </row>
    <row r="975" spans="1:29" s="1021" customFormat="1" ht="15.75" x14ac:dyDescent="0.25">
      <c r="A975" s="419" t="s">
        <v>4978</v>
      </c>
      <c r="B975" s="617">
        <v>664</v>
      </c>
      <c r="C975" s="617"/>
      <c r="D975" s="618" t="s">
        <v>13</v>
      </c>
      <c r="E975" s="618" t="s">
        <v>556</v>
      </c>
      <c r="F975" s="619">
        <v>45630</v>
      </c>
      <c r="G975" s="619">
        <v>45645</v>
      </c>
      <c r="H975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5" s="967" t="str">
        <f>CONCATENATE(Таблица47[[#This Row],[№ заявки в 1С]],Таблица47[[#This Row],[Наименование            ]])</f>
        <v>664[30853] 0906-04, 6,0м, сплав АД 31 Т1</v>
      </c>
      <c r="J975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5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5" s="1004">
        <v>87</v>
      </c>
      <c r="M975" s="620">
        <v>4</v>
      </c>
      <c r="N975" s="677">
        <v>87</v>
      </c>
      <c r="O975" s="1172">
        <f>IFERROR(Таблица47[[#This Row],[Количество хлыстов]]-Таблица47[[#This Row],[Обработано в 1С]]-Таблица47[[#This Row],[Корректировка]],"")</f>
        <v>0</v>
      </c>
      <c r="P975" s="1176">
        <f>IFERROR((((Таблица47[[#This Row],[Осталось сделать, хлыст]]*Таблица47[[#This Row],[длина]])*Таблица47[[#This Row],[Периметр]])/28),"")</f>
        <v>0</v>
      </c>
      <c r="Q975" s="618"/>
      <c r="R975" s="692">
        <v>2</v>
      </c>
      <c r="S975" s="622" t="s">
        <v>5228</v>
      </c>
      <c r="T975" s="622">
        <v>546</v>
      </c>
      <c r="U975" s="623">
        <v>91</v>
      </c>
      <c r="V975" s="622">
        <v>0.46110000000000001</v>
      </c>
      <c r="W975" s="622">
        <v>1.22</v>
      </c>
      <c r="X975" s="622">
        <v>251.76060000000001</v>
      </c>
      <c r="Y975" s="622">
        <v>666.12</v>
      </c>
      <c r="Z975" s="622">
        <v>32.729999999999997</v>
      </c>
      <c r="AA975" s="622">
        <v>131.41</v>
      </c>
      <c r="AB975" s="622">
        <v>285</v>
      </c>
      <c r="AC975" s="624">
        <v>71751.77</v>
      </c>
    </row>
    <row r="976" spans="1:29" s="1021" customFormat="1" ht="15.75" x14ac:dyDescent="0.25">
      <c r="A976" s="419" t="s">
        <v>4978</v>
      </c>
      <c r="B976" s="617">
        <v>665</v>
      </c>
      <c r="C976" s="617"/>
      <c r="D976" s="618" t="s">
        <v>13</v>
      </c>
      <c r="E976" s="618" t="s">
        <v>5953</v>
      </c>
      <c r="F976" s="619">
        <v>45630</v>
      </c>
      <c r="G976" s="619">
        <v>45645</v>
      </c>
      <c r="H976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6" s="967" t="str">
        <f>CONCATENATE(Таблица47[[#This Row],[№ заявки в 1С]],Таблица47[[#This Row],[Наименование            ]])</f>
        <v>665[31517] 0706-87 2,0м, АД31 Т1</v>
      </c>
      <c r="J976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6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6" s="1004">
        <v>1520</v>
      </c>
      <c r="M976" s="620"/>
      <c r="N976" s="677">
        <v>1520</v>
      </c>
      <c r="O976" s="1172">
        <f>IFERROR(Таблица47[[#This Row],[Количество хлыстов]]-Таблица47[[#This Row],[Обработано в 1С]]-Таблица47[[#This Row],[Корректировка]],"")</f>
        <v>0</v>
      </c>
      <c r="P976" s="1173">
        <f>IFERROR((((Таблица47[[#This Row],[Осталось сделать, хлыст]]*Таблица47[[#This Row],[длина]])*Таблица47[[#This Row],[Периметр]])/28),"")</f>
        <v>0</v>
      </c>
      <c r="Q976" s="618"/>
      <c r="R976" s="692">
        <v>2</v>
      </c>
      <c r="S976" s="618" t="s">
        <v>5952</v>
      </c>
      <c r="T976" s="618">
        <v>3040</v>
      </c>
      <c r="U976" s="623">
        <v>1520</v>
      </c>
      <c r="V976" s="618">
        <v>8.5699999999999998E-2</v>
      </c>
      <c r="W976" s="618">
        <v>0.17899999999999999</v>
      </c>
      <c r="X976" s="618">
        <v>260.52800000000002</v>
      </c>
      <c r="Y976" s="618">
        <v>544.16</v>
      </c>
      <c r="Z976" s="618">
        <v>33.869999999999997</v>
      </c>
      <c r="AA976" s="618">
        <v>34.06</v>
      </c>
      <c r="AB976" s="618">
        <v>397.4</v>
      </c>
      <c r="AC976" s="624">
        <v>103533.83</v>
      </c>
    </row>
    <row r="977" spans="1:29" s="1021" customFormat="1" ht="15.75" x14ac:dyDescent="0.25">
      <c r="A977" s="419" t="s">
        <v>4978</v>
      </c>
      <c r="B977" s="617">
        <v>666</v>
      </c>
      <c r="C977" s="617"/>
      <c r="D977" s="618" t="s">
        <v>13</v>
      </c>
      <c r="E977" s="618" t="s">
        <v>892</v>
      </c>
      <c r="F977" s="619">
        <v>45630</v>
      </c>
      <c r="G977" s="619">
        <v>45650</v>
      </c>
      <c r="H977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7" s="967" t="str">
        <f>CONCATENATE(Таблица47[[#This Row],[№ заявки в 1С]],Таблица47[[#This Row],[Наименование            ]])</f>
        <v>666[81357] 1606-37 (АВА-7227), 4,45 м, сплав 6063 КР Т6, упаковка Т-5</v>
      </c>
      <c r="J977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77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77" s="1004">
        <v>169</v>
      </c>
      <c r="M977" s="620">
        <v>1</v>
      </c>
      <c r="N977" s="677">
        <v>169</v>
      </c>
      <c r="O977" s="1172">
        <f>IFERROR(Таблица47[[#This Row],[Количество хлыстов]]-Таблица47[[#This Row],[Обработано в 1С]]-Таблица47[[#This Row],[Корректировка]],"")</f>
        <v>0</v>
      </c>
      <c r="P977" s="1173">
        <f>IFERROR((((Таблица47[[#This Row],[Осталось сделать, хлыст]]*Таблица47[[#This Row],[длина]])*Таблица47[[#This Row],[Периметр]])/28),"")</f>
        <v>0</v>
      </c>
      <c r="Q977" s="618"/>
      <c r="R977" s="655">
        <v>6</v>
      </c>
      <c r="S977" s="622" t="s">
        <v>4276</v>
      </c>
      <c r="T977" s="622">
        <v>756.5</v>
      </c>
      <c r="U977" s="623">
        <v>170</v>
      </c>
      <c r="V977" s="622">
        <v>0.2651</v>
      </c>
      <c r="W977" s="622">
        <v>0.82099999999999995</v>
      </c>
      <c r="X977" s="622">
        <v>200.54820000000001</v>
      </c>
      <c r="Y977" s="622">
        <v>621.0865</v>
      </c>
      <c r="Z977" s="622">
        <v>26.07</v>
      </c>
      <c r="AA977" s="622">
        <v>91.79</v>
      </c>
      <c r="AB977" s="622">
        <v>346.25</v>
      </c>
      <c r="AC977" s="624">
        <v>69439.8</v>
      </c>
    </row>
    <row r="978" spans="1:29" ht="15.75" x14ac:dyDescent="0.25">
      <c r="A978" s="965" t="s">
        <v>4678</v>
      </c>
      <c r="B978" s="625">
        <v>667</v>
      </c>
      <c r="C978" s="625"/>
      <c r="D978" s="163" t="s">
        <v>13</v>
      </c>
      <c r="E978" s="204" t="s">
        <v>892</v>
      </c>
      <c r="F978" s="172">
        <v>45630</v>
      </c>
      <c r="G978" s="172"/>
      <c r="H978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8" s="1163" t="str">
        <f>CONCATENATE(Таблица47[[#This Row],[№ заявки в 1С]],Таблица47[[#This Row],[Наименование            ]])</f>
        <v>667[81356] 1606-37 (АВА-7227, 6200), 5,05 м, сплав 6063 КР Т6, упаковка Т-5</v>
      </c>
      <c r="J978" s="1163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423.00000000000006</v>
      </c>
      <c r="K978" s="1163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423.00000000000006</v>
      </c>
      <c r="L978" s="1163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421.00000000000006</v>
      </c>
      <c r="M978" s="645">
        <v>2</v>
      </c>
      <c r="N978" s="1164">
        <v>421</v>
      </c>
      <c r="O978" s="1165">
        <f>IFERROR(Таблица47[[#This Row],[Количество хлыстов]]-Таблица47[[#This Row],[Обработано в 1С]]-Таблица47[[#This Row],[Корректировка]],"")</f>
        <v>-5.6843418860808015E-14</v>
      </c>
      <c r="P978" s="1174">
        <f>IFERROR((((Таблица47[[#This Row],[Осталось сделать, хлыст]]*Таблица47[[#This Row],[длина]])*Таблица47[[#This Row],[Периметр]])/28),"")</f>
        <v>-2.7178361148928939E-15</v>
      </c>
      <c r="Q978" s="1160"/>
      <c r="R978" s="969">
        <v>5.05</v>
      </c>
      <c r="S978" s="1175" t="s">
        <v>6008</v>
      </c>
      <c r="T978" s="969">
        <v>2136.15</v>
      </c>
      <c r="U978" s="1166">
        <v>423</v>
      </c>
      <c r="V978" s="969">
        <v>0.2651</v>
      </c>
      <c r="W978" s="969">
        <v>0.82099999999999995</v>
      </c>
      <c r="X978" s="969">
        <v>566.29340000000002</v>
      </c>
      <c r="Y978" s="969">
        <v>1753.7791999999999</v>
      </c>
      <c r="Z978" s="969">
        <v>73.62</v>
      </c>
      <c r="AA978" s="969">
        <v>115.32</v>
      </c>
      <c r="AB978" s="969">
        <v>435</v>
      </c>
      <c r="AC978" s="1167">
        <v>246337.61</v>
      </c>
    </row>
    <row r="979" spans="1:29" ht="15.75" x14ac:dyDescent="0.25">
      <c r="A979" s="965" t="s">
        <v>4678</v>
      </c>
      <c r="B979" s="962">
        <v>668</v>
      </c>
      <c r="C979" s="962"/>
      <c r="D979" s="1160" t="s">
        <v>13</v>
      </c>
      <c r="E979" s="1160" t="s">
        <v>1116</v>
      </c>
      <c r="F979" s="1161">
        <v>45631</v>
      </c>
      <c r="G979" s="1161"/>
      <c r="H979" s="116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79" s="1163" t="str">
        <f>CONCATENATE(Таблица47[[#This Row],[№ заявки в 1С]],Таблица47[[#This Row],[Наименование            ]])</f>
        <v>668[865] автополоса 155*4мм (0106-152)  6,0м  6063 Т6  уп Т5</v>
      </c>
      <c r="J979" s="1163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</v>
      </c>
      <c r="K979" s="1163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</v>
      </c>
      <c r="L979" s="1163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</v>
      </c>
      <c r="M979" s="645"/>
      <c r="N979" s="1164">
        <v>15</v>
      </c>
      <c r="O979" s="1165">
        <f>IFERROR(Таблица47[[#This Row],[Количество хлыстов]]-Таблица47[[#This Row],[Обработано в 1С]]-Таблица47[[#This Row],[Корректировка]],"")</f>
        <v>0</v>
      </c>
      <c r="P979" s="1174">
        <f>IFERROR((((Таблица47[[#This Row],[Осталось сделать, хлыст]]*Таблица47[[#This Row],[длина]])*Таблица47[[#This Row],[Периметр]])/28),"")</f>
        <v>0</v>
      </c>
      <c r="Q979" s="1160"/>
      <c r="R979" s="969">
        <v>6</v>
      </c>
      <c r="S979" s="969" t="s">
        <v>5862</v>
      </c>
      <c r="T979" s="969">
        <v>90</v>
      </c>
      <c r="U979" s="1166">
        <v>15</v>
      </c>
      <c r="V979" s="969">
        <v>0.33660000000000001</v>
      </c>
      <c r="W979" s="969">
        <v>1.2350000000000001</v>
      </c>
      <c r="X979" s="969">
        <v>30.294</v>
      </c>
      <c r="Y979" s="969">
        <v>111.15</v>
      </c>
      <c r="Z979" s="969">
        <v>3.94</v>
      </c>
      <c r="AA979" s="969">
        <v>143.06</v>
      </c>
      <c r="AB979" s="969">
        <v>425</v>
      </c>
      <c r="AC979" s="1167">
        <v>12874.95</v>
      </c>
    </row>
    <row r="980" spans="1:29" ht="15.75" x14ac:dyDescent="0.25">
      <c r="A980" s="965" t="s">
        <v>4678</v>
      </c>
      <c r="B980" s="962">
        <v>669</v>
      </c>
      <c r="C980" s="962"/>
      <c r="D980" s="963" t="s">
        <v>13</v>
      </c>
      <c r="E980" s="963" t="s">
        <v>2973</v>
      </c>
      <c r="F980" s="964">
        <v>45631</v>
      </c>
      <c r="G980" s="964">
        <v>45642</v>
      </c>
      <c r="H980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0" s="967" t="str">
        <f>CONCATENATE(Таблица47[[#This Row],[№ заявки в 1С]],Таблица47[[#This Row],[Наименование            ]])</f>
        <v>669[77502] 0706-85 4,9 м, сплав 6063Кр, сост Т1, уп. Т5</v>
      </c>
      <c r="J98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45</v>
      </c>
      <c r="K98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45</v>
      </c>
      <c r="L98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43.999999999999993</v>
      </c>
      <c r="M980" s="522">
        <v>1</v>
      </c>
      <c r="N980" s="968">
        <v>44</v>
      </c>
      <c r="O980" s="1156">
        <f>IFERROR(Таблица47[[#This Row],[Количество хлыстов]]-Таблица47[[#This Row],[Обработано в 1С]]-Таблица47[[#This Row],[Корректировка]],"")</f>
        <v>7.1054273576010019E-15</v>
      </c>
      <c r="P980" s="1174">
        <f>IFERROR((((Таблица47[[#This Row],[Осталось сделать, хлыст]]*Таблица47[[#This Row],[длина]])*Таблица47[[#This Row],[Периметр]])/28),"")</f>
        <v>8.2888362840094483E-16</v>
      </c>
      <c r="Q980" s="963"/>
      <c r="R980" s="969">
        <v>4.9000000000000004</v>
      </c>
      <c r="S980" s="961" t="s">
        <v>1751</v>
      </c>
      <c r="T980" s="961">
        <v>220.5</v>
      </c>
      <c r="U980" s="970">
        <v>45</v>
      </c>
      <c r="V980" s="961">
        <v>0.66659999999999997</v>
      </c>
      <c r="W980" s="961">
        <v>1.994</v>
      </c>
      <c r="X980" s="961">
        <v>146.9853</v>
      </c>
      <c r="Y980" s="961">
        <v>439.67700000000002</v>
      </c>
      <c r="Z980" s="961">
        <v>19.11</v>
      </c>
      <c r="AA980" s="961">
        <v>303.3</v>
      </c>
      <c r="AB980" s="961">
        <v>455</v>
      </c>
      <c r="AC980" s="971">
        <v>66878.31</v>
      </c>
    </row>
    <row r="981" spans="1:29" ht="15.75" x14ac:dyDescent="0.25">
      <c r="A981" s="965" t="s">
        <v>4678</v>
      </c>
      <c r="B981" s="962">
        <v>669</v>
      </c>
      <c r="C981" s="962"/>
      <c r="D981" s="1160" t="s">
        <v>13</v>
      </c>
      <c r="E981" s="963" t="s">
        <v>2973</v>
      </c>
      <c r="F981" s="1161">
        <v>45631</v>
      </c>
      <c r="G981" s="1161">
        <v>45642</v>
      </c>
      <c r="H981" s="116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1" s="1163" t="str">
        <f>CONCATENATE(Таблица47[[#This Row],[№ заявки в 1С]],Таблица47[[#This Row],[Наименование            ]])</f>
        <v>669[77504] 0706-91 4,9 м, БА сплав 6063 Кр Т6, уп Т-5</v>
      </c>
      <c r="J981" s="1163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102</v>
      </c>
      <c r="K981" s="1163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102</v>
      </c>
      <c r="L981" s="1163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102</v>
      </c>
      <c r="M981" s="645"/>
      <c r="N981" s="1164">
        <v>102</v>
      </c>
      <c r="O981" s="1165">
        <f>IFERROR(Таблица47[[#This Row],[Количество хлыстов]]-Таблица47[[#This Row],[Обработано в 1С]]-Таблица47[[#This Row],[Корректировка]],"")</f>
        <v>0</v>
      </c>
      <c r="P981" s="1174">
        <f>IFERROR((((Таблица47[[#This Row],[Осталось сделать, хлыст]]*Таблица47[[#This Row],[длина]])*Таблица47[[#This Row],[Периметр]])/28),"")</f>
        <v>0</v>
      </c>
      <c r="Q981" s="1160"/>
      <c r="R981" s="1159">
        <v>4</v>
      </c>
      <c r="S981" s="969" t="s">
        <v>1863</v>
      </c>
      <c r="T981" s="969">
        <v>499.8</v>
      </c>
      <c r="U981" s="1166">
        <v>102</v>
      </c>
      <c r="V981" s="969">
        <v>0.39269999999999999</v>
      </c>
      <c r="W981" s="969">
        <v>0.872</v>
      </c>
      <c r="X981" s="969">
        <v>196.2715</v>
      </c>
      <c r="Y981" s="969">
        <v>435.82560000000001</v>
      </c>
      <c r="Z981" s="969">
        <v>25.52</v>
      </c>
      <c r="AA981" s="969">
        <v>178.68</v>
      </c>
      <c r="AB981" s="969">
        <v>455</v>
      </c>
      <c r="AC981" s="1167">
        <v>89303.51</v>
      </c>
    </row>
    <row r="982" spans="1:29" ht="15.75" x14ac:dyDescent="0.25">
      <c r="A982" s="965" t="s">
        <v>4678</v>
      </c>
      <c r="B982" s="962">
        <v>670</v>
      </c>
      <c r="C982" s="962" t="s">
        <v>4753</v>
      </c>
      <c r="D982" s="1160" t="s">
        <v>34</v>
      </c>
      <c r="E982" s="1160" t="s">
        <v>5295</v>
      </c>
      <c r="F982" s="1161">
        <v>45631</v>
      </c>
      <c r="G982" s="1161"/>
      <c r="H982" s="1162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2" s="1163" t="str">
        <f>CONCATENATE(Таблица47[[#This Row],[№ заявки в 1С]],Таблица47[[#This Row],[Наименование            ]])</f>
        <v>670[94751] 20х20х2 дав, длина 1,75м. БА</v>
      </c>
      <c r="J982" s="1163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</v>
      </c>
      <c r="K982" s="1163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</v>
      </c>
      <c r="L982" s="1163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42</v>
      </c>
      <c r="M982" s="645"/>
      <c r="N982" s="1164">
        <v>42</v>
      </c>
      <c r="O982" s="1165">
        <f>IFERROR(Таблица47[[#This Row],[Количество хлыстов]]-Таблица47[[#This Row],[Обработано в 1С]]-Таблица47[[#This Row],[Корректировка]],"")</f>
        <v>0</v>
      </c>
      <c r="P982" s="1174">
        <f>IFERROR((((Таблица47[[#This Row],[Осталось сделать, хлыст]]*Таблица47[[#This Row],[длина]])*Таблица47[[#This Row],[Периметр]])/28),"")</f>
        <v>0</v>
      </c>
      <c r="Q982" s="1160"/>
      <c r="R982" s="969">
        <v>1.75</v>
      </c>
      <c r="S982" s="969" t="s">
        <v>5961</v>
      </c>
      <c r="T982" s="969">
        <v>73.5</v>
      </c>
      <c r="U982" s="1166">
        <v>42</v>
      </c>
      <c r="V982" s="969">
        <v>0.08</v>
      </c>
      <c r="W982" s="969">
        <v>0.39</v>
      </c>
      <c r="X982" s="969">
        <v>5.88</v>
      </c>
      <c r="Y982" s="969">
        <v>28.664999999999999</v>
      </c>
      <c r="Z982" s="969">
        <v>0.76</v>
      </c>
      <c r="AA982" s="969">
        <v>353.74</v>
      </c>
      <c r="AB982" s="969">
        <v>4421.7700000000004</v>
      </c>
      <c r="AC982" s="1167">
        <v>26000</v>
      </c>
    </row>
    <row r="983" spans="1:29" ht="15.75" x14ac:dyDescent="0.25">
      <c r="A983" s="965" t="s">
        <v>4678</v>
      </c>
      <c r="B983" s="962">
        <v>671</v>
      </c>
      <c r="C983" s="962"/>
      <c r="D983" s="963" t="s">
        <v>34</v>
      </c>
      <c r="E983" s="963" t="s">
        <v>14</v>
      </c>
      <c r="F983" s="964">
        <v>45632</v>
      </c>
      <c r="G983" s="964"/>
      <c r="H98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3" s="967" t="str">
        <f>CONCATENATE(Таблица47[[#This Row],[№ заявки в 1С]],Таблица47[[#This Row],[Наименование            ]])</f>
        <v>671[57675] 0306-70, 6,05м, 6063 Т1, упаковка Т-5, БА</v>
      </c>
      <c r="J98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342</v>
      </c>
      <c r="K98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342</v>
      </c>
      <c r="L98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342</v>
      </c>
      <c r="M983" s="522"/>
      <c r="N983" s="968">
        <v>342</v>
      </c>
      <c r="O983" s="1156">
        <f>IFERROR(Таблица47[[#This Row],[Количество хлыстов]]-Таблица47[[#This Row],[Обработано в 1С]]-Таблица47[[#This Row],[Корректировка]],"")</f>
        <v>0</v>
      </c>
      <c r="P983" s="1174">
        <f>IFERROR((((Таблица47[[#This Row],[Осталось сделать, хлыст]]*Таблица47[[#This Row],[длина]])*Таблица47[[#This Row],[Периметр]])/28),"")</f>
        <v>0</v>
      </c>
      <c r="Q983" s="963"/>
      <c r="R983" s="969">
        <f>IFERROR(Таблица47[[#This Row],[Коли-
чество м.п.]]/Таблица47[[#This Row],[Количество хлыстов]],"")</f>
        <v>6.05</v>
      </c>
      <c r="S983" s="961" t="s">
        <v>628</v>
      </c>
      <c r="T983" s="961">
        <v>2069.1</v>
      </c>
      <c r="U983" s="970">
        <v>342</v>
      </c>
      <c r="V983" s="961">
        <v>0.2009</v>
      </c>
      <c r="W983" s="961">
        <v>0.96</v>
      </c>
      <c r="X983" s="961">
        <v>415.68220000000002</v>
      </c>
      <c r="Y983" s="961">
        <v>1986.336</v>
      </c>
      <c r="Z983" s="961">
        <v>54.04</v>
      </c>
      <c r="AA983" s="961">
        <v>88.4</v>
      </c>
      <c r="AB983" s="961">
        <v>440</v>
      </c>
      <c r="AC983" s="971">
        <v>182900.16</v>
      </c>
    </row>
    <row r="984" spans="1:29" ht="15.75" x14ac:dyDescent="0.25">
      <c r="A984" s="965" t="s">
        <v>4678</v>
      </c>
      <c r="B984" s="962">
        <v>672</v>
      </c>
      <c r="C984" s="962"/>
      <c r="D984" s="963" t="s">
        <v>34</v>
      </c>
      <c r="E984" s="963" t="s">
        <v>893</v>
      </c>
      <c r="F984" s="964">
        <v>45632</v>
      </c>
      <c r="G984" s="964"/>
      <c r="H98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4" s="967" t="str">
        <f>CONCATENATE(Таблица47[[#This Row],[№ заявки в 1С]],Таблица47[[#This Row],[Наименование            ]])</f>
        <v>672[57128] 0306-74, 6,0м, 6063 Т6, упаковка Т-5, БА</v>
      </c>
      <c r="J98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60</v>
      </c>
      <c r="K98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60</v>
      </c>
      <c r="L98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60</v>
      </c>
      <c r="M984" s="522"/>
      <c r="N984" s="968">
        <v>60</v>
      </c>
      <c r="O984" s="1156">
        <f>IFERROR(Таблица47[[#This Row],[Количество хлыстов]]-Таблица47[[#This Row],[Обработано в 1С]]-Таблица47[[#This Row],[Корректировка]],"")</f>
        <v>0</v>
      </c>
      <c r="P984" s="1158">
        <f>IFERROR((((Таблица47[[#This Row],[Осталось сделать, хлыст]]*Таблица47[[#This Row],[длина]])*Таблица47[[#This Row],[Периметр]])/28),"")</f>
        <v>0</v>
      </c>
      <c r="Q984" s="963"/>
      <c r="R984" s="1159">
        <f>IFERROR(Таблица47[[#This Row],[Коли-
чество м.п.]]/Таблица47[[#This Row],[Количество хлыстов]],"")</f>
        <v>6</v>
      </c>
      <c r="S984" s="961" t="s">
        <v>4682</v>
      </c>
      <c r="T984" s="961">
        <v>360</v>
      </c>
      <c r="U984" s="970">
        <v>60</v>
      </c>
      <c r="V984" s="961">
        <v>0.35859999999999997</v>
      </c>
      <c r="W984" s="961">
        <v>1.518</v>
      </c>
      <c r="X984" s="961">
        <v>129.096</v>
      </c>
      <c r="Y984" s="961">
        <v>546.48</v>
      </c>
      <c r="Z984" s="961">
        <v>16.78</v>
      </c>
      <c r="AA984" s="961">
        <v>148.82</v>
      </c>
      <c r="AB984" s="961">
        <v>415</v>
      </c>
      <c r="AC984" s="971">
        <v>53574.84</v>
      </c>
    </row>
    <row r="985" spans="1:29" ht="15.75" x14ac:dyDescent="0.25">
      <c r="A985" s="965" t="s">
        <v>4678</v>
      </c>
      <c r="B985" s="962">
        <v>675</v>
      </c>
      <c r="C985" s="962"/>
      <c r="D985" s="963" t="s">
        <v>13</v>
      </c>
      <c r="E985" s="963" t="s">
        <v>4637</v>
      </c>
      <c r="F985" s="964">
        <v>45635</v>
      </c>
      <c r="G985" s="964"/>
      <c r="H98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5" s="967" t="str">
        <f>CONCATENATE(Таблица47[[#This Row],[№ заявки в 1С]],Таблица47[[#This Row],[Наименование            ]])</f>
        <v>675[865] автополоса 155*4мм (0106-152)  6,0м  6063 Т6  уп Т5</v>
      </c>
      <c r="J985" s="967">
        <v>30</v>
      </c>
      <c r="K985" s="967">
        <v>30</v>
      </c>
      <c r="L985" s="967">
        <v>30</v>
      </c>
      <c r="M985" s="522"/>
      <c r="N985" s="968">
        <v>30</v>
      </c>
      <c r="O985" s="1156">
        <f>IFERROR(Таблица47[[#This Row],[Количество хлыстов]]-Таблица47[[#This Row],[Обработано в 1С]]-Таблица47[[#This Row],[Корректировка]],"")</f>
        <v>0</v>
      </c>
      <c r="P985" s="1158">
        <f>IFERROR((((Таблица47[[#This Row],[Осталось сделать, хлыст]]*Таблица47[[#This Row],[длина]])*Таблица47[[#This Row],[Периметр]])/28),"")</f>
        <v>0</v>
      </c>
      <c r="Q985" s="963"/>
      <c r="R985" s="1159">
        <v>6</v>
      </c>
      <c r="S985" s="961" t="s">
        <v>5862</v>
      </c>
      <c r="T985" s="961">
        <v>180</v>
      </c>
      <c r="U985" s="970">
        <v>30</v>
      </c>
      <c r="V985" s="961">
        <v>0.33660000000000001</v>
      </c>
      <c r="W985" s="961">
        <v>1.2350000000000001</v>
      </c>
      <c r="X985" s="961">
        <v>60.588000000000001</v>
      </c>
      <c r="Y985" s="961">
        <v>222.3</v>
      </c>
      <c r="Z985" s="961">
        <v>7.88</v>
      </c>
      <c r="AA985" s="961">
        <v>143.06</v>
      </c>
      <c r="AB985" s="961">
        <v>425</v>
      </c>
      <c r="AC985" s="971">
        <v>25749.9</v>
      </c>
    </row>
    <row r="986" spans="1:29" ht="15.75" x14ac:dyDescent="0.25">
      <c r="A986" s="965" t="s">
        <v>4678</v>
      </c>
      <c r="B986" s="962">
        <v>677</v>
      </c>
      <c r="C986" s="962"/>
      <c r="D986" s="963" t="s">
        <v>13</v>
      </c>
      <c r="E986" s="963" t="s">
        <v>556</v>
      </c>
      <c r="F986" s="964">
        <v>45638</v>
      </c>
      <c r="G986" s="964"/>
      <c r="H98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6" s="967" t="str">
        <f>CONCATENATE(Таблица47[[#This Row],[№ заявки в 1С]],Таблица47[[#This Row],[Наименование            ]])</f>
        <v>677[30616] 0706-94 (197.07, АА-2050-50), 6,0м, сплав 6063 КР, состТ1, упаковка.Т5</v>
      </c>
      <c r="J98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642</v>
      </c>
      <c r="K98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642</v>
      </c>
      <c r="L98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642</v>
      </c>
      <c r="M986" s="522"/>
      <c r="N986" s="968">
        <f>525+117</f>
        <v>642</v>
      </c>
      <c r="O986" s="1156">
        <f>IFERROR(Таблица47[[#This Row],[Количество хлыстов]]-Таблица47[[#This Row],[Обработано в 1С]]-Таблица47[[#This Row],[Корректировка]],"")</f>
        <v>0</v>
      </c>
      <c r="P986" s="1158">
        <f>IFERROR((((Таблица47[[#This Row],[Осталось сделать, хлыст]]*Таблица47[[#This Row],[длина]])*Таблица47[[#This Row],[Периметр]])/28),"")</f>
        <v>0</v>
      </c>
      <c r="Q986" s="963"/>
      <c r="R986" s="1159">
        <f>IFERROR(Таблица47[[#This Row],[Коли-
чество м.п.]]/Таблица47[[#This Row],[Количество хлыстов]],"")</f>
        <v>6</v>
      </c>
      <c r="S986" s="961" t="s">
        <v>2608</v>
      </c>
      <c r="T986" s="961">
        <v>3852</v>
      </c>
      <c r="U986" s="970">
        <v>642</v>
      </c>
      <c r="V986" s="961">
        <v>0.31</v>
      </c>
      <c r="W986" s="961">
        <v>0.69199999999999995</v>
      </c>
      <c r="X986" s="961">
        <v>1194.1199999999999</v>
      </c>
      <c r="Y986" s="961">
        <v>2665.5839999999998</v>
      </c>
      <c r="Z986" s="961">
        <v>155.24</v>
      </c>
      <c r="AA986" s="961">
        <v>141.05000000000001</v>
      </c>
      <c r="AB986" s="961">
        <v>455</v>
      </c>
      <c r="AC986" s="971">
        <v>543324.6</v>
      </c>
    </row>
    <row r="987" spans="1:29" ht="15.75" x14ac:dyDescent="0.25">
      <c r="A987" s="965" t="s">
        <v>4678</v>
      </c>
      <c r="B987" s="962">
        <v>678</v>
      </c>
      <c r="C987" s="962"/>
      <c r="D987" s="963" t="s">
        <v>13</v>
      </c>
      <c r="E987" s="963" t="s">
        <v>892</v>
      </c>
      <c r="F987" s="964">
        <v>45638</v>
      </c>
      <c r="G987" s="964"/>
      <c r="H98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7" s="967" t="str">
        <f>CONCATENATE(Таблица47[[#This Row],[№ заявки в 1С]],Таблица47[[#This Row],[Наименование            ]])</f>
        <v>678[76552] 1606-38 (197.05) 5,15 м, сплав 6063 КР Т6</v>
      </c>
      <c r="J98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46</v>
      </c>
      <c r="K98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46</v>
      </c>
      <c r="L98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46</v>
      </c>
      <c r="M987" s="522"/>
      <c r="N987" s="968">
        <v>46</v>
      </c>
      <c r="O987" s="1156">
        <f>IFERROR(Таблица47[[#This Row],[Количество хлыстов]]-Таблица47[[#This Row],[Обработано в 1С]]-Таблица47[[#This Row],[Корректировка]],"")</f>
        <v>0</v>
      </c>
      <c r="P987" s="1158">
        <f>IFERROR((((Таблица47[[#This Row],[Осталось сделать, хлыст]]*Таблица47[[#This Row],[длина]])*Таблица47[[#This Row],[Периметр]])/28),"")</f>
        <v>0</v>
      </c>
      <c r="Q987" s="963"/>
      <c r="R987" s="1159">
        <f>IFERROR(Таблица47[[#This Row],[Коли-
чество м.п.]]/Таблица47[[#This Row],[Количество хлыстов]],"")</f>
        <v>5.15</v>
      </c>
      <c r="S987" s="961" t="s">
        <v>1975</v>
      </c>
      <c r="T987" s="961">
        <v>236.9</v>
      </c>
      <c r="U987" s="970">
        <v>46</v>
      </c>
      <c r="V987" s="961">
        <v>0.15790000000000001</v>
      </c>
      <c r="W987" s="961">
        <v>0.309</v>
      </c>
      <c r="X987" s="961">
        <v>37.406500000000001</v>
      </c>
      <c r="Y987" s="961">
        <v>73.202100000000002</v>
      </c>
      <c r="Z987" s="961">
        <v>4.8600000000000003</v>
      </c>
      <c r="AA987" s="961">
        <v>68.69</v>
      </c>
      <c r="AB987" s="961">
        <v>435</v>
      </c>
      <c r="AC987" s="971">
        <v>16272.66</v>
      </c>
    </row>
    <row r="988" spans="1:29" ht="15.75" x14ac:dyDescent="0.25">
      <c r="A988" s="965" t="s">
        <v>4678</v>
      </c>
      <c r="B988" s="962">
        <v>678</v>
      </c>
      <c r="C988" s="962"/>
      <c r="D988" s="963" t="s">
        <v>13</v>
      </c>
      <c r="E988" s="1127" t="s">
        <v>892</v>
      </c>
      <c r="F988" s="964">
        <v>45638</v>
      </c>
      <c r="G988" s="964"/>
      <c r="H988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8" s="967" t="str">
        <f>CONCATENATE(Таблица47[[#This Row],[№ заявки в 1С]],Таблица47[[#This Row],[Наименование            ]])</f>
        <v>678[76596] 1606-39 (197.04) 4,85 м, сплав 6063 КР Т6, упковка Т5</v>
      </c>
      <c r="J98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1504</v>
      </c>
      <c r="K98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1504</v>
      </c>
      <c r="L98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1496.0000000000002</v>
      </c>
      <c r="M988" s="522">
        <v>8</v>
      </c>
      <c r="N988" s="968">
        <v>1496</v>
      </c>
      <c r="O988" s="1156">
        <f>IFERROR(Таблица47[[#This Row],[Количество хлыстов]]-Таблица47[[#This Row],[Обработано в 1С]]-Таблица47[[#This Row],[Корректировка]],"")</f>
        <v>-2.2737367544323206E-13</v>
      </c>
      <c r="P988" s="1158">
        <f>IFERROR((((Таблица47[[#This Row],[Осталось сделать, хлыст]]*Таблица47[[#This Row],[длина]])*Таблица47[[#This Row],[Периметр]])/28),"")</f>
        <v>-3.7651456555717491E-15</v>
      </c>
      <c r="Q988" s="963"/>
      <c r="R988" s="1159">
        <f>IFERROR(Таблица47[[#This Row],[Коли-
чество м.п.]]/Таблица47[[#This Row],[Количество хлыстов]],"")</f>
        <v>4.8499999999999996</v>
      </c>
      <c r="S988" s="961" t="s">
        <v>2841</v>
      </c>
      <c r="T988" s="961">
        <v>7294.4</v>
      </c>
      <c r="U988" s="970">
        <v>1504</v>
      </c>
      <c r="V988" s="961">
        <v>9.5600000000000004E-2</v>
      </c>
      <c r="W988" s="961">
        <v>0.16</v>
      </c>
      <c r="X988" s="961">
        <v>697.34460000000001</v>
      </c>
      <c r="Y988" s="961">
        <v>1167.104</v>
      </c>
      <c r="Z988" s="961">
        <v>90.65</v>
      </c>
      <c r="AA988" s="961">
        <v>47.32</v>
      </c>
      <c r="AB988" s="961">
        <v>495</v>
      </c>
      <c r="AC988" s="971">
        <v>345185.6</v>
      </c>
    </row>
    <row r="989" spans="1:29" s="1021" customFormat="1" ht="15.75" x14ac:dyDescent="0.25">
      <c r="A989" s="419" t="s">
        <v>4978</v>
      </c>
      <c r="B989" s="617">
        <v>679</v>
      </c>
      <c r="C989" s="617"/>
      <c r="D989" s="618" t="s">
        <v>13</v>
      </c>
      <c r="E989" s="618" t="s">
        <v>892</v>
      </c>
      <c r="F989" s="619">
        <v>45638</v>
      </c>
      <c r="G989" s="619"/>
      <c r="H989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89" s="1004" t="str">
        <f>CONCATENATE(Таблица47[[#This Row],[№ заявки в 1С]],Таблица47[[#This Row],[Наименование            ]])</f>
        <v>679[76552] 1606-38 (197.05) 5,15 м, сплав 6063 КР Т6</v>
      </c>
      <c r="J989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89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89" s="1004">
        <v>741</v>
      </c>
      <c r="M989" s="620"/>
      <c r="N989" s="677">
        <f>311+430</f>
        <v>741</v>
      </c>
      <c r="O989" s="1172">
        <f>IFERROR(Таблица47[[#This Row],[Количество хлыстов]]-Таблица47[[#This Row],[Обработано в 1С]]-Таблица47[[#This Row],[Корректировка]],"")</f>
        <v>0</v>
      </c>
      <c r="P989" s="1173">
        <f>IFERROR((((Таблица47[[#This Row],[Осталось сделать, хлыст]]*Таблица47[[#This Row],[длина]])*Таблица47[[#This Row],[Периметр]])/28),"")</f>
        <v>0</v>
      </c>
      <c r="Q989" s="618"/>
      <c r="R989" s="655">
        <f>IFERROR(Таблица47[[#This Row],[Коли-
чество м.п.]]/Таблица47[[#This Row],[Количество хлыстов]],"")</f>
        <v>5.15</v>
      </c>
      <c r="S989" s="622" t="s">
        <v>1975</v>
      </c>
      <c r="T989" s="622">
        <v>3816.15</v>
      </c>
      <c r="U989" s="623">
        <v>741</v>
      </c>
      <c r="V989" s="622">
        <v>0.15790000000000001</v>
      </c>
      <c r="W989" s="622">
        <v>0.309</v>
      </c>
      <c r="X989" s="622">
        <v>602.57010000000002</v>
      </c>
      <c r="Y989" s="622">
        <v>1179.1904</v>
      </c>
      <c r="Z989" s="622">
        <v>78.33</v>
      </c>
      <c r="AA989" s="622">
        <v>51.16</v>
      </c>
      <c r="AB989" s="622">
        <v>324</v>
      </c>
      <c r="AC989" s="624">
        <v>195232.71</v>
      </c>
    </row>
    <row r="990" spans="1:29" s="1021" customFormat="1" ht="15.75" x14ac:dyDescent="0.25">
      <c r="A990" s="419" t="s">
        <v>4978</v>
      </c>
      <c r="B990" s="617">
        <v>679</v>
      </c>
      <c r="C990" s="617"/>
      <c r="D990" s="618" t="s">
        <v>13</v>
      </c>
      <c r="E990" s="618" t="s">
        <v>892</v>
      </c>
      <c r="F990" s="619">
        <v>45638</v>
      </c>
      <c r="G990" s="619"/>
      <c r="H990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90" s="1004" t="str">
        <f>CONCATENATE(Таблица47[[#This Row],[№ заявки в 1С]],Таблица47[[#This Row],[Наименование            ]])</f>
        <v>679[76596] 1606-39 (197.04) 4,85 м, сплав 6063 КР Т6, упковка Т5</v>
      </c>
      <c r="J990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90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90" s="1004">
        <v>1570</v>
      </c>
      <c r="M990" s="620">
        <v>2</v>
      </c>
      <c r="N990" s="677">
        <f>1058+512</f>
        <v>1570</v>
      </c>
      <c r="O990" s="1172">
        <f>IFERROR(Таблица47[[#This Row],[Количество хлыстов]]-Таблица47[[#This Row],[Обработано в 1С]]-Таблица47[[#This Row],[Корректировка]],"")</f>
        <v>0</v>
      </c>
      <c r="P990" s="1173">
        <f>IFERROR((((Таблица47[[#This Row],[Осталось сделать, хлыст]]*Таблица47[[#This Row],[длина]])*Таблица47[[#This Row],[Периметр]])/28),"")</f>
        <v>0</v>
      </c>
      <c r="Q990" s="618"/>
      <c r="R990" s="655">
        <f>IFERROR(Таблица47[[#This Row],[Коли-
чество м.п.]]/Таблица47[[#This Row],[Количество хлыстов]],"")</f>
        <v>4.8499999999999996</v>
      </c>
      <c r="S990" s="622" t="s">
        <v>2841</v>
      </c>
      <c r="T990" s="622">
        <v>7624.2</v>
      </c>
      <c r="U990" s="623">
        <v>1572</v>
      </c>
      <c r="V990" s="622">
        <v>9.5600000000000004E-2</v>
      </c>
      <c r="W990" s="622">
        <v>0.16</v>
      </c>
      <c r="X990" s="622">
        <v>728.87350000000004</v>
      </c>
      <c r="Y990" s="622">
        <v>1219.8720000000001</v>
      </c>
      <c r="Z990" s="622">
        <v>94.75</v>
      </c>
      <c r="AA990" s="622">
        <v>30.97</v>
      </c>
      <c r="AB990" s="622">
        <v>324</v>
      </c>
      <c r="AC990" s="624">
        <v>236155.02</v>
      </c>
    </row>
    <row r="991" spans="1:29" s="1021" customFormat="1" ht="15.75" x14ac:dyDescent="0.25">
      <c r="A991" s="419" t="s">
        <v>4978</v>
      </c>
      <c r="B991" s="617">
        <v>680</v>
      </c>
      <c r="C991" s="617"/>
      <c r="D991" s="618" t="s">
        <v>34</v>
      </c>
      <c r="E991" s="618" t="s">
        <v>6003</v>
      </c>
      <c r="F991" s="619">
        <v>45638</v>
      </c>
      <c r="G991" s="619"/>
      <c r="H991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91" s="967" t="str">
        <f>CONCATENATE(Таблица47[[#This Row],[№ заявки в 1С]],Таблица47[[#This Row],[Наименование            ]])</f>
        <v>680[94395] 1906-44, 3,05м, 6063, упаковка Т-5</v>
      </c>
      <c r="J991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91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91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91" s="620"/>
      <c r="N991" s="677">
        <v>3</v>
      </c>
      <c r="O991" s="1172" t="str">
        <f>IFERROR(Таблица47[[#This Row],[Количество хлыстов]]-Таблица47[[#This Row],[Обработано в 1С]]-Таблица47[[#This Row],[Корректировка]],"")</f>
        <v/>
      </c>
      <c r="P991" s="1173" t="str">
        <f>IFERROR((((Таблица47[[#This Row],[Осталось сделать, хлыст]]*Таблица47[[#This Row],[длина]])*Таблица47[[#This Row],[Периметр]])/28),"")</f>
        <v/>
      </c>
      <c r="Q991" s="618"/>
      <c r="R991" s="655">
        <f>IFERROR(Таблица47[[#This Row],[Коли-
чество м.п.]]/Таблица47[[#This Row],[Количество хлыстов]],"")</f>
        <v>3.0500000000000003</v>
      </c>
      <c r="S991" s="622" t="s">
        <v>6001</v>
      </c>
      <c r="T991" s="622">
        <v>9.15</v>
      </c>
      <c r="U991" s="623">
        <v>3</v>
      </c>
      <c r="V991" s="622">
        <v>0.45829999999999999</v>
      </c>
      <c r="W991" s="622">
        <v>2.613</v>
      </c>
      <c r="X991" s="622">
        <v>4.1933999999999996</v>
      </c>
      <c r="Y991" s="622">
        <v>23.908999999999999</v>
      </c>
      <c r="Z991" s="622">
        <v>0.55000000000000004</v>
      </c>
      <c r="AA991" s="622">
        <v>332.59</v>
      </c>
      <c r="AB991" s="622">
        <v>725.7</v>
      </c>
      <c r="AC991" s="624">
        <v>3043.18</v>
      </c>
    </row>
    <row r="992" spans="1:29" s="1021" customFormat="1" ht="15.75" x14ac:dyDescent="0.25">
      <c r="A992" s="419" t="s">
        <v>4978</v>
      </c>
      <c r="B992" s="617">
        <v>680</v>
      </c>
      <c r="C992" s="617"/>
      <c r="D992" s="618" t="s">
        <v>34</v>
      </c>
      <c r="E992" s="618" t="s">
        <v>6003</v>
      </c>
      <c r="F992" s="619">
        <v>45638</v>
      </c>
      <c r="G992" s="619"/>
      <c r="H992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92" s="967" t="str">
        <f>CONCATENATE(Таблица47[[#This Row],[№ заявки в 1С]],Таблица47[[#This Row],[Наименование            ]])</f>
        <v>680[94251] 1906-45, 3,05м, 6063, упаковка Т-5</v>
      </c>
      <c r="J992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992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992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992" s="620"/>
      <c r="N992" s="677">
        <v>2</v>
      </c>
      <c r="O992" s="1172" t="str">
        <f>IFERROR(Таблица47[[#This Row],[Количество хлыстов]]-Таблица47[[#This Row],[Обработано в 1С]]-Таблица47[[#This Row],[Корректировка]],"")</f>
        <v/>
      </c>
      <c r="P992" s="1173" t="str">
        <f>IFERROR((((Таблица47[[#This Row],[Осталось сделать, хлыст]]*Таблица47[[#This Row],[длина]])*Таблица47[[#This Row],[Периметр]])/28),"")</f>
        <v/>
      </c>
      <c r="Q992" s="618"/>
      <c r="R992" s="655">
        <f>IFERROR(Таблица47[[#This Row],[Коли-
чество м.п.]]/Таблица47[[#This Row],[Количество хлыстов]],"")</f>
        <v>3.05</v>
      </c>
      <c r="S992" s="622" t="s">
        <v>6002</v>
      </c>
      <c r="T992" s="622">
        <v>6.1</v>
      </c>
      <c r="U992" s="623">
        <v>2</v>
      </c>
      <c r="V992" s="622">
        <v>0.19850000000000001</v>
      </c>
      <c r="W992" s="622">
        <v>0.71299999999999997</v>
      </c>
      <c r="X992" s="622">
        <v>1.2109000000000001</v>
      </c>
      <c r="Y992" s="622">
        <v>4.3493000000000004</v>
      </c>
      <c r="Z992" s="622">
        <v>0.16</v>
      </c>
      <c r="AA992" s="622">
        <v>144.05000000000001</v>
      </c>
      <c r="AB992" s="622">
        <v>725.7</v>
      </c>
      <c r="AC992" s="624">
        <v>878.71</v>
      </c>
    </row>
    <row r="993" spans="1:29" ht="15.75" x14ac:dyDescent="0.25">
      <c r="A993" s="965" t="s">
        <v>4678</v>
      </c>
      <c r="B993" s="962">
        <v>681</v>
      </c>
      <c r="C993" s="962" t="s">
        <v>4753</v>
      </c>
      <c r="D993" s="963" t="s">
        <v>34</v>
      </c>
      <c r="E993" s="963" t="s">
        <v>4467</v>
      </c>
      <c r="F993" s="964">
        <v>45639</v>
      </c>
      <c r="G993" s="964"/>
      <c r="H993" s="1005" t="s">
        <v>677</v>
      </c>
      <c r="I993" s="967" t="str">
        <f>CONCATENATE(Таблица47[[#This Row],[№ заявки в 1С]],Таблица47[[#This Row],[Наименование            ]])</f>
        <v>681[94866] д 20х20 V-slot, 6,0м , БА</v>
      </c>
      <c r="J99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9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99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993" s="522"/>
      <c r="N993" s="968"/>
      <c r="O993" s="1156">
        <f>IFERROR(Таблица47[[#This Row],[Количество хлыстов]]-Таблица47[[#This Row],[Обработано в 1С]]-Таблица47[[#This Row],[Корректировка]],"")</f>
        <v>30</v>
      </c>
      <c r="P993" s="1158">
        <f>IFERROR((((Таблица47[[#This Row],[Осталось сделать, хлыст]]*Таблица47[[#This Row],[длина]])*Таблица47[[#This Row],[Периметр]])/28),"")</f>
        <v>0.9257142857142856</v>
      </c>
      <c r="Q993" s="963"/>
      <c r="R993" s="1159">
        <f>IFERROR(Таблица47[[#This Row],[Коли-
чество м.п.]]/Таблица47[[#This Row],[Количество хлыстов]],"")</f>
        <v>6</v>
      </c>
      <c r="S993" s="961" t="s">
        <v>6004</v>
      </c>
      <c r="T993" s="961">
        <v>180</v>
      </c>
      <c r="U993" s="970">
        <v>30</v>
      </c>
      <c r="V993" s="961">
        <v>0.14399999999999999</v>
      </c>
      <c r="W993" s="961">
        <v>0.46600000000000003</v>
      </c>
      <c r="X993" s="961">
        <v>25.92</v>
      </c>
      <c r="Y993" s="961">
        <v>83.88</v>
      </c>
      <c r="Z993" s="961">
        <v>3.37</v>
      </c>
      <c r="AA993" s="961">
        <v>155.28</v>
      </c>
      <c r="AB993" s="961">
        <v>1078.32</v>
      </c>
      <c r="AC993" s="971">
        <v>27950</v>
      </c>
    </row>
    <row r="994" spans="1:29" ht="15.75" x14ac:dyDescent="0.25">
      <c r="A994" s="965" t="s">
        <v>4678</v>
      </c>
      <c r="B994" s="962">
        <v>681</v>
      </c>
      <c r="C994" s="962" t="s">
        <v>4753</v>
      </c>
      <c r="D994" s="963" t="s">
        <v>34</v>
      </c>
      <c r="E994" s="963" t="s">
        <v>4467</v>
      </c>
      <c r="F994" s="964">
        <v>45639</v>
      </c>
      <c r="G994" s="964"/>
      <c r="H994" s="1005" t="s">
        <v>677</v>
      </c>
      <c r="I994" s="967" t="str">
        <f>CONCATENATE(Таблица47[[#This Row],[№ заявки в 1С]],Таблица47[[#This Row],[Наименование            ]])</f>
        <v>681[92708] Д 30х60 B-Rxtr 6,05м, БА</v>
      </c>
      <c r="J99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9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99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994" s="522"/>
      <c r="N994" s="968"/>
      <c r="O994" s="1156">
        <f>IFERROR(Таблица47[[#This Row],[Количество хлыстов]]-Таблица47[[#This Row],[Обработано в 1С]]-Таблица47[[#This Row],[Корректировка]],"")</f>
        <v>12</v>
      </c>
      <c r="P994" s="1158">
        <f>IFERROR((((Таблица47[[#This Row],[Осталось сделать, хлыст]]*Таблица47[[#This Row],[длина]])*Таблица47[[#This Row],[Периметр]])/28),"")</f>
        <v>0.90490714285714269</v>
      </c>
      <c r="Q994" s="963"/>
      <c r="R994" s="1159">
        <f>IFERROR(Таблица47[[#This Row],[Коли-
чество м.п.]]/Таблица47[[#This Row],[Количество хлыстов]],"")</f>
        <v>6.05</v>
      </c>
      <c r="S994" s="961" t="s">
        <v>5292</v>
      </c>
      <c r="T994" s="961">
        <v>72.599999999999994</v>
      </c>
      <c r="U994" s="970">
        <v>12</v>
      </c>
      <c r="V994" s="961">
        <v>0.34899999999999998</v>
      </c>
      <c r="W994" s="961">
        <v>1.4550000000000001</v>
      </c>
      <c r="X994" s="961">
        <v>25.337399999999999</v>
      </c>
      <c r="Y994" s="961">
        <v>105.633</v>
      </c>
      <c r="Z994" s="961">
        <v>3.29</v>
      </c>
      <c r="AA994" s="961">
        <v>384.99</v>
      </c>
      <c r="AB994" s="961">
        <v>1660.14</v>
      </c>
      <c r="AC994" s="971">
        <v>27950</v>
      </c>
    </row>
    <row r="995" spans="1:29" ht="15.75" x14ac:dyDescent="0.25">
      <c r="A995" s="965" t="s">
        <v>4678</v>
      </c>
      <c r="B995" s="962">
        <v>681</v>
      </c>
      <c r="C995" s="962" t="s">
        <v>4753</v>
      </c>
      <c r="D995" s="963" t="s">
        <v>34</v>
      </c>
      <c r="E995" s="963" t="s">
        <v>4467</v>
      </c>
      <c r="F995" s="964">
        <v>45639</v>
      </c>
      <c r="G995" s="964"/>
      <c r="H995" s="1005" t="s">
        <v>677</v>
      </c>
      <c r="I995" s="967" t="str">
        <f>CONCATENATE(Таблица47[[#This Row],[№ заявки в 1С]],Таблица47[[#This Row],[Наименование            ]])</f>
        <v>681[91324] д 45х45 B-Rxtr, 6,05м, АД31 Т1, БА</v>
      </c>
      <c r="J99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9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99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995" s="522"/>
      <c r="N995" s="968"/>
      <c r="O995" s="1156">
        <f>IFERROR(Таблица47[[#This Row],[Количество хлыстов]]-Таблица47[[#This Row],[Обработано в 1С]]-Таблица47[[#This Row],[Корректировка]],"")</f>
        <v>12</v>
      </c>
      <c r="P995" s="1158">
        <f>IFERROR((((Таблица47[[#This Row],[Осталось сделать, хлыст]]*Таблица47[[#This Row],[длина]])*Таблица47[[#This Row],[Периметр]])/28),"")</f>
        <v>0.89790642857142855</v>
      </c>
      <c r="Q995" s="963"/>
      <c r="R995" s="1159">
        <f>IFERROR(Таблица47[[#This Row],[Коли-
чество м.п.]]/Таблица47[[#This Row],[Количество хлыстов]],"")</f>
        <v>6.05</v>
      </c>
      <c r="S995" s="961" t="s">
        <v>5467</v>
      </c>
      <c r="T995" s="961">
        <v>72.599999999999994</v>
      </c>
      <c r="U995" s="970">
        <v>12</v>
      </c>
      <c r="V995" s="961">
        <v>0.3463</v>
      </c>
      <c r="W995" s="961">
        <v>1.8260000000000001</v>
      </c>
      <c r="X995" s="961">
        <v>25.141400000000001</v>
      </c>
      <c r="Y995" s="961">
        <v>132.5676</v>
      </c>
      <c r="Z995" s="961">
        <v>3.27</v>
      </c>
      <c r="AA995" s="961">
        <v>296.14</v>
      </c>
      <c r="AB995" s="961">
        <v>855.16</v>
      </c>
      <c r="AC995" s="971">
        <v>21500</v>
      </c>
    </row>
    <row r="996" spans="1:29" ht="15.75" x14ac:dyDescent="0.25">
      <c r="A996" s="965" t="s">
        <v>4678</v>
      </c>
      <c r="B996" s="962">
        <v>681</v>
      </c>
      <c r="C996" s="962" t="s">
        <v>4753</v>
      </c>
      <c r="D996" s="963" t="s">
        <v>34</v>
      </c>
      <c r="E996" s="963" t="s">
        <v>4467</v>
      </c>
      <c r="F996" s="964">
        <v>45639</v>
      </c>
      <c r="G996" s="964"/>
      <c r="H996" s="1005" t="s">
        <v>677</v>
      </c>
      <c r="I996" s="967" t="str">
        <f>CONCATENATE(Таблица47[[#This Row],[№ заявки в 1С]],Таблица47[[#This Row],[Наименование            ]])</f>
        <v>681[91325] д 45х90 B-Rxtr, 6,05м БА</v>
      </c>
      <c r="J99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9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99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996" s="522"/>
      <c r="N996" s="968"/>
      <c r="O996" s="1156">
        <f>IFERROR(Таблица47[[#This Row],[Количество хлыстов]]-Таблица47[[#This Row],[Обработано в 1С]]-Таблица47[[#This Row],[Корректировка]],"")</f>
        <v>9</v>
      </c>
      <c r="P996" s="1158">
        <f>IFERROR((((Таблица47[[#This Row],[Осталось сделать, хлыст]]*Таблица47[[#This Row],[длина]])*Таблица47[[#This Row],[Периметр]])/28),"")</f>
        <v>1.040578392857143</v>
      </c>
      <c r="Q996" s="963"/>
      <c r="R996" s="1159">
        <f>IFERROR(Таблица47[[#This Row],[Коли-
чество м.п.]]/Таблица47[[#This Row],[Количество хлыстов]],"")</f>
        <v>6.0500000000000007</v>
      </c>
      <c r="S996" s="961" t="s">
        <v>5166</v>
      </c>
      <c r="T996" s="961">
        <v>54.45</v>
      </c>
      <c r="U996" s="970">
        <v>9</v>
      </c>
      <c r="V996" s="961">
        <v>0.53510000000000002</v>
      </c>
      <c r="W996" s="961">
        <v>2.891</v>
      </c>
      <c r="X996" s="961">
        <v>29.136199999999999</v>
      </c>
      <c r="Y996" s="961">
        <v>157.41499999999999</v>
      </c>
      <c r="Z996" s="961">
        <v>3.79</v>
      </c>
      <c r="AA996" s="961">
        <v>427.92</v>
      </c>
      <c r="AB996" s="961">
        <v>799.69</v>
      </c>
      <c r="AC996" s="971">
        <v>23300</v>
      </c>
    </row>
    <row r="997" spans="1:29" ht="15.75" x14ac:dyDescent="0.25">
      <c r="A997" s="965" t="s">
        <v>4678</v>
      </c>
      <c r="B997" s="962">
        <v>682</v>
      </c>
      <c r="C997" s="962" t="s">
        <v>4753</v>
      </c>
      <c r="D997" s="963" t="s">
        <v>13</v>
      </c>
      <c r="E997" s="1127" t="s">
        <v>458</v>
      </c>
      <c r="F997" s="964">
        <v>45642</v>
      </c>
      <c r="G997" s="964"/>
      <c r="H997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97" s="967" t="str">
        <f>CONCATENATE(Таблица47[[#This Row],[№ заявки в 1С]],Таблица47[[#This Row],[Наименование            ]])</f>
        <v>682[90786] Лист (Д) АМг2М 0,8*1000*1500</v>
      </c>
      <c r="J99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198</v>
      </c>
      <c r="K99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198</v>
      </c>
      <c r="L99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198</v>
      </c>
      <c r="M997" s="522"/>
      <c r="N997" s="968">
        <v>198</v>
      </c>
      <c r="O997" s="1156">
        <f>IFERROR(Таблица47[[#This Row],[Количество хлыстов]]-Таблица47[[#This Row],[Обработано в 1С]]-Таблица47[[#This Row],[Корректировка]],"")</f>
        <v>0</v>
      </c>
      <c r="P997" s="1158">
        <f>Таблица47[[#This Row],[Осталось сделать, хлыст]]/12</f>
        <v>0</v>
      </c>
      <c r="Q997" s="963"/>
      <c r="R997" s="1159">
        <f>IFERROR(Таблица47[[#This Row],[Коли-
чество м.п.]]/Таблица47[[#This Row],[Количество хлыстов]],"")</f>
        <v>1</v>
      </c>
      <c r="S997" s="961" t="s">
        <v>5161</v>
      </c>
      <c r="T997" s="961">
        <v>198</v>
      </c>
      <c r="U997" s="970">
        <v>198</v>
      </c>
      <c r="V997" s="961">
        <v>3</v>
      </c>
      <c r="W997" s="961">
        <v>3.2040000000000002</v>
      </c>
      <c r="X997" s="961">
        <v>594</v>
      </c>
      <c r="Y997" s="961">
        <v>634.39200000000005</v>
      </c>
      <c r="Z997" s="961">
        <v>77.22</v>
      </c>
      <c r="AA997" s="961">
        <v>1459.5</v>
      </c>
      <c r="AB997" s="961">
        <v>486.5</v>
      </c>
      <c r="AC997" s="971">
        <v>288981</v>
      </c>
    </row>
    <row r="998" spans="1:29" ht="15.75" x14ac:dyDescent="0.25">
      <c r="A998" s="965" t="s">
        <v>4678</v>
      </c>
      <c r="B998" s="962">
        <v>683</v>
      </c>
      <c r="C998" s="962"/>
      <c r="D998" s="963" t="s">
        <v>13</v>
      </c>
      <c r="E998" s="1148" t="s">
        <v>80</v>
      </c>
      <c r="F998" s="964">
        <v>45642</v>
      </c>
      <c r="G998" s="964"/>
      <c r="H998" s="1005" t="s">
        <v>677</v>
      </c>
      <c r="I998" s="967" t="str">
        <f>CONCATENATE(Таблица47[[#This Row],[№ заявки в 1С]],Таблица47[[#This Row],[Наименование            ]])</f>
        <v>683[34817] 0906-20, 3,2 м,  6063 Fe</v>
      </c>
      <c r="J99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99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99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998" s="522"/>
      <c r="N998" s="968"/>
      <c r="O998" s="1156">
        <f>IFERROR(Таблица47[[#This Row],[Количество хлыстов]]-Таблица47[[#This Row],[Обработано в 1С]]-Таблица47[[#This Row],[Корректировка]],"")</f>
        <v>519</v>
      </c>
      <c r="P998" s="1158">
        <f>IFERROR((((Таблица47[[#This Row],[Осталось сделать, хлыст]]*Таблица47[[#This Row],[длина]])*Таблица47[[#This Row],[Периметр]])/28),"")</f>
        <v>30.564651428571427</v>
      </c>
      <c r="Q998" s="963"/>
      <c r="R998" s="1159">
        <f>IFERROR(Таблица47[[#This Row],[Коли-
чество м.п.]]/Таблица47[[#This Row],[Количество хлыстов]],"")</f>
        <v>3.1999999999999997</v>
      </c>
      <c r="S998" s="961" t="s">
        <v>6019</v>
      </c>
      <c r="T998" s="961">
        <v>1660.8</v>
      </c>
      <c r="U998" s="970">
        <v>519</v>
      </c>
      <c r="V998" s="961">
        <v>0.51529999999999998</v>
      </c>
      <c r="W998" s="961">
        <v>1.3759999999999999</v>
      </c>
      <c r="X998" s="961">
        <v>855.81020000000001</v>
      </c>
      <c r="Y998" s="961">
        <v>2285.2608</v>
      </c>
      <c r="Z998" s="961">
        <v>111.26</v>
      </c>
      <c r="AA998" s="961" t="s">
        <v>17</v>
      </c>
      <c r="AB998" s="961" t="s">
        <v>17</v>
      </c>
      <c r="AC998" s="971" t="s">
        <v>17</v>
      </c>
    </row>
    <row r="999" spans="1:29" ht="15.75" x14ac:dyDescent="0.25">
      <c r="A999" s="965" t="s">
        <v>4678</v>
      </c>
      <c r="B999" s="962">
        <v>683</v>
      </c>
      <c r="C999" s="962"/>
      <c r="D999" s="963" t="s">
        <v>13</v>
      </c>
      <c r="E999" s="1127" t="s">
        <v>80</v>
      </c>
      <c r="F999" s="964">
        <v>45642</v>
      </c>
      <c r="G999" s="964"/>
      <c r="H99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999" s="967" t="str">
        <f>CONCATENATE(Таблица47[[#This Row],[№ заявки в 1С]],Таблица47[[#This Row],[Наименование            ]])</f>
        <v>683[69346] 0906-20, 3,65 м, 6063 КР уп Т-5</v>
      </c>
      <c r="J99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191</v>
      </c>
      <c r="K99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191</v>
      </c>
      <c r="L99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189</v>
      </c>
      <c r="M999" s="522">
        <v>2</v>
      </c>
      <c r="N999" s="968">
        <v>189</v>
      </c>
      <c r="O999" s="1156">
        <f>IFERROR(Таблица47[[#This Row],[Количество хлыстов]]-Таблица47[[#This Row],[Обработано в 1С]]-Таблица47[[#This Row],[Корректировка]],"")</f>
        <v>0</v>
      </c>
      <c r="P999" s="1158">
        <f>IFERROR((((Таблица47[[#This Row],[Осталось сделать, хлыст]]*Таблица47[[#This Row],[длина]])*Таблица47[[#This Row],[Периметр]])/28),"")</f>
        <v>0</v>
      </c>
      <c r="Q999" s="963"/>
      <c r="R999" s="1159">
        <f>IFERROR(Таблица47[[#This Row],[Коли-
чество м.п.]]/Таблица47[[#This Row],[Количество хлыстов]],"")</f>
        <v>3.65</v>
      </c>
      <c r="S999" s="961" t="s">
        <v>5099</v>
      </c>
      <c r="T999" s="961">
        <v>697.15</v>
      </c>
      <c r="U999" s="970">
        <v>191</v>
      </c>
      <c r="V999" s="961">
        <v>0.51529999999999998</v>
      </c>
      <c r="W999" s="961">
        <v>1.3759999999999999</v>
      </c>
      <c r="X999" s="961">
        <v>359.2414</v>
      </c>
      <c r="Y999" s="961">
        <v>959.27840000000003</v>
      </c>
      <c r="Z999" s="961">
        <v>46.7</v>
      </c>
      <c r="AA999" s="961" t="s">
        <v>17</v>
      </c>
      <c r="AB999" s="961" t="s">
        <v>17</v>
      </c>
      <c r="AC999" s="971" t="s">
        <v>17</v>
      </c>
    </row>
    <row r="1000" spans="1:29" s="1021" customFormat="1" ht="15.75" x14ac:dyDescent="0.25">
      <c r="A1000" s="419" t="s">
        <v>4978</v>
      </c>
      <c r="B1000" s="617">
        <v>684</v>
      </c>
      <c r="C1000" s="617"/>
      <c r="D1000" s="618" t="s">
        <v>34</v>
      </c>
      <c r="E1000" s="618" t="s">
        <v>45</v>
      </c>
      <c r="F1000" s="619">
        <v>45643</v>
      </c>
      <c r="G1000" s="619"/>
      <c r="H1000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0" s="967" t="str">
        <f>CONCATENATE(Таблица47[[#This Row],[№ заявки в 1С]],Таблица47[[#This Row],[Наименование            ]])</f>
        <v>684[18639] 0306-68 3,0м, 6063 Т6, упаковка Т-5, БА</v>
      </c>
      <c r="J1000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00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00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00" s="620"/>
      <c r="N1000" s="677">
        <v>24</v>
      </c>
      <c r="O1000" s="1172" t="str">
        <f>IFERROR(Таблица47[[#This Row],[Количество хлыстов]]-Таблица47[[#This Row],[Обработано в 1С]]-Таблица47[[#This Row],[Корректировка]],"")</f>
        <v/>
      </c>
      <c r="P1000" s="1173" t="str">
        <f>IFERROR((((Таблица47[[#This Row],[Осталось сделать, хлыст]]*Таблица47[[#This Row],[длина]])*Таблица47[[#This Row],[Периметр]])/28),"")</f>
        <v/>
      </c>
      <c r="Q1000" s="618"/>
      <c r="R1000" s="655">
        <f>IFERROR(Таблица47[[#This Row],[Коли-
чество м.п.]]/Таблица47[[#This Row],[Количество хлыстов]],"")</f>
        <v>3</v>
      </c>
      <c r="S1000" s="622" t="s">
        <v>5159</v>
      </c>
      <c r="T1000" s="622">
        <v>72</v>
      </c>
      <c r="U1000" s="623">
        <v>24</v>
      </c>
      <c r="V1000" s="622">
        <v>0.36620000000000003</v>
      </c>
      <c r="W1000" s="622">
        <v>2.0230000000000001</v>
      </c>
      <c r="X1000" s="622">
        <v>26.366399999999999</v>
      </c>
      <c r="Y1000" s="622">
        <v>145.65600000000001</v>
      </c>
      <c r="Z1000" s="622">
        <v>3.43</v>
      </c>
      <c r="AA1000" s="622">
        <v>127.16</v>
      </c>
      <c r="AB1000" s="622">
        <v>347.25</v>
      </c>
      <c r="AC1000" s="624">
        <v>9155.73</v>
      </c>
    </row>
    <row r="1001" spans="1:29" s="1021" customFormat="1" ht="15.75" x14ac:dyDescent="0.25">
      <c r="A1001" s="419" t="s">
        <v>4978</v>
      </c>
      <c r="B1001" s="617">
        <v>686</v>
      </c>
      <c r="C1001" s="617"/>
      <c r="D1001" s="618" t="s">
        <v>13</v>
      </c>
      <c r="E1001" s="1068" t="s">
        <v>1116</v>
      </c>
      <c r="F1001" s="619">
        <v>45643</v>
      </c>
      <c r="G1001" s="619"/>
      <c r="H1001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1" s="967" t="str">
        <f>CONCATENATE(Таблица47[[#This Row],[№ заявки в 1С]],Таблица47[[#This Row],[Наименование            ]])</f>
        <v>686[866] автоуголок 150*55*3мм (0106-153) 6,0м АД31 Т1 уп. Т5</v>
      </c>
      <c r="J1001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01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01" s="1004">
        <v>292</v>
      </c>
      <c r="M1001" s="620"/>
      <c r="N1001" s="677">
        <v>292</v>
      </c>
      <c r="O1001" s="1172">
        <f>IFERROR(Таблица47[[#This Row],[Количество хлыстов]]-Таблица47[[#This Row],[Обработано в 1С]]-Таблица47[[#This Row],[Корректировка]],"")</f>
        <v>0</v>
      </c>
      <c r="P1001" s="1173">
        <f>IFERROR((((Таблица47[[#This Row],[Осталось сделать, хлыст]]*Таблица47[[#This Row],[длина]])*Таблица47[[#This Row],[Периметр]])/28),"")</f>
        <v>0</v>
      </c>
      <c r="Q1001" s="618"/>
      <c r="R1001" s="655">
        <f>IFERROR(Таблица47[[#This Row],[Коли-
чество м.п.]]/Таблица47[[#This Row],[Количество хлыстов]],"")</f>
        <v>6</v>
      </c>
      <c r="S1001" s="622" t="s">
        <v>5342</v>
      </c>
      <c r="T1001" s="622">
        <v>1752</v>
      </c>
      <c r="U1001" s="623">
        <v>292</v>
      </c>
      <c r="V1001" s="622">
        <v>0.42199999999999999</v>
      </c>
      <c r="W1001" s="622">
        <v>1.389</v>
      </c>
      <c r="X1001" s="622">
        <v>739.34400000000005</v>
      </c>
      <c r="Y1001" s="622">
        <v>2433.5279999999998</v>
      </c>
      <c r="Z1001" s="622">
        <v>96.11</v>
      </c>
      <c r="AA1001" s="622">
        <v>104.66</v>
      </c>
      <c r="AB1001" s="622">
        <v>248</v>
      </c>
      <c r="AC1001" s="624">
        <v>183357.31</v>
      </c>
    </row>
    <row r="1002" spans="1:29" ht="15.75" x14ac:dyDescent="0.25">
      <c r="A1002" s="965" t="s">
        <v>4678</v>
      </c>
      <c r="B1002" s="962">
        <v>687</v>
      </c>
      <c r="C1002" s="962"/>
      <c r="D1002" s="963" t="s">
        <v>13</v>
      </c>
      <c r="E1002" s="963" t="s">
        <v>2973</v>
      </c>
      <c r="F1002" s="964">
        <v>45643</v>
      </c>
      <c r="G1002" s="964"/>
      <c r="H100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2" s="967" t="str">
        <f>CONCATENATE(Таблица47[[#This Row],[№ заявки в 1С]],Таблица47[[#This Row],[Наименование            ]])</f>
        <v>687[77504] 0706-91 4,9 м, БА сплав 6063 Кр Т6, уп Т-5</v>
      </c>
      <c r="J100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</v>
      </c>
      <c r="K100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</v>
      </c>
      <c r="L100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</v>
      </c>
      <c r="M1002" s="522"/>
      <c r="N1002" s="968">
        <v>14</v>
      </c>
      <c r="O1002" s="1156">
        <f>IFERROR(Таблица47[[#This Row],[Количество хлыстов]]-Таблица47[[#This Row],[Обработано в 1С]]-Таблица47[[#This Row],[Корректировка]],"")</f>
        <v>0</v>
      </c>
      <c r="P1002" s="1158">
        <f>IFERROR((((Таблица47[[#This Row],[Осталось сделать, хлыст]]*Таблица47[[#This Row],[длина]])*Таблица47[[#This Row],[Периметр]])/28),"")</f>
        <v>0</v>
      </c>
      <c r="Q1002" s="963"/>
      <c r="R1002" s="1159">
        <f>IFERROR(Таблица47[[#This Row],[Коли-
чество м.п.]]/Таблица47[[#This Row],[Количество хлыстов]],"")</f>
        <v>4.8999999999999995</v>
      </c>
      <c r="S1002" s="961" t="s">
        <v>1863</v>
      </c>
      <c r="T1002" s="961">
        <v>68.599999999999994</v>
      </c>
      <c r="U1002" s="970">
        <v>14</v>
      </c>
      <c r="V1002" s="961">
        <v>0.39269999999999999</v>
      </c>
      <c r="W1002" s="961">
        <v>0.872</v>
      </c>
      <c r="X1002" s="961">
        <v>26.9392</v>
      </c>
      <c r="Y1002" s="961">
        <v>59.819200000000002</v>
      </c>
      <c r="Z1002" s="961">
        <v>3.5</v>
      </c>
      <c r="AA1002" s="961">
        <v>178.68</v>
      </c>
      <c r="AB1002" s="961">
        <v>455</v>
      </c>
      <c r="AC1002" s="971">
        <v>12257.35</v>
      </c>
    </row>
    <row r="1003" spans="1:29" s="1021" customFormat="1" ht="15.75" x14ac:dyDescent="0.25">
      <c r="A1003" s="419" t="s">
        <v>4978</v>
      </c>
      <c r="B1003" s="617">
        <v>688</v>
      </c>
      <c r="C1003" s="617"/>
      <c r="D1003" s="618" t="s">
        <v>13</v>
      </c>
      <c r="E1003" s="1068" t="s">
        <v>5953</v>
      </c>
      <c r="F1003" s="619">
        <v>45645</v>
      </c>
      <c r="G1003" s="619"/>
      <c r="H1003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3" s="1004" t="str">
        <f>CONCATENATE(Таблица47[[#This Row],[№ заявки в 1С]],Таблица47[[#This Row],[Наименование            ]])</f>
        <v>688[32823] 0406-55 2,0 м, Ад31 уп Т1</v>
      </c>
      <c r="J1003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03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03" s="1004">
        <v>550</v>
      </c>
      <c r="M1003" s="620"/>
      <c r="N1003" s="677">
        <v>550</v>
      </c>
      <c r="O1003" s="1172">
        <f>IFERROR(Таблица47[[#This Row],[Количество хлыстов]]-Таблица47[[#This Row],[Обработано в 1С]]-Таблица47[[#This Row],[Корректировка]],"")</f>
        <v>0</v>
      </c>
      <c r="P1003" s="1173">
        <f>IFERROR((((Таблица47[[#This Row],[Осталось сделать, хлыст]]*Таблица47[[#This Row],[длина]])*Таблица47[[#This Row],[Периметр]])/28),"")</f>
        <v>0</v>
      </c>
      <c r="Q1003" s="618"/>
      <c r="R1003" s="655">
        <f>IFERROR(Таблица47[[#This Row],[Коли-
чество м.п.]]/Таблица47[[#This Row],[Количество хлыстов]],"")</f>
        <v>2</v>
      </c>
      <c r="S1003" s="622" t="s">
        <v>6028</v>
      </c>
      <c r="T1003" s="622">
        <v>1100</v>
      </c>
      <c r="U1003" s="623">
        <v>550</v>
      </c>
      <c r="V1003" s="622">
        <v>0.10979999999999999</v>
      </c>
      <c r="W1003" s="622">
        <v>0.20899999999999999</v>
      </c>
      <c r="X1003" s="622">
        <v>120.78</v>
      </c>
      <c r="Y1003" s="622">
        <v>229.9</v>
      </c>
      <c r="Z1003" s="622">
        <v>15.7</v>
      </c>
      <c r="AA1003" s="622">
        <v>28.77</v>
      </c>
      <c r="AB1003" s="622">
        <v>262</v>
      </c>
      <c r="AC1003" s="624">
        <v>31644.36</v>
      </c>
    </row>
    <row r="1004" spans="1:29" s="1021" customFormat="1" ht="15.75" x14ac:dyDescent="0.25">
      <c r="A1004" s="419" t="s">
        <v>4978</v>
      </c>
      <c r="B1004" s="617">
        <v>689</v>
      </c>
      <c r="C1004" s="617"/>
      <c r="D1004" s="618" t="s">
        <v>34</v>
      </c>
      <c r="E1004" s="618" t="s">
        <v>45</v>
      </c>
      <c r="F1004" s="619">
        <v>45645</v>
      </c>
      <c r="G1004" s="619"/>
      <c r="H1004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4" s="1004" t="str">
        <f>CONCATENATE(Таблица47[[#This Row],[№ заявки в 1С]],Таблица47[[#This Row],[Наименование            ]])</f>
        <v>689[18639] 0306-68 3,0м, 6063 Т6, упаковка Т-5, БА</v>
      </c>
      <c r="J1004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04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04" s="1004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04" s="620"/>
      <c r="N1004" s="677">
        <v>63</v>
      </c>
      <c r="O1004" s="1172" t="str">
        <f>IFERROR(Таблица47[[#This Row],[Количество хлыстов]]-Таблица47[[#This Row],[Обработано в 1С]]-Таблица47[[#This Row],[Корректировка]],"")</f>
        <v/>
      </c>
      <c r="P1004" s="1173" t="str">
        <f>IFERROR((((Таблица47[[#This Row],[Осталось сделать, хлыст]]*Таблица47[[#This Row],[длина]])*Таблица47[[#This Row],[Периметр]])/28),"")</f>
        <v/>
      </c>
      <c r="Q1004" s="618"/>
      <c r="R1004" s="655">
        <f>IFERROR(Таблица47[[#This Row],[Коли-
чество м.п.]]/Таблица47[[#This Row],[Количество хлыстов]],"")</f>
        <v>3</v>
      </c>
      <c r="S1004" s="622" t="s">
        <v>5159</v>
      </c>
      <c r="T1004" s="622">
        <v>189</v>
      </c>
      <c r="U1004" s="623">
        <v>63</v>
      </c>
      <c r="V1004" s="622">
        <v>0.36620000000000003</v>
      </c>
      <c r="W1004" s="622">
        <v>2.0230000000000001</v>
      </c>
      <c r="X1004" s="622">
        <v>69.211799999999997</v>
      </c>
      <c r="Y1004" s="622">
        <v>382.34699999999998</v>
      </c>
      <c r="Z1004" s="622">
        <v>9</v>
      </c>
      <c r="AA1004" s="622">
        <v>127.16</v>
      </c>
      <c r="AB1004" s="622">
        <v>347.25</v>
      </c>
      <c r="AC1004" s="624">
        <v>24033.8</v>
      </c>
    </row>
    <row r="1005" spans="1:29" ht="15.75" x14ac:dyDescent="0.25">
      <c r="A1005" s="965" t="s">
        <v>4678</v>
      </c>
      <c r="B1005" s="962">
        <v>690</v>
      </c>
      <c r="C1005" s="962"/>
      <c r="D1005" s="963" t="s">
        <v>34</v>
      </c>
      <c r="E1005" s="963" t="s">
        <v>328</v>
      </c>
      <c r="F1005" s="964">
        <v>45645</v>
      </c>
      <c r="G1005" s="964"/>
      <c r="H100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5" s="967" t="str">
        <f>CONCATENATE(Таблица47[[#This Row],[№ заявки в 1С]],Таблица47[[#This Row],[Наименование            ]])</f>
        <v>690[70484] 1506-77 (АА-2050-85), 6,0м, 6063 Т6, упаковка Т-5, без покрытия</v>
      </c>
      <c r="J100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425</v>
      </c>
      <c r="K100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425</v>
      </c>
      <c r="L100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415</v>
      </c>
      <c r="M1005" s="522">
        <f>10</f>
        <v>10</v>
      </c>
      <c r="N1005" s="968">
        <f>3+412</f>
        <v>415</v>
      </c>
      <c r="O1005" s="1156">
        <f>IFERROR(Таблица47[[#This Row],[Количество хлыстов]]-Таблица47[[#This Row],[Обработано в 1С]]-Таблица47[[#This Row],[Корректировка]],"")</f>
        <v>0</v>
      </c>
      <c r="P1005" s="1158">
        <f>IFERROR((((Таблица47[[#This Row],[Осталось сделать, хлыст]]*Таблица47[[#This Row],[длина]])*Таблица47[[#This Row],[Периметр]])/28),"")</f>
        <v>0</v>
      </c>
      <c r="Q1005" s="963" t="s">
        <v>6059</v>
      </c>
      <c r="R1005" s="1159">
        <f>IFERROR(Таблица47[[#This Row],[Коли-
чество м.п.]]/Таблица47[[#This Row],[Количество хлыстов]],"")</f>
        <v>6</v>
      </c>
      <c r="S1005" s="961" t="s">
        <v>4813</v>
      </c>
      <c r="T1005" s="961">
        <v>2550</v>
      </c>
      <c r="U1005" s="970">
        <v>425</v>
      </c>
      <c r="V1005" s="961">
        <v>0.30919999999999997</v>
      </c>
      <c r="W1005" s="961">
        <v>1.101</v>
      </c>
      <c r="X1005" s="961">
        <v>788.46</v>
      </c>
      <c r="Y1005" s="961">
        <v>2807.55</v>
      </c>
      <c r="Z1005" s="961">
        <v>102.5</v>
      </c>
      <c r="AA1005" s="961">
        <v>140.69</v>
      </c>
      <c r="AB1005" s="961">
        <v>455</v>
      </c>
      <c r="AC1005" s="971">
        <v>358749.3</v>
      </c>
    </row>
    <row r="1006" spans="1:29" ht="15.75" x14ac:dyDescent="0.25">
      <c r="A1006" s="965" t="s">
        <v>4678</v>
      </c>
      <c r="B1006" s="962">
        <v>691</v>
      </c>
      <c r="C1006" s="962"/>
      <c r="D1006" s="963" t="s">
        <v>34</v>
      </c>
      <c r="E1006" s="963" t="s">
        <v>79</v>
      </c>
      <c r="F1006" s="964">
        <v>45645</v>
      </c>
      <c r="G1006" s="964"/>
      <c r="H100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6" s="967" t="str">
        <f>CONCATENATE(Таблица47[[#This Row],[№ заявки в 1С]],Таблица47[[#This Row],[Наименование            ]])</f>
        <v>691[78712] 1606-73 (п-образный), 6,0м, 6063 Т6, упаковка Т-5, БА</v>
      </c>
      <c r="J100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106</v>
      </c>
      <c r="K100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106</v>
      </c>
      <c r="L100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106</v>
      </c>
      <c r="M1006" s="522"/>
      <c r="N1006" s="968">
        <v>106</v>
      </c>
      <c r="O1006" s="1156">
        <f>IFERROR(Таблица47[[#This Row],[Количество хлыстов]]-Таблица47[[#This Row],[Обработано в 1С]]-Таблица47[[#This Row],[Корректировка]],"")</f>
        <v>0</v>
      </c>
      <c r="P1006" s="1158">
        <f>IFERROR((((Таблица47[[#This Row],[Осталось сделать, хлыст]]*Таблица47[[#This Row],[длина]])*Таблица47[[#This Row],[Периметр]])/28),"")</f>
        <v>0</v>
      </c>
      <c r="Q1006" s="963"/>
      <c r="R1006" s="1159">
        <f>IFERROR(Таблица47[[#This Row],[Коли-
чество м.п.]]/Таблица47[[#This Row],[Количество хлыстов]],"")</f>
        <v>6</v>
      </c>
      <c r="S1006" s="961" t="s">
        <v>4590</v>
      </c>
      <c r="T1006" s="961">
        <v>636</v>
      </c>
      <c r="U1006" s="970">
        <v>106</v>
      </c>
      <c r="V1006" s="961">
        <v>0.45550000000000002</v>
      </c>
      <c r="W1006" s="961">
        <v>1.6990000000000001</v>
      </c>
      <c r="X1006" s="961">
        <v>289.69799999999998</v>
      </c>
      <c r="Y1006" s="961">
        <v>1080.5640000000001</v>
      </c>
      <c r="Z1006" s="961">
        <v>37.659999999999997</v>
      </c>
      <c r="AA1006" s="961">
        <v>179.92</v>
      </c>
      <c r="AB1006" s="961">
        <v>395</v>
      </c>
      <c r="AC1006" s="971">
        <v>114430.71</v>
      </c>
    </row>
    <row r="1007" spans="1:29" ht="15.75" x14ac:dyDescent="0.25">
      <c r="A1007" s="965" t="s">
        <v>4678</v>
      </c>
      <c r="B1007" s="962">
        <v>692</v>
      </c>
      <c r="C1007" s="962"/>
      <c r="D1007" s="963" t="s">
        <v>34</v>
      </c>
      <c r="E1007" s="963" t="s">
        <v>14</v>
      </c>
      <c r="F1007" s="964">
        <v>45645</v>
      </c>
      <c r="G1007" s="964"/>
      <c r="H100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7" s="967" t="str">
        <f>CONCATENATE(Таблица47[[#This Row],[№ заявки в 1С]],Таблица47[[#This Row],[Наименование            ]])</f>
        <v>692[94803] 1906-42, 6,05м,  6063 Т6, упак.Т5, БА</v>
      </c>
      <c r="J100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</v>
      </c>
      <c r="K100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</v>
      </c>
      <c r="L100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</v>
      </c>
      <c r="M1007" s="522"/>
      <c r="N1007" s="968">
        <v>2</v>
      </c>
      <c r="O1007" s="1156">
        <f>IFERROR(Таблица47[[#This Row],[Количество хлыстов]]-Таблица47[[#This Row],[Обработано в 1С]]-Таблица47[[#This Row],[Корректировка]],"")</f>
        <v>0</v>
      </c>
      <c r="P1007" s="1158">
        <f>IFERROR((((Таблица47[[#This Row],[Осталось сделать, хлыст]]*Таблица47[[#This Row],[длина]])*Таблица47[[#This Row],[Периметр]])/28),"")</f>
        <v>0</v>
      </c>
      <c r="Q1007" s="963"/>
      <c r="R1007" s="1159">
        <f>IFERROR(Таблица47[[#This Row],[Коли-
чество м.п.]]/Таблица47[[#This Row],[Количество хлыстов]],"")</f>
        <v>6.05</v>
      </c>
      <c r="S1007" s="961" t="s">
        <v>6029</v>
      </c>
      <c r="T1007" s="961">
        <v>12.1</v>
      </c>
      <c r="U1007" s="970">
        <v>2</v>
      </c>
      <c r="V1007" s="961">
        <v>0.21560000000000001</v>
      </c>
      <c r="W1007" s="961">
        <v>0.84299999999999997</v>
      </c>
      <c r="X1007" s="961">
        <v>2.6088</v>
      </c>
      <c r="Y1007" s="961">
        <v>10.2003</v>
      </c>
      <c r="Z1007" s="961">
        <v>0.34</v>
      </c>
      <c r="AA1007" s="961">
        <v>94.86</v>
      </c>
      <c r="AB1007" s="961">
        <v>440</v>
      </c>
      <c r="AC1007" s="971">
        <v>1147.8499999999999</v>
      </c>
    </row>
    <row r="1008" spans="1:29" ht="15.75" x14ac:dyDescent="0.25">
      <c r="A1008" s="965" t="s">
        <v>4678</v>
      </c>
      <c r="B1008" s="962">
        <v>692</v>
      </c>
      <c r="C1008" s="962"/>
      <c r="D1008" s="963" t="s">
        <v>34</v>
      </c>
      <c r="E1008" s="963" t="s">
        <v>14</v>
      </c>
      <c r="F1008" s="964">
        <v>45645</v>
      </c>
      <c r="G1008" s="964"/>
      <c r="H1008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8" s="967" t="str">
        <f>CONCATENATE(Таблица47[[#This Row],[№ заявки в 1С]],Таблица47[[#This Row],[Наименование            ]])</f>
        <v>692[94804] 1906-43, 6,05м, 6063 Т6, упак.Т5, БА</v>
      </c>
      <c r="J100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</v>
      </c>
      <c r="K100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</v>
      </c>
      <c r="L100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</v>
      </c>
      <c r="M1008" s="522"/>
      <c r="N1008" s="968">
        <v>2</v>
      </c>
      <c r="O1008" s="1156">
        <f>IFERROR(Таблица47[[#This Row],[Количество хлыстов]]-Таблица47[[#This Row],[Обработано в 1С]]-Таблица47[[#This Row],[Корректировка]],"")</f>
        <v>0</v>
      </c>
      <c r="P1008" s="1158">
        <f>IFERROR((((Таблица47[[#This Row],[Осталось сделать, хлыст]]*Таблица47[[#This Row],[длина]])*Таблица47[[#This Row],[Периметр]])/28),"")</f>
        <v>0</v>
      </c>
      <c r="Q1008" s="963"/>
      <c r="R1008" s="1159">
        <f>IFERROR(Таблица47[[#This Row],[Коли-
чество м.п.]]/Таблица47[[#This Row],[Количество хлыстов]],"")</f>
        <v>6.05</v>
      </c>
      <c r="S1008" s="961" t="s">
        <v>6030</v>
      </c>
      <c r="T1008" s="961">
        <v>12.1</v>
      </c>
      <c r="U1008" s="970">
        <v>2</v>
      </c>
      <c r="V1008" s="961">
        <v>0.1857</v>
      </c>
      <c r="W1008" s="961">
        <v>0.90500000000000003</v>
      </c>
      <c r="X1008" s="961">
        <v>2.2469999999999999</v>
      </c>
      <c r="Y1008" s="961">
        <v>10.9505</v>
      </c>
      <c r="Z1008" s="961">
        <v>0.28999999999999998</v>
      </c>
      <c r="AA1008" s="961">
        <v>81.709999999999994</v>
      </c>
      <c r="AB1008" s="961">
        <v>440</v>
      </c>
      <c r="AC1008" s="971">
        <v>988.67</v>
      </c>
    </row>
    <row r="1009" spans="1:29" s="1021" customFormat="1" ht="15.75" x14ac:dyDescent="0.25">
      <c r="A1009" s="419" t="s">
        <v>4978</v>
      </c>
      <c r="B1009" s="617">
        <v>694</v>
      </c>
      <c r="C1009" s="617"/>
      <c r="D1009" s="618" t="s">
        <v>13</v>
      </c>
      <c r="E1009" s="618" t="s">
        <v>892</v>
      </c>
      <c r="F1009" s="619">
        <v>45649</v>
      </c>
      <c r="G1009" s="619"/>
      <c r="H1009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09" s="1004" t="str">
        <f>CONCATENATE(Таблица47[[#This Row],[№ заявки в 1С]],Таблица47[[#This Row],[Наименование            ]])</f>
        <v>694[81356] 1606-37 (АВА-7227, 6200), 5,05 м, сплав 6063 КР Т6, упаковка Т-5</v>
      </c>
      <c r="J1009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09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09" s="1004">
        <v>639</v>
      </c>
      <c r="M1009" s="620">
        <v>4</v>
      </c>
      <c r="N1009" s="677">
        <v>639</v>
      </c>
      <c r="O1009" s="1172">
        <f>IFERROR(Таблица47[[#This Row],[Количество хлыстов]]-Таблица47[[#This Row],[Обработано в 1С]]-Таблица47[[#This Row],[Корректировка]],"")</f>
        <v>0</v>
      </c>
      <c r="P1009" s="1173">
        <f>IFERROR((((Таблица47[[#This Row],[Осталось сделать, хлыст]]*Таблица47[[#This Row],[длина]])*Таблица47[[#This Row],[Периметр]])/28),"")</f>
        <v>0</v>
      </c>
      <c r="Q1009" s="618"/>
      <c r="R1009" s="655">
        <f>IFERROR(Таблица47[[#This Row],[Коли-
чество м.п.]]/Таблица47[[#This Row],[Количество хлыстов]],"")</f>
        <v>5.05</v>
      </c>
      <c r="S1009" s="622" t="s">
        <v>6008</v>
      </c>
      <c r="T1009" s="622">
        <v>3247.15</v>
      </c>
      <c r="U1009" s="623">
        <v>643</v>
      </c>
      <c r="V1009" s="622">
        <v>0.2651</v>
      </c>
      <c r="W1009" s="622">
        <v>0.82099999999999995</v>
      </c>
      <c r="X1009" s="622">
        <v>860.81949999999995</v>
      </c>
      <c r="Y1009" s="622">
        <v>2665.9101999999998</v>
      </c>
      <c r="Z1009" s="622">
        <v>111.91</v>
      </c>
      <c r="AA1009" s="622">
        <v>92.25</v>
      </c>
      <c r="AB1009" s="622">
        <v>348</v>
      </c>
      <c r="AC1009" s="624">
        <v>299565.17</v>
      </c>
    </row>
    <row r="1010" spans="1:29" s="1021" customFormat="1" ht="15.75" x14ac:dyDescent="0.25">
      <c r="A1010" s="419" t="s">
        <v>4978</v>
      </c>
      <c r="B1010" s="617">
        <v>694</v>
      </c>
      <c r="C1010" s="617"/>
      <c r="D1010" s="618" t="s">
        <v>13</v>
      </c>
      <c r="E1010" s="618" t="s">
        <v>892</v>
      </c>
      <c r="F1010" s="619">
        <v>45649</v>
      </c>
      <c r="G1010" s="619"/>
      <c r="H1010" s="1153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0" s="1004" t="str">
        <f>CONCATENATE(Таблица47[[#This Row],[№ заявки в 1С]],Таблица47[[#This Row],[Наименование            ]])</f>
        <v>694[85515] 2606-14 (замена 2606-06), 5,05 м,  6063 Т1, БА</v>
      </c>
      <c r="J1010" s="1004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10" s="1004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10" s="1004">
        <v>72</v>
      </c>
      <c r="M1010" s="620"/>
      <c r="N1010" s="677">
        <v>72</v>
      </c>
      <c r="O1010" s="1172">
        <f>IFERROR(Таблица47[[#This Row],[Количество хлыстов]]-Таблица47[[#This Row],[Обработано в 1С]]-Таблица47[[#This Row],[Корректировка]],"")</f>
        <v>0</v>
      </c>
      <c r="P1010" s="1173">
        <f>IFERROR((((Таблица47[[#This Row],[Осталось сделать, хлыст]]*Таблица47[[#This Row],[длина]])*Таблица47[[#This Row],[Периметр]])/28),"")</f>
        <v>0</v>
      </c>
      <c r="Q1010" s="618"/>
      <c r="R1010" s="655">
        <f>IFERROR(Таблица47[[#This Row],[Коли-
чество м.п.]]/Таблица47[[#This Row],[Количество хлыстов]],"")</f>
        <v>5.0500000000000007</v>
      </c>
      <c r="S1010" s="622" t="s">
        <v>4403</v>
      </c>
      <c r="T1010" s="622">
        <v>363.6</v>
      </c>
      <c r="U1010" s="623">
        <v>72</v>
      </c>
      <c r="V1010" s="622">
        <v>0.1469</v>
      </c>
      <c r="W1010" s="622">
        <v>1.3859999999999999</v>
      </c>
      <c r="X1010" s="622">
        <v>53.412799999999997</v>
      </c>
      <c r="Y1010" s="622">
        <v>503.94959999999998</v>
      </c>
      <c r="Z1010" s="622">
        <v>6.94</v>
      </c>
      <c r="AA1010" s="622">
        <v>51.12</v>
      </c>
      <c r="AB1010" s="622">
        <v>348</v>
      </c>
      <c r="AC1010" s="624">
        <v>18587.669999999998</v>
      </c>
    </row>
    <row r="1011" spans="1:29" ht="15.75" x14ac:dyDescent="0.25">
      <c r="A1011" s="965" t="s">
        <v>4678</v>
      </c>
      <c r="B1011" s="962">
        <v>695</v>
      </c>
      <c r="C1011" s="962"/>
      <c r="D1011" s="963" t="s">
        <v>13</v>
      </c>
      <c r="E1011" s="1127" t="s">
        <v>892</v>
      </c>
      <c r="F1011" s="964">
        <v>45649</v>
      </c>
      <c r="G1011" s="964"/>
      <c r="H1011" s="119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1" s="967" t="str">
        <f>CONCATENATE(Таблица47[[#This Row],[№ заявки в 1С]],Таблица47[[#This Row],[Наименование            ]])</f>
        <v>695[81356] 1606-37 (АВА-7227, 6200), 5,05 м, сплав 6063 КР Т6, упаковка Т-5</v>
      </c>
      <c r="J1011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442</v>
      </c>
      <c r="K1011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442</v>
      </c>
      <c r="L1011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440</v>
      </c>
      <c r="M1011" s="522">
        <v>2</v>
      </c>
      <c r="N1011" s="968">
        <v>440</v>
      </c>
      <c r="O1011" s="1156">
        <f>IFERROR(Таблица47[[#This Row],[Количество хлыстов]]-Таблица47[[#This Row],[Обработано в 1С]]-Таблица47[[#This Row],[Корректировка]],"")</f>
        <v>0</v>
      </c>
      <c r="P1011" s="1158">
        <f>IFERROR((((Таблица47[[#This Row],[Осталось сделать, хлыст]]*Таблица47[[#This Row],[длина]])*Таблица47[[#This Row],[Периметр]])/28),"")</f>
        <v>0</v>
      </c>
      <c r="Q1011" s="963"/>
      <c r="R1011" s="1159">
        <f>IFERROR(Таблица47[[#This Row],[Коли-
чество м.п.]]/Таблица47[[#This Row],[Количество хлыстов]],"")</f>
        <v>5.05</v>
      </c>
      <c r="S1011" s="961" t="s">
        <v>6008</v>
      </c>
      <c r="T1011" s="961">
        <v>2232.1</v>
      </c>
      <c r="U1011" s="970">
        <v>442</v>
      </c>
      <c r="V1011" s="961">
        <v>0.2651</v>
      </c>
      <c r="W1011" s="961">
        <v>0.82099999999999995</v>
      </c>
      <c r="X1011" s="961">
        <v>591.72969999999998</v>
      </c>
      <c r="Y1011" s="961">
        <v>1832.5541000000001</v>
      </c>
      <c r="Z1011" s="961">
        <v>76.92</v>
      </c>
      <c r="AA1011" s="961">
        <v>115.32</v>
      </c>
      <c r="AB1011" s="961">
        <v>435</v>
      </c>
      <c r="AC1011" s="971">
        <v>257402.42</v>
      </c>
    </row>
    <row r="1012" spans="1:29" ht="15.75" x14ac:dyDescent="0.25">
      <c r="A1012" s="965" t="s">
        <v>4678</v>
      </c>
      <c r="B1012" s="962">
        <v>697</v>
      </c>
      <c r="C1012" s="962"/>
      <c r="D1012" s="963" t="s">
        <v>34</v>
      </c>
      <c r="E1012" s="963" t="s">
        <v>201</v>
      </c>
      <c r="F1012" s="964">
        <v>45649</v>
      </c>
      <c r="G1012" s="964"/>
      <c r="H101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2" s="967" t="str">
        <f>CONCATENATE(Таблица47[[#This Row],[№ заявки в 1С]],Таблица47[[#This Row],[Наименование            ]])</f>
        <v>697[33879] 0906-63, 6,0м, 6063КР, БА</v>
      </c>
      <c r="J101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118</v>
      </c>
      <c r="K101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118</v>
      </c>
      <c r="L101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118</v>
      </c>
      <c r="M1012" s="522"/>
      <c r="N1012" s="968">
        <v>118</v>
      </c>
      <c r="O1012" s="1156">
        <f>IFERROR(Таблица47[[#This Row],[Количество хлыстов]]-Таблица47[[#This Row],[Обработано в 1С]]-Таблица47[[#This Row],[Корректировка]],"")</f>
        <v>0</v>
      </c>
      <c r="P1012" s="1158">
        <f>IFERROR((((Таблица47[[#This Row],[Осталось сделать, хлыст]]*Таблица47[[#This Row],[длина]])*Таблица47[[#This Row],[Периметр]])/28),"")</f>
        <v>0</v>
      </c>
      <c r="Q1012" s="963"/>
      <c r="R1012" s="1159">
        <f>IFERROR(Таблица47[[#This Row],[Коли-
чество м.п.]]/Таблица47[[#This Row],[Количество хлыстов]],"")</f>
        <v>6</v>
      </c>
      <c r="S1012" s="961" t="s">
        <v>2202</v>
      </c>
      <c r="T1012" s="961">
        <v>708</v>
      </c>
      <c r="U1012" s="970">
        <v>118</v>
      </c>
      <c r="V1012" s="961">
        <v>0.28760000000000002</v>
      </c>
      <c r="W1012" s="961">
        <v>0.76700000000000002</v>
      </c>
      <c r="X1012" s="961">
        <v>203.6208</v>
      </c>
      <c r="Y1012" s="961">
        <v>543.03599999999994</v>
      </c>
      <c r="Z1012" s="961">
        <v>26.47</v>
      </c>
      <c r="AA1012" s="961">
        <v>130.86000000000001</v>
      </c>
      <c r="AB1012" s="961">
        <v>455</v>
      </c>
      <c r="AC1012" s="971">
        <v>92647.46</v>
      </c>
    </row>
    <row r="1013" spans="1:29" ht="15.75" x14ac:dyDescent="0.25">
      <c r="A1013" s="965" t="s">
        <v>4678</v>
      </c>
      <c r="B1013" s="962">
        <v>698</v>
      </c>
      <c r="C1013" s="962"/>
      <c r="D1013" s="963" t="s">
        <v>34</v>
      </c>
      <c r="E1013" s="963" t="s">
        <v>19</v>
      </c>
      <c r="F1013" s="964">
        <v>45649</v>
      </c>
      <c r="G1013" s="964"/>
      <c r="H101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3" s="967" t="str">
        <f>CONCATENATE(Таблица47[[#This Row],[№ заявки в 1С]],Таблица47[[#This Row],[Наименование            ]])</f>
        <v>698[91744] 1606-30, 3,55м, 6063 Т6, упак.Т5 под анод, БА</v>
      </c>
      <c r="J101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222</v>
      </c>
      <c r="K101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222</v>
      </c>
      <c r="L101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222</v>
      </c>
      <c r="M1013" s="522"/>
      <c r="N1013" s="968">
        <v>222</v>
      </c>
      <c r="O1013" s="1156">
        <f>IFERROR(Таблица47[[#This Row],[Количество хлыстов]]-Таблица47[[#This Row],[Обработано в 1С]]-Таблица47[[#This Row],[Корректировка]],"")</f>
        <v>0</v>
      </c>
      <c r="P1013" s="1158">
        <f>IFERROR((((Таблица47[[#This Row],[Осталось сделать, хлыст]]*Таблица47[[#This Row],[длина]])*Таблица47[[#This Row],[Периметр]])/28),"")</f>
        <v>0</v>
      </c>
      <c r="Q1013" s="963"/>
      <c r="R1013" s="1159">
        <f>IFERROR(Таблица47[[#This Row],[Коли-
чество м.п.]]/Таблица47[[#This Row],[Количество хлыстов]],"")</f>
        <v>3.5500000000000003</v>
      </c>
      <c r="S1013" s="961" t="s">
        <v>5289</v>
      </c>
      <c r="T1013" s="961">
        <v>788.1</v>
      </c>
      <c r="U1013" s="970">
        <v>222</v>
      </c>
      <c r="V1013" s="961">
        <v>0.27160000000000001</v>
      </c>
      <c r="W1013" s="961">
        <v>0.72799999999999998</v>
      </c>
      <c r="X1013" s="961">
        <v>214.048</v>
      </c>
      <c r="Y1013" s="961">
        <v>573.73680000000002</v>
      </c>
      <c r="Z1013" s="961">
        <v>27.83</v>
      </c>
      <c r="AA1013" s="961">
        <v>117.33</v>
      </c>
      <c r="AB1013" s="961">
        <v>432</v>
      </c>
      <c r="AC1013" s="971">
        <v>92468.72</v>
      </c>
    </row>
    <row r="1014" spans="1:29" ht="15.75" x14ac:dyDescent="0.25">
      <c r="A1014" s="965" t="s">
        <v>4678</v>
      </c>
      <c r="B1014" s="962" t="s">
        <v>6045</v>
      </c>
      <c r="C1014" s="962"/>
      <c r="D1014" s="963" t="s">
        <v>34</v>
      </c>
      <c r="E1014" s="963" t="s">
        <v>16</v>
      </c>
      <c r="F1014" s="964">
        <v>45649</v>
      </c>
      <c r="G1014" s="964"/>
      <c r="H101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4" s="967" t="str">
        <f>CONCATENATE(Таблица47[[#This Row],[№ заявки в 1С]],Таблица47[[#This Row],[Наименование            ]])</f>
        <v>OPT001498[35197] 0106-238, 6,0м, 6063 Т1, упаковка Т-5, под анод тип 1 ,БА</v>
      </c>
      <c r="J101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182</v>
      </c>
      <c r="K101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182</v>
      </c>
      <c r="L101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180</v>
      </c>
      <c r="M1014" s="522">
        <v>2</v>
      </c>
      <c r="N1014" s="968">
        <v>180</v>
      </c>
      <c r="O1014" s="1156">
        <f>IFERROR(Таблица47[[#This Row],[Количество хлыстов]]-Таблица47[[#This Row],[Обработано в 1С]]-Таблица47[[#This Row],[Корректировка]],"")</f>
        <v>0</v>
      </c>
      <c r="P1014" s="1158">
        <f>IFERROR((((Таблица47[[#This Row],[Осталось сделать, хлыст]]*Таблица47[[#This Row],[длина]])*Таблица47[[#This Row],[Периметр]])/28),"")</f>
        <v>0</v>
      </c>
      <c r="Q1014" s="963" t="s">
        <v>5824</v>
      </c>
      <c r="R1014" s="1159">
        <f>IFERROR(Таблица47[[#This Row],[Коли-
чество м.п.]]/Таблица47[[#This Row],[Количество хлыстов]],"")</f>
        <v>6</v>
      </c>
      <c r="S1014" s="961" t="s">
        <v>2859</v>
      </c>
      <c r="T1014" s="961">
        <v>1092</v>
      </c>
      <c r="U1014" s="970">
        <v>182</v>
      </c>
      <c r="V1014" s="961">
        <v>0.27260000000000001</v>
      </c>
      <c r="W1014" s="961">
        <v>0.72899999999999998</v>
      </c>
      <c r="X1014" s="961">
        <v>297.67919999999998</v>
      </c>
      <c r="Y1014" s="961">
        <v>796.06799999999998</v>
      </c>
      <c r="Z1014" s="961">
        <v>38.700000000000003</v>
      </c>
      <c r="AA1014" s="961">
        <v>124.03</v>
      </c>
      <c r="AB1014" s="961">
        <v>455</v>
      </c>
      <c r="AC1014" s="971">
        <v>135444.04</v>
      </c>
    </row>
    <row r="1015" spans="1:29" ht="15.75" x14ac:dyDescent="0.25">
      <c r="A1015" s="965" t="s">
        <v>4678</v>
      </c>
      <c r="B1015" s="962" t="s">
        <v>6046</v>
      </c>
      <c r="C1015" s="962"/>
      <c r="D1015" s="963" t="s">
        <v>34</v>
      </c>
      <c r="E1015" s="963" t="s">
        <v>16</v>
      </c>
      <c r="F1015" s="964">
        <v>45649</v>
      </c>
      <c r="G1015" s="964"/>
      <c r="H101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5" s="967" t="str">
        <f>CONCATENATE(Таблица47[[#This Row],[№ заявки в 1С]],Таблица47[[#This Row],[Наименование            ]])</f>
        <v>OPT001499[11564] 0106-235, 6,0м, 6063 Т6, упаковка Т-5, под анод тип 2, БА (прессовать на плюсовом допуске)</v>
      </c>
      <c r="J101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172</v>
      </c>
      <c r="K101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172</v>
      </c>
      <c r="L101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162</v>
      </c>
      <c r="M1015" s="522">
        <v>10</v>
      </c>
      <c r="N1015" s="968">
        <v>162</v>
      </c>
      <c r="O1015" s="1156">
        <f>IFERROR(Таблица47[[#This Row],[Количество хлыстов]]-Таблица47[[#This Row],[Обработано в 1С]]-Таблица47[[#This Row],[Корректировка]],"")</f>
        <v>0</v>
      </c>
      <c r="P1015" s="1158">
        <f>IFERROR((((Таблица47[[#This Row],[Осталось сделать, хлыст]]*Таблица47[[#This Row],[длина]])*Таблица47[[#This Row],[Периметр]])/28),"")</f>
        <v>0</v>
      </c>
      <c r="Q1015" s="963" t="s">
        <v>7045</v>
      </c>
      <c r="R1015" s="1159">
        <f>IFERROR(Таблица47[[#This Row],[Коли-
чество м.п.]]/Таблица47[[#This Row],[Количество хлыстов]],"")</f>
        <v>6</v>
      </c>
      <c r="S1015" s="961" t="s">
        <v>2581</v>
      </c>
      <c r="T1015" s="961">
        <v>1032</v>
      </c>
      <c r="U1015" s="970">
        <v>172</v>
      </c>
      <c r="V1015" s="961">
        <v>0.56989999999999996</v>
      </c>
      <c r="W1015" s="961">
        <v>1.304</v>
      </c>
      <c r="X1015" s="961">
        <v>588.13679999999999</v>
      </c>
      <c r="Y1015" s="961">
        <v>1345.7280000000001</v>
      </c>
      <c r="Z1015" s="961">
        <v>76.459999999999994</v>
      </c>
      <c r="AA1015" s="961">
        <v>344.79</v>
      </c>
      <c r="AB1015" s="961">
        <v>605</v>
      </c>
      <c r="AC1015" s="971">
        <v>355822.76</v>
      </c>
    </row>
    <row r="1016" spans="1:29" ht="15.75" x14ac:dyDescent="0.25">
      <c r="A1016" s="965" t="s">
        <v>4678</v>
      </c>
      <c r="B1016" s="962">
        <v>699</v>
      </c>
      <c r="C1016" s="962"/>
      <c r="D1016" s="963" t="s">
        <v>34</v>
      </c>
      <c r="E1016" s="963" t="s">
        <v>3404</v>
      </c>
      <c r="F1016" s="964">
        <v>45649</v>
      </c>
      <c r="G1016" s="964"/>
      <c r="H1016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6" s="967" t="str">
        <f>CONCATENATE(Таблица47[[#This Row],[№ заявки в 1С]],Таблица47[[#This Row],[Наименование            ]])</f>
        <v>699[81579] 1706-69, 6,0м, 6063 Т6, упаковка Т-5, БА</v>
      </c>
      <c r="J101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144</v>
      </c>
      <c r="K101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144</v>
      </c>
      <c r="L101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144</v>
      </c>
      <c r="M1016" s="522"/>
      <c r="N1016" s="968">
        <v>144</v>
      </c>
      <c r="O1016" s="1156">
        <f>IFERROR(Таблица47[[#This Row],[Количество хлыстов]]-Таблица47[[#This Row],[Обработано в 1С]]-Таблица47[[#This Row],[Корректировка]],"")</f>
        <v>0</v>
      </c>
      <c r="P1016" s="1158">
        <f>IFERROR((((Таблица47[[#This Row],[Осталось сделать, хлыст]]*Таблица47[[#This Row],[длина]])*Таблица47[[#This Row],[Периметр]])/28),"")</f>
        <v>0</v>
      </c>
      <c r="Q1016" s="963"/>
      <c r="R1016" s="1159">
        <f>IFERROR(Таблица47[[#This Row],[Коли-
чество м.п.]]/Таблица47[[#This Row],[Количество хлыстов]],"")</f>
        <v>6</v>
      </c>
      <c r="S1016" s="961" t="s">
        <v>4994</v>
      </c>
      <c r="T1016" s="961">
        <v>864</v>
      </c>
      <c r="U1016" s="970">
        <v>144</v>
      </c>
      <c r="V1016" s="961">
        <v>0.21959999999999999</v>
      </c>
      <c r="W1016" s="961">
        <v>0.35</v>
      </c>
      <c r="X1016" s="961">
        <v>189.73439999999999</v>
      </c>
      <c r="Y1016" s="961">
        <v>302.39999999999998</v>
      </c>
      <c r="Z1016" s="961">
        <v>24.67</v>
      </c>
      <c r="AA1016" s="961">
        <v>86.74</v>
      </c>
      <c r="AB1016" s="961">
        <v>395</v>
      </c>
      <c r="AC1016" s="971">
        <v>74945.09</v>
      </c>
    </row>
    <row r="1017" spans="1:29" ht="15.75" x14ac:dyDescent="0.25">
      <c r="A1017" s="965" t="s">
        <v>4678</v>
      </c>
      <c r="B1017" s="962">
        <v>699</v>
      </c>
      <c r="C1017" s="962"/>
      <c r="D1017" s="963" t="s">
        <v>34</v>
      </c>
      <c r="E1017" s="963" t="s">
        <v>3404</v>
      </c>
      <c r="F1017" s="964">
        <v>45649</v>
      </c>
      <c r="G1017" s="964"/>
      <c r="H1017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7" s="967" t="str">
        <f>CONCATENATE(Таблица47[[#This Row],[№ заявки в 1С]],Таблица47[[#This Row],[Наименование            ]])</f>
        <v>699[89968] 2606-57, 6,0м, 6063 Т6, уп.Т5, БА</v>
      </c>
      <c r="J101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36</v>
      </c>
      <c r="K101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</v>
      </c>
      <c r="L101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</v>
      </c>
      <c r="M1017" s="522"/>
      <c r="N1017" s="968">
        <v>36</v>
      </c>
      <c r="O1017" s="1156">
        <f>IFERROR(Таблица47[[#This Row],[Количество хлыстов]]-Таблица47[[#This Row],[Обработано в 1С]]-Таблица47[[#This Row],[Корректировка]],"")</f>
        <v>0</v>
      </c>
      <c r="P1017" s="1158">
        <f>IFERROR((((Таблица47[[#This Row],[Осталось сделать, хлыст]]*Таблица47[[#This Row],[длина]])*Таблица47[[#This Row],[Периметр]])/28),"")</f>
        <v>0</v>
      </c>
      <c r="Q1017" s="963"/>
      <c r="R1017" s="1159">
        <f>IFERROR(Таблица47[[#This Row],[Коли-
чество м.п.]]/Таблица47[[#This Row],[Количество хлыстов]],"")</f>
        <v>6</v>
      </c>
      <c r="S1017" s="961" t="s">
        <v>5003</v>
      </c>
      <c r="T1017" s="961">
        <v>216</v>
      </c>
      <c r="U1017" s="970">
        <v>36</v>
      </c>
      <c r="V1017" s="961">
        <v>0.27439999999999998</v>
      </c>
      <c r="W1017" s="961">
        <v>0.56100000000000005</v>
      </c>
      <c r="X1017" s="961">
        <v>59.270400000000002</v>
      </c>
      <c r="Y1017" s="961">
        <v>121.176</v>
      </c>
      <c r="Z1017" s="961">
        <v>7.71</v>
      </c>
      <c r="AA1017" s="961">
        <v>108.39</v>
      </c>
      <c r="AB1017" s="961">
        <v>395</v>
      </c>
      <c r="AC1017" s="971">
        <v>23411.81</v>
      </c>
    </row>
    <row r="1018" spans="1:29" ht="15.75" x14ac:dyDescent="0.25">
      <c r="A1018" s="965" t="s">
        <v>4678</v>
      </c>
      <c r="B1018" s="962">
        <v>701</v>
      </c>
      <c r="C1018" s="962" t="s">
        <v>4753</v>
      </c>
      <c r="D1018" s="963" t="s">
        <v>13</v>
      </c>
      <c r="E1018" s="1127" t="s">
        <v>6056</v>
      </c>
      <c r="F1018" s="964">
        <v>45651</v>
      </c>
      <c r="G1018" s="964"/>
      <c r="H1018" s="1195" t="s">
        <v>23</v>
      </c>
      <c r="I1018" s="967" t="str">
        <f>CONCATENATE(Таблица47[[#This Row],[№ заявки в 1С]],Таблица47[[#This Row],[Наименование            ]])</f>
        <v>701[94501] Профиль 15*15*2, 1,34м, АД31</v>
      </c>
      <c r="J101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59</v>
      </c>
      <c r="K101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59</v>
      </c>
      <c r="L101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59</v>
      </c>
      <c r="M1018" s="522"/>
      <c r="N1018" s="968">
        <v>59</v>
      </c>
      <c r="O1018" s="1156">
        <f>IFERROR(Таблица47[[#This Row],[Количество хлыстов]]-Таблица47[[#This Row],[Обработано в 1С]]-Таблица47[[#This Row],[Корректировка]],"")</f>
        <v>0</v>
      </c>
      <c r="P1018" s="1158">
        <v>1</v>
      </c>
      <c r="Q1018" s="963"/>
      <c r="R1018" s="1159">
        <f>IFERROR(Таблица47[[#This Row],[Коли-
чество м.п.]]/Таблица47[[#This Row],[Количество хлыстов]],"")</f>
        <v>1.34</v>
      </c>
      <c r="S1018" s="961" t="s">
        <v>6055</v>
      </c>
      <c r="T1018" s="961">
        <v>79.06</v>
      </c>
      <c r="U1018" s="970">
        <v>59</v>
      </c>
      <c r="V1018" s="961">
        <v>6.4000000000000001E-2</v>
      </c>
      <c r="W1018" s="961">
        <v>0.222</v>
      </c>
      <c r="X1018" s="961">
        <v>5.1456</v>
      </c>
      <c r="Y1018" s="961">
        <v>17.848800000000001</v>
      </c>
      <c r="Z1018" s="961">
        <v>0.67</v>
      </c>
      <c r="AA1018" s="961">
        <v>323.38</v>
      </c>
      <c r="AB1018" s="961">
        <v>5052.8599999999997</v>
      </c>
      <c r="AC1018" s="971">
        <v>26000</v>
      </c>
    </row>
    <row r="1019" spans="1:29" ht="60.75" x14ac:dyDescent="0.25">
      <c r="A1019" s="965" t="s">
        <v>4678</v>
      </c>
      <c r="B1019" s="962" t="s">
        <v>6067</v>
      </c>
      <c r="C1019" s="962"/>
      <c r="D1019" s="963" t="s">
        <v>34</v>
      </c>
      <c r="E1019" s="963" t="s">
        <v>16</v>
      </c>
      <c r="F1019" s="964">
        <v>45652</v>
      </c>
      <c r="G1019" s="964"/>
      <c r="H1019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19" s="967" t="str">
        <f>CONCATENATE(Таблица47[[#This Row],[№ заявки в 1С]],Таблица47[[#This Row],[Наименование            ]])</f>
        <v>OPT001520[13620] 0106-290 (6158), 6,0м, 6063 Т1, тип 1, упаковка Т-5, БА</v>
      </c>
      <c r="J101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164</v>
      </c>
      <c r="K101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164</v>
      </c>
      <c r="L101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136</v>
      </c>
      <c r="M1019" s="522">
        <v>28</v>
      </c>
      <c r="N1019" s="968">
        <v>136</v>
      </c>
      <c r="O1019" s="1156">
        <f>IFERROR(Таблица47[[#This Row],[Количество хлыстов]]-Таблица47[[#This Row],[Обработано в 1С]]-Таблица47[[#This Row],[Корректировка]],"")</f>
        <v>0</v>
      </c>
      <c r="P1019" s="1158">
        <f>IFERROR((((Таблица47[[#This Row],[Осталось сделать, хлыст]]*Таблица47[[#This Row],[длина]])*Таблица47[[#This Row],[Периметр]])/28),"")</f>
        <v>0</v>
      </c>
      <c r="Q1019" s="1196" t="s">
        <v>6471</v>
      </c>
      <c r="R1019" s="1159">
        <f>IFERROR(Таблица47[[#This Row],[Коли-
чество м.п.]]/Таблица47[[#This Row],[Количество хлыстов]],"")</f>
        <v>6</v>
      </c>
      <c r="S1019" s="961" t="s">
        <v>5693</v>
      </c>
      <c r="T1019" s="961">
        <v>984</v>
      </c>
      <c r="U1019" s="970">
        <v>164</v>
      </c>
      <c r="V1019" s="961">
        <v>0.29970000000000002</v>
      </c>
      <c r="W1019" s="961">
        <v>1.6739999999999999</v>
      </c>
      <c r="X1019" s="961">
        <v>294.90480000000002</v>
      </c>
      <c r="Y1019" s="961">
        <v>1647.2159999999999</v>
      </c>
      <c r="Z1019" s="961">
        <v>38.340000000000003</v>
      </c>
      <c r="AA1019" s="961">
        <v>136.36000000000001</v>
      </c>
      <c r="AB1019" s="961">
        <v>455</v>
      </c>
      <c r="AC1019" s="971">
        <v>134181.68</v>
      </c>
    </row>
    <row r="1020" spans="1:29" s="1189" customFormat="1" ht="15.75" x14ac:dyDescent="0.25">
      <c r="A1020" s="265" t="s">
        <v>4978</v>
      </c>
      <c r="B1020" s="1177">
        <v>704</v>
      </c>
      <c r="C1020" s="1177"/>
      <c r="D1020" s="1178" t="s">
        <v>13</v>
      </c>
      <c r="E1020" s="1178" t="s">
        <v>556</v>
      </c>
      <c r="F1020" s="267">
        <v>45653</v>
      </c>
      <c r="G1020" s="267"/>
      <c r="H1020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0" s="967" t="str">
        <f>CONCATENATE(Таблица47[[#This Row],[№ заявки в 1С]],Таблица47[[#This Row],[Наименование            ]])</f>
        <v>704[30654] 0706-97, 6,0м, сплав АД 31, сост Т1, упаковка Т3</v>
      </c>
      <c r="J1020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20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20" s="1180">
        <v>18</v>
      </c>
      <c r="M1020" s="1181"/>
      <c r="N1020" s="1182">
        <v>18</v>
      </c>
      <c r="O1020" s="1183">
        <f>IFERROR(Таблица47[[#This Row],[Количество хлыстов]]-Таблица47[[#This Row],[Обработано в 1С]]-Таблица47[[#This Row],[Корректировка]],"")</f>
        <v>0</v>
      </c>
      <c r="P1020" s="1184">
        <f>IFERROR((((Таблица47[[#This Row],[Осталось сделать, хлыст]]*Таблица47[[#This Row],[длина]])*Таблица47[[#This Row],[Периметр]])/28),"")</f>
        <v>0</v>
      </c>
      <c r="Q1020" s="1178"/>
      <c r="R1020" s="1185">
        <f>IFERROR(Таблица47[[#This Row],[Коли-
чество м.п.]]/Таблица47[[#This Row],[Количество хлыстов]],"")</f>
        <v>6</v>
      </c>
      <c r="S1020" s="1186" t="s">
        <v>5951</v>
      </c>
      <c r="T1020" s="1186">
        <v>108</v>
      </c>
      <c r="U1020" s="1187">
        <v>18</v>
      </c>
      <c r="V1020" s="1186">
        <v>0.51990000000000003</v>
      </c>
      <c r="W1020" s="1186">
        <v>1.766</v>
      </c>
      <c r="X1020" s="1186">
        <v>56.1492</v>
      </c>
      <c r="Y1020" s="1186">
        <v>190.72800000000001</v>
      </c>
      <c r="Z1020" s="1186">
        <v>7.3</v>
      </c>
      <c r="AA1020" s="1186">
        <v>148.16999999999999</v>
      </c>
      <c r="AB1020" s="1186">
        <v>285</v>
      </c>
      <c r="AC1020" s="1188">
        <v>16002.52</v>
      </c>
    </row>
    <row r="1021" spans="1:29" ht="15.75" x14ac:dyDescent="0.25">
      <c r="A1021" s="965" t="s">
        <v>4678</v>
      </c>
      <c r="B1021" s="962">
        <v>705</v>
      </c>
      <c r="C1021" s="962"/>
      <c r="D1021" s="963" t="s">
        <v>13</v>
      </c>
      <c r="E1021" s="1127" t="s">
        <v>5315</v>
      </c>
      <c r="F1021" s="964">
        <v>45653</v>
      </c>
      <c r="G1021" s="964"/>
      <c r="H1021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1" s="967" t="str">
        <f>CONCATENATE(Таблица47[[#This Row],[№ заявки в 1С]],Таблица47[[#This Row],[Наименование            ]])</f>
        <v>705[37634] 0906-85, 4,0м,  6063 КР Т1</v>
      </c>
      <c r="J1021" s="967">
        <v>365</v>
      </c>
      <c r="K1021" s="967">
        <v>365</v>
      </c>
      <c r="L1021" s="967">
        <v>359</v>
      </c>
      <c r="M1021" s="522">
        <v>6</v>
      </c>
      <c r="N1021" s="968">
        <v>359</v>
      </c>
      <c r="O1021" s="1156">
        <f>IFERROR(Таблица47[[#This Row],[Количество хлыстов]]-Таблица47[[#This Row],[Обработано в 1С]]-Таблица47[[#This Row],[Корректировка]],"")</f>
        <v>0</v>
      </c>
      <c r="P1021" s="1158">
        <f>IFERROR((((Таблица47[[#This Row],[Осталось сделать, хлыст]]*Таблица47[[#This Row],[длина]])*Таблица47[[#This Row],[Периметр]])/28),"")</f>
        <v>0</v>
      </c>
      <c r="Q1021" s="963"/>
      <c r="R1021" s="1159">
        <f>IFERROR(Таблица47[[#This Row],[Коли-
чество м.п.]]/Таблица47[[#This Row],[Количество хлыстов]],"")</f>
        <v>4</v>
      </c>
      <c r="S1021" s="961" t="s">
        <v>1767</v>
      </c>
      <c r="T1021" s="961">
        <v>1460</v>
      </c>
      <c r="U1021" s="970">
        <v>365</v>
      </c>
      <c r="V1021" s="961">
        <v>0.1</v>
      </c>
      <c r="W1021" s="961">
        <v>0.37</v>
      </c>
      <c r="X1021" s="961">
        <v>146</v>
      </c>
      <c r="Y1021" s="961">
        <v>540.20000000000005</v>
      </c>
      <c r="Z1021" s="961">
        <v>18.98</v>
      </c>
      <c r="AA1021" s="961">
        <v>49.1</v>
      </c>
      <c r="AB1021" s="961">
        <v>491</v>
      </c>
      <c r="AC1021" s="971">
        <v>71686</v>
      </c>
    </row>
    <row r="1022" spans="1:29" ht="15.75" x14ac:dyDescent="0.25">
      <c r="A1022" s="965" t="s">
        <v>4678</v>
      </c>
      <c r="B1022" s="962">
        <v>706</v>
      </c>
      <c r="C1022" s="962"/>
      <c r="D1022" s="963" t="s">
        <v>13</v>
      </c>
      <c r="E1022" s="1127" t="s">
        <v>557</v>
      </c>
      <c r="F1022" s="964">
        <v>45653</v>
      </c>
      <c r="G1022" s="964"/>
      <c r="H1022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2" s="967" t="str">
        <f>CONCATENATE(Таблица47[[#This Row],[№ заявки в 1С]],Таблица47[[#This Row],[Наименование            ]])</f>
        <v>706[77196] 1606-40 (Н профиль) 3,0 м, сплав 6063 КР Т6</v>
      </c>
      <c r="J1022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440</v>
      </c>
      <c r="K1022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440</v>
      </c>
      <c r="L1022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440</v>
      </c>
      <c r="M1022" s="522"/>
      <c r="N1022" s="968">
        <v>440</v>
      </c>
      <c r="O1022" s="1156">
        <f>IFERROR(Таблица47[[#This Row],[Количество хлыстов]]-Таблица47[[#This Row],[Обработано в 1С]]-Таблица47[[#This Row],[Корректировка]],"")</f>
        <v>0</v>
      </c>
      <c r="P1022" s="1158">
        <f>IFERROR((((Таблица47[[#This Row],[Осталось сделать, хлыст]]*Таблица47[[#This Row],[длина]])*Таблица47[[#This Row],[Периметр]])/28),"")</f>
        <v>0</v>
      </c>
      <c r="Q1022" s="963"/>
      <c r="R1022" s="1159">
        <f>IFERROR(Таблица47[[#This Row],[Коли-
чество м.п.]]/Таблица47[[#This Row],[Количество хлыстов]],"")</f>
        <v>3</v>
      </c>
      <c r="S1022" s="961" t="s">
        <v>1684</v>
      </c>
      <c r="T1022" s="961">
        <v>1320</v>
      </c>
      <c r="U1022" s="970">
        <v>440</v>
      </c>
      <c r="V1022" s="961">
        <v>0.13450000000000001</v>
      </c>
      <c r="W1022" s="961">
        <v>0.35499999999999998</v>
      </c>
      <c r="X1022" s="961">
        <v>177.54</v>
      </c>
      <c r="Y1022" s="961">
        <v>468.6</v>
      </c>
      <c r="Z1022" s="961">
        <v>23.08</v>
      </c>
      <c r="AA1022" s="961">
        <v>53.13</v>
      </c>
      <c r="AB1022" s="961">
        <v>395</v>
      </c>
      <c r="AC1022" s="971">
        <v>70128.3</v>
      </c>
    </row>
    <row r="1023" spans="1:29" ht="15.75" x14ac:dyDescent="0.25">
      <c r="A1023" s="965" t="s">
        <v>4678</v>
      </c>
      <c r="B1023" s="962">
        <v>706</v>
      </c>
      <c r="C1023" s="962"/>
      <c r="D1023" s="963" t="s">
        <v>13</v>
      </c>
      <c r="E1023" s="1127" t="s">
        <v>557</v>
      </c>
      <c r="F1023" s="964">
        <v>45653</v>
      </c>
      <c r="G1023" s="964"/>
      <c r="H1023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3" s="967" t="str">
        <f>CONCATENATE(Таблица47[[#This Row],[№ заявки в 1С]],Таблица47[[#This Row],[Наименование            ]])</f>
        <v>706[77197] 1606-41 (L профиль) 3,0 м, сплав 6063 КР Т6</v>
      </c>
      <c r="J1023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696</v>
      </c>
      <c r="K1023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696</v>
      </c>
      <c r="L1023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696</v>
      </c>
      <c r="M1023" s="522"/>
      <c r="N1023" s="968">
        <v>696</v>
      </c>
      <c r="O1023" s="1156">
        <f>IFERROR(Таблица47[[#This Row],[Количество хлыстов]]-Таблица47[[#This Row],[Обработано в 1С]]-Таблица47[[#This Row],[Корректировка]],"")</f>
        <v>0</v>
      </c>
      <c r="P1023" s="1158">
        <f>IFERROR((((Таблица47[[#This Row],[Осталось сделать, хлыст]]*Таблица47[[#This Row],[длина]])*Таблица47[[#This Row],[Периметр]])/28),"")</f>
        <v>0</v>
      </c>
      <c r="Q1023" s="963"/>
      <c r="R1023" s="1159">
        <f>IFERROR(Таблица47[[#This Row],[Коли-
чество м.п.]]/Таблица47[[#This Row],[Количество хлыстов]],"")</f>
        <v>3</v>
      </c>
      <c r="S1023" s="961" t="s">
        <v>1686</v>
      </c>
      <c r="T1023" s="961">
        <v>2088</v>
      </c>
      <c r="U1023" s="970">
        <v>696</v>
      </c>
      <c r="V1023" s="961">
        <v>0.1018</v>
      </c>
      <c r="W1023" s="961">
        <v>0.26600000000000001</v>
      </c>
      <c r="X1023" s="961">
        <v>212.55840000000001</v>
      </c>
      <c r="Y1023" s="961">
        <v>555.40800000000002</v>
      </c>
      <c r="Z1023" s="961">
        <v>27.63</v>
      </c>
      <c r="AA1023" s="961">
        <v>40.21</v>
      </c>
      <c r="AB1023" s="961">
        <v>395</v>
      </c>
      <c r="AC1023" s="971">
        <v>83960.57</v>
      </c>
    </row>
    <row r="1024" spans="1:29" ht="15.75" x14ac:dyDescent="0.25">
      <c r="A1024" s="965" t="s">
        <v>4678</v>
      </c>
      <c r="B1024" s="962">
        <v>707</v>
      </c>
      <c r="C1024" s="962"/>
      <c r="D1024" s="963" t="s">
        <v>13</v>
      </c>
      <c r="E1024" s="1127" t="s">
        <v>892</v>
      </c>
      <c r="F1024" s="964">
        <v>45653</v>
      </c>
      <c r="G1024" s="964"/>
      <c r="H102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4" s="967" t="str">
        <f>CONCATENATE(Таблица47[[#This Row],[№ заявки в 1С]],Таблица47[[#This Row],[Наименование            ]])</f>
        <v>707[76596] 1606-39 (197.04) 4,85 м, сплав 6063 КР Т6, упковка Т5</v>
      </c>
      <c r="J102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150</v>
      </c>
      <c r="K102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150</v>
      </c>
      <c r="L102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150</v>
      </c>
      <c r="M1024" s="522"/>
      <c r="N1024" s="968">
        <v>150</v>
      </c>
      <c r="O1024" s="1156">
        <f>IFERROR(Таблица47[[#This Row],[Количество хлыстов]]-Таблица47[[#This Row],[Обработано в 1С]]-Таблица47[[#This Row],[Корректировка]],"")</f>
        <v>0</v>
      </c>
      <c r="P1024" s="1158">
        <f>IFERROR((((Таблица47[[#This Row],[Осталось сделать, хлыст]]*Таблица47[[#This Row],[длина]])*Таблица47[[#This Row],[Периметр]])/28),"")</f>
        <v>0</v>
      </c>
      <c r="Q1024" s="963"/>
      <c r="R1024" s="1159">
        <f>IFERROR(Таблица47[[#This Row],[Коли-
чество м.п.]]/Таблица47[[#This Row],[Количество хлыстов]],"")</f>
        <v>4.8499999999999996</v>
      </c>
      <c r="S1024" s="961" t="s">
        <v>2841</v>
      </c>
      <c r="T1024" s="961">
        <v>727.5</v>
      </c>
      <c r="U1024" s="970">
        <v>150</v>
      </c>
      <c r="V1024" s="961">
        <v>9.5600000000000004E-2</v>
      </c>
      <c r="W1024" s="961">
        <v>0.16</v>
      </c>
      <c r="X1024" s="961">
        <v>69.549000000000007</v>
      </c>
      <c r="Y1024" s="961">
        <v>116.4</v>
      </c>
      <c r="Z1024" s="961">
        <v>9.0399999999999991</v>
      </c>
      <c r="AA1024" s="961">
        <v>47.32</v>
      </c>
      <c r="AB1024" s="961">
        <v>495</v>
      </c>
      <c r="AC1024" s="971">
        <v>34425.300000000003</v>
      </c>
    </row>
    <row r="1025" spans="1:29" ht="15.75" x14ac:dyDescent="0.25">
      <c r="A1025" s="965" t="s">
        <v>4678</v>
      </c>
      <c r="B1025" s="962">
        <v>708</v>
      </c>
      <c r="C1025" s="962"/>
      <c r="D1025" s="963" t="s">
        <v>13</v>
      </c>
      <c r="E1025" s="1127" t="s">
        <v>892</v>
      </c>
      <c r="F1025" s="964">
        <v>45653</v>
      </c>
      <c r="G1025" s="964"/>
      <c r="H102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25" s="967" t="str">
        <f>CONCATENATE(Таблица47[[#This Row],[№ заявки в 1С]],Таблица47[[#This Row],[Наименование            ]])</f>
        <v>708[81357] 1606-37 (АВА-7227), 4,45 м, сплав 6063 КР Т6, упаковка Т-5</v>
      </c>
      <c r="J1025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365</v>
      </c>
      <c r="K1025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365</v>
      </c>
      <c r="L1025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362.99999999999994</v>
      </c>
      <c r="M1025" s="522">
        <v>2</v>
      </c>
      <c r="N1025" s="968">
        <v>363</v>
      </c>
      <c r="O1025" s="1156">
        <f>IFERROR(Таблица47[[#This Row],[Количество хлыстов]]-Таблица47[[#This Row],[Обработано в 1С]]-Таблица47[[#This Row],[Корректировка]],"")</f>
        <v>5.6843418860808015E-14</v>
      </c>
      <c r="P1025" s="1158">
        <f>IFERROR((((Таблица47[[#This Row],[Осталось сделать, хлыст]]*Таблица47[[#This Row],[длина]])*Таблица47[[#This Row],[Периметр]])/28),"")</f>
        <v>2.3949248933214615E-15</v>
      </c>
      <c r="Q1025" s="963"/>
      <c r="R1025" s="1159">
        <f>IFERROR(Таблица47[[#This Row],[Коли-
чество м.п.]]/Таблица47[[#This Row],[Количество хлыстов]],"")</f>
        <v>4.45</v>
      </c>
      <c r="S1025" s="961" t="s">
        <v>4276</v>
      </c>
      <c r="T1025" s="961">
        <v>1624.25</v>
      </c>
      <c r="U1025" s="970">
        <v>365</v>
      </c>
      <c r="V1025" s="961">
        <v>0.2651</v>
      </c>
      <c r="W1025" s="961">
        <v>0.82099999999999995</v>
      </c>
      <c r="X1025" s="961">
        <v>430.58870000000002</v>
      </c>
      <c r="Y1025" s="961">
        <v>1333.5092999999999</v>
      </c>
      <c r="Z1025" s="961">
        <v>55.98</v>
      </c>
      <c r="AA1025" s="961">
        <v>136.53</v>
      </c>
      <c r="AB1025" s="961">
        <v>515</v>
      </c>
      <c r="AC1025" s="971">
        <v>221758.85</v>
      </c>
    </row>
    <row r="1026" spans="1:29" ht="15.75" x14ac:dyDescent="0.25">
      <c r="A1026" s="965" t="s">
        <v>4678</v>
      </c>
      <c r="B1026" s="962">
        <v>1</v>
      </c>
      <c r="C1026" s="962" t="s">
        <v>4753</v>
      </c>
      <c r="D1026" s="963" t="s">
        <v>13</v>
      </c>
      <c r="E1026" s="963" t="s">
        <v>5230</v>
      </c>
      <c r="F1026" s="964">
        <v>45666</v>
      </c>
      <c r="G1026" s="964"/>
      <c r="H1026" s="1005" t="s">
        <v>677</v>
      </c>
      <c r="I1026" s="967" t="str">
        <f>CONCATENATE(Таблица47[[#This Row],[№ заявки в 1С]],Таблица47[[#This Row],[Наименование            ]])</f>
        <v>1[93906] А-48.150 (Д), 6м, 6060 Т6</v>
      </c>
      <c r="J1026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1026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1026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1026" s="522"/>
      <c r="N1026" s="968"/>
      <c r="O1026" s="1156">
        <f>IFERROR(Таблица47[[#This Row],[Количество хлыстов]]-Таблица47[[#This Row],[Обработано в 1С]]-Таблица47[[#This Row],[Корректировка]],"")</f>
        <v>2</v>
      </c>
      <c r="P1026" s="1174">
        <v>17</v>
      </c>
      <c r="Q1026" s="963"/>
      <c r="R1026" s="969">
        <f>IFERROR(Таблица47[[#This Row],[Коли-
чество м.п.]]/Таблица47[[#This Row],[Количество хлыстов]],"")</f>
        <v>6</v>
      </c>
      <c r="S1026" s="961" t="s">
        <v>5729</v>
      </c>
      <c r="T1026" s="961">
        <v>12</v>
      </c>
      <c r="U1026" s="970">
        <v>2</v>
      </c>
      <c r="V1026" s="961">
        <v>0.52700000000000002</v>
      </c>
      <c r="W1026" s="961">
        <v>2.044</v>
      </c>
      <c r="X1026" s="961">
        <v>6.3239999999999998</v>
      </c>
      <c r="Y1026" s="961">
        <v>24.527999999999999</v>
      </c>
      <c r="Z1026" s="961">
        <v>0.82</v>
      </c>
      <c r="AA1026" s="961">
        <v>354.17</v>
      </c>
      <c r="AB1026" s="961">
        <v>672.04</v>
      </c>
      <c r="AC1026" s="971">
        <v>4250</v>
      </c>
    </row>
    <row r="1027" spans="1:29" ht="15.75" x14ac:dyDescent="0.25">
      <c r="A1027" s="965" t="s">
        <v>4678</v>
      </c>
      <c r="B1027" s="962">
        <v>1</v>
      </c>
      <c r="C1027" s="962" t="s">
        <v>4753</v>
      </c>
      <c r="D1027" s="963" t="s">
        <v>13</v>
      </c>
      <c r="E1027" s="963" t="s">
        <v>5230</v>
      </c>
      <c r="F1027" s="964">
        <v>45666</v>
      </c>
      <c r="G1027" s="964"/>
      <c r="H1027" s="1005" t="s">
        <v>677</v>
      </c>
      <c r="I1027" s="967" t="str">
        <f>CONCATENATE(Таблица47[[#This Row],[№ заявки в 1С]],Таблица47[[#This Row],[Наименование            ]])</f>
        <v>1[95023] Уголок 50*50*3 (Д) 6 м, 6060 Т6</v>
      </c>
      <c r="J1027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1027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1027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1027" s="522"/>
      <c r="N1027" s="968"/>
      <c r="O1027" s="1156">
        <f>IFERROR(Таблица47[[#This Row],[Количество хлыстов]]-Таблица47[[#This Row],[Обработано в 1С]]-Таблица47[[#This Row],[Корректировка]],"")</f>
        <v>47</v>
      </c>
      <c r="P1027" s="1174">
        <f>IFERROR((((Таблица47[[#This Row],[Осталось сделать, хлыст]]*Таблица47[[#This Row],[длина]])*Таблица47[[#This Row],[Периметр]])/28),"")</f>
        <v>2.0545714285714287</v>
      </c>
      <c r="Q1027" s="963"/>
      <c r="R1027" s="969">
        <f>IFERROR(Таблица47[[#This Row],[Коли-
чество м.п.]]/Таблица47[[#This Row],[Количество хлыстов]],"")</f>
        <v>6</v>
      </c>
      <c r="S1027" s="961" t="s">
        <v>6080</v>
      </c>
      <c r="T1027" s="961">
        <v>282</v>
      </c>
      <c r="U1027" s="970">
        <v>47</v>
      </c>
      <c r="V1027" s="961">
        <v>0.20399999999999999</v>
      </c>
      <c r="W1027" s="961">
        <v>2.3199999999999998</v>
      </c>
      <c r="X1027" s="961">
        <v>57.527999999999999</v>
      </c>
      <c r="Y1027" s="961">
        <v>654.24</v>
      </c>
      <c r="Z1027" s="961">
        <v>7.48</v>
      </c>
      <c r="AA1027" s="961">
        <v>120.57</v>
      </c>
      <c r="AB1027" s="961">
        <v>591.02</v>
      </c>
      <c r="AC1027" s="971">
        <v>34000</v>
      </c>
    </row>
    <row r="1028" spans="1:29" ht="15.75" x14ac:dyDescent="0.25">
      <c r="A1028" s="965" t="s">
        <v>4678</v>
      </c>
      <c r="B1028" s="962">
        <v>1</v>
      </c>
      <c r="C1028" s="962" t="s">
        <v>4753</v>
      </c>
      <c r="D1028" s="963" t="s">
        <v>13</v>
      </c>
      <c r="E1028" s="963" t="s">
        <v>5230</v>
      </c>
      <c r="F1028" s="964">
        <v>45666</v>
      </c>
      <c r="G1028" s="964"/>
      <c r="H1028" s="1005" t="s">
        <v>677</v>
      </c>
      <c r="I1028" s="967" t="str">
        <f>CONCATENATE(Таблица47[[#This Row],[№ заявки в 1С]],Таблица47[[#This Row],[Наименование            ]])</f>
        <v>1[91475] А24.4 (Д), Профиль, 6м, сплав 6060</v>
      </c>
      <c r="J1028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1028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1028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1028" s="522"/>
      <c r="N1028" s="968"/>
      <c r="O1028" s="1156">
        <f>IFERROR(Таблица47[[#This Row],[Количество хлыстов]]-Таблица47[[#This Row],[Обработано в 1С]]-Таблица47[[#This Row],[Корректировка]],"")</f>
        <v>101</v>
      </c>
      <c r="P1028" s="1174">
        <f>IFERROR((((Таблица47[[#This Row],[Осталось сделать, хлыст]]*Таблица47[[#This Row],[длина]])*Таблица47[[#This Row],[Периметр]])/28),"")</f>
        <v>4.9778571428571423</v>
      </c>
      <c r="Q1028" s="963"/>
      <c r="R1028" s="969">
        <f>IFERROR(Таблица47[[#This Row],[Коли-
чество м.п.]]/Таблица47[[#This Row],[Количество хлыстов]],"")</f>
        <v>6</v>
      </c>
      <c r="S1028" s="961" t="s">
        <v>5272</v>
      </c>
      <c r="T1028" s="961">
        <v>606</v>
      </c>
      <c r="U1028" s="970">
        <v>101</v>
      </c>
      <c r="V1028" s="961">
        <v>0.23</v>
      </c>
      <c r="W1028" s="961">
        <v>0.90500000000000003</v>
      </c>
      <c r="X1028" s="961">
        <v>139.38</v>
      </c>
      <c r="Y1028" s="961">
        <v>548.42999999999995</v>
      </c>
      <c r="Z1028" s="961">
        <v>18.12</v>
      </c>
      <c r="AA1028" s="961">
        <v>112.21</v>
      </c>
      <c r="AB1028" s="961">
        <v>487.87</v>
      </c>
      <c r="AC1028" s="971">
        <v>68000</v>
      </c>
    </row>
    <row r="1029" spans="1:29" ht="15.75" x14ac:dyDescent="0.25">
      <c r="A1029" s="965" t="s">
        <v>4678</v>
      </c>
      <c r="B1029" s="962">
        <v>1</v>
      </c>
      <c r="C1029" s="962" t="s">
        <v>4753</v>
      </c>
      <c r="D1029" s="963" t="s">
        <v>13</v>
      </c>
      <c r="E1029" s="963" t="s">
        <v>5230</v>
      </c>
      <c r="F1029" s="964">
        <v>45666</v>
      </c>
      <c r="G1029" s="964"/>
      <c r="H1029" s="1005" t="s">
        <v>677</v>
      </c>
      <c r="I1029" s="967" t="str">
        <f>CONCATENATE(Таблица47[[#This Row],[№ заявки в 1С]],Таблица47[[#This Row],[Наименование            ]])</f>
        <v>1[92044] А28 (Д),  6м, 6060 Т6</v>
      </c>
      <c r="J1029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1029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1029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1029" s="522"/>
      <c r="N1029" s="968"/>
      <c r="O1029" s="1156">
        <f>IFERROR(Таблица47[[#This Row],[Количество хлыстов]]-Таблица47[[#This Row],[Обработано в 1С]]-Таблица47[[#This Row],[Корректировка]],"")</f>
        <v>189</v>
      </c>
      <c r="P1029" s="1174">
        <f>IFERROR((((Таблица47[[#This Row],[Осталось сделать, хлыст]]*Таблица47[[#This Row],[длина]])*Таблица47[[#This Row],[Периметр]])/28),"")</f>
        <v>10.9755</v>
      </c>
      <c r="Q1029" s="963"/>
      <c r="R1029" s="969">
        <f>IFERROR(Таблица47[[#This Row],[Коли-
чество м.п.]]/Таблица47[[#This Row],[Количество хлыстов]],"")</f>
        <v>6</v>
      </c>
      <c r="S1029" s="961" t="s">
        <v>5231</v>
      </c>
      <c r="T1029" s="961">
        <v>1134</v>
      </c>
      <c r="U1029" s="970">
        <v>189</v>
      </c>
      <c r="V1029" s="961">
        <v>0.27100000000000002</v>
      </c>
      <c r="W1029" s="961">
        <v>1.2569999999999999</v>
      </c>
      <c r="X1029" s="961">
        <v>307.31400000000002</v>
      </c>
      <c r="Y1029" s="961">
        <v>1425.4380000000001</v>
      </c>
      <c r="Z1029" s="961">
        <v>39.950000000000003</v>
      </c>
      <c r="AA1029" s="961">
        <v>149.91</v>
      </c>
      <c r="AB1029" s="961">
        <v>553.17999999999995</v>
      </c>
      <c r="AC1029" s="971">
        <v>170000</v>
      </c>
    </row>
    <row r="1030" spans="1:29" ht="15.75" x14ac:dyDescent="0.25">
      <c r="A1030" s="965" t="s">
        <v>4678</v>
      </c>
      <c r="B1030" s="962">
        <v>1</v>
      </c>
      <c r="C1030" s="962" t="s">
        <v>4753</v>
      </c>
      <c r="D1030" s="963" t="s">
        <v>13</v>
      </c>
      <c r="E1030" s="963" t="s">
        <v>5230</v>
      </c>
      <c r="F1030" s="964">
        <v>45666</v>
      </c>
      <c r="G1030" s="964"/>
      <c r="H1030" s="1005" t="s">
        <v>677</v>
      </c>
      <c r="I1030" s="967" t="str">
        <f>CONCATENATE(Таблица47[[#This Row],[№ заявки в 1С]],Таблица47[[#This Row],[Наименование            ]])</f>
        <v>1[92124] А-967.1 (Д), 6м, 6060Т6</v>
      </c>
      <c r="J1030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0</v>
      </c>
      <c r="K1030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0</v>
      </c>
      <c r="L1030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0</v>
      </c>
      <c r="M1030" s="522"/>
      <c r="N1030" s="968"/>
      <c r="O1030" s="1156">
        <f>IFERROR(Таблица47[[#This Row],[Количество хлыстов]]-Таблица47[[#This Row],[Обработано в 1С]]-Таблица47[[#This Row],[Корректировка]],"")</f>
        <v>3</v>
      </c>
      <c r="P1030" s="1174">
        <f>IFERROR((((Таблица47[[#This Row],[Осталось сделать, хлыст]]*Таблица47[[#This Row],[длина]])*Таблица47[[#This Row],[Периметр]])/28),"")</f>
        <v>0.53485714285714281</v>
      </c>
      <c r="Q1030" s="963"/>
      <c r="R1030" s="969">
        <f>IFERROR(Таблица47[[#This Row],[Коли-
чество м.п.]]/Таблица47[[#This Row],[Количество хлыстов]],"")</f>
        <v>6</v>
      </c>
      <c r="S1030" s="961" t="s">
        <v>5240</v>
      </c>
      <c r="T1030" s="961">
        <v>18</v>
      </c>
      <c r="U1030" s="970">
        <v>3</v>
      </c>
      <c r="V1030" s="961">
        <v>0.83199999999999996</v>
      </c>
      <c r="W1030" s="961">
        <v>1.9359999999999999</v>
      </c>
      <c r="X1030" s="961">
        <v>14.976000000000001</v>
      </c>
      <c r="Y1030" s="961">
        <v>34.847999999999999</v>
      </c>
      <c r="Z1030" s="961">
        <v>1.95</v>
      </c>
      <c r="AA1030" s="961">
        <v>708.33</v>
      </c>
      <c r="AB1030" s="961">
        <v>851.36</v>
      </c>
      <c r="AC1030" s="971">
        <v>12750</v>
      </c>
    </row>
    <row r="1031" spans="1:29" s="1189" customFormat="1" ht="15.75" x14ac:dyDescent="0.25">
      <c r="A1031" s="265" t="s">
        <v>5268</v>
      </c>
      <c r="B1031" s="1177">
        <v>2</v>
      </c>
      <c r="C1031" s="1177"/>
      <c r="D1031" s="1178" t="s">
        <v>13</v>
      </c>
      <c r="E1031" s="1178" t="s">
        <v>892</v>
      </c>
      <c r="F1031" s="267">
        <v>45670</v>
      </c>
      <c r="G1031" s="267"/>
      <c r="H1031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1" s="1180" t="str">
        <f>CONCATENATE(Таблица47[[#This Row],[№ заявки в 1С]],Таблица47[[#This Row],[Наименование            ]])</f>
        <v>2[81357] 1606-37 (АВА-7227), 4,45 м, сплав 6063 КР Т6, упаковка Т-5</v>
      </c>
      <c r="J1031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1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1" s="1180">
        <v>378</v>
      </c>
      <c r="M1031" s="1181">
        <v>1</v>
      </c>
      <c r="N1031" s="1182">
        <v>378</v>
      </c>
      <c r="O1031" s="1183">
        <f>IFERROR(Таблица47[[#This Row],[Количество хлыстов]]-Таблица47[[#This Row],[Обработано в 1С]]-Таблица47[[#This Row],[Корректировка]],"")</f>
        <v>0</v>
      </c>
      <c r="P1031" s="1190">
        <f>IFERROR((((Таблица47[[#This Row],[Осталось сделать, хлыст]]*Таблица47[[#This Row],[длина]])*Таблица47[[#This Row],[Периметр]])/28),"")</f>
        <v>0</v>
      </c>
      <c r="Q1031" s="1178"/>
      <c r="R1031" s="1191">
        <f>IFERROR(Таблица47[[#This Row],[Коли-
чество м.п.]]/Таблица47[[#This Row],[Количество хлыстов]],"")</f>
        <v>4.45</v>
      </c>
      <c r="S1031" s="1186" t="s">
        <v>4276</v>
      </c>
      <c r="T1031" s="1186">
        <v>1686.55</v>
      </c>
      <c r="U1031" s="1187">
        <v>379</v>
      </c>
      <c r="V1031" s="1186">
        <v>0.2651</v>
      </c>
      <c r="W1031" s="1186">
        <v>0.82099999999999995</v>
      </c>
      <c r="X1031" s="1186">
        <v>447.1044</v>
      </c>
      <c r="Y1031" s="1186">
        <v>1384.6576</v>
      </c>
      <c r="Z1031" s="1186">
        <v>58.12</v>
      </c>
      <c r="AA1031" s="1186">
        <v>92.25</v>
      </c>
      <c r="AB1031" s="1186">
        <v>348</v>
      </c>
      <c r="AC1031" s="1188">
        <v>155592.32999999999</v>
      </c>
    </row>
    <row r="1032" spans="1:29" s="1189" customFormat="1" ht="15.75" x14ac:dyDescent="0.25">
      <c r="A1032" s="265" t="s">
        <v>5268</v>
      </c>
      <c r="B1032" s="1177">
        <v>2</v>
      </c>
      <c r="C1032" s="1177"/>
      <c r="D1032" s="1178" t="s">
        <v>13</v>
      </c>
      <c r="E1032" s="1178" t="s">
        <v>892</v>
      </c>
      <c r="F1032" s="267">
        <v>45670</v>
      </c>
      <c r="G1032" s="267"/>
      <c r="H1032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2" s="1180" t="str">
        <f>CONCATENATE(Таблица47[[#This Row],[№ заявки в 1С]],Таблица47[[#This Row],[Наименование            ]])</f>
        <v>2[81356] 1606-37 (АВА-7227, 6200), 5,05 м, сплав 6063 КР Т6, упаковка Т-5</v>
      </c>
      <c r="J1032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2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2" s="1180">
        <v>112</v>
      </c>
      <c r="M1032" s="1181"/>
      <c r="N1032" s="1182">
        <v>112</v>
      </c>
      <c r="O1032" s="1183">
        <f>IFERROR(Таблица47[[#This Row],[Количество хлыстов]]-Таблица47[[#This Row],[Обработано в 1С]]-Таблица47[[#This Row],[Корректировка]],"")</f>
        <v>0</v>
      </c>
      <c r="P1032" s="1190">
        <f>IFERROR((((Таблица47[[#This Row],[Осталось сделать, хлыст]]*Таблица47[[#This Row],[длина]])*Таблица47[[#This Row],[Периметр]])/28),"")</f>
        <v>0</v>
      </c>
      <c r="Q1032" s="1178"/>
      <c r="R1032" s="1191">
        <f>IFERROR(Таблица47[[#This Row],[Коли-
чество м.п.]]/Таблица47[[#This Row],[Количество хлыстов]],"")</f>
        <v>5.05</v>
      </c>
      <c r="S1032" s="1186" t="s">
        <v>6008</v>
      </c>
      <c r="T1032" s="1186">
        <v>565.6</v>
      </c>
      <c r="U1032" s="1187">
        <v>112</v>
      </c>
      <c r="V1032" s="1186">
        <v>0.2651</v>
      </c>
      <c r="W1032" s="1186">
        <v>0.82099999999999995</v>
      </c>
      <c r="X1032" s="1186">
        <v>149.94059999999999</v>
      </c>
      <c r="Y1032" s="1186">
        <v>464.35759999999999</v>
      </c>
      <c r="Z1032" s="1186">
        <v>19.489999999999998</v>
      </c>
      <c r="AA1032" s="1186">
        <v>92.25</v>
      </c>
      <c r="AB1032" s="1186">
        <v>348</v>
      </c>
      <c r="AC1032" s="1188">
        <v>52179.31</v>
      </c>
    </row>
    <row r="1033" spans="1:29" s="1189" customFormat="1" ht="15.75" x14ac:dyDescent="0.25">
      <c r="A1033" s="265" t="s">
        <v>5268</v>
      </c>
      <c r="B1033" s="1177">
        <v>3</v>
      </c>
      <c r="C1033" s="1177"/>
      <c r="D1033" s="1178" t="s">
        <v>13</v>
      </c>
      <c r="E1033" s="1178" t="s">
        <v>892</v>
      </c>
      <c r="F1033" s="267">
        <v>45670</v>
      </c>
      <c r="G1033" s="267"/>
      <c r="H1033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3" s="1180" t="str">
        <f>CONCATENATE(Таблица47[[#This Row],[№ заявки в 1С]],Таблица47[[#This Row],[Наименование            ]])</f>
        <v>3[76596] 1606-39 (197.04) 4,85 м, сплав 6063 КР Т6, упковка Т5</v>
      </c>
      <c r="J1033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3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3" s="1180" t="str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/>
      </c>
      <c r="M1033" s="1181">
        <v>4</v>
      </c>
      <c r="N1033" s="1182">
        <v>744</v>
      </c>
      <c r="O1033" s="1183" t="str">
        <f>IFERROR(Таблица47[[#This Row],[Количество хлыстов]]-Таблица47[[#This Row],[Обработано в 1С]]-Таблица47[[#This Row],[Корректировка]],"")</f>
        <v/>
      </c>
      <c r="P1033" s="1190" t="str">
        <f>IFERROR((((Таблица47[[#This Row],[Осталось сделать, хлыст]]*Таблица47[[#This Row],[длина]])*Таблица47[[#This Row],[Периметр]])/28),"")</f>
        <v/>
      </c>
      <c r="Q1033" s="1178"/>
      <c r="R1033" s="1191">
        <f>IFERROR(Таблица47[[#This Row],[Коли-
чество м.п.]]/Таблица47[[#This Row],[Количество хлыстов]],"")</f>
        <v>4.8500000000000005</v>
      </c>
      <c r="S1033" s="1186" t="s">
        <v>2841</v>
      </c>
      <c r="T1033" s="1186">
        <v>3627.8</v>
      </c>
      <c r="U1033" s="1187">
        <v>748</v>
      </c>
      <c r="V1033" s="1186">
        <v>9.5600000000000004E-2</v>
      </c>
      <c r="W1033" s="1186">
        <v>0.16</v>
      </c>
      <c r="X1033" s="1186">
        <v>346.8177</v>
      </c>
      <c r="Y1033" s="1186">
        <v>580.44799999999998</v>
      </c>
      <c r="Z1033" s="1186">
        <v>45.09</v>
      </c>
      <c r="AA1033" s="1186">
        <v>33.270000000000003</v>
      </c>
      <c r="AB1033" s="1186">
        <v>348</v>
      </c>
      <c r="AC1033" s="1188">
        <v>120692.55</v>
      </c>
    </row>
    <row r="1034" spans="1:29" ht="15.75" x14ac:dyDescent="0.25">
      <c r="A1034" s="965" t="s">
        <v>4678</v>
      </c>
      <c r="B1034" s="962">
        <v>4</v>
      </c>
      <c r="C1034" s="962"/>
      <c r="D1034" s="963" t="s">
        <v>13</v>
      </c>
      <c r="E1034" s="1127" t="s">
        <v>80</v>
      </c>
      <c r="F1034" s="964">
        <v>45671</v>
      </c>
      <c r="G1034" s="964"/>
      <c r="H1034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4" s="967" t="str">
        <f>CONCATENATE(Таблица47[[#This Row],[№ заявки в 1С]],Таблица47[[#This Row],[Наименование            ]])</f>
        <v>4[69346] 0906-20, 3,65 м, 6063 КР уп Т-5</v>
      </c>
      <c r="J1034" s="967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394</v>
      </c>
      <c r="K1034" s="967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394</v>
      </c>
      <c r="L1034" s="967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392</v>
      </c>
      <c r="M1034" s="522">
        <v>2</v>
      </c>
      <c r="N1034" s="968">
        <v>392</v>
      </c>
      <c r="O1034" s="1156">
        <f>IFERROR(Таблица47[[#This Row],[Количество хлыстов]]-Таблица47[[#This Row],[Обработано в 1С]]-Таблица47[[#This Row],[Корректировка]],"")</f>
        <v>0</v>
      </c>
      <c r="P1034" s="1158">
        <f>IFERROR((((Таблица47[[#This Row],[Осталось сделать, хлыст]]*Таблица47[[#This Row],[длина]])*Таблица47[[#This Row],[Периметр]])/28),"")</f>
        <v>0</v>
      </c>
      <c r="Q1034" s="963"/>
      <c r="R1034" s="1159">
        <v>3.65</v>
      </c>
      <c r="S1034" s="961" t="s">
        <v>5099</v>
      </c>
      <c r="T1034" s="961">
        <v>1438.1</v>
      </c>
      <c r="U1034" s="970">
        <v>394</v>
      </c>
      <c r="V1034" s="961">
        <v>0.51529999999999998</v>
      </c>
      <c r="W1034" s="961">
        <v>1.3759999999999999</v>
      </c>
      <c r="X1034" s="961">
        <v>741.05290000000002</v>
      </c>
      <c r="Y1034" s="961">
        <v>1978.8255999999999</v>
      </c>
      <c r="Z1034" s="961">
        <v>96.34</v>
      </c>
      <c r="AA1034" s="961">
        <v>213.85</v>
      </c>
      <c r="AB1034" s="961">
        <v>415</v>
      </c>
      <c r="AC1034" s="971">
        <v>307536.96999999997</v>
      </c>
    </row>
    <row r="1035" spans="1:29" s="1193" customFormat="1" ht="15.75" x14ac:dyDescent="0.25">
      <c r="A1035" s="965" t="s">
        <v>4678</v>
      </c>
      <c r="B1035" s="962">
        <v>4</v>
      </c>
      <c r="C1035" s="962"/>
      <c r="D1035" s="963" t="s">
        <v>13</v>
      </c>
      <c r="E1035" s="1192" t="s">
        <v>80</v>
      </c>
      <c r="F1035" s="1161">
        <v>45671</v>
      </c>
      <c r="G1035" s="964"/>
      <c r="H1035" s="1005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5" s="1194" t="str">
        <f>CONCATENATE(Таблица47[[#This Row],[№ заявки в 1С]],Таблица47[[#This Row],[Наименование            ]])</f>
        <v>4[35674] 0906-20, 3,2 м, сплав 6063 КР уп Т-5</v>
      </c>
      <c r="J1035" s="1194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>647</v>
      </c>
      <c r="K1035" s="1194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>647</v>
      </c>
      <c r="L1035" s="1194">
        <f>IFERROR(VLOOKUP(Таблица47[[#This Row],[Уникодзномпрофиль]],Общий_реестр_ЗНОМ[],15,0)/(Таблица47[[#This Row],[Коли-
чество м.п.]]/Таблица47[[#This Row],[Количество хлыстов]]),"")</f>
        <v>640.99999999999989</v>
      </c>
      <c r="M1035" s="1155">
        <v>6</v>
      </c>
      <c r="N1035" s="968">
        <v>641</v>
      </c>
      <c r="O1035" s="1156">
        <f>IFERROR(Таблица47[[#This Row],[Количество хлыстов]]-Таблица47[[#This Row],[Обработано в 1С]]-Таблица47[[#This Row],[Корректировка]],"")</f>
        <v>1.1368683772161603E-13</v>
      </c>
      <c r="P1035" s="1174">
        <f>IFERROR((((Таблица47[[#This Row],[Осталось сделать, хлыст]]*Таблица47[[#This Row],[длина]])*Таблица47[[#This Row],[Периметр]])/28),"")</f>
        <v>6.695180283194142E-15</v>
      </c>
      <c r="Q1035" s="963"/>
      <c r="R1035" s="969">
        <f>IFERROR(Таблица47[[#This Row],[Коли-
чество м.п.]]/Таблица47[[#This Row],[Количество хлыстов]],"")</f>
        <v>3.2</v>
      </c>
      <c r="S1035" s="961" t="s">
        <v>5100</v>
      </c>
      <c r="T1035" s="961">
        <v>2070.4</v>
      </c>
      <c r="U1035" s="970">
        <v>647</v>
      </c>
      <c r="V1035" s="961">
        <v>0.51529999999999998</v>
      </c>
      <c r="W1035" s="961">
        <v>1.3759999999999999</v>
      </c>
      <c r="X1035" s="961">
        <v>1066.8770999999999</v>
      </c>
      <c r="Y1035" s="961">
        <v>2848.8703999999998</v>
      </c>
      <c r="Z1035" s="961">
        <v>138.69</v>
      </c>
      <c r="AA1035" s="961">
        <v>213.85</v>
      </c>
      <c r="AB1035" s="961">
        <v>415</v>
      </c>
      <c r="AC1035" s="971">
        <v>442754</v>
      </c>
    </row>
    <row r="1036" spans="1:29" s="1189" customFormat="1" ht="15.75" x14ac:dyDescent="0.25">
      <c r="A1036" s="265" t="s">
        <v>5268</v>
      </c>
      <c r="B1036" s="1177">
        <v>6</v>
      </c>
      <c r="C1036" s="1177"/>
      <c r="D1036" s="1178" t="s">
        <v>13</v>
      </c>
      <c r="E1036" s="1178" t="s">
        <v>5953</v>
      </c>
      <c r="F1036" s="267">
        <v>45671</v>
      </c>
      <c r="G1036" s="267"/>
      <c r="H1036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6" s="1180" t="str">
        <f>CONCATENATE(Таблица47[[#This Row],[№ заявки в 1С]],Таблица47[[#This Row],[Наименование            ]])</f>
        <v>6[32823] 0406-55 2,0 м, Ад31 уп Т1</v>
      </c>
      <c r="J1036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6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6" s="1180">
        <v>240</v>
      </c>
      <c r="M1036" s="1181"/>
      <c r="N1036" s="1182">
        <v>240</v>
      </c>
      <c r="O1036" s="1183">
        <f>IFERROR(Таблица47[[#This Row],[Количество хлыстов]]-Таблица47[[#This Row],[Обработано в 1С]]-Таблица47[[#This Row],[Корректировка]],"")</f>
        <v>0</v>
      </c>
      <c r="P1036" s="1190">
        <f>IFERROR((((Таблица47[[#This Row],[Осталось сделать, хлыст]]*Таблица47[[#This Row],[длина]])*Таблица47[[#This Row],[Периметр]])/28),"")</f>
        <v>0</v>
      </c>
      <c r="Q1036" s="1178"/>
      <c r="R1036" s="1191">
        <f>IFERROR(Таблица47[[#This Row],[Коли-
чество м.п.]]/Таблица47[[#This Row],[Количество хлыстов]],"")</f>
        <v>2</v>
      </c>
      <c r="S1036" s="1186" t="s">
        <v>6028</v>
      </c>
      <c r="T1036" s="1186">
        <v>480</v>
      </c>
      <c r="U1036" s="1187">
        <v>240</v>
      </c>
      <c r="V1036" s="1186">
        <v>0.10979999999999999</v>
      </c>
      <c r="W1036" s="1186">
        <v>0.20899999999999999</v>
      </c>
      <c r="X1036" s="1186">
        <v>52.704000000000001</v>
      </c>
      <c r="Y1036" s="1186">
        <v>100.32</v>
      </c>
      <c r="Z1036" s="1186">
        <v>6.85</v>
      </c>
      <c r="AA1036" s="1186">
        <v>28.77</v>
      </c>
      <c r="AB1036" s="1186">
        <v>262</v>
      </c>
      <c r="AC1036" s="1188">
        <v>13808.45</v>
      </c>
    </row>
    <row r="1037" spans="1:29" s="1189" customFormat="1" ht="15.75" x14ac:dyDescent="0.25">
      <c r="A1037" s="265" t="s">
        <v>5268</v>
      </c>
      <c r="B1037" s="1177">
        <v>6</v>
      </c>
      <c r="C1037" s="1177"/>
      <c r="D1037" s="1178" t="s">
        <v>13</v>
      </c>
      <c r="E1037" s="1178" t="s">
        <v>5953</v>
      </c>
      <c r="F1037" s="267">
        <v>45671</v>
      </c>
      <c r="G1037" s="267"/>
      <c r="H1037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7" s="1180" t="str">
        <f>CONCATENATE(Таблица47[[#This Row],[№ заявки в 1С]],Таблица47[[#This Row],[Наименование            ]])</f>
        <v>6[32822] 0406-55 3,0 м, Ад31 Т1</v>
      </c>
      <c r="J1037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7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7" s="1180">
        <v>350</v>
      </c>
      <c r="M1037" s="1181"/>
      <c r="N1037" s="1182">
        <v>350</v>
      </c>
      <c r="O1037" s="1183">
        <f>IFERROR(Таблица47[[#This Row],[Количество хлыстов]]-Таблица47[[#This Row],[Обработано в 1С]]-Таблица47[[#This Row],[Корректировка]],"")</f>
        <v>0</v>
      </c>
      <c r="P1037" s="1190">
        <f>IFERROR((((Таблица47[[#This Row],[Осталось сделать, хлыст]]*Таблица47[[#This Row],[длина]])*Таблица47[[#This Row],[Периметр]])/28),"")</f>
        <v>0</v>
      </c>
      <c r="Q1037" s="1178"/>
      <c r="R1037" s="1191">
        <f>IFERROR(Таблица47[[#This Row],[Коли-
чество м.п.]]/Таблица47[[#This Row],[Количество хлыстов]],"")</f>
        <v>3</v>
      </c>
      <c r="S1037" s="1186" t="s">
        <v>6087</v>
      </c>
      <c r="T1037" s="1186">
        <v>1050</v>
      </c>
      <c r="U1037" s="1187">
        <v>350</v>
      </c>
      <c r="V1037" s="1186">
        <v>0.10979999999999999</v>
      </c>
      <c r="W1037" s="1186">
        <v>0.20899999999999999</v>
      </c>
      <c r="X1037" s="1186">
        <v>115.29</v>
      </c>
      <c r="Y1037" s="1186">
        <v>219.45</v>
      </c>
      <c r="Z1037" s="1186">
        <v>14.99</v>
      </c>
      <c r="AA1037" s="1186">
        <v>28.77</v>
      </c>
      <c r="AB1037" s="1186">
        <v>262</v>
      </c>
      <c r="AC1037" s="1188">
        <v>30205.98</v>
      </c>
    </row>
    <row r="1038" spans="1:29" s="1189" customFormat="1" ht="15.75" x14ac:dyDescent="0.25">
      <c r="A1038" s="265" t="s">
        <v>4978</v>
      </c>
      <c r="B1038" s="1177">
        <v>7</v>
      </c>
      <c r="C1038" s="1177"/>
      <c r="D1038" s="1178" t="s">
        <v>13</v>
      </c>
      <c r="E1038" s="1178" t="s">
        <v>556</v>
      </c>
      <c r="F1038" s="267">
        <v>45671</v>
      </c>
      <c r="G1038" s="267"/>
      <c r="H1038" s="1179" t="str">
        <f>IFERROR(IF(AND(Таблица47[[#This Row],[Бронь обработки из 1С]]="",Таблица47[[#This Row],[Обработано в 1С]]="",Таблица47[[#This Row],[Вывезено, хл]]=""),"",IF(Таблица47[[#This Row],[Количество хлыстов]]=Таблица47[[#This Row],[Вывезено, хл]]+Таблица47[[#This Row],[Корректировка]],"вывезено",IF(Таблица47[[#This Row],[Обработано в 1С]]+Таблица47[[#This Row],[Корректировка]]=Таблица47[[#This Row],[Количество хлыстов]],"готов",IF(Таблица47[[#This Row],[Бронь обработки из 1С]]=Таблица47[[#This Row],[Количество хлыстов]],"Забронирован",IF(Таблица47[[#This Row],[Пермещение на склад анода]]=Таблица47[[#This Row],[Количество хлыстов]],"завезен",""))))),"")</f>
        <v>вывезено</v>
      </c>
      <c r="I1038" s="1180" t="str">
        <f>CONCATENATE(Таблица47[[#This Row],[№ заявки в 1С]],Таблица47[[#This Row],[Наименование            ]])</f>
        <v>7[30617] 0706-99, 6,0м, АД 31, сост.Т1, упаковка Т3</v>
      </c>
      <c r="J1038" s="1180" t="str">
        <f>IFERROR((VLOOKUP(Таблица47[[#This Row],[Уникодзномпрофиль]],Общий_реестр_ЗНОМ[],9,0)/(Таблица47[[#This Row],[Коли-
чество м.п.]]/Таблица47[[#This Row],[Количество хлыстов]])),"")</f>
        <v/>
      </c>
      <c r="K1038" s="1180" t="str">
        <f>IFERROR((VLOOKUP(Таблица47[[#This Row],[Уникодзномпрофиль]],Общий_реестр_ЗНОМ[],14,0)/(Таблица47[[#This Row],[Коли-
чество м.п.]]/Таблица47[[#This Row],[Количество хлыстов]])),"")</f>
        <v/>
      </c>
      <c r="L1038" s="1180">
        <v>9</v>
      </c>
      <c r="M1038" s="1181"/>
      <c r="N1038" s="1182">
        <v>9</v>
      </c>
      <c r="O1038" s="1183">
        <f>IFERROR(Таблица47[[#This Row],[Количество хлыстов]]-Таблица47[[#This Row],[Обработано в 1С]]-Таблица47[[#This Row],[Корректировка]],"")</f>
        <v>0</v>
      </c>
      <c r="P1038" s="1190">
        <f>IFERROR((((Таблица47[[#This Row],[Осталось сделать, хлыст]]*Таблица47[[#This Row],[длина]])*Таблица47[[#This Row],[Периметр]])/28),"")</f>
        <v>0</v>
      </c>
      <c r="Q1038" s="1178"/>
      <c r="R1038" s="1191">
        <f>IFERROR(Таблица47[[#This Row],[Коли-
чество м.п.]]/Таблица47[[#This Row],[Количество хлыстов]],"")</f>
        <v>6</v>
      </c>
      <c r="S1038" s="1186" t="s">
        <v>5227</v>
      </c>
      <c r="T1038" s="1186">
        <v>54</v>
      </c>
      <c r="U1038" s="1187">
        <v>9</v>
      </c>
      <c r="V1038" s="1186">
        <v>0.33710000000000001</v>
      </c>
      <c r="W1038" s="1186">
        <v>0.90700000000000003</v>
      </c>
      <c r="X1038" s="1186">
        <v>18.203399999999998</v>
      </c>
      <c r="Y1038" s="1186">
        <v>48.978000000000002</v>
      </c>
      <c r="Z1038" s="1186">
        <v>2.37</v>
      </c>
      <c r="AA1038" s="1186">
        <v>88.32</v>
      </c>
      <c r="AB1038" s="1186">
        <v>262</v>
      </c>
      <c r="AC1038" s="1188">
        <v>4769.29</v>
      </c>
    </row>
    <row r="1039" spans="1:29" s="1197" customFormat="1" ht="138" customHeight="1" x14ac:dyDescent="0.2">
      <c r="A1039" s="1198" t="s">
        <v>6497</v>
      </c>
      <c r="B1039" s="1198"/>
      <c r="C1039" s="1198"/>
      <c r="D1039" s="1198"/>
      <c r="E1039" s="1198"/>
      <c r="F1039" s="1198"/>
      <c r="G1039" s="1198"/>
      <c r="H1039" s="1198"/>
      <c r="I1039" s="1198"/>
      <c r="J1039" s="1198"/>
      <c r="K1039" s="1198"/>
      <c r="L1039" s="1198"/>
      <c r="M1039" s="1198"/>
      <c r="N1039" s="1198"/>
      <c r="O1039" s="1198"/>
      <c r="P1039" s="1198"/>
      <c r="Q1039" s="1198"/>
      <c r="R1039" s="1198"/>
      <c r="S1039" s="1198"/>
      <c r="T1039" s="1198"/>
      <c r="U1039" s="1198"/>
      <c r="V1039" s="1198"/>
      <c r="W1039" s="1198"/>
      <c r="X1039" s="1198"/>
      <c r="Y1039" s="1198"/>
      <c r="Z1039" s="1198"/>
      <c r="AA1039" s="1198"/>
      <c r="AB1039" s="1198"/>
      <c r="AC1039" s="1198"/>
    </row>
  </sheetData>
  <mergeCells count="1">
    <mergeCell ref="A1039:AC1039"/>
  </mergeCells>
  <conditionalFormatting sqref="H255 H257 H293:H294 H296 H259 H311 H319 H348 H1:H228 H666:H668 H648 H762:H910 H912:H1033 H1036:H1038 H1040:H1048576">
    <cfRule type="cellIs" dxfId="536" priority="155" operator="equal">
      <formula>"завезен"</formula>
    </cfRule>
  </conditionalFormatting>
  <conditionalFormatting sqref="H348 H1:H319 H666:H668 H648 H762:H910 H912:H1033 H1036:H1038 H1040:H1048576">
    <cfRule type="cellIs" dxfId="535" priority="164" operator="equal">
      <formula>"предварительная"</formula>
    </cfRule>
  </conditionalFormatting>
  <conditionalFormatting sqref="H221:H224 H10:N12 I296:N297 H245:N247 H269:N269 H271:N272 H344:N344 H13:M25 H70:M79 H80:N220 H226:H228 H255 H257 H293:H294 H296 H259 H311 H319 H348 H26:N69 H244:M244">
    <cfRule type="cellIs" dxfId="534" priority="194" stopIfTrue="1" operator="equal">
      <formula>"отмена"</formula>
    </cfRule>
    <cfRule type="cellIs" dxfId="533" priority="195" stopIfTrue="1" operator="equal">
      <formula>"готов"</formula>
    </cfRule>
    <cfRule type="cellIs" dxfId="532" priority="196" stopIfTrue="1" operator="equal">
      <formula>"в работе"</formula>
    </cfRule>
    <cfRule type="cellIs" dxfId="531" priority="197" stopIfTrue="1" operator="equal">
      <formula>"вывезено"</formula>
    </cfRule>
  </conditionalFormatting>
  <conditionalFormatting sqref="H225:H227">
    <cfRule type="cellIs" dxfId="530" priority="156" stopIfTrue="1" operator="equal">
      <formula>"отмена"</formula>
    </cfRule>
    <cfRule type="cellIs" dxfId="529" priority="157" stopIfTrue="1" operator="equal">
      <formula>"готов"</formula>
    </cfRule>
    <cfRule type="cellIs" dxfId="528" priority="158" stopIfTrue="1" operator="equal">
      <formula>"в работе"</formula>
    </cfRule>
    <cfRule type="cellIs" dxfId="527" priority="159" stopIfTrue="1" operator="equal">
      <formula>"вывезено"</formula>
    </cfRule>
  </conditionalFormatting>
  <conditionalFormatting sqref="H415 H422 H435 H437 H451 H525:H526 H547 H597 N253 N310 N338 N346:N347 N373 N670:N671 I240:M243 I248:M264 I713:M740 I749:M761 H270:M270 I644:M648 H713:H761 I228:N235 M820:M823 H1:H9 I1:N7 H820:L825 H919:L921 H227:H264 H298:M319 H348 H802:M819 H801:I801 M801 I236:M238 I650:M669 H650:H671 H647:H648 H912:M918 H762:M800 H826:M910 H922:M1033 H1036:M1038 H1040:M1048576">
    <cfRule type="cellIs" dxfId="526" priority="204" stopIfTrue="1" operator="equal">
      <formula>"отмена"</formula>
    </cfRule>
  </conditionalFormatting>
  <conditionalFormatting sqref="H713:H762 H227:H264 H311 H319 H348">
    <cfRule type="cellIs" dxfId="525" priority="203" operator="equal">
      <formula>"завезен"</formula>
    </cfRule>
  </conditionalFormatting>
  <conditionalFormatting sqref="H244:H247">
    <cfRule type="cellIs" dxfId="524" priority="198" operator="equal">
      <formula>"завезен"</formula>
    </cfRule>
  </conditionalFormatting>
  <conditionalFormatting sqref="H650:H672 H265:H648">
    <cfRule type="cellIs" dxfId="523" priority="70" operator="equal">
      <formula>"завезен"</formula>
    </cfRule>
  </conditionalFormatting>
  <conditionalFormatting sqref="H295:H297">
    <cfRule type="cellIs" dxfId="522" priority="165" stopIfTrue="1" operator="equal">
      <formula>"отмена"</formula>
    </cfRule>
    <cfRule type="cellIs" dxfId="521" priority="166" stopIfTrue="1" operator="equal">
      <formula>"готов"</formula>
    </cfRule>
    <cfRule type="cellIs" dxfId="520" priority="167" stopIfTrue="1" operator="equal">
      <formula>"в работе"</formula>
    </cfRule>
    <cfRule type="cellIs" dxfId="519" priority="168" stopIfTrue="1" operator="equal">
      <formula>"вывезено"</formula>
    </cfRule>
  </conditionalFormatting>
  <conditionalFormatting sqref="H650:H672 H320:H648">
    <cfRule type="cellIs" dxfId="518" priority="69" operator="equal">
      <formula>"предварительная"</formula>
    </cfRule>
  </conditionalFormatting>
  <conditionalFormatting sqref="H551:H552 H614">
    <cfRule type="cellIs" dxfId="517" priority="135" stopIfTrue="1" operator="equal">
      <formula>"отмена"</formula>
    </cfRule>
    <cfRule type="cellIs" dxfId="516" priority="136" stopIfTrue="1" operator="equal">
      <formula>"готов"</formula>
    </cfRule>
    <cfRule type="cellIs" dxfId="515" priority="137" stopIfTrue="1" operator="equal">
      <formula>"в работе"</formula>
    </cfRule>
    <cfRule type="cellIs" dxfId="514" priority="138" stopIfTrue="1" operator="equal">
      <formula>"вывезено"</formula>
    </cfRule>
  </conditionalFormatting>
  <conditionalFormatting sqref="H673:H694 H666">
    <cfRule type="cellIs" dxfId="513" priority="105" operator="equal">
      <formula>"предварительная"</formula>
    </cfRule>
    <cfRule type="cellIs" dxfId="512" priority="106" operator="equal">
      <formula>"завезен"</formula>
    </cfRule>
  </conditionalFormatting>
  <conditionalFormatting sqref="H694:H712">
    <cfRule type="cellIs" dxfId="511" priority="83" operator="equal">
      <formula>"предварительная"</formula>
    </cfRule>
    <cfRule type="cellIs" dxfId="510" priority="84" operator="equal">
      <formula>"завезен"</formula>
    </cfRule>
  </conditionalFormatting>
  <conditionalFormatting sqref="H705:H707">
    <cfRule type="cellIs" dxfId="509" priority="97" stopIfTrue="1" operator="equal">
      <formula>"отмена"</formula>
    </cfRule>
    <cfRule type="cellIs" dxfId="508" priority="98" stopIfTrue="1" operator="equal">
      <formula>"готов"</formula>
    </cfRule>
    <cfRule type="cellIs" dxfId="507" priority="99" stopIfTrue="1" operator="equal">
      <formula>"в работе"</formula>
    </cfRule>
    <cfRule type="cellIs" dxfId="506" priority="100" stopIfTrue="1" operator="equal">
      <formula>"вывезено"</formula>
    </cfRule>
  </conditionalFormatting>
  <conditionalFormatting sqref="H713:H762">
    <cfRule type="cellIs" dxfId="505" priority="185" operator="equal">
      <formula>"предварительная"</formula>
    </cfRule>
  </conditionalFormatting>
  <conditionalFormatting sqref="H265:M268">
    <cfRule type="cellIs" dxfId="504" priority="186" stopIfTrue="1" operator="equal">
      <formula>"отмена"</formula>
    </cfRule>
    <cfRule type="cellIs" dxfId="503" priority="187" stopIfTrue="1" operator="equal">
      <formula>"готов"</formula>
    </cfRule>
    <cfRule type="cellIs" dxfId="502" priority="188" stopIfTrue="1" operator="equal">
      <formula>"в работе"</formula>
    </cfRule>
    <cfRule type="cellIs" dxfId="501" priority="189" stopIfTrue="1" operator="equal">
      <formula>"вывезено"</formula>
    </cfRule>
  </conditionalFormatting>
  <conditionalFormatting sqref="H273:H294 I273:M295">
    <cfRule type="cellIs" dxfId="500" priority="169" stopIfTrue="1" operator="equal">
      <formula>"отмена"</formula>
    </cfRule>
    <cfRule type="cellIs" dxfId="499" priority="170" stopIfTrue="1" operator="equal">
      <formula>"готов"</formula>
    </cfRule>
    <cfRule type="cellIs" dxfId="498" priority="171" stopIfTrue="1" operator="equal">
      <formula>"в работе"</formula>
    </cfRule>
    <cfRule type="cellIs" dxfId="497" priority="172" stopIfTrue="1" operator="equal">
      <formula>"вывезено"</formula>
    </cfRule>
  </conditionalFormatting>
  <conditionalFormatting sqref="H320:M343">
    <cfRule type="cellIs" dxfId="496" priority="160" stopIfTrue="1" operator="equal">
      <formula>"отмена"</formula>
    </cfRule>
    <cfRule type="cellIs" dxfId="495" priority="161" stopIfTrue="1" operator="equal">
      <formula>"готов"</formula>
    </cfRule>
    <cfRule type="cellIs" dxfId="494" priority="162" stopIfTrue="1" operator="equal">
      <formula>"в работе"</formula>
    </cfRule>
    <cfRule type="cellIs" dxfId="493" priority="163" stopIfTrue="1" operator="equal">
      <formula>"вывезено"</formula>
    </cfRule>
  </conditionalFormatting>
  <conditionalFormatting sqref="H345:H414 H416:H421 H423:H434 H436 I345:M437 H525 H539 H598 H602">
    <cfRule type="cellIs" dxfId="492" priority="147" stopIfTrue="1" operator="equal">
      <formula>"отмена"</formula>
    </cfRule>
  </conditionalFormatting>
  <conditionalFormatting sqref="H345:H414 H416:H421 H423:H434 H436 I345:M437 I228:N235 M820:M823 H1:H9 I1:N7 H820:L825 H919:L921 H525 H539 H598 H602 H802:M819 H801:I801 M801 I236:M238 H666:H668 H648 H912:M918 H762:M800 H826:M910 H922:M1033 H1036:M1038 H1040:M1048576">
    <cfRule type="cellIs" dxfId="491" priority="148" stopIfTrue="1" operator="equal">
      <formula>"готов"</formula>
    </cfRule>
    <cfRule type="cellIs" dxfId="490" priority="149" stopIfTrue="1" operator="equal">
      <formula>"в работе"</formula>
    </cfRule>
    <cfRule type="cellIs" dxfId="489" priority="150" stopIfTrue="1" operator="equal">
      <formula>"вывезено"</formula>
    </cfRule>
  </conditionalFormatting>
  <conditionalFormatting sqref="H438:H450 I438:M451">
    <cfRule type="cellIs" dxfId="488" priority="143" stopIfTrue="1" operator="equal">
      <formula>"отмена"</formula>
    </cfRule>
    <cfRule type="cellIs" dxfId="487" priority="144" stopIfTrue="1" operator="equal">
      <formula>"готов"</formula>
    </cfRule>
    <cfRule type="cellIs" dxfId="486" priority="145" stopIfTrue="1" operator="equal">
      <formula>"в работе"</formula>
    </cfRule>
    <cfRule type="cellIs" dxfId="485" priority="146" stopIfTrue="1" operator="equal">
      <formula>"вывезено"</formula>
    </cfRule>
  </conditionalFormatting>
  <conditionalFormatting sqref="H452:M480">
    <cfRule type="cellIs" dxfId="484" priority="139" stopIfTrue="1" operator="equal">
      <formula>"отмена"</formula>
    </cfRule>
    <cfRule type="cellIs" dxfId="483" priority="140" stopIfTrue="1" operator="equal">
      <formula>"готов"</formula>
    </cfRule>
    <cfRule type="cellIs" dxfId="482" priority="141" stopIfTrue="1" operator="equal">
      <formula>"в работе"</formula>
    </cfRule>
    <cfRule type="cellIs" dxfId="481" priority="142" stopIfTrue="1" operator="equal">
      <formula>"вывезено"</formula>
    </cfRule>
  </conditionalFormatting>
  <conditionalFormatting sqref="H644:H646 I481:M511 I547:M547 I551:M597 I614:M614 H553:H596 H481:H514">
    <cfRule type="cellIs" dxfId="480" priority="131" stopIfTrue="1" operator="equal">
      <formula>"отмена"</formula>
    </cfRule>
  </conditionalFormatting>
  <conditionalFormatting sqref="H644:H646 I481:M511 I547:M547 I551:M597 I614:M614 H553:H596 H481:H514">
    <cfRule type="cellIs" dxfId="479" priority="132" stopIfTrue="1" operator="equal">
      <formula>"готов"</formula>
    </cfRule>
    <cfRule type="cellIs" dxfId="478" priority="133" stopIfTrue="1" operator="equal">
      <formula>"в работе"</formula>
    </cfRule>
    <cfRule type="cellIs" dxfId="477" priority="134" stopIfTrue="1" operator="equal">
      <formula>"вывезено"</formula>
    </cfRule>
  </conditionalFormatting>
  <conditionalFormatting sqref="H515:H524 I512:M546 H527:H546">
    <cfRule type="cellIs" dxfId="476" priority="127" stopIfTrue="1" operator="equal">
      <formula>"отмена"</formula>
    </cfRule>
  </conditionalFormatting>
  <conditionalFormatting sqref="H548:M550">
    <cfRule type="cellIs" dxfId="475" priority="119" stopIfTrue="1" operator="equal">
      <formula>"отмена"</formula>
    </cfRule>
    <cfRule type="cellIs" dxfId="474" priority="120" stopIfTrue="1" operator="equal">
      <formula>"готов"</formula>
    </cfRule>
    <cfRule type="cellIs" dxfId="473" priority="121" stopIfTrue="1" operator="equal">
      <formula>"в работе"</formula>
    </cfRule>
    <cfRule type="cellIs" dxfId="472" priority="122" stopIfTrue="1" operator="equal">
      <formula>"вывезено"</formula>
    </cfRule>
  </conditionalFormatting>
  <conditionalFormatting sqref="H598:M613">
    <cfRule type="cellIs" dxfId="471" priority="115" stopIfTrue="1" operator="equal">
      <formula>"отмена"</formula>
    </cfRule>
    <cfRule type="cellIs" dxfId="470" priority="116" stopIfTrue="1" operator="equal">
      <formula>"готов"</formula>
    </cfRule>
    <cfRule type="cellIs" dxfId="469" priority="117" stopIfTrue="1" operator="equal">
      <formula>"в работе"</formula>
    </cfRule>
    <cfRule type="cellIs" dxfId="468" priority="118" stopIfTrue="1" operator="equal">
      <formula>"вывезено"</formula>
    </cfRule>
  </conditionalFormatting>
  <conditionalFormatting sqref="H615:M643">
    <cfRule type="cellIs" dxfId="467" priority="111" stopIfTrue="1" operator="equal">
      <formula>"отмена"</formula>
    </cfRule>
    <cfRule type="cellIs" dxfId="466" priority="112" stopIfTrue="1" operator="equal">
      <formula>"готов"</formula>
    </cfRule>
    <cfRule type="cellIs" dxfId="465" priority="113" stopIfTrue="1" operator="equal">
      <formula>"в работе"</formula>
    </cfRule>
    <cfRule type="cellIs" dxfId="464" priority="114" stopIfTrue="1" operator="equal">
      <formula>"вывезено"</formula>
    </cfRule>
  </conditionalFormatting>
  <conditionalFormatting sqref="H672:M672">
    <cfRule type="cellIs" dxfId="463" priority="89" stopIfTrue="1" operator="equal">
      <formula>"отмена"</formula>
    </cfRule>
    <cfRule type="cellIs" dxfId="462" priority="90" stopIfTrue="1" operator="equal">
      <formula>"готов"</formula>
    </cfRule>
    <cfRule type="cellIs" dxfId="461" priority="91" stopIfTrue="1" operator="equal">
      <formula>"в работе"</formula>
    </cfRule>
    <cfRule type="cellIs" dxfId="460" priority="92" stopIfTrue="1" operator="equal">
      <formula>"вывезено"</formula>
    </cfRule>
  </conditionalFormatting>
  <conditionalFormatting sqref="H666 H673:M694">
    <cfRule type="cellIs" dxfId="459" priority="107" stopIfTrue="1" operator="equal">
      <formula>"отмена"</formula>
    </cfRule>
    <cfRule type="cellIs" dxfId="458" priority="108" stopIfTrue="1" operator="equal">
      <formula>"готов"</formula>
    </cfRule>
    <cfRule type="cellIs" dxfId="457" priority="109" stopIfTrue="1" operator="equal">
      <formula>"в работе"</formula>
    </cfRule>
    <cfRule type="cellIs" dxfId="456" priority="110" stopIfTrue="1" operator="equal">
      <formula>"вывезено"</formula>
    </cfRule>
  </conditionalFormatting>
  <conditionalFormatting sqref="H694:M704">
    <cfRule type="cellIs" dxfId="455" priority="93" stopIfTrue="1" operator="equal">
      <formula>"отмена"</formula>
    </cfRule>
    <cfRule type="cellIs" dxfId="454" priority="94" stopIfTrue="1" operator="equal">
      <formula>"готов"</formula>
    </cfRule>
    <cfRule type="cellIs" dxfId="453" priority="95" stopIfTrue="1" operator="equal">
      <formula>"в работе"</formula>
    </cfRule>
    <cfRule type="cellIs" dxfId="452" priority="96" stopIfTrue="1" operator="equal">
      <formula>"вывезено"</formula>
    </cfRule>
  </conditionalFormatting>
  <conditionalFormatting sqref="H708:H712 I705:M712">
    <cfRule type="cellIs" dxfId="451" priority="85" stopIfTrue="1" operator="equal">
      <formula>"отмена"</formula>
    </cfRule>
  </conditionalFormatting>
  <conditionalFormatting sqref="N253 N310 N338 N346:N347 N373 H415 H422 H435 H437 H451 H525:H526 H547 H597 N670:N671 I240:M243 I248:M264 H270:M270 I644:M648 I713:M740 I749:M761 J762:L762 H713:H762 H227:H264 H298:M319 H348 H647:H648 H650:H671 I650:M669">
    <cfRule type="cellIs" dxfId="450" priority="205" stopIfTrue="1" operator="equal">
      <formula>"готов"</formula>
    </cfRule>
    <cfRule type="cellIs" dxfId="449" priority="206" stopIfTrue="1" operator="equal">
      <formula>"в работе"</formula>
    </cfRule>
    <cfRule type="cellIs" dxfId="448" priority="207" stopIfTrue="1" operator="equal">
      <formula>"вывезено"</formula>
    </cfRule>
  </conditionalFormatting>
  <conditionalFormatting sqref="H515:H524 I512:M546 H527:H546">
    <cfRule type="cellIs" dxfId="447" priority="128" stopIfTrue="1" operator="equal">
      <formula>"готов"</formula>
    </cfRule>
    <cfRule type="cellIs" dxfId="446" priority="129" stopIfTrue="1" operator="equal">
      <formula>"в работе"</formula>
    </cfRule>
    <cfRule type="cellIs" dxfId="445" priority="130" stopIfTrue="1" operator="equal">
      <formula>"вывезено"</formula>
    </cfRule>
  </conditionalFormatting>
  <conditionalFormatting sqref="H708:H712 I705:M712">
    <cfRule type="cellIs" dxfId="444" priority="86" stopIfTrue="1" operator="equal">
      <formula>"готов"</formula>
    </cfRule>
    <cfRule type="cellIs" dxfId="443" priority="87" stopIfTrue="1" operator="equal">
      <formula>"в работе"</formula>
    </cfRule>
    <cfRule type="cellIs" dxfId="442" priority="88" stopIfTrue="1" operator="equal">
      <formula>"вывезено"</formula>
    </cfRule>
  </conditionalFormatting>
  <conditionalFormatting sqref="N392">
    <cfRule type="cellIs" dxfId="441" priority="151" stopIfTrue="1" operator="equal">
      <formula>"отмена"</formula>
    </cfRule>
    <cfRule type="cellIs" dxfId="440" priority="152" stopIfTrue="1" operator="equal">
      <formula>"готов"</formula>
    </cfRule>
    <cfRule type="cellIs" dxfId="439" priority="153" stopIfTrue="1" operator="equal">
      <formula>"в работе"</formula>
    </cfRule>
    <cfRule type="cellIs" dxfId="438" priority="154" stopIfTrue="1" operator="equal">
      <formula>"вывезено"</formula>
    </cfRule>
  </conditionalFormatting>
  <conditionalFormatting sqref="N416">
    <cfRule type="cellIs" dxfId="437" priority="123" stopIfTrue="1" operator="equal">
      <formula>"отмена"</formula>
    </cfRule>
    <cfRule type="cellIs" dxfId="436" priority="124" stopIfTrue="1" operator="equal">
      <formula>"готов"</formula>
    </cfRule>
    <cfRule type="cellIs" dxfId="435" priority="125" stopIfTrue="1" operator="equal">
      <formula>"в работе"</formula>
    </cfRule>
    <cfRule type="cellIs" dxfId="434" priority="126" stopIfTrue="1" operator="equal">
      <formula>"вывезено"</formula>
    </cfRule>
  </conditionalFormatting>
  <conditionalFormatting sqref="N555:N571">
    <cfRule type="cellIs" dxfId="433" priority="101" stopIfTrue="1" operator="equal">
      <formula>"отмена"</formula>
    </cfRule>
    <cfRule type="cellIs" dxfId="432" priority="102" stopIfTrue="1" operator="equal">
      <formula>"готов"</formula>
    </cfRule>
    <cfRule type="cellIs" dxfId="431" priority="103" stopIfTrue="1" operator="equal">
      <formula>"в работе"</formula>
    </cfRule>
    <cfRule type="cellIs" dxfId="430" priority="104" stopIfTrue="1" operator="equal">
      <formula>"вывезено"</formula>
    </cfRule>
  </conditionalFormatting>
  <conditionalFormatting sqref="N751">
    <cfRule type="cellIs" dxfId="429" priority="75" stopIfTrue="1" operator="equal">
      <formula>"отмена"</formula>
    </cfRule>
    <cfRule type="cellIs" dxfId="428" priority="76" stopIfTrue="1" operator="equal">
      <formula>"готов"</formula>
    </cfRule>
    <cfRule type="cellIs" dxfId="427" priority="77" stopIfTrue="1" operator="equal">
      <formula>"в работе"</formula>
    </cfRule>
    <cfRule type="cellIs" dxfId="426" priority="78" stopIfTrue="1" operator="equal">
      <formula>"вывезено"</formula>
    </cfRule>
  </conditionalFormatting>
  <conditionalFormatting sqref="O1">
    <cfRule type="cellIs" dxfId="425" priority="190" stopIfTrue="1" operator="equal">
      <formula>"отмена"</formula>
    </cfRule>
    <cfRule type="cellIs" dxfId="424" priority="191" stopIfTrue="1" operator="equal">
      <formula>"готов"</formula>
    </cfRule>
    <cfRule type="cellIs" dxfId="423" priority="192" stopIfTrue="1" operator="equal">
      <formula>"в работе"</formula>
    </cfRule>
    <cfRule type="cellIs" dxfId="422" priority="193" stopIfTrue="1" operator="equal">
      <formula>"вывезено"</formula>
    </cfRule>
  </conditionalFormatting>
  <conditionalFormatting sqref="L741:M748">
    <cfRule type="cellIs" dxfId="421" priority="65" stopIfTrue="1" operator="equal">
      <formula>"отмена"</formula>
    </cfRule>
    <cfRule type="cellIs" dxfId="420" priority="66" stopIfTrue="1" operator="equal">
      <formula>"готов"</formula>
    </cfRule>
    <cfRule type="cellIs" dxfId="419" priority="67" stopIfTrue="1" operator="equal">
      <formula>"в работе"</formula>
    </cfRule>
    <cfRule type="cellIs" dxfId="418" priority="68" stopIfTrue="1" operator="equal">
      <formula>"вывезено"</formula>
    </cfRule>
  </conditionalFormatting>
  <conditionalFormatting sqref="K741:K748">
    <cfRule type="cellIs" dxfId="417" priority="61" stopIfTrue="1" operator="equal">
      <formula>"отмена"</formula>
    </cfRule>
    <cfRule type="cellIs" dxfId="416" priority="62" stopIfTrue="1" operator="equal">
      <formula>"готов"</formula>
    </cfRule>
    <cfRule type="cellIs" dxfId="415" priority="63" stopIfTrue="1" operator="equal">
      <formula>"в работе"</formula>
    </cfRule>
    <cfRule type="cellIs" dxfId="414" priority="64" stopIfTrue="1" operator="equal">
      <formula>"вывезено"</formula>
    </cfRule>
  </conditionalFormatting>
  <conditionalFormatting sqref="I741:J748">
    <cfRule type="cellIs" dxfId="413" priority="57" stopIfTrue="1" operator="equal">
      <formula>"отмена"</formula>
    </cfRule>
    <cfRule type="cellIs" dxfId="412" priority="58" stopIfTrue="1" operator="equal">
      <formula>"готов"</formula>
    </cfRule>
    <cfRule type="cellIs" dxfId="411" priority="59" stopIfTrue="1" operator="equal">
      <formula>"в работе"</formula>
    </cfRule>
    <cfRule type="cellIs" dxfId="410" priority="60" stopIfTrue="1" operator="equal">
      <formula>"вывезено"</formula>
    </cfRule>
  </conditionalFormatting>
  <conditionalFormatting sqref="H2:H648 H912:H923 H650:H910 H955 H978 H988 H997 H1011 H1018">
    <cfRule type="cellIs" dxfId="409" priority="56" operator="equal">
      <formula>"Забронирован"</formula>
    </cfRule>
  </conditionalFormatting>
  <conditionalFormatting sqref="H704 H695 H688 H684:H686 H648 H643 H638:H641 H626 H623 H615 H610:H612 H607:H608 H596 H594 H533 H507 H501 H401:H403 H370 H316:H317 H309 H63 H8:H9 H536:H538 H661:H668">
    <cfRule type="cellIs" dxfId="408" priority="55" operator="equal">
      <formula>"завезен"</formula>
    </cfRule>
  </conditionalFormatting>
  <conditionalFormatting sqref="H704 H695 H688 H684:H686 H648 H643 H638:H641 H626 H623 H615 H610:H612 H607:H608 H596 H594 H533 H507 H501 H401:H403 H370 H316:H317 H309 H63 H8:H9 H536:H538 H661:H668">
    <cfRule type="cellIs" dxfId="407" priority="54" operator="equal">
      <formula>"предварительная"</formula>
    </cfRule>
  </conditionalFormatting>
  <conditionalFormatting sqref="H704 H695 H688 H684:H686 H643 H638:H641 H626 H623 H615 H610:H612 H607:H608 H596 H594 H533 H507 H501 H401:H403 H370 H63 H536:H538 H666">
    <cfRule type="cellIs" dxfId="406" priority="50" stopIfTrue="1" operator="equal">
      <formula>"отмена"</formula>
    </cfRule>
  </conditionalFormatting>
  <conditionalFormatting sqref="H704 H695 H688 H684:H686 H643 H638:H641 H626 H623 H615 H610:H612 H607:H608 H596 H594 H533 H507 H501 H401:H403 H370 H63 H536:H538 H666">
    <cfRule type="cellIs" dxfId="405" priority="51" stopIfTrue="1" operator="equal">
      <formula>"готов"</formula>
    </cfRule>
    <cfRule type="cellIs" dxfId="404" priority="52" stopIfTrue="1" operator="equal">
      <formula>"в работе"</formula>
    </cfRule>
    <cfRule type="cellIs" dxfId="403" priority="53" stopIfTrue="1" operator="equal">
      <formula>"вывезено"</formula>
    </cfRule>
  </conditionalFormatting>
  <conditionalFormatting sqref="M824:M825 M919:M921">
    <cfRule type="cellIs" dxfId="402" priority="49" stopIfTrue="1" operator="equal">
      <formula>"отмена"</formula>
    </cfRule>
  </conditionalFormatting>
  <conditionalFormatting sqref="M824:M825 M919:M921">
    <cfRule type="cellIs" dxfId="401" priority="44" stopIfTrue="1" operator="equal">
      <formula>"готов"</formula>
    </cfRule>
    <cfRule type="cellIs" dxfId="400" priority="45" stopIfTrue="1" operator="equal">
      <formula>"в работе"</formula>
    </cfRule>
    <cfRule type="cellIs" dxfId="399" priority="46" stopIfTrue="1" operator="equal">
      <formula>"вывезено"</formula>
    </cfRule>
  </conditionalFormatting>
  <conditionalFormatting sqref="J801:L801">
    <cfRule type="cellIs" dxfId="398" priority="31" stopIfTrue="1" operator="equal">
      <formula>"отмена"</formula>
    </cfRule>
  </conditionalFormatting>
  <conditionalFormatting sqref="J801:L801">
    <cfRule type="cellIs" dxfId="397" priority="28" stopIfTrue="1" operator="equal">
      <formula>"готов"</formula>
    </cfRule>
    <cfRule type="cellIs" dxfId="396" priority="29" stopIfTrue="1" operator="equal">
      <formula>"в работе"</formula>
    </cfRule>
    <cfRule type="cellIs" dxfId="395" priority="30" stopIfTrue="1" operator="equal">
      <formula>"вывезено"</formula>
    </cfRule>
  </conditionalFormatting>
  <conditionalFormatting sqref="H649:M649">
    <cfRule type="cellIs" dxfId="394" priority="24" stopIfTrue="1" operator="equal">
      <formula>"отмена"</formula>
    </cfRule>
  </conditionalFormatting>
  <conditionalFormatting sqref="H649">
    <cfRule type="cellIs" dxfId="393" priority="23" operator="equal">
      <formula>"завезен"</formula>
    </cfRule>
  </conditionalFormatting>
  <conditionalFormatting sqref="H649">
    <cfRule type="cellIs" dxfId="392" priority="22" operator="equal">
      <formula>"предварительная"</formula>
    </cfRule>
  </conditionalFormatting>
  <conditionalFormatting sqref="H649:M649">
    <cfRule type="cellIs" dxfId="391" priority="25" stopIfTrue="1" operator="equal">
      <formula>"готов"</formula>
    </cfRule>
    <cfRule type="cellIs" dxfId="390" priority="26" stopIfTrue="1" operator="equal">
      <formula>"в работе"</formula>
    </cfRule>
    <cfRule type="cellIs" dxfId="389" priority="27" stopIfTrue="1" operator="equal">
      <formula>"вывезено"</formula>
    </cfRule>
  </conditionalFormatting>
  <conditionalFormatting sqref="H649">
    <cfRule type="containsText" dxfId="388" priority="21" operator="containsText" text="Забронирован">
      <formula>NOT(ISERROR(SEARCH("Забронирован",H649)))</formula>
    </cfRule>
  </conditionalFormatting>
  <conditionalFormatting sqref="H911">
    <cfRule type="cellIs" dxfId="387" priority="18" operator="equal">
      <formula>"завезен"</formula>
    </cfRule>
  </conditionalFormatting>
  <conditionalFormatting sqref="H911">
    <cfRule type="cellIs" dxfId="386" priority="19" operator="equal">
      <formula>"предварительная"</formula>
    </cfRule>
  </conditionalFormatting>
  <conditionalFormatting sqref="H911:M911">
    <cfRule type="cellIs" dxfId="385" priority="20" stopIfTrue="1" operator="equal">
      <formula>"отмена"</formula>
    </cfRule>
  </conditionalFormatting>
  <conditionalFormatting sqref="H911:M911">
    <cfRule type="cellIs" dxfId="384" priority="15" stopIfTrue="1" operator="equal">
      <formula>"готов"</formula>
    </cfRule>
    <cfRule type="cellIs" dxfId="383" priority="16" stopIfTrue="1" operator="equal">
      <formula>"в работе"</formula>
    </cfRule>
    <cfRule type="cellIs" dxfId="382" priority="17" stopIfTrue="1" operator="equal">
      <formula>"вывезено"</formula>
    </cfRule>
  </conditionalFormatting>
  <conditionalFormatting sqref="H911">
    <cfRule type="containsText" dxfId="381" priority="14" operator="containsText" text="Забронирован">
      <formula>NOT(ISERROR(SEARCH("Забронирован",H911)))</formula>
    </cfRule>
  </conditionalFormatting>
  <conditionalFormatting sqref="H929">
    <cfRule type="containsText" dxfId="380" priority="13" operator="containsText" text="Забронирован">
      <formula>NOT(ISERROR(SEARCH("Забронирован",H929)))</formula>
    </cfRule>
  </conditionalFormatting>
  <conditionalFormatting sqref="H1035">
    <cfRule type="cellIs" dxfId="379" priority="10" operator="equal">
      <formula>"завезен"</formula>
    </cfRule>
  </conditionalFormatting>
  <conditionalFormatting sqref="H1035">
    <cfRule type="cellIs" dxfId="378" priority="11" operator="equal">
      <formula>"предварительная"</formula>
    </cfRule>
  </conditionalFormatting>
  <conditionalFormatting sqref="H1035:M1035">
    <cfRule type="cellIs" dxfId="377" priority="12" stopIfTrue="1" operator="equal">
      <formula>"отмена"</formula>
    </cfRule>
  </conditionalFormatting>
  <conditionalFormatting sqref="H1035:M1035">
    <cfRule type="cellIs" dxfId="376" priority="7" stopIfTrue="1" operator="equal">
      <formula>"готов"</formula>
    </cfRule>
    <cfRule type="cellIs" dxfId="375" priority="8" stopIfTrue="1" operator="equal">
      <formula>"в работе"</formula>
    </cfRule>
    <cfRule type="cellIs" dxfId="374" priority="9" stopIfTrue="1" operator="equal">
      <formula>"вывезено"</formula>
    </cfRule>
  </conditionalFormatting>
  <conditionalFormatting sqref="H1034">
    <cfRule type="cellIs" dxfId="373" priority="4" operator="equal">
      <formula>"завезен"</formula>
    </cfRule>
  </conditionalFormatting>
  <conditionalFormatting sqref="H1034">
    <cfRule type="cellIs" dxfId="372" priority="5" operator="equal">
      <formula>"предварительная"</formula>
    </cfRule>
  </conditionalFormatting>
  <conditionalFormatting sqref="H1034:M1034">
    <cfRule type="cellIs" dxfId="371" priority="6" stopIfTrue="1" operator="equal">
      <formula>"отмена"</formula>
    </cfRule>
  </conditionalFormatting>
  <conditionalFormatting sqref="H1034:M1034">
    <cfRule type="cellIs" dxfId="370" priority="1" stopIfTrue="1" operator="equal">
      <formula>"готов"</formula>
    </cfRule>
    <cfRule type="cellIs" dxfId="369" priority="2" stopIfTrue="1" operator="equal">
      <formula>"в работе"</formula>
    </cfRule>
    <cfRule type="cellIs" dxfId="368" priority="3" stopIfTrue="1" operator="equal">
      <formula>"вывезено"</formula>
    </cfRule>
  </conditionalFormatting>
  <pageMargins left="0.7" right="0.7" top="0.75" bottom="0.75" header="0.3" footer="0.3"/>
  <pageSetup paperSize="9" orientation="portrait" r:id="rId1"/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A890"/>
  <sheetViews>
    <sheetView view="pageBreakPreview" zoomScale="70" zoomScaleNormal="85" zoomScaleSheetLayoutView="70" workbookViewId="0">
      <pane ySplit="1" topLeftCell="A797" activePane="bottomLeft" state="frozen"/>
      <selection pane="bottomLeft" activeCell="I17" sqref="I17"/>
    </sheetView>
  </sheetViews>
  <sheetFormatPr defaultColWidth="10.85546875" defaultRowHeight="17.45" customHeight="1" x14ac:dyDescent="0.25"/>
  <cols>
    <col min="1" max="1" width="4.7109375" style="343" customWidth="1"/>
    <col min="2" max="2" width="8.28515625" style="342" customWidth="1"/>
    <col min="3" max="3" width="5.7109375" style="342" customWidth="1"/>
    <col min="4" max="4" width="13.28515625" style="342" customWidth="1"/>
    <col min="5" max="5" width="28.28515625" style="342" customWidth="1"/>
    <col min="6" max="6" width="8.7109375" style="342" customWidth="1"/>
    <col min="7" max="7" width="11.5703125" style="342" customWidth="1"/>
    <col min="8" max="8" width="14.42578125" style="342" customWidth="1"/>
    <col min="9" max="10" width="16.28515625" style="389" customWidth="1"/>
    <col min="11" max="11" width="8.28515625" style="389" customWidth="1"/>
    <col min="12" max="12" width="9.5703125" style="366" customWidth="1"/>
    <col min="13" max="13" width="11.85546875" style="367" customWidth="1"/>
    <col min="14" max="14" width="7.28515625" style="366" customWidth="1"/>
    <col min="15" max="15" width="20.85546875" style="341" customWidth="1"/>
    <col min="16" max="16" width="5.7109375" style="340" customWidth="1"/>
    <col min="17" max="17" width="68.5703125" style="340" customWidth="1"/>
    <col min="18" max="18" width="11.28515625" style="340" customWidth="1"/>
    <col min="19" max="19" width="11.140625" style="391" bestFit="1" customWidth="1"/>
    <col min="20" max="22" width="11.140625" style="340" bestFit="1" customWidth="1"/>
    <col min="23" max="23" width="11.5703125" style="340" bestFit="1" customWidth="1"/>
    <col min="24" max="25" width="11.140625" style="340" bestFit="1" customWidth="1"/>
    <col min="26" max="26" width="12.28515625" style="340" bestFit="1" customWidth="1"/>
    <col min="27" max="27" width="16.42578125" style="400" customWidth="1"/>
    <col min="28" max="16384" width="10.85546875" style="341"/>
  </cols>
  <sheetData>
    <row r="1" spans="1:27" s="337" customFormat="1" ht="75" customHeight="1" x14ac:dyDescent="0.2">
      <c r="A1" s="434" t="s">
        <v>5018</v>
      </c>
      <c r="B1" s="435" t="s">
        <v>0</v>
      </c>
      <c r="C1" s="402" t="s">
        <v>4754</v>
      </c>
      <c r="D1" s="403" t="s">
        <v>1</v>
      </c>
      <c r="E1" s="404" t="s">
        <v>5033</v>
      </c>
      <c r="F1" s="404" t="s">
        <v>3</v>
      </c>
      <c r="G1" s="404" t="s">
        <v>4832</v>
      </c>
      <c r="H1" s="404" t="s">
        <v>3809</v>
      </c>
      <c r="I1" s="404" t="s">
        <v>5572</v>
      </c>
      <c r="J1" s="404" t="s">
        <v>5573</v>
      </c>
      <c r="K1" s="404" t="s">
        <v>4895</v>
      </c>
      <c r="L1" s="404" t="s">
        <v>4896</v>
      </c>
      <c r="M1" s="404" t="s">
        <v>4815</v>
      </c>
      <c r="N1" s="405" t="s">
        <v>4752</v>
      </c>
      <c r="O1" s="406" t="s">
        <v>5</v>
      </c>
      <c r="P1" s="411" t="s">
        <v>4820</v>
      </c>
      <c r="Q1" s="407" t="s">
        <v>2460</v>
      </c>
      <c r="R1" s="408" t="s">
        <v>1397</v>
      </c>
      <c r="S1" s="409" t="s">
        <v>1398</v>
      </c>
      <c r="T1" s="408" t="s">
        <v>6</v>
      </c>
      <c r="U1" s="408" t="s">
        <v>7</v>
      </c>
      <c r="V1" s="408" t="s">
        <v>8</v>
      </c>
      <c r="W1" s="408" t="s">
        <v>9</v>
      </c>
      <c r="X1" s="408" t="s">
        <v>10</v>
      </c>
      <c r="Y1" s="408" t="s">
        <v>1399</v>
      </c>
      <c r="Z1" s="408" t="s">
        <v>11</v>
      </c>
      <c r="AA1" s="410" t="s">
        <v>12</v>
      </c>
    </row>
    <row r="2" spans="1:27" s="339" customFormat="1" ht="17.45" hidden="1" customHeight="1" x14ac:dyDescent="0.25">
      <c r="A2" s="437" t="s">
        <v>4678</v>
      </c>
      <c r="B2" s="438">
        <v>296</v>
      </c>
      <c r="C2" s="438"/>
      <c r="D2" s="439" t="s">
        <v>13</v>
      </c>
      <c r="E2" s="439" t="s">
        <v>3764</v>
      </c>
      <c r="F2" s="440"/>
      <c r="G2" s="440"/>
      <c r="H2" s="439" t="s">
        <v>23</v>
      </c>
      <c r="I2" s="449"/>
      <c r="J2" s="449"/>
      <c r="K2" s="449"/>
      <c r="L2" s="450"/>
      <c r="M2" s="443">
        <f>Таблица4[[#This Row],[Количество хлыстов]]-Таблица4[[#This Row],[Готово, хл]]-Таблица4[[#This Row],[Вывезено, хл]]</f>
        <v>6</v>
      </c>
      <c r="N2" s="444">
        <f>Таблица4[[#This Row],[Площадь общая, м2]]/28</f>
        <v>0.15896785714285716</v>
      </c>
      <c r="O2" s="463" t="s">
        <v>680</v>
      </c>
      <c r="P2" s="463"/>
      <c r="Q2" s="445" t="s">
        <v>4278</v>
      </c>
      <c r="R2" s="447">
        <v>30.3</v>
      </c>
      <c r="S2" s="451">
        <v>6</v>
      </c>
      <c r="T2" s="447">
        <v>0.1469</v>
      </c>
      <c r="U2" s="447">
        <v>1.3859999999999999</v>
      </c>
      <c r="V2" s="447">
        <v>4.4511000000000003</v>
      </c>
      <c r="W2" s="447">
        <v>41.995800000000003</v>
      </c>
      <c r="X2" s="447">
        <v>0.57999999999999996</v>
      </c>
      <c r="Y2" s="447">
        <v>45.39</v>
      </c>
      <c r="Z2" s="447">
        <v>309</v>
      </c>
      <c r="AA2" s="473">
        <v>1375.38</v>
      </c>
    </row>
    <row r="3" spans="1:27" s="339" customFormat="1" ht="17.45" hidden="1" customHeight="1" x14ac:dyDescent="0.25">
      <c r="A3" s="437" t="s">
        <v>4678</v>
      </c>
      <c r="B3" s="438"/>
      <c r="C3" s="438"/>
      <c r="D3" s="439" t="s">
        <v>13</v>
      </c>
      <c r="E3" s="439" t="s">
        <v>1596</v>
      </c>
      <c r="F3" s="440"/>
      <c r="G3" s="440"/>
      <c r="H3" s="464" t="s">
        <v>677</v>
      </c>
      <c r="I3" s="449"/>
      <c r="J3" s="449"/>
      <c r="K3" s="449"/>
      <c r="L3" s="450"/>
      <c r="M3" s="443">
        <f>Таблица4[[#This Row],[Количество хлыстов]]-Таблица4[[#This Row],[Готово, хл]]-Таблица4[[#This Row],[Вывезено, хл]]</f>
        <v>0</v>
      </c>
      <c r="N3" s="444">
        <f>Таблица4[[#This Row],[Площадь общая, м2]]/28</f>
        <v>0</v>
      </c>
      <c r="O3" s="463"/>
      <c r="P3" s="463"/>
      <c r="Q3" s="445"/>
      <c r="R3" s="447"/>
      <c r="S3" s="451"/>
      <c r="T3" s="447"/>
      <c r="U3" s="447"/>
      <c r="V3" s="447"/>
      <c r="W3" s="447"/>
      <c r="X3" s="447"/>
      <c r="Y3" s="447"/>
      <c r="Z3" s="447"/>
      <c r="AA3" s="448"/>
    </row>
    <row r="4" spans="1:27" s="339" customFormat="1" ht="17.45" hidden="1" customHeight="1" x14ac:dyDescent="0.25">
      <c r="A4" s="437" t="s">
        <v>4678</v>
      </c>
      <c r="B4" s="438">
        <v>429</v>
      </c>
      <c r="C4" s="438"/>
      <c r="D4" s="439" t="s">
        <v>34</v>
      </c>
      <c r="E4" s="439" t="s">
        <v>79</v>
      </c>
      <c r="F4" s="440"/>
      <c r="G4" s="440"/>
      <c r="H4" s="439" t="s">
        <v>23</v>
      </c>
      <c r="I4" s="449"/>
      <c r="J4" s="449"/>
      <c r="K4" s="449"/>
      <c r="L4" s="450"/>
      <c r="M4" s="443">
        <f>Таблица4[[#This Row],[Количество хлыстов]]-Таблица4[[#This Row],[Готово, хл]]-Таблица4[[#This Row],[Вывезено, хл]]</f>
        <v>105</v>
      </c>
      <c r="N4" s="444">
        <f>Таблица4[[#This Row],[Площадь общая, м2]]/28</f>
        <v>4.5517500000000002</v>
      </c>
      <c r="O4" s="463"/>
      <c r="P4" s="463"/>
      <c r="Q4" s="445" t="s">
        <v>78</v>
      </c>
      <c r="R4" s="447">
        <v>630</v>
      </c>
      <c r="S4" s="451">
        <v>105</v>
      </c>
      <c r="T4" s="447">
        <v>0.20230000000000001</v>
      </c>
      <c r="U4" s="447">
        <v>0.499</v>
      </c>
      <c r="V4" s="447">
        <v>127.449</v>
      </c>
      <c r="W4" s="447">
        <v>314.37</v>
      </c>
      <c r="X4" s="447">
        <v>16.57</v>
      </c>
      <c r="Y4" s="447">
        <v>52.19</v>
      </c>
      <c r="Z4" s="447">
        <v>258</v>
      </c>
      <c r="AA4" s="448">
        <v>32879.699999999997</v>
      </c>
    </row>
    <row r="5" spans="1:27" s="339" customFormat="1" ht="17.45" hidden="1" customHeight="1" x14ac:dyDescent="0.25">
      <c r="A5" s="437" t="s">
        <v>4678</v>
      </c>
      <c r="B5" s="438">
        <v>452</v>
      </c>
      <c r="C5" s="438" t="s">
        <v>4753</v>
      </c>
      <c r="D5" s="439" t="s">
        <v>34</v>
      </c>
      <c r="E5" s="439" t="s">
        <v>861</v>
      </c>
      <c r="F5" s="440"/>
      <c r="G5" s="440"/>
      <c r="H5" s="439" t="s">
        <v>23</v>
      </c>
      <c r="I5" s="449"/>
      <c r="J5" s="449"/>
      <c r="K5" s="449"/>
      <c r="L5" s="450"/>
      <c r="M5" s="443">
        <f>Таблица4[[#This Row],[Количество хлыстов]]-Таблица4[[#This Row],[Готово, хл]]-Таблица4[[#This Row],[Вывезено, хл]]</f>
        <v>64</v>
      </c>
      <c r="N5" s="444">
        <f>Таблица4[[#This Row],[Площадь общая, м2]]/28</f>
        <v>0</v>
      </c>
      <c r="O5" s="463"/>
      <c r="P5" s="463"/>
      <c r="Q5" s="445" t="s">
        <v>4417</v>
      </c>
      <c r="R5" s="447"/>
      <c r="S5" s="451">
        <v>64</v>
      </c>
      <c r="T5" s="447"/>
      <c r="U5" s="447"/>
      <c r="V5" s="447"/>
      <c r="W5" s="447"/>
      <c r="X5" s="447"/>
      <c r="Y5" s="447"/>
      <c r="Z5" s="447"/>
      <c r="AA5" s="448"/>
    </row>
    <row r="6" spans="1:27" s="339" customFormat="1" ht="17.45" hidden="1" customHeight="1" x14ac:dyDescent="0.25">
      <c r="A6" s="437" t="s">
        <v>4678</v>
      </c>
      <c r="B6" s="438">
        <v>474</v>
      </c>
      <c r="C6" s="438" t="s">
        <v>4753</v>
      </c>
      <c r="D6" s="439" t="s">
        <v>34</v>
      </c>
      <c r="E6" s="439" t="s">
        <v>4507</v>
      </c>
      <c r="F6" s="440"/>
      <c r="G6" s="440"/>
      <c r="H6" s="464" t="s">
        <v>677</v>
      </c>
      <c r="I6" s="449"/>
      <c r="J6" s="449"/>
      <c r="K6" s="449"/>
      <c r="L6" s="450"/>
      <c r="M6" s="443">
        <f>Таблица4[[#This Row],[Количество хлыстов]]-Таблица4[[#This Row],[Готово, хл]]-Таблица4[[#This Row],[Вывезено, хл]]</f>
        <v>0</v>
      </c>
      <c r="N6" s="444">
        <f>Таблица4[[#This Row],[Площадь общая, м2]]/28</f>
        <v>0</v>
      </c>
      <c r="O6" s="463"/>
      <c r="P6" s="463"/>
      <c r="Q6" s="445" t="s">
        <v>4508</v>
      </c>
      <c r="R6" s="447"/>
      <c r="S6" s="451"/>
      <c r="T6" s="447"/>
      <c r="U6" s="447"/>
      <c r="V6" s="447"/>
      <c r="W6" s="447"/>
      <c r="X6" s="447"/>
      <c r="Y6" s="447"/>
      <c r="Z6" s="447"/>
      <c r="AA6" s="448"/>
    </row>
    <row r="7" spans="1:27" s="339" customFormat="1" ht="17.45" hidden="1" customHeight="1" x14ac:dyDescent="0.25">
      <c r="A7" s="437" t="s">
        <v>4678</v>
      </c>
      <c r="B7" s="438">
        <v>436</v>
      </c>
      <c r="C7" s="438" t="s">
        <v>4753</v>
      </c>
      <c r="D7" s="439" t="s">
        <v>34</v>
      </c>
      <c r="E7" s="439" t="s">
        <v>576</v>
      </c>
      <c r="F7" s="440"/>
      <c r="G7" s="440"/>
      <c r="H7" s="439" t="s">
        <v>23</v>
      </c>
      <c r="I7" s="441"/>
      <c r="J7" s="441"/>
      <c r="K7" s="441"/>
      <c r="L7" s="442">
        <v>198</v>
      </c>
      <c r="M7" s="443">
        <f>Таблица4[[#This Row],[Количество хлыстов]]-Таблица4[[#This Row],[Готово, хл]]-Таблица4[[#This Row],[Вывезено, хл]]</f>
        <v>0</v>
      </c>
      <c r="N7" s="444">
        <f>Таблица4[[#This Row],[Площадь общая, м2]]/28</f>
        <v>0</v>
      </c>
      <c r="O7" s="463"/>
      <c r="P7" s="463"/>
      <c r="Q7" s="453" t="s">
        <v>4418</v>
      </c>
      <c r="R7" s="447"/>
      <c r="S7" s="451">
        <v>198</v>
      </c>
      <c r="T7" s="447"/>
      <c r="U7" s="447"/>
      <c r="V7" s="447"/>
      <c r="W7" s="447"/>
      <c r="X7" s="447"/>
      <c r="Y7" s="447"/>
      <c r="Z7" s="447"/>
      <c r="AA7" s="448" t="s">
        <v>2076</v>
      </c>
    </row>
    <row r="8" spans="1:27" s="339" customFormat="1" ht="17.45" hidden="1" customHeight="1" x14ac:dyDescent="0.25">
      <c r="A8" s="437" t="s">
        <v>4678</v>
      </c>
      <c r="B8" s="438">
        <v>436</v>
      </c>
      <c r="C8" s="438" t="s">
        <v>4753</v>
      </c>
      <c r="D8" s="439" t="s">
        <v>34</v>
      </c>
      <c r="E8" s="439" t="s">
        <v>576</v>
      </c>
      <c r="F8" s="440"/>
      <c r="G8" s="440"/>
      <c r="H8" s="439" t="s">
        <v>23</v>
      </c>
      <c r="I8" s="441"/>
      <c r="J8" s="441"/>
      <c r="K8" s="441"/>
      <c r="L8" s="442"/>
      <c r="M8" s="443">
        <f>Таблица4[[#This Row],[Количество хлыстов]]-Таблица4[[#This Row],[Готово, хл]]-Таблица4[[#This Row],[Вывезено, хл]]</f>
        <v>0</v>
      </c>
      <c r="N8" s="444">
        <f>Таблица4[[#This Row],[Площадь общая, м2]]/28</f>
        <v>0</v>
      </c>
      <c r="O8" s="463"/>
      <c r="P8" s="463"/>
      <c r="Q8" s="453" t="s">
        <v>4419</v>
      </c>
      <c r="R8" s="447"/>
      <c r="S8" s="451"/>
      <c r="T8" s="447"/>
      <c r="U8" s="447"/>
      <c r="V8" s="447"/>
      <c r="W8" s="447"/>
      <c r="X8" s="447"/>
      <c r="Y8" s="447"/>
      <c r="Z8" s="447"/>
      <c r="AA8" s="448" t="s">
        <v>4420</v>
      </c>
    </row>
    <row r="9" spans="1:27" s="339" customFormat="1" ht="17.45" hidden="1" customHeight="1" x14ac:dyDescent="0.25">
      <c r="A9" s="437" t="s">
        <v>4678</v>
      </c>
      <c r="B9" s="438">
        <v>406</v>
      </c>
      <c r="C9" s="438" t="s">
        <v>4753</v>
      </c>
      <c r="D9" s="439" t="s">
        <v>34</v>
      </c>
      <c r="E9" s="439" t="s">
        <v>576</v>
      </c>
      <c r="F9" s="440"/>
      <c r="G9" s="440"/>
      <c r="H9" s="439" t="s">
        <v>23</v>
      </c>
      <c r="I9" s="449"/>
      <c r="J9" s="449"/>
      <c r="K9" s="449"/>
      <c r="L9" s="450"/>
      <c r="M9" s="443">
        <f>Таблица4[[#This Row],[Количество хлыстов]]-Таблица4[[#This Row],[Готово, хл]]-Таблица4[[#This Row],[Вывезено, хл]]</f>
        <v>0</v>
      </c>
      <c r="N9" s="444">
        <f>Таблица4[[#This Row],[Площадь общая, м2]]/28</f>
        <v>0</v>
      </c>
      <c r="O9" s="492" t="s">
        <v>4639</v>
      </c>
      <c r="P9" s="492"/>
      <c r="Q9" s="445" t="s">
        <v>4428</v>
      </c>
      <c r="R9" s="447" t="s">
        <v>4430</v>
      </c>
      <c r="S9" s="451"/>
      <c r="T9" s="447"/>
      <c r="U9" s="447"/>
      <c r="V9" s="447"/>
      <c r="W9" s="447"/>
      <c r="X9" s="447"/>
      <c r="Y9" s="447"/>
      <c r="Z9" s="447"/>
      <c r="AA9" s="448" t="s">
        <v>4429</v>
      </c>
    </row>
    <row r="10" spans="1:27" s="339" customFormat="1" ht="17.45" hidden="1" customHeight="1" x14ac:dyDescent="0.25">
      <c r="A10" s="437" t="s">
        <v>4678</v>
      </c>
      <c r="B10" s="438">
        <v>512</v>
      </c>
      <c r="C10" s="438" t="s">
        <v>4753</v>
      </c>
      <c r="D10" s="439" t="s">
        <v>34</v>
      </c>
      <c r="E10" s="439" t="s">
        <v>861</v>
      </c>
      <c r="F10" s="440"/>
      <c r="G10" s="440"/>
      <c r="H10" s="439" t="s">
        <v>23</v>
      </c>
      <c r="I10" s="456"/>
      <c r="J10" s="456"/>
      <c r="K10" s="456"/>
      <c r="L10" s="457"/>
      <c r="M10" s="443">
        <f>Таблица4[[#This Row],[Количество хлыстов]]-Таблица4[[#This Row],[Готово, хл]]-Таблица4[[#This Row],[Вывезено, хл]]</f>
        <v>152</v>
      </c>
      <c r="N10" s="444">
        <f>Таблица4[[#This Row],[Площадь общая, м2]]/28</f>
        <v>0</v>
      </c>
      <c r="O10" s="495"/>
      <c r="P10" s="495"/>
      <c r="Q10" s="439" t="s">
        <v>3982</v>
      </c>
      <c r="R10" s="458"/>
      <c r="S10" s="455">
        <v>152</v>
      </c>
      <c r="T10" s="447"/>
      <c r="U10" s="447"/>
      <c r="V10" s="447"/>
      <c r="W10" s="447"/>
      <c r="X10" s="447"/>
      <c r="Y10" s="447"/>
      <c r="Z10" s="447"/>
      <c r="AA10" s="448"/>
    </row>
    <row r="11" spans="1:27" s="339" customFormat="1" ht="18" hidden="1" customHeight="1" x14ac:dyDescent="0.25">
      <c r="A11" s="437" t="s">
        <v>4678</v>
      </c>
      <c r="B11" s="438">
        <v>506</v>
      </c>
      <c r="C11" s="438" t="s">
        <v>4753</v>
      </c>
      <c r="D11" s="439" t="s">
        <v>34</v>
      </c>
      <c r="E11" s="439" t="s">
        <v>4467</v>
      </c>
      <c r="F11" s="440"/>
      <c r="G11" s="440"/>
      <c r="H11" s="464" t="s">
        <v>677</v>
      </c>
      <c r="I11" s="449"/>
      <c r="J11" s="449"/>
      <c r="K11" s="449"/>
      <c r="L11" s="450"/>
      <c r="M11" s="443">
        <f>Таблица4[[#This Row],[Количество хлыстов]]-Таблица4[[#This Row],[Готово, хл]]-Таблица4[[#This Row],[Вывезено, хл]]</f>
        <v>0</v>
      </c>
      <c r="N11" s="444">
        <f>Таблица4[[#This Row],[Площадь общая, м2]]/28</f>
        <v>0</v>
      </c>
      <c r="O11" s="463" t="s">
        <v>677</v>
      </c>
      <c r="P11" s="463"/>
      <c r="Q11" s="445"/>
      <c r="R11" s="447"/>
      <c r="S11" s="451"/>
      <c r="T11" s="447"/>
      <c r="U11" s="447"/>
      <c r="V11" s="447"/>
      <c r="W11" s="447"/>
      <c r="X11" s="447"/>
      <c r="Y11" s="447"/>
      <c r="Z11" s="447"/>
      <c r="AA11" s="448"/>
    </row>
    <row r="12" spans="1:27" s="339" customFormat="1" ht="18" hidden="1" customHeight="1" x14ac:dyDescent="0.25">
      <c r="A12" s="437" t="s">
        <v>4678</v>
      </c>
      <c r="B12" s="438">
        <v>507</v>
      </c>
      <c r="C12" s="438" t="s">
        <v>4753</v>
      </c>
      <c r="D12" s="439" t="s">
        <v>34</v>
      </c>
      <c r="E12" s="439" t="s">
        <v>4467</v>
      </c>
      <c r="F12" s="440"/>
      <c r="G12" s="440"/>
      <c r="H12" s="464" t="s">
        <v>677</v>
      </c>
      <c r="I12" s="449"/>
      <c r="J12" s="449"/>
      <c r="K12" s="449"/>
      <c r="L12" s="450"/>
      <c r="M12" s="443">
        <f>Таблица4[[#This Row],[Количество хлыстов]]-Таблица4[[#This Row],[Готово, хл]]-Таблица4[[#This Row],[Вывезено, хл]]</f>
        <v>0</v>
      </c>
      <c r="N12" s="444">
        <f>Таблица4[[#This Row],[Площадь общая, м2]]/28</f>
        <v>0</v>
      </c>
      <c r="O12" s="463" t="s">
        <v>677</v>
      </c>
      <c r="P12" s="463"/>
      <c r="Q12" s="445"/>
      <c r="R12" s="447"/>
      <c r="S12" s="451"/>
      <c r="T12" s="447"/>
      <c r="U12" s="447"/>
      <c r="V12" s="447"/>
      <c r="W12" s="447"/>
      <c r="X12" s="447"/>
      <c r="Y12" s="447"/>
      <c r="Z12" s="447"/>
      <c r="AA12" s="448"/>
    </row>
    <row r="13" spans="1:27" s="339" customFormat="1" ht="17.45" hidden="1" customHeight="1" x14ac:dyDescent="0.25">
      <c r="A13" s="437" t="s">
        <v>4678</v>
      </c>
      <c r="B13" s="438">
        <v>548</v>
      </c>
      <c r="C13" s="438"/>
      <c r="D13" s="439" t="s">
        <v>13</v>
      </c>
      <c r="E13" s="439" t="s">
        <v>3863</v>
      </c>
      <c r="F13" s="440">
        <v>45232</v>
      </c>
      <c r="G13" s="143"/>
      <c r="H13" s="439" t="s">
        <v>23</v>
      </c>
      <c r="I13" s="441"/>
      <c r="J13" s="441"/>
      <c r="K13" s="441"/>
      <c r="L13" s="442">
        <f>40+60+56</f>
        <v>156</v>
      </c>
      <c r="M13" s="443">
        <f>Таблица4[[#This Row],[Количество хлыстов]]-Таблица4[[#This Row],[Готово, хл]]-Таблица4[[#This Row],[Вывезено, хл]]</f>
        <v>4</v>
      </c>
      <c r="N13" s="486">
        <f>(Таблица4[[#This Row],[Осталось сделать, хлыст]]*Таблица4[[#This Row],[длина]]*Таблица4[[#This Row],[Периметр]])/28</f>
        <v>0.1942142857142857</v>
      </c>
      <c r="O13" s="487" t="s">
        <v>5086</v>
      </c>
      <c r="P13" s="447">
        <v>5</v>
      </c>
      <c r="Q13" s="439" t="s">
        <v>151</v>
      </c>
      <c r="R13" s="458">
        <v>800</v>
      </c>
      <c r="S13" s="459">
        <v>160</v>
      </c>
      <c r="T13" s="458">
        <v>0.27189999999999998</v>
      </c>
      <c r="U13" s="447">
        <v>0.50600000000000001</v>
      </c>
      <c r="V13" s="447">
        <v>217.52</v>
      </c>
      <c r="W13" s="447">
        <v>404.8</v>
      </c>
      <c r="X13" s="447">
        <v>28.28</v>
      </c>
      <c r="Y13" s="447">
        <v>63.29</v>
      </c>
      <c r="Z13" s="447">
        <v>365</v>
      </c>
      <c r="AA13" s="448">
        <v>50632</v>
      </c>
    </row>
    <row r="14" spans="1:27" s="339" customFormat="1" ht="17.45" customHeight="1" x14ac:dyDescent="0.25">
      <c r="A14" s="949" t="s">
        <v>4678</v>
      </c>
      <c r="B14" s="901">
        <v>552</v>
      </c>
      <c r="C14" s="901"/>
      <c r="D14" s="941" t="s">
        <v>4858</v>
      </c>
      <c r="E14" s="942" t="s">
        <v>4734</v>
      </c>
      <c r="F14" s="943">
        <v>45273</v>
      </c>
      <c r="G14" s="143"/>
      <c r="H14" s="142"/>
      <c r="I14" s="522"/>
      <c r="J14" s="522"/>
      <c r="K14" s="522"/>
      <c r="L14" s="523"/>
      <c r="M14" s="443">
        <f>Таблица4[[#This Row],[Количество хлыстов]]-Таблица4[[#This Row],[Готово, хл]]-Таблица4[[#This Row],[Вывезено, хл]]</f>
        <v>56</v>
      </c>
      <c r="N14" s="564">
        <f>Таблица4[[#This Row],[Площадь общая, м2]]/28</f>
        <v>8.1379999999999999</v>
      </c>
      <c r="O14" s="905"/>
      <c r="P14" s="280">
        <v>6.5</v>
      </c>
      <c r="Q14" s="142" t="s">
        <v>5271</v>
      </c>
      <c r="R14" s="525">
        <v>364</v>
      </c>
      <c r="S14" s="526">
        <v>56</v>
      </c>
      <c r="T14" s="525">
        <v>0.626</v>
      </c>
      <c r="U14" s="525">
        <v>2.1869999999999998</v>
      </c>
      <c r="V14" s="525">
        <v>227.864</v>
      </c>
      <c r="W14" s="525">
        <v>796.06799999999998</v>
      </c>
      <c r="X14" s="525">
        <v>29.62</v>
      </c>
      <c r="Y14" s="525">
        <v>206.58</v>
      </c>
      <c r="Z14" s="525">
        <v>330</v>
      </c>
      <c r="AA14" s="527">
        <v>75195.12</v>
      </c>
    </row>
    <row r="15" spans="1:27" s="339" customFormat="1" ht="17.45" hidden="1" customHeight="1" x14ac:dyDescent="0.25">
      <c r="A15" s="437" t="s">
        <v>4678</v>
      </c>
      <c r="B15" s="438">
        <v>567</v>
      </c>
      <c r="C15" s="438"/>
      <c r="D15" s="468" t="s">
        <v>4858</v>
      </c>
      <c r="E15" s="439" t="s">
        <v>3404</v>
      </c>
      <c r="F15" s="440">
        <v>45306</v>
      </c>
      <c r="G15" s="440"/>
      <c r="H15" s="439" t="s">
        <v>23</v>
      </c>
      <c r="I15" s="449"/>
      <c r="J15" s="449"/>
      <c r="K15" s="449"/>
      <c r="L15" s="450">
        <v>367</v>
      </c>
      <c r="M15" s="443">
        <f>Таблица4[[#This Row],[Количество хлыстов]]-Таблица4[[#This Row],[Готово, хл]]-Таблица4[[#This Row],[Вывезено, хл]]</f>
        <v>0</v>
      </c>
      <c r="N15" s="444">
        <f>Таблица4[[#This Row],[Площадь общая, м2]]/28</f>
        <v>19.794407142857143</v>
      </c>
      <c r="O15" s="463"/>
      <c r="P15" s="463"/>
      <c r="Q15" s="445" t="s">
        <v>4378</v>
      </c>
      <c r="R15" s="447">
        <v>2202</v>
      </c>
      <c r="S15" s="451">
        <v>367</v>
      </c>
      <c r="T15" s="447">
        <v>0.25169999999999998</v>
      </c>
      <c r="U15" s="447">
        <v>0.56699999999999995</v>
      </c>
      <c r="V15" s="447">
        <v>554.24339999999995</v>
      </c>
      <c r="W15" s="447">
        <v>1248.5340000000001</v>
      </c>
      <c r="X15" s="447">
        <v>72.05</v>
      </c>
      <c r="Y15" s="447">
        <v>72.989999999999995</v>
      </c>
      <c r="Z15" s="447">
        <v>290</v>
      </c>
      <c r="AA15" s="448">
        <v>160723.98000000001</v>
      </c>
    </row>
    <row r="16" spans="1:27" s="339" customFormat="1" ht="17.45" hidden="1" customHeight="1" x14ac:dyDescent="0.25">
      <c r="A16" s="437" t="s">
        <v>4678</v>
      </c>
      <c r="B16" s="467">
        <v>575</v>
      </c>
      <c r="C16" s="467"/>
      <c r="D16" s="468" t="s">
        <v>4858</v>
      </c>
      <c r="E16" s="468" t="s">
        <v>28</v>
      </c>
      <c r="F16" s="469">
        <v>45250</v>
      </c>
      <c r="G16" s="469"/>
      <c r="H16" s="445" t="s">
        <v>23</v>
      </c>
      <c r="I16" s="449"/>
      <c r="J16" s="449"/>
      <c r="K16" s="449"/>
      <c r="L16" s="450">
        <f>330+409</f>
        <v>739</v>
      </c>
      <c r="M16" s="443">
        <f>Таблица4[[#This Row],[Количество хлыстов]]-Таблица4[[#This Row],[Готово, хл]]-Таблица4[[#This Row],[Вывезено, хл]]</f>
        <v>80</v>
      </c>
      <c r="N16" s="486">
        <f>(Таблица4[[#This Row],[Осталось сделать, хлыст]]*Таблица4[[#This Row],[длина]]*Таблица4[[#This Row],[Периметр]])/30</f>
        <v>1.1943999999999997</v>
      </c>
      <c r="O16" s="445" t="s">
        <v>5190</v>
      </c>
      <c r="P16" s="447">
        <v>3</v>
      </c>
      <c r="Q16" s="445" t="s">
        <v>1734</v>
      </c>
      <c r="R16" s="447">
        <v>2457</v>
      </c>
      <c r="S16" s="451">
        <v>819</v>
      </c>
      <c r="T16" s="447">
        <v>0.14929999999999999</v>
      </c>
      <c r="U16" s="447">
        <v>0.56599999999999995</v>
      </c>
      <c r="V16" s="447">
        <v>366.83010000000002</v>
      </c>
      <c r="W16" s="447">
        <v>1390.662</v>
      </c>
      <c r="X16" s="447">
        <v>47.69</v>
      </c>
      <c r="Y16" s="447">
        <v>54.49</v>
      </c>
      <c r="Z16" s="447">
        <v>365</v>
      </c>
      <c r="AA16" s="448">
        <v>133892.99</v>
      </c>
    </row>
    <row r="17" spans="1:27" s="339" customFormat="1" ht="17.45" hidden="1" customHeight="1" x14ac:dyDescent="0.25">
      <c r="A17" s="147" t="s">
        <v>4678</v>
      </c>
      <c r="B17" s="521" t="s">
        <v>4914</v>
      </c>
      <c r="C17" s="521"/>
      <c r="D17" s="468" t="s">
        <v>4858</v>
      </c>
      <c r="E17" s="142" t="s">
        <v>16</v>
      </c>
      <c r="F17" s="143">
        <v>45623</v>
      </c>
      <c r="G17" s="143"/>
      <c r="H17" s="142" t="s">
        <v>23</v>
      </c>
      <c r="I17" s="522"/>
      <c r="J17" s="522"/>
      <c r="K17" s="522"/>
      <c r="L17" s="523">
        <v>110</v>
      </c>
      <c r="M17" s="443">
        <f>Таблица4[[#This Row],[Количество хлыстов]]-Таблица4[[#This Row],[Готово, хл]]-Таблица4[[#This Row],[Вывезено, хл]]</f>
        <v>7</v>
      </c>
      <c r="N17" s="444">
        <f>(Таблица4[[#This Row],[Осталось сделать, хлыст]]*Таблица4[[#This Row],[длина]]*Таблица4[[#This Row],[Периметр]])/28</f>
        <v>0.52469999999999994</v>
      </c>
      <c r="O17" s="524"/>
      <c r="P17" s="145">
        <v>6</v>
      </c>
      <c r="Q17" s="142" t="s">
        <v>2730</v>
      </c>
      <c r="R17" s="525">
        <v>702</v>
      </c>
      <c r="S17" s="526">
        <v>117</v>
      </c>
      <c r="T17" s="525">
        <v>0.3498</v>
      </c>
      <c r="U17" s="525">
        <v>1.425</v>
      </c>
      <c r="V17" s="525">
        <v>245.55959999999999</v>
      </c>
      <c r="W17" s="525">
        <v>1000.35</v>
      </c>
      <c r="X17" s="525">
        <v>31.92</v>
      </c>
      <c r="Y17" s="525">
        <v>127.68</v>
      </c>
      <c r="Z17" s="525">
        <v>365</v>
      </c>
      <c r="AA17" s="527">
        <v>89629.25</v>
      </c>
    </row>
    <row r="18" spans="1:27" s="333" customFormat="1" ht="17.45" hidden="1" customHeight="1" x14ac:dyDescent="0.25">
      <c r="A18" s="140" t="s">
        <v>4678</v>
      </c>
      <c r="B18" s="306">
        <v>592</v>
      </c>
      <c r="C18" s="306" t="s">
        <v>4753</v>
      </c>
      <c r="D18" s="468" t="s">
        <v>4858</v>
      </c>
      <c r="E18" s="303" t="s">
        <v>43</v>
      </c>
      <c r="F18" s="528">
        <v>45268</v>
      </c>
      <c r="G18" s="528"/>
      <c r="H18" s="303" t="s">
        <v>23</v>
      </c>
      <c r="I18" s="384"/>
      <c r="J18" s="384"/>
      <c r="K18" s="384">
        <v>238</v>
      </c>
      <c r="L18" s="529"/>
      <c r="M18" s="443">
        <f>Таблица4[[#This Row],[Количество хлыстов]]-Таблица4[[#This Row],[Готово, хл]]-Таблица4[[#This Row],[Вывезено, хл]]</f>
        <v>2</v>
      </c>
      <c r="N18" s="324">
        <v>4</v>
      </c>
      <c r="O18" s="142" t="s">
        <v>4787</v>
      </c>
      <c r="P18" s="142"/>
      <c r="Q18" s="142" t="s">
        <v>347</v>
      </c>
      <c r="R18" s="142">
        <v>1440</v>
      </c>
      <c r="S18" s="526">
        <v>240</v>
      </c>
      <c r="T18" s="142"/>
      <c r="U18" s="142"/>
      <c r="V18" s="142"/>
      <c r="W18" s="142"/>
      <c r="X18" s="142"/>
      <c r="Y18" s="142"/>
      <c r="Z18" s="142"/>
      <c r="AA18" s="527"/>
    </row>
    <row r="19" spans="1:27" s="333" customFormat="1" ht="17.45" hidden="1" customHeight="1" x14ac:dyDescent="0.25">
      <c r="A19" s="344" t="s">
        <v>4678</v>
      </c>
      <c r="B19" s="309">
        <v>593</v>
      </c>
      <c r="C19" s="309" t="s">
        <v>4753</v>
      </c>
      <c r="D19" s="468" t="s">
        <v>4858</v>
      </c>
      <c r="E19" s="304" t="s">
        <v>43</v>
      </c>
      <c r="F19" s="310">
        <v>45268</v>
      </c>
      <c r="G19" s="310"/>
      <c r="H19" s="304" t="s">
        <v>23</v>
      </c>
      <c r="I19" s="384"/>
      <c r="J19" s="384"/>
      <c r="K19" s="384">
        <v>128</v>
      </c>
      <c r="L19" s="385"/>
      <c r="M19" s="443">
        <f>Таблица4[[#This Row],[Количество хлыстов]]-Таблица4[[#This Row],[Готово, хл]]-Таблица4[[#This Row],[Вывезено, хл]]</f>
        <v>0</v>
      </c>
      <c r="N19" s="325">
        <v>2</v>
      </c>
      <c r="O19" s="145"/>
      <c r="P19" s="145"/>
      <c r="Q19" s="145" t="s">
        <v>1514</v>
      </c>
      <c r="R19" s="145">
        <v>768</v>
      </c>
      <c r="S19" s="322">
        <v>128</v>
      </c>
      <c r="T19" s="145"/>
      <c r="U19" s="145"/>
      <c r="V19" s="145"/>
      <c r="W19" s="145"/>
      <c r="X19" s="145"/>
      <c r="Y19" s="145"/>
      <c r="Z19" s="145"/>
      <c r="AA19" s="397"/>
    </row>
    <row r="20" spans="1:27" s="339" customFormat="1" ht="17.45" customHeight="1" x14ac:dyDescent="0.25">
      <c r="A20" s="950" t="s">
        <v>4678</v>
      </c>
      <c r="B20" s="951">
        <v>616</v>
      </c>
      <c r="C20" s="951"/>
      <c r="D20" s="941" t="s">
        <v>13</v>
      </c>
      <c r="E20" s="941" t="s">
        <v>3863</v>
      </c>
      <c r="F20" s="952">
        <v>45273</v>
      </c>
      <c r="G20" s="143"/>
      <c r="H20" s="439"/>
      <c r="I20" s="443"/>
      <c r="J20" s="443"/>
      <c r="K20" s="443"/>
      <c r="L20" s="443"/>
      <c r="M20" s="443">
        <f>Таблица4[[#This Row],[Количество хлыстов]]-Таблица4[[#This Row],[Готово, хл]]-Таблица4[[#This Row],[Вывезено, хл]]</f>
        <v>260</v>
      </c>
      <c r="N20" s="486">
        <f>(Таблица4[[#This Row],[Осталось сделать, хлыст]]*Таблица4[[#This Row],[длина]]*Таблица4[[#This Row],[Периметр]])/28</f>
        <v>5.6642857142857137</v>
      </c>
      <c r="O20" s="445" t="s">
        <v>5312</v>
      </c>
      <c r="P20" s="447">
        <v>5</v>
      </c>
      <c r="Q20" s="445" t="s">
        <v>4404</v>
      </c>
      <c r="R20" s="447">
        <v>1630</v>
      </c>
      <c r="S20" s="451">
        <v>260</v>
      </c>
      <c r="T20" s="447">
        <v>0.122</v>
      </c>
      <c r="U20" s="447">
        <v>0.17899999999999999</v>
      </c>
      <c r="V20" s="447">
        <v>198.86</v>
      </c>
      <c r="W20" s="447">
        <v>291.77</v>
      </c>
      <c r="X20" s="447">
        <v>25.85</v>
      </c>
      <c r="Y20" s="447">
        <v>44.53</v>
      </c>
      <c r="Z20" s="447">
        <v>365</v>
      </c>
      <c r="AA20" s="448">
        <v>72583.899999999994</v>
      </c>
    </row>
    <row r="21" spans="1:27" s="339" customFormat="1" ht="17.45" customHeight="1" x14ac:dyDescent="0.25">
      <c r="A21" s="950" t="s">
        <v>4678</v>
      </c>
      <c r="B21" s="951">
        <v>616</v>
      </c>
      <c r="C21" s="951"/>
      <c r="D21" s="941" t="s">
        <v>13</v>
      </c>
      <c r="E21" s="941" t="s">
        <v>3863</v>
      </c>
      <c r="F21" s="952">
        <v>45273</v>
      </c>
      <c r="G21" s="143"/>
      <c r="H21" s="439"/>
      <c r="I21" s="443"/>
      <c r="J21" s="443"/>
      <c r="K21" s="443"/>
      <c r="L21" s="443"/>
      <c r="M21" s="443">
        <f>Таблица4[[#This Row],[Количество хлыстов]]-Таблица4[[#This Row],[Готово, хл]]-Таблица4[[#This Row],[Вывезено, хл]]</f>
        <v>208</v>
      </c>
      <c r="N21" s="486">
        <f>(Таблица4[[#This Row],[Осталось сделать, хлыст]]*Таблица4[[#This Row],[длина]]*Таблица4[[#This Row],[Периметр]])/28</f>
        <v>5.129428571428571</v>
      </c>
      <c r="O21" s="445"/>
      <c r="P21" s="447">
        <v>5</v>
      </c>
      <c r="Q21" s="445" t="s">
        <v>299</v>
      </c>
      <c r="R21" s="447">
        <v>1040</v>
      </c>
      <c r="S21" s="451">
        <v>208</v>
      </c>
      <c r="T21" s="447">
        <v>0.1381</v>
      </c>
      <c r="U21" s="447">
        <v>0.35199999999999998</v>
      </c>
      <c r="V21" s="447">
        <v>143.624</v>
      </c>
      <c r="W21" s="447">
        <v>366.08</v>
      </c>
      <c r="X21" s="447">
        <v>18.670000000000002</v>
      </c>
      <c r="Y21" s="447">
        <v>50.41</v>
      </c>
      <c r="Z21" s="447">
        <v>365</v>
      </c>
      <c r="AA21" s="448">
        <v>52426.400000000001</v>
      </c>
    </row>
    <row r="22" spans="1:27" s="430" customFormat="1" ht="17.45" hidden="1" customHeight="1" x14ac:dyDescent="0.25">
      <c r="A22" s="547" t="s">
        <v>4978</v>
      </c>
      <c r="B22" s="548">
        <v>3</v>
      </c>
      <c r="C22" s="548"/>
      <c r="D22" s="468" t="s">
        <v>4858</v>
      </c>
      <c r="E22" s="549" t="s">
        <v>557</v>
      </c>
      <c r="F22" s="550">
        <v>45301</v>
      </c>
      <c r="G22" s="550"/>
      <c r="H22" s="548" t="s">
        <v>23</v>
      </c>
      <c r="I22" s="551"/>
      <c r="J22" s="551"/>
      <c r="K22" s="551"/>
      <c r="L22" s="552"/>
      <c r="M22" s="553">
        <f>Таблица4[[#This Row],[Количество хлыстов]]-Таблица4[[#This Row],[Готово, хл]]-Таблица4[[#This Row],[Вывезено, хл]]</f>
        <v>69</v>
      </c>
      <c r="N22" s="554"/>
      <c r="O22" s="555" t="s">
        <v>4784</v>
      </c>
      <c r="P22" s="555"/>
      <c r="Q22" s="556" t="s">
        <v>4783</v>
      </c>
      <c r="R22" s="557">
        <v>351.9</v>
      </c>
      <c r="S22" s="558">
        <v>69</v>
      </c>
      <c r="T22" s="557">
        <v>0.34789999999999999</v>
      </c>
      <c r="U22" s="557">
        <v>1.643</v>
      </c>
      <c r="V22" s="557">
        <v>122.426</v>
      </c>
      <c r="W22" s="557">
        <v>578.17169999999999</v>
      </c>
      <c r="X22" s="557">
        <v>15.92</v>
      </c>
      <c r="Y22" s="557">
        <v>109.59</v>
      </c>
      <c r="Z22" s="557">
        <v>315</v>
      </c>
      <c r="AA22" s="559">
        <v>38564.720000000001</v>
      </c>
    </row>
    <row r="23" spans="1:27" s="418" customFormat="1" ht="17.45" hidden="1" customHeight="1" x14ac:dyDescent="0.25">
      <c r="A23" s="507" t="s">
        <v>4978</v>
      </c>
      <c r="B23" s="508">
        <v>4</v>
      </c>
      <c r="C23" s="508"/>
      <c r="D23" s="468" t="s">
        <v>4858</v>
      </c>
      <c r="E23" s="509" t="s">
        <v>4680</v>
      </c>
      <c r="F23" s="510">
        <v>45301</v>
      </c>
      <c r="G23" s="510"/>
      <c r="H23" s="508" t="s">
        <v>23</v>
      </c>
      <c r="I23" s="511"/>
      <c r="J23" s="511"/>
      <c r="K23" s="511"/>
      <c r="L23" s="512"/>
      <c r="M23" s="443">
        <f>Таблица4[[#This Row],[Количество хлыстов]]-Таблица4[[#This Row],[Готово, хл]]-Таблица4[[#This Row],[Вывезено, хл]]</f>
        <v>7</v>
      </c>
      <c r="N23" s="513">
        <f>Таблица4[[#This Row],[Площадь общая, м2]]/28</f>
        <v>0.39584999999999998</v>
      </c>
      <c r="O23" s="514" t="s">
        <v>4681</v>
      </c>
      <c r="P23" s="514"/>
      <c r="Q23" s="515" t="s">
        <v>4679</v>
      </c>
      <c r="R23" s="516">
        <v>42</v>
      </c>
      <c r="S23" s="517">
        <v>7</v>
      </c>
      <c r="T23" s="516">
        <v>0.26390000000000002</v>
      </c>
      <c r="U23" s="516">
        <v>0.48099999999999998</v>
      </c>
      <c r="V23" s="516">
        <v>11.0838</v>
      </c>
      <c r="W23" s="516">
        <v>20.202000000000002</v>
      </c>
      <c r="X23" s="516">
        <v>1.44</v>
      </c>
      <c r="Y23" s="516">
        <v>64.66</v>
      </c>
      <c r="Z23" s="516">
        <v>245</v>
      </c>
      <c r="AA23" s="518">
        <v>2715.72</v>
      </c>
    </row>
    <row r="24" spans="1:27" s="339" customFormat="1" ht="19.899999999999999" hidden="1" customHeight="1" x14ac:dyDescent="0.25">
      <c r="A24" s="437" t="s">
        <v>4678</v>
      </c>
      <c r="B24" s="438">
        <v>5</v>
      </c>
      <c r="C24" s="438"/>
      <c r="D24" s="468" t="s">
        <v>4858</v>
      </c>
      <c r="E24" s="438" t="s">
        <v>893</v>
      </c>
      <c r="F24" s="440">
        <v>45301</v>
      </c>
      <c r="G24" s="440"/>
      <c r="H24" s="439" t="s">
        <v>23</v>
      </c>
      <c r="I24" s="441"/>
      <c r="J24" s="441"/>
      <c r="K24" s="441">
        <v>55</v>
      </c>
      <c r="L24" s="442"/>
      <c r="M24" s="443">
        <f>Таблица4[[#This Row],[Количество хлыстов]]-Таблица4[[#This Row],[Готово, хл]]-Таблица4[[#This Row],[Вывезено, хл]]</f>
        <v>0</v>
      </c>
      <c r="N24" s="444">
        <f>(Таблица4[[#This Row],[Осталось сделать, хлыст]]*Таблица4[[#This Row],[длина]]*Таблица4[[#This Row],[Периметр]])/28</f>
        <v>0</v>
      </c>
      <c r="O24" s="445"/>
      <c r="P24" s="445">
        <v>6</v>
      </c>
      <c r="Q24" s="445" t="s">
        <v>4682</v>
      </c>
      <c r="R24" s="447">
        <v>330</v>
      </c>
      <c r="S24" s="451">
        <v>55</v>
      </c>
      <c r="T24" s="447">
        <v>0.35859999999999997</v>
      </c>
      <c r="U24" s="447">
        <v>1.518</v>
      </c>
      <c r="V24" s="447">
        <v>118.33799999999999</v>
      </c>
      <c r="W24" s="447">
        <v>500.94</v>
      </c>
      <c r="X24" s="447">
        <v>15.38</v>
      </c>
      <c r="Y24" s="447">
        <v>178.32</v>
      </c>
      <c r="Z24" s="447">
        <v>335</v>
      </c>
      <c r="AA24" s="448">
        <v>58845.599999999999</v>
      </c>
    </row>
    <row r="25" spans="1:27" s="333" customFormat="1" ht="19.899999999999999" hidden="1" customHeight="1" x14ac:dyDescent="0.25">
      <c r="A25" s="348" t="s">
        <v>4678</v>
      </c>
      <c r="B25" s="353">
        <v>1</v>
      </c>
      <c r="C25" s="353" t="s">
        <v>4753</v>
      </c>
      <c r="D25" s="468" t="s">
        <v>4858</v>
      </c>
      <c r="E25" s="353" t="s">
        <v>30</v>
      </c>
      <c r="F25" s="320">
        <v>45292</v>
      </c>
      <c r="G25" s="320">
        <v>45343</v>
      </c>
      <c r="H25" s="560" t="s">
        <v>23</v>
      </c>
      <c r="I25" s="900"/>
      <c r="J25" s="900"/>
      <c r="K25" s="900"/>
      <c r="L25" s="763"/>
      <c r="M25" s="443">
        <f>Таблица4[[#This Row],[Количество хлыстов]]-Таблица4[[#This Row],[Готово, хл]]-Таблица4[[#This Row],[Вывезено, хл]]</f>
        <v>16</v>
      </c>
      <c r="N25" s="354">
        <v>10</v>
      </c>
      <c r="O25" s="305"/>
      <c r="P25" s="305"/>
      <c r="Q25" s="305" t="s">
        <v>742</v>
      </c>
      <c r="R25" s="305"/>
      <c r="S25" s="326">
        <v>16</v>
      </c>
      <c r="T25" s="305"/>
      <c r="U25" s="305"/>
      <c r="V25" s="305"/>
      <c r="W25" s="305"/>
      <c r="X25" s="305"/>
      <c r="Y25" s="305"/>
      <c r="Z25" s="305"/>
      <c r="AA25" s="396"/>
    </row>
    <row r="26" spans="1:27" s="333" customFormat="1" ht="19.899999999999999" hidden="1" customHeight="1" x14ac:dyDescent="0.25">
      <c r="A26" s="140" t="s">
        <v>4678</v>
      </c>
      <c r="B26" s="318">
        <v>1</v>
      </c>
      <c r="C26" s="318" t="s">
        <v>4753</v>
      </c>
      <c r="D26" s="468" t="s">
        <v>4858</v>
      </c>
      <c r="E26" s="318" t="s">
        <v>30</v>
      </c>
      <c r="F26" s="528">
        <v>45292</v>
      </c>
      <c r="G26" s="320">
        <v>45343</v>
      </c>
      <c r="H26" s="560" t="s">
        <v>23</v>
      </c>
      <c r="I26" s="800"/>
      <c r="J26" s="800"/>
      <c r="K26" s="800"/>
      <c r="L26" s="808"/>
      <c r="M26" s="443">
        <f>Таблица4[[#This Row],[Количество хлыстов]]-Таблица4[[#This Row],[Готово, хл]]-Таблица4[[#This Row],[Вывезено, хл]]</f>
        <v>4</v>
      </c>
      <c r="N26" s="563"/>
      <c r="O26" s="142"/>
      <c r="P26" s="142"/>
      <c r="Q26" s="142" t="s">
        <v>730</v>
      </c>
      <c r="R26" s="142"/>
      <c r="S26" s="526">
        <v>4</v>
      </c>
      <c r="T26" s="142"/>
      <c r="U26" s="142"/>
      <c r="V26" s="142"/>
      <c r="W26" s="142"/>
      <c r="X26" s="142"/>
      <c r="Y26" s="142"/>
      <c r="Z26" s="142"/>
      <c r="AA26" s="527"/>
    </row>
    <row r="27" spans="1:27" s="333" customFormat="1" ht="19.899999999999999" hidden="1" customHeight="1" x14ac:dyDescent="0.25">
      <c r="A27" s="140" t="s">
        <v>4678</v>
      </c>
      <c r="B27" s="318">
        <v>1</v>
      </c>
      <c r="C27" s="318" t="s">
        <v>4753</v>
      </c>
      <c r="D27" s="468" t="s">
        <v>4858</v>
      </c>
      <c r="E27" s="318" t="s">
        <v>30</v>
      </c>
      <c r="F27" s="528">
        <v>45292</v>
      </c>
      <c r="G27" s="320">
        <v>45343</v>
      </c>
      <c r="H27" s="560" t="s">
        <v>23</v>
      </c>
      <c r="I27" s="800"/>
      <c r="J27" s="800"/>
      <c r="K27" s="800"/>
      <c r="L27" s="808"/>
      <c r="M27" s="443">
        <f>Таблица4[[#This Row],[Количество хлыстов]]-Таблица4[[#This Row],[Готово, хл]]-Таблица4[[#This Row],[Вывезено, хл]]</f>
        <v>32</v>
      </c>
      <c r="N27" s="563"/>
      <c r="O27" s="142"/>
      <c r="P27" s="142"/>
      <c r="Q27" s="142" t="s">
        <v>731</v>
      </c>
      <c r="R27" s="142"/>
      <c r="S27" s="526">
        <v>32</v>
      </c>
      <c r="T27" s="142"/>
      <c r="U27" s="142"/>
      <c r="V27" s="142"/>
      <c r="W27" s="142"/>
      <c r="X27" s="142"/>
      <c r="Y27" s="142"/>
      <c r="Z27" s="142"/>
      <c r="AA27" s="527"/>
    </row>
    <row r="28" spans="1:27" s="333" customFormat="1" ht="19.899999999999999" hidden="1" customHeight="1" x14ac:dyDescent="0.25">
      <c r="A28" s="140" t="s">
        <v>4678</v>
      </c>
      <c r="B28" s="318">
        <v>1</v>
      </c>
      <c r="C28" s="318" t="s">
        <v>4753</v>
      </c>
      <c r="D28" s="468" t="s">
        <v>4858</v>
      </c>
      <c r="E28" s="318" t="s">
        <v>30</v>
      </c>
      <c r="F28" s="528">
        <v>45292</v>
      </c>
      <c r="G28" s="320">
        <v>45343</v>
      </c>
      <c r="H28" s="560" t="s">
        <v>23</v>
      </c>
      <c r="I28" s="800"/>
      <c r="J28" s="800"/>
      <c r="K28" s="800"/>
      <c r="L28" s="808"/>
      <c r="M28" s="443">
        <f>Таблица4[[#This Row],[Количество хлыстов]]-Таблица4[[#This Row],[Готово, хл]]-Таблица4[[#This Row],[Вывезено, хл]]</f>
        <v>140</v>
      </c>
      <c r="N28" s="563"/>
      <c r="O28" s="142"/>
      <c r="P28" s="142"/>
      <c r="Q28" s="142" t="s">
        <v>744</v>
      </c>
      <c r="R28" s="142"/>
      <c r="S28" s="526">
        <v>140</v>
      </c>
      <c r="T28" s="142"/>
      <c r="U28" s="142"/>
      <c r="V28" s="142"/>
      <c r="W28" s="142"/>
      <c r="X28" s="142"/>
      <c r="Y28" s="142"/>
      <c r="Z28" s="142"/>
      <c r="AA28" s="527"/>
    </row>
    <row r="29" spans="1:27" s="333" customFormat="1" ht="19.899999999999999" hidden="1" customHeight="1" x14ac:dyDescent="0.25">
      <c r="A29" s="140" t="s">
        <v>4678</v>
      </c>
      <c r="B29" s="318">
        <v>1</v>
      </c>
      <c r="C29" s="318" t="s">
        <v>4753</v>
      </c>
      <c r="D29" s="468" t="s">
        <v>4858</v>
      </c>
      <c r="E29" s="318" t="s">
        <v>30</v>
      </c>
      <c r="F29" s="528">
        <v>45292</v>
      </c>
      <c r="G29" s="320">
        <v>45343</v>
      </c>
      <c r="H29" s="560" t="s">
        <v>23</v>
      </c>
      <c r="I29" s="800"/>
      <c r="J29" s="800"/>
      <c r="K29" s="800"/>
      <c r="L29" s="808"/>
      <c r="M29" s="443">
        <f>Таблица4[[#This Row],[Количество хлыстов]]-Таблица4[[#This Row],[Готово, хл]]-Таблица4[[#This Row],[Вывезено, хл]]</f>
        <v>20</v>
      </c>
      <c r="N29" s="563">
        <v>2</v>
      </c>
      <c r="O29" s="142"/>
      <c r="P29" s="142"/>
      <c r="Q29" s="142" t="s">
        <v>733</v>
      </c>
      <c r="R29" s="142"/>
      <c r="S29" s="526">
        <v>20</v>
      </c>
      <c r="T29" s="142"/>
      <c r="U29" s="142"/>
      <c r="V29" s="142"/>
      <c r="W29" s="142"/>
      <c r="X29" s="142"/>
      <c r="Y29" s="142"/>
      <c r="Z29" s="142"/>
      <c r="AA29" s="527"/>
    </row>
    <row r="30" spans="1:27" s="333" customFormat="1" ht="19.899999999999999" hidden="1" customHeight="1" x14ac:dyDescent="0.25">
      <c r="A30" s="140" t="s">
        <v>4678</v>
      </c>
      <c r="B30" s="318">
        <v>1</v>
      </c>
      <c r="C30" s="318" t="s">
        <v>4753</v>
      </c>
      <c r="D30" s="468" t="s">
        <v>4858</v>
      </c>
      <c r="E30" s="318" t="s">
        <v>30</v>
      </c>
      <c r="F30" s="528">
        <v>45292</v>
      </c>
      <c r="G30" s="320">
        <v>45343</v>
      </c>
      <c r="H30" s="560" t="s">
        <v>23</v>
      </c>
      <c r="I30" s="800"/>
      <c r="J30" s="800"/>
      <c r="K30" s="800"/>
      <c r="L30" s="808"/>
      <c r="M30" s="443">
        <f>Таблица4[[#This Row],[Количество хлыстов]]-Таблица4[[#This Row],[Готово, хл]]-Таблица4[[#This Row],[Вывезено, хл]]</f>
        <v>4</v>
      </c>
      <c r="N30" s="563"/>
      <c r="O30" s="142"/>
      <c r="P30" s="142"/>
      <c r="Q30" s="142" t="s">
        <v>1255</v>
      </c>
      <c r="R30" s="142"/>
      <c r="S30" s="526">
        <v>4</v>
      </c>
      <c r="T30" s="142"/>
      <c r="U30" s="142"/>
      <c r="V30" s="142"/>
      <c r="W30" s="142"/>
      <c r="X30" s="142"/>
      <c r="Y30" s="142"/>
      <c r="Z30" s="142"/>
      <c r="AA30" s="527"/>
    </row>
    <row r="31" spans="1:27" s="333" customFormat="1" ht="19.899999999999999" hidden="1" customHeight="1" x14ac:dyDescent="0.25">
      <c r="A31" s="140" t="s">
        <v>4678</v>
      </c>
      <c r="B31" s="318">
        <v>1</v>
      </c>
      <c r="C31" s="318" t="s">
        <v>4753</v>
      </c>
      <c r="D31" s="468" t="s">
        <v>4858</v>
      </c>
      <c r="E31" s="318" t="s">
        <v>30</v>
      </c>
      <c r="F31" s="528">
        <v>45292</v>
      </c>
      <c r="G31" s="320">
        <v>45343</v>
      </c>
      <c r="H31" s="560" t="s">
        <v>23</v>
      </c>
      <c r="I31" s="800"/>
      <c r="J31" s="800"/>
      <c r="K31" s="800"/>
      <c r="L31" s="808"/>
      <c r="M31" s="443">
        <f>Таблица4[[#This Row],[Количество хлыстов]]-Таблица4[[#This Row],[Готово, хл]]-Таблица4[[#This Row],[Вывезено, хл]]</f>
        <v>4</v>
      </c>
      <c r="N31" s="563"/>
      <c r="O31" s="142"/>
      <c r="P31" s="142"/>
      <c r="Q31" s="142" t="s">
        <v>739</v>
      </c>
      <c r="R31" s="142"/>
      <c r="S31" s="526">
        <v>4</v>
      </c>
      <c r="T31" s="142"/>
      <c r="U31" s="142"/>
      <c r="V31" s="142"/>
      <c r="W31" s="142"/>
      <c r="X31" s="142"/>
      <c r="Y31" s="142"/>
      <c r="Z31" s="142"/>
      <c r="AA31" s="527"/>
    </row>
    <row r="32" spans="1:27" s="333" customFormat="1" ht="19.899999999999999" hidden="1" customHeight="1" x14ac:dyDescent="0.25">
      <c r="A32" s="140" t="s">
        <v>4678</v>
      </c>
      <c r="B32" s="318">
        <v>1</v>
      </c>
      <c r="C32" s="318" t="s">
        <v>4753</v>
      </c>
      <c r="D32" s="468" t="s">
        <v>4858</v>
      </c>
      <c r="E32" s="318" t="s">
        <v>30</v>
      </c>
      <c r="F32" s="528">
        <v>45292</v>
      </c>
      <c r="G32" s="320">
        <v>45343</v>
      </c>
      <c r="H32" s="560" t="s">
        <v>23</v>
      </c>
      <c r="I32" s="800"/>
      <c r="J32" s="800"/>
      <c r="K32" s="800"/>
      <c r="L32" s="808"/>
      <c r="M32" s="443">
        <f>Таблица4[[#This Row],[Количество хлыстов]]-Таблица4[[#This Row],[Готово, хл]]-Таблица4[[#This Row],[Вывезено, хл]]</f>
        <v>8</v>
      </c>
      <c r="N32" s="563"/>
      <c r="O32" s="142"/>
      <c r="P32" s="142"/>
      <c r="Q32" s="142" t="s">
        <v>740</v>
      </c>
      <c r="R32" s="142"/>
      <c r="S32" s="526">
        <v>8</v>
      </c>
      <c r="T32" s="142"/>
      <c r="U32" s="142"/>
      <c r="V32" s="142"/>
      <c r="W32" s="142"/>
      <c r="X32" s="142"/>
      <c r="Y32" s="142"/>
      <c r="Z32" s="142"/>
      <c r="AA32" s="527"/>
    </row>
    <row r="33" spans="1:27" s="333" customFormat="1" ht="19.899999999999999" hidden="1" customHeight="1" x14ac:dyDescent="0.25">
      <c r="A33" s="140" t="s">
        <v>4678</v>
      </c>
      <c r="B33" s="318">
        <v>1</v>
      </c>
      <c r="C33" s="318" t="s">
        <v>4753</v>
      </c>
      <c r="D33" s="468" t="s">
        <v>4858</v>
      </c>
      <c r="E33" s="318" t="s">
        <v>30</v>
      </c>
      <c r="F33" s="528">
        <v>45292</v>
      </c>
      <c r="G33" s="320">
        <v>45343</v>
      </c>
      <c r="H33" s="560" t="s">
        <v>23</v>
      </c>
      <c r="I33" s="800"/>
      <c r="J33" s="800"/>
      <c r="K33" s="800"/>
      <c r="L33" s="808"/>
      <c r="M33" s="443">
        <f>Таблица4[[#This Row],[Количество хлыстов]]-Таблица4[[#This Row],[Готово, хл]]-Таблица4[[#This Row],[Вывезено, хл]]</f>
        <v>4</v>
      </c>
      <c r="N33" s="563"/>
      <c r="O33" s="142"/>
      <c r="P33" s="142"/>
      <c r="Q33" s="142" t="s">
        <v>1243</v>
      </c>
      <c r="R33" s="142"/>
      <c r="S33" s="526">
        <v>4</v>
      </c>
      <c r="T33" s="142"/>
      <c r="U33" s="142"/>
      <c r="V33" s="142"/>
      <c r="W33" s="142"/>
      <c r="X33" s="142"/>
      <c r="Y33" s="142"/>
      <c r="Z33" s="142"/>
      <c r="AA33" s="527"/>
    </row>
    <row r="34" spans="1:27" s="333" customFormat="1" ht="19.899999999999999" hidden="1" customHeight="1" x14ac:dyDescent="0.25">
      <c r="A34" s="140" t="s">
        <v>4678</v>
      </c>
      <c r="B34" s="318">
        <v>1</v>
      </c>
      <c r="C34" s="318" t="s">
        <v>4753</v>
      </c>
      <c r="D34" s="468" t="s">
        <v>4858</v>
      </c>
      <c r="E34" s="318" t="s">
        <v>30</v>
      </c>
      <c r="F34" s="528">
        <v>45292</v>
      </c>
      <c r="G34" s="320">
        <v>45343</v>
      </c>
      <c r="H34" s="561" t="s">
        <v>23</v>
      </c>
      <c r="I34" s="800"/>
      <c r="J34" s="800"/>
      <c r="K34" s="800"/>
      <c r="L34" s="808"/>
      <c r="M34" s="443">
        <f>Таблица4[[#This Row],[Количество хлыстов]]-Таблица4[[#This Row],[Готово, хл]]-Таблица4[[#This Row],[Вывезено, хл]]</f>
        <v>44</v>
      </c>
      <c r="N34" s="563">
        <v>4</v>
      </c>
      <c r="O34" s="142"/>
      <c r="P34" s="142"/>
      <c r="Q34" s="142" t="s">
        <v>741</v>
      </c>
      <c r="R34" s="142"/>
      <c r="S34" s="526">
        <v>44</v>
      </c>
      <c r="T34" s="142"/>
      <c r="U34" s="142"/>
      <c r="V34" s="142"/>
      <c r="W34" s="142"/>
      <c r="X34" s="142"/>
      <c r="Y34" s="142"/>
      <c r="Z34" s="142"/>
      <c r="AA34" s="527"/>
    </row>
    <row r="35" spans="1:27" s="333" customFormat="1" ht="19.899999999999999" hidden="1" customHeight="1" x14ac:dyDescent="0.25">
      <c r="A35" s="140" t="s">
        <v>4678</v>
      </c>
      <c r="B35" s="318">
        <v>1</v>
      </c>
      <c r="C35" s="318" t="s">
        <v>4753</v>
      </c>
      <c r="D35" s="468" t="s">
        <v>4858</v>
      </c>
      <c r="E35" s="318" t="s">
        <v>30</v>
      </c>
      <c r="F35" s="528">
        <v>45292</v>
      </c>
      <c r="G35" s="320">
        <v>45343</v>
      </c>
      <c r="H35" s="560" t="s">
        <v>23</v>
      </c>
      <c r="I35" s="800"/>
      <c r="J35" s="800"/>
      <c r="K35" s="800"/>
      <c r="L35" s="808"/>
      <c r="M35" s="443">
        <f>Таблица4[[#This Row],[Количество хлыстов]]-Таблица4[[#This Row],[Готово, хл]]-Таблица4[[#This Row],[Вывезено, хл]]</f>
        <v>4</v>
      </c>
      <c r="N35" s="563"/>
      <c r="O35" s="142"/>
      <c r="P35" s="142"/>
      <c r="Q35" s="142" t="s">
        <v>745</v>
      </c>
      <c r="R35" s="142"/>
      <c r="S35" s="526">
        <v>4</v>
      </c>
      <c r="T35" s="142"/>
      <c r="U35" s="142"/>
      <c r="V35" s="142"/>
      <c r="W35" s="142"/>
      <c r="X35" s="142"/>
      <c r="Y35" s="142"/>
      <c r="Z35" s="142"/>
      <c r="AA35" s="527"/>
    </row>
    <row r="36" spans="1:27" s="333" customFormat="1" ht="19.899999999999999" hidden="1" customHeight="1" x14ac:dyDescent="0.25">
      <c r="A36" s="140" t="s">
        <v>4678</v>
      </c>
      <c r="B36" s="318">
        <v>1</v>
      </c>
      <c r="C36" s="318" t="s">
        <v>4753</v>
      </c>
      <c r="D36" s="468" t="s">
        <v>4858</v>
      </c>
      <c r="E36" s="318" t="s">
        <v>30</v>
      </c>
      <c r="F36" s="528">
        <v>45292</v>
      </c>
      <c r="G36" s="320">
        <v>45343</v>
      </c>
      <c r="H36" s="560" t="s">
        <v>23</v>
      </c>
      <c r="I36" s="800"/>
      <c r="J36" s="800"/>
      <c r="K36" s="800"/>
      <c r="L36" s="808"/>
      <c r="M36" s="443">
        <f>Таблица4[[#This Row],[Количество хлыстов]]-Таблица4[[#This Row],[Готово, хл]]-Таблица4[[#This Row],[Вывезено, хл]]</f>
        <v>32</v>
      </c>
      <c r="N36" s="563"/>
      <c r="O36" s="142"/>
      <c r="P36" s="142"/>
      <c r="Q36" s="142" t="s">
        <v>3727</v>
      </c>
      <c r="R36" s="142"/>
      <c r="S36" s="526">
        <v>32</v>
      </c>
      <c r="T36" s="142"/>
      <c r="U36" s="142"/>
      <c r="V36" s="142"/>
      <c r="W36" s="142"/>
      <c r="X36" s="142"/>
      <c r="Y36" s="142"/>
      <c r="Z36" s="142"/>
      <c r="AA36" s="527"/>
    </row>
    <row r="37" spans="1:27" s="333" customFormat="1" ht="19.899999999999999" hidden="1" customHeight="1" x14ac:dyDescent="0.25">
      <c r="A37" s="140" t="s">
        <v>4678</v>
      </c>
      <c r="B37" s="318">
        <v>1</v>
      </c>
      <c r="C37" s="318" t="s">
        <v>4753</v>
      </c>
      <c r="D37" s="468" t="s">
        <v>4858</v>
      </c>
      <c r="E37" s="318" t="s">
        <v>30</v>
      </c>
      <c r="F37" s="528">
        <v>45292</v>
      </c>
      <c r="G37" s="320">
        <v>45343</v>
      </c>
      <c r="H37" s="560" t="s">
        <v>23</v>
      </c>
      <c r="I37" s="800"/>
      <c r="J37" s="800"/>
      <c r="K37" s="800"/>
      <c r="L37" s="808"/>
      <c r="M37" s="443">
        <f>Таблица4[[#This Row],[Количество хлыстов]]-Таблица4[[#This Row],[Готово, хл]]-Таблица4[[#This Row],[Вывезено, хл]]</f>
        <v>16</v>
      </c>
      <c r="N37" s="563"/>
      <c r="O37" s="142"/>
      <c r="P37" s="142"/>
      <c r="Q37" s="142" t="s">
        <v>737</v>
      </c>
      <c r="R37" s="142"/>
      <c r="S37" s="526">
        <v>16</v>
      </c>
      <c r="T37" s="142"/>
      <c r="U37" s="142"/>
      <c r="V37" s="142"/>
      <c r="W37" s="142"/>
      <c r="X37" s="142"/>
      <c r="Y37" s="142"/>
      <c r="Z37" s="142"/>
      <c r="AA37" s="527"/>
    </row>
    <row r="38" spans="1:27" s="333" customFormat="1" ht="19.899999999999999" hidden="1" customHeight="1" x14ac:dyDescent="0.25">
      <c r="A38" s="147" t="s">
        <v>4678</v>
      </c>
      <c r="B38" s="521">
        <v>1</v>
      </c>
      <c r="C38" s="521"/>
      <c r="D38" s="468" t="s">
        <v>4858</v>
      </c>
      <c r="E38" s="290" t="s">
        <v>2205</v>
      </c>
      <c r="F38" s="143">
        <v>45301</v>
      </c>
      <c r="G38" s="143"/>
      <c r="H38" s="142" t="s">
        <v>23</v>
      </c>
      <c r="I38" s="562"/>
      <c r="J38" s="562"/>
      <c r="K38" s="562">
        <v>26</v>
      </c>
      <c r="L38" s="563"/>
      <c r="M38" s="443">
        <f>Таблица4[[#This Row],[Количество хлыстов]]-Таблица4[[#This Row],[Готово, хл]]-Таблица4[[#This Row],[Вывезено, хл]]</f>
        <v>0</v>
      </c>
      <c r="N38" s="564">
        <f>Таблица4[[#This Row],[Площадь общая, м2]]/28</f>
        <v>2.5848964285714287</v>
      </c>
      <c r="O38" s="142"/>
      <c r="P38" s="145">
        <v>3.05</v>
      </c>
      <c r="Q38" s="142" t="s">
        <v>1362</v>
      </c>
      <c r="R38" s="142">
        <v>79.3</v>
      </c>
      <c r="S38" s="526">
        <v>26</v>
      </c>
      <c r="T38" s="142">
        <v>0.91269999999999996</v>
      </c>
      <c r="U38" s="142">
        <v>4.5439999999999996</v>
      </c>
      <c r="V38" s="142">
        <v>72.377099999999999</v>
      </c>
      <c r="W38" s="142">
        <v>360.33920000000001</v>
      </c>
      <c r="X38" s="142">
        <v>9.41</v>
      </c>
      <c r="Y38" s="142">
        <v>384.44</v>
      </c>
      <c r="Z38" s="142">
        <v>421.22</v>
      </c>
      <c r="AA38" s="527">
        <v>30486.09</v>
      </c>
    </row>
    <row r="39" spans="1:27" s="333" customFormat="1" ht="19.899999999999999" hidden="1" customHeight="1" x14ac:dyDescent="0.25">
      <c r="A39" s="344" t="s">
        <v>4678</v>
      </c>
      <c r="B39" s="321">
        <v>12</v>
      </c>
      <c r="C39" s="321" t="s">
        <v>4753</v>
      </c>
      <c r="D39" s="468" t="s">
        <v>4858</v>
      </c>
      <c r="E39" s="321" t="s">
        <v>4616</v>
      </c>
      <c r="F39" s="310">
        <v>45302</v>
      </c>
      <c r="G39" s="310"/>
      <c r="H39" s="565" t="s">
        <v>23</v>
      </c>
      <c r="I39" s="384"/>
      <c r="J39" s="384"/>
      <c r="K39" s="384"/>
      <c r="L39" s="385"/>
      <c r="M39" s="443">
        <f>Таблица4[[#This Row],[Количество хлыстов]]-Таблица4[[#This Row],[Готово, хл]]-Таблица4[[#This Row],[Вывезено, хл]]</f>
        <v>0</v>
      </c>
      <c r="N39" s="345">
        <v>1</v>
      </c>
      <c r="O39" s="145"/>
      <c r="P39" s="145"/>
      <c r="Q39" s="145" t="s">
        <v>4758</v>
      </c>
      <c r="R39" s="145"/>
      <c r="S39" s="322"/>
      <c r="T39" s="145"/>
      <c r="U39" s="145"/>
      <c r="V39" s="145"/>
      <c r="W39" s="145"/>
      <c r="X39" s="145"/>
      <c r="Y39" s="145"/>
      <c r="Z39" s="145"/>
      <c r="AA39" s="397" t="s">
        <v>797</v>
      </c>
    </row>
    <row r="40" spans="1:27" s="339" customFormat="1" ht="19.899999999999999" hidden="1" customHeight="1" x14ac:dyDescent="0.25">
      <c r="A40" s="437" t="s">
        <v>4678</v>
      </c>
      <c r="B40" s="438">
        <v>6</v>
      </c>
      <c r="C40" s="438"/>
      <c r="D40" s="468" t="s">
        <v>4858</v>
      </c>
      <c r="E40" s="438" t="s">
        <v>657</v>
      </c>
      <c r="F40" s="440">
        <v>45302</v>
      </c>
      <c r="G40" s="440"/>
      <c r="H40" s="439" t="s">
        <v>23</v>
      </c>
      <c r="I40" s="449"/>
      <c r="J40" s="449"/>
      <c r="K40" s="449"/>
      <c r="L40" s="450"/>
      <c r="M40" s="443">
        <f>Таблица4[[#This Row],[Количество хлыстов]]-Таблица4[[#This Row],[Готово, хл]]-Таблица4[[#This Row],[Вывезено, хл]]</f>
        <v>102</v>
      </c>
      <c r="N40" s="444">
        <f>Таблица4[[#This Row],[Площадь общая, м2]]/28</f>
        <v>3.6425642857142857</v>
      </c>
      <c r="O40" s="445" t="s">
        <v>4721</v>
      </c>
      <c r="P40" s="445"/>
      <c r="Q40" s="445" t="s">
        <v>2963</v>
      </c>
      <c r="R40" s="447">
        <v>591.6</v>
      </c>
      <c r="S40" s="451">
        <v>102</v>
      </c>
      <c r="T40" s="447">
        <v>0.1724</v>
      </c>
      <c r="U40" s="447">
        <v>0.41499999999999998</v>
      </c>
      <c r="V40" s="447">
        <v>101.9918</v>
      </c>
      <c r="W40" s="447">
        <v>245.51400000000001</v>
      </c>
      <c r="X40" s="447">
        <v>13.26</v>
      </c>
      <c r="Y40" s="447">
        <v>62.93</v>
      </c>
      <c r="Z40" s="447">
        <v>365</v>
      </c>
      <c r="AA40" s="448">
        <v>37227.019999999997</v>
      </c>
    </row>
    <row r="41" spans="1:27" s="339" customFormat="1" ht="19.899999999999999" hidden="1" customHeight="1" x14ac:dyDescent="0.25">
      <c r="A41" s="437" t="s">
        <v>4678</v>
      </c>
      <c r="B41" s="452">
        <v>7</v>
      </c>
      <c r="C41" s="452"/>
      <c r="D41" s="468" t="s">
        <v>4858</v>
      </c>
      <c r="E41" s="439" t="s">
        <v>489</v>
      </c>
      <c r="F41" s="440">
        <v>45303</v>
      </c>
      <c r="G41" s="440"/>
      <c r="H41" s="439" t="s">
        <v>23</v>
      </c>
      <c r="I41" s="441"/>
      <c r="J41" s="441"/>
      <c r="K41" s="441"/>
      <c r="L41" s="442"/>
      <c r="M41" s="443">
        <f>Таблица4[[#This Row],[Количество хлыстов]]-Таблица4[[#This Row],[Готово, хл]]-Таблица4[[#This Row],[Вывезено, хл]]</f>
        <v>156</v>
      </c>
      <c r="N41" s="444">
        <f>Таблица4[[#This Row],[Площадь общая, м2]]/28</f>
        <v>2.5589571428571429</v>
      </c>
      <c r="O41" s="445" t="s">
        <v>4721</v>
      </c>
      <c r="P41" s="445"/>
      <c r="Q41" s="445" t="s">
        <v>783</v>
      </c>
      <c r="R41" s="447">
        <v>468</v>
      </c>
      <c r="S41" s="451">
        <v>156</v>
      </c>
      <c r="T41" s="447">
        <v>0.15310000000000001</v>
      </c>
      <c r="U41" s="447">
        <v>1.1000000000000001</v>
      </c>
      <c r="V41" s="447">
        <v>71.650800000000004</v>
      </c>
      <c r="W41" s="447">
        <v>514.79999999999995</v>
      </c>
      <c r="X41" s="447">
        <v>9.31</v>
      </c>
      <c r="Y41" s="447">
        <v>51.29</v>
      </c>
      <c r="Z41" s="447">
        <v>335</v>
      </c>
      <c r="AA41" s="448">
        <v>24003.02</v>
      </c>
    </row>
    <row r="42" spans="1:27" s="339" customFormat="1" ht="19.899999999999999" hidden="1" customHeight="1" x14ac:dyDescent="0.25">
      <c r="A42" s="437" t="s">
        <v>4678</v>
      </c>
      <c r="B42" s="452" t="s">
        <v>4683</v>
      </c>
      <c r="C42" s="452"/>
      <c r="D42" s="468" t="s">
        <v>4858</v>
      </c>
      <c r="E42" s="439" t="s">
        <v>16</v>
      </c>
      <c r="F42" s="440">
        <v>45301</v>
      </c>
      <c r="G42" s="440"/>
      <c r="H42" s="439" t="s">
        <v>23</v>
      </c>
      <c r="I42" s="449"/>
      <c r="J42" s="449"/>
      <c r="K42" s="449"/>
      <c r="L42" s="450">
        <f>136+4+4</f>
        <v>144</v>
      </c>
      <c r="M42" s="443">
        <f>Таблица4[[#This Row],[Количество хлыстов]]-Таблица4[[#This Row],[Готово, хл]]-Таблица4[[#This Row],[Вывезено, хл]]</f>
        <v>4</v>
      </c>
      <c r="N42" s="444">
        <f>(Таблица4[[#This Row],[Осталось сделать, хлыст]]*Таблица4[[#This Row],[длина]]*Таблица4[[#This Row],[Периметр]])/28</f>
        <v>0.25688571428571427</v>
      </c>
      <c r="O42" s="445" t="s">
        <v>4983</v>
      </c>
      <c r="P42" s="445">
        <v>6</v>
      </c>
      <c r="Q42" s="445" t="s">
        <v>2423</v>
      </c>
      <c r="R42" s="447">
        <v>888</v>
      </c>
      <c r="S42" s="451">
        <v>148</v>
      </c>
      <c r="T42" s="447">
        <v>0.29970000000000002</v>
      </c>
      <c r="U42" s="447">
        <v>1.6739999999999999</v>
      </c>
      <c r="V42" s="447">
        <v>266.1336</v>
      </c>
      <c r="W42" s="447">
        <v>1486.5119999999999</v>
      </c>
      <c r="X42" s="447">
        <v>34.6</v>
      </c>
      <c r="Y42" s="447">
        <v>109.39</v>
      </c>
      <c r="Z42" s="447">
        <v>365</v>
      </c>
      <c r="AA42" s="448">
        <v>97138.76</v>
      </c>
    </row>
    <row r="43" spans="1:27" s="339" customFormat="1" ht="19.899999999999999" hidden="1" customHeight="1" x14ac:dyDescent="0.25">
      <c r="A43" s="499" t="s">
        <v>4678</v>
      </c>
      <c r="B43" s="438">
        <v>8</v>
      </c>
      <c r="C43" s="438"/>
      <c r="D43" s="468" t="s">
        <v>4858</v>
      </c>
      <c r="E43" s="439" t="s">
        <v>2217</v>
      </c>
      <c r="F43" s="440">
        <v>45303</v>
      </c>
      <c r="G43" s="469">
        <v>45378</v>
      </c>
      <c r="H43" s="439" t="s">
        <v>23</v>
      </c>
      <c r="I43" s="441"/>
      <c r="J43" s="441"/>
      <c r="K43" s="441"/>
      <c r="L43" s="442">
        <v>68</v>
      </c>
      <c r="M43" s="443">
        <f>Таблица4[[#This Row],[Количество хлыстов]]-Таблица4[[#This Row],[Готово, хл]]-Таблица4[[#This Row],[Вывезено, хл]]</f>
        <v>1</v>
      </c>
      <c r="N43" s="486">
        <f>(Таблица4[[#This Row],[Осталось сделать, хлыст]]*Таблица4[[#This Row],[длина]]*Таблица4[[#This Row],[Периметр]])/25</f>
        <v>0.16652020000000001</v>
      </c>
      <c r="O43" s="445" t="s">
        <v>1707</v>
      </c>
      <c r="P43" s="447">
        <v>6.05</v>
      </c>
      <c r="Q43" s="445" t="s">
        <v>3825</v>
      </c>
      <c r="R43" s="447">
        <v>417.45</v>
      </c>
      <c r="S43" s="451">
        <v>69</v>
      </c>
      <c r="T43" s="447">
        <v>0.68810000000000004</v>
      </c>
      <c r="U43" s="447">
        <v>2.7810000000000001</v>
      </c>
      <c r="V43" s="447">
        <v>287.2473</v>
      </c>
      <c r="W43" s="447">
        <v>1160.9285</v>
      </c>
      <c r="X43" s="447">
        <v>37.340000000000003</v>
      </c>
      <c r="Y43" s="447">
        <v>325.47000000000003</v>
      </c>
      <c r="Z43" s="447">
        <v>473</v>
      </c>
      <c r="AA43" s="448">
        <v>135867.99</v>
      </c>
    </row>
    <row r="44" spans="1:27" s="418" customFormat="1" ht="17.45" hidden="1" customHeight="1" x14ac:dyDescent="0.25">
      <c r="A44" s="507" t="s">
        <v>4978</v>
      </c>
      <c r="B44" s="508">
        <v>9</v>
      </c>
      <c r="C44" s="508"/>
      <c r="D44" s="468" t="s">
        <v>4858</v>
      </c>
      <c r="E44" s="509" t="s">
        <v>4722</v>
      </c>
      <c r="F44" s="510">
        <v>45303</v>
      </c>
      <c r="G44" s="510"/>
      <c r="H44" s="508" t="s">
        <v>23</v>
      </c>
      <c r="I44" s="511"/>
      <c r="J44" s="511"/>
      <c r="K44" s="511"/>
      <c r="L44" s="512"/>
      <c r="M44" s="443">
        <f>Таблица4[[#This Row],[Количество хлыстов]]-Таблица4[[#This Row],[Готово, хл]]-Таблица4[[#This Row],[Вывезено, хл]]</f>
        <v>248</v>
      </c>
      <c r="N44" s="513">
        <f>Таблица4[[#This Row],[Площадь общая, м2]]/28</f>
        <v>17.844042857142856</v>
      </c>
      <c r="O44" s="514" t="s">
        <v>4723</v>
      </c>
      <c r="P44" s="514"/>
      <c r="Q44" s="515" t="s">
        <v>4724</v>
      </c>
      <c r="R44" s="516">
        <v>1500.4</v>
      </c>
      <c r="S44" s="517">
        <v>248</v>
      </c>
      <c r="T44" s="516">
        <v>0.33300000000000002</v>
      </c>
      <c r="U44" s="516">
        <v>0.86599999999999999</v>
      </c>
      <c r="V44" s="516">
        <v>499.63319999999999</v>
      </c>
      <c r="W44" s="516">
        <v>1299.3463999999999</v>
      </c>
      <c r="X44" s="516">
        <v>64.95</v>
      </c>
      <c r="Y44" s="516">
        <v>103.23</v>
      </c>
      <c r="Z44" s="516">
        <v>310</v>
      </c>
      <c r="AA44" s="518">
        <v>154886.29</v>
      </c>
    </row>
    <row r="45" spans="1:27" s="333" customFormat="1" ht="19.899999999999999" hidden="1" customHeight="1" x14ac:dyDescent="0.25">
      <c r="A45" s="348" t="s">
        <v>4678</v>
      </c>
      <c r="B45" s="424">
        <v>8</v>
      </c>
      <c r="C45" s="424" t="s">
        <v>4753</v>
      </c>
      <c r="D45" s="468" t="s">
        <v>4858</v>
      </c>
      <c r="E45" s="496" t="s">
        <v>799</v>
      </c>
      <c r="F45" s="566">
        <v>45301</v>
      </c>
      <c r="G45" s="567">
        <v>45356</v>
      </c>
      <c r="H45" s="560" t="s">
        <v>23</v>
      </c>
      <c r="I45" s="900"/>
      <c r="J45" s="900"/>
      <c r="K45" s="900">
        <v>113</v>
      </c>
      <c r="L45" s="763"/>
      <c r="M45" s="443">
        <f>Таблица4[[#This Row],[Количество хлыстов]]-Таблица4[[#This Row],[Готово, хл]]-Таблица4[[#This Row],[Вывезено, хл]]</f>
        <v>0</v>
      </c>
      <c r="N45" s="354">
        <v>7</v>
      </c>
      <c r="O45" s="305"/>
      <c r="P45" s="305"/>
      <c r="Q45" s="305" t="s">
        <v>4743</v>
      </c>
      <c r="R45" s="305" t="s">
        <v>4750</v>
      </c>
      <c r="S45" s="326">
        <v>113</v>
      </c>
      <c r="T45" s="305"/>
      <c r="U45" s="305"/>
      <c r="V45" s="305"/>
      <c r="W45" s="305"/>
      <c r="X45" s="305"/>
      <c r="Y45" s="305"/>
      <c r="Z45" s="305"/>
      <c r="AA45" s="396"/>
    </row>
    <row r="46" spans="1:27" s="333" customFormat="1" ht="19.899999999999999" hidden="1" customHeight="1" x14ac:dyDescent="0.25">
      <c r="A46" s="140" t="s">
        <v>4678</v>
      </c>
      <c r="B46" s="308">
        <v>9</v>
      </c>
      <c r="C46" s="308" t="s">
        <v>4753</v>
      </c>
      <c r="D46" s="468" t="s">
        <v>4858</v>
      </c>
      <c r="E46" s="217" t="s">
        <v>4697</v>
      </c>
      <c r="F46" s="319">
        <v>45301</v>
      </c>
      <c r="G46" s="319"/>
      <c r="H46" s="390" t="s">
        <v>677</v>
      </c>
      <c r="I46" s="800"/>
      <c r="J46" s="800"/>
      <c r="K46" s="800"/>
      <c r="L46" s="808"/>
      <c r="M46" s="443">
        <f>Таблица4[[#This Row],[Количество хлыстов]]-Таблица4[[#This Row],[Готово, хл]]-Таблица4[[#This Row],[Вывезено, хл]]</f>
        <v>12</v>
      </c>
      <c r="N46" s="323">
        <v>2</v>
      </c>
      <c r="O46" s="13"/>
      <c r="P46" s="13"/>
      <c r="Q46" s="13" t="s">
        <v>4684</v>
      </c>
      <c r="R46" s="13" t="s">
        <v>70</v>
      </c>
      <c r="S46" s="117">
        <v>12</v>
      </c>
      <c r="T46" s="13"/>
      <c r="U46" s="13"/>
      <c r="V46" s="13"/>
      <c r="W46" s="13"/>
      <c r="X46" s="13"/>
      <c r="Y46" s="13"/>
      <c r="Z46" s="13"/>
      <c r="AA46" s="399" t="s">
        <v>4692</v>
      </c>
    </row>
    <row r="47" spans="1:27" s="333" customFormat="1" ht="19.899999999999999" hidden="1" customHeight="1" x14ac:dyDescent="0.25">
      <c r="A47" s="140" t="s">
        <v>4678</v>
      </c>
      <c r="B47" s="308">
        <v>9</v>
      </c>
      <c r="C47" s="308" t="s">
        <v>4753</v>
      </c>
      <c r="D47" s="468" t="s">
        <v>4858</v>
      </c>
      <c r="E47" s="217" t="s">
        <v>4697</v>
      </c>
      <c r="F47" s="319">
        <v>45301</v>
      </c>
      <c r="G47" s="319"/>
      <c r="H47" s="390" t="s">
        <v>677</v>
      </c>
      <c r="I47" s="800"/>
      <c r="J47" s="800"/>
      <c r="K47" s="800"/>
      <c r="L47" s="808"/>
      <c r="M47" s="443">
        <f>Таблица4[[#This Row],[Количество хлыстов]]-Таблица4[[#This Row],[Готово, хл]]-Таблица4[[#This Row],[Вывезено, хл]]</f>
        <v>6</v>
      </c>
      <c r="N47" s="323"/>
      <c r="O47" s="13"/>
      <c r="P47" s="13"/>
      <c r="Q47" s="13" t="s">
        <v>4685</v>
      </c>
      <c r="R47" s="13" t="s">
        <v>103</v>
      </c>
      <c r="S47" s="117">
        <v>6</v>
      </c>
      <c r="T47" s="13"/>
      <c r="U47" s="13"/>
      <c r="V47" s="13"/>
      <c r="W47" s="13"/>
      <c r="X47" s="13"/>
      <c r="Y47" s="13"/>
      <c r="Z47" s="13"/>
      <c r="AA47" s="399" t="s">
        <v>4693</v>
      </c>
    </row>
    <row r="48" spans="1:27" s="333" customFormat="1" ht="19.899999999999999" hidden="1" customHeight="1" x14ac:dyDescent="0.25">
      <c r="A48" s="140" t="s">
        <v>4678</v>
      </c>
      <c r="B48" s="308">
        <v>9</v>
      </c>
      <c r="C48" s="308" t="s">
        <v>4753</v>
      </c>
      <c r="D48" s="468" t="s">
        <v>4858</v>
      </c>
      <c r="E48" s="217" t="s">
        <v>4697</v>
      </c>
      <c r="F48" s="319">
        <v>45301</v>
      </c>
      <c r="G48" s="319"/>
      <c r="H48" s="390" t="s">
        <v>677</v>
      </c>
      <c r="I48" s="800"/>
      <c r="J48" s="800"/>
      <c r="K48" s="800"/>
      <c r="L48" s="808"/>
      <c r="M48" s="443">
        <f>Таблица4[[#This Row],[Количество хлыстов]]-Таблица4[[#This Row],[Готово, хл]]-Таблица4[[#This Row],[Вывезено, хл]]</f>
        <v>6</v>
      </c>
      <c r="N48" s="323"/>
      <c r="O48" s="13"/>
      <c r="P48" s="13"/>
      <c r="Q48" s="13" t="s">
        <v>4686</v>
      </c>
      <c r="R48" s="13" t="s">
        <v>103</v>
      </c>
      <c r="S48" s="117">
        <v>6</v>
      </c>
      <c r="T48" s="13"/>
      <c r="U48" s="13"/>
      <c r="V48" s="13"/>
      <c r="W48" s="13"/>
      <c r="X48" s="13"/>
      <c r="Y48" s="13"/>
      <c r="Z48" s="13"/>
      <c r="AA48" s="399" t="s">
        <v>4693</v>
      </c>
    </row>
    <row r="49" spans="1:27" s="333" customFormat="1" ht="19.899999999999999" hidden="1" customHeight="1" x14ac:dyDescent="0.25">
      <c r="A49" s="140" t="s">
        <v>4678</v>
      </c>
      <c r="B49" s="308">
        <v>9</v>
      </c>
      <c r="C49" s="308" t="s">
        <v>4753</v>
      </c>
      <c r="D49" s="468" t="s">
        <v>4858</v>
      </c>
      <c r="E49" s="217" t="s">
        <v>4697</v>
      </c>
      <c r="F49" s="319">
        <v>45301</v>
      </c>
      <c r="G49" s="319"/>
      <c r="H49" s="390" t="s">
        <v>677</v>
      </c>
      <c r="I49" s="800"/>
      <c r="J49" s="800"/>
      <c r="K49" s="800"/>
      <c r="L49" s="808"/>
      <c r="M49" s="443">
        <f>Таблица4[[#This Row],[Количество хлыстов]]-Таблица4[[#This Row],[Готово, хл]]-Таблица4[[#This Row],[Вывезено, хл]]</f>
        <v>2</v>
      </c>
      <c r="N49" s="323"/>
      <c r="O49" s="13"/>
      <c r="P49" s="13"/>
      <c r="Q49" s="13" t="s">
        <v>4687</v>
      </c>
      <c r="R49" s="13" t="s">
        <v>96</v>
      </c>
      <c r="S49" s="117">
        <v>2</v>
      </c>
      <c r="T49" s="13"/>
      <c r="U49" s="13"/>
      <c r="V49" s="13"/>
      <c r="W49" s="13"/>
      <c r="X49" s="13"/>
      <c r="Y49" s="13"/>
      <c r="Z49" s="13"/>
      <c r="AA49" s="399" t="s">
        <v>4694</v>
      </c>
    </row>
    <row r="50" spans="1:27" s="333" customFormat="1" ht="19.899999999999999" hidden="1" customHeight="1" x14ac:dyDescent="0.25">
      <c r="A50" s="140" t="s">
        <v>4678</v>
      </c>
      <c r="B50" s="308">
        <v>9</v>
      </c>
      <c r="C50" s="308" t="s">
        <v>4753</v>
      </c>
      <c r="D50" s="468" t="s">
        <v>4858</v>
      </c>
      <c r="E50" s="217" t="s">
        <v>4697</v>
      </c>
      <c r="F50" s="319">
        <v>45301</v>
      </c>
      <c r="G50" s="319"/>
      <c r="H50" s="390" t="s">
        <v>677</v>
      </c>
      <c r="I50" s="800"/>
      <c r="J50" s="800"/>
      <c r="K50" s="800"/>
      <c r="L50" s="808"/>
      <c r="M50" s="443">
        <f>Таблица4[[#This Row],[Количество хлыстов]]-Таблица4[[#This Row],[Готово, хл]]-Таблица4[[#This Row],[Вывезено, хл]]</f>
        <v>1</v>
      </c>
      <c r="N50" s="323"/>
      <c r="O50" s="13"/>
      <c r="P50" s="13"/>
      <c r="Q50" s="13" t="s">
        <v>4688</v>
      </c>
      <c r="R50" s="13" t="s">
        <v>54</v>
      </c>
      <c r="S50" s="117">
        <v>1</v>
      </c>
      <c r="T50" s="13"/>
      <c r="U50" s="13"/>
      <c r="V50" s="13"/>
      <c r="W50" s="13"/>
      <c r="X50" s="13"/>
      <c r="Y50" s="13"/>
      <c r="Z50" s="13"/>
      <c r="AA50" s="399" t="s">
        <v>4695</v>
      </c>
    </row>
    <row r="51" spans="1:27" s="333" customFormat="1" ht="19.899999999999999" hidden="1" customHeight="1" x14ac:dyDescent="0.25">
      <c r="A51" s="140" t="s">
        <v>4678</v>
      </c>
      <c r="B51" s="308">
        <v>9</v>
      </c>
      <c r="C51" s="308" t="s">
        <v>4753</v>
      </c>
      <c r="D51" s="468" t="s">
        <v>4858</v>
      </c>
      <c r="E51" s="217" t="s">
        <v>4697</v>
      </c>
      <c r="F51" s="319">
        <v>45301</v>
      </c>
      <c r="G51" s="319"/>
      <c r="H51" s="390" t="s">
        <v>677</v>
      </c>
      <c r="I51" s="800"/>
      <c r="J51" s="800"/>
      <c r="K51" s="800"/>
      <c r="L51" s="808"/>
      <c r="M51" s="443">
        <f>Таблица4[[#This Row],[Количество хлыстов]]-Таблица4[[#This Row],[Готово, хл]]-Таблица4[[#This Row],[Вывезено, хл]]</f>
        <v>1</v>
      </c>
      <c r="N51" s="323"/>
      <c r="O51" s="13"/>
      <c r="P51" s="13"/>
      <c r="Q51" s="13" t="s">
        <v>4689</v>
      </c>
      <c r="R51" s="13" t="s">
        <v>54</v>
      </c>
      <c r="S51" s="117">
        <v>1</v>
      </c>
      <c r="T51" s="13"/>
      <c r="U51" s="13"/>
      <c r="V51" s="13"/>
      <c r="W51" s="13"/>
      <c r="X51" s="13"/>
      <c r="Y51" s="13"/>
      <c r="Z51" s="13"/>
      <c r="AA51" s="399" t="s">
        <v>4695</v>
      </c>
    </row>
    <row r="52" spans="1:27" s="333" customFormat="1" ht="19.899999999999999" hidden="1" customHeight="1" x14ac:dyDescent="0.25">
      <c r="A52" s="140" t="s">
        <v>4678</v>
      </c>
      <c r="B52" s="308">
        <v>9</v>
      </c>
      <c r="C52" s="308" t="s">
        <v>4753</v>
      </c>
      <c r="D52" s="468" t="s">
        <v>4858</v>
      </c>
      <c r="E52" s="217" t="s">
        <v>4697</v>
      </c>
      <c r="F52" s="319">
        <v>45301</v>
      </c>
      <c r="G52" s="319"/>
      <c r="H52" s="390" t="s">
        <v>677</v>
      </c>
      <c r="I52" s="800"/>
      <c r="J52" s="800"/>
      <c r="K52" s="800"/>
      <c r="L52" s="808"/>
      <c r="M52" s="443">
        <f>Таблица4[[#This Row],[Количество хлыстов]]-Таблица4[[#This Row],[Готово, хл]]-Таблица4[[#This Row],[Вывезено, хл]]</f>
        <v>3</v>
      </c>
      <c r="N52" s="323"/>
      <c r="O52" s="13"/>
      <c r="P52" s="13"/>
      <c r="Q52" s="13" t="s">
        <v>4690</v>
      </c>
      <c r="R52" s="13" t="s">
        <v>248</v>
      </c>
      <c r="S52" s="117">
        <v>3</v>
      </c>
      <c r="T52" s="13"/>
      <c r="U52" s="13"/>
      <c r="V52" s="13"/>
      <c r="W52" s="13"/>
      <c r="X52" s="13"/>
      <c r="Y52" s="13"/>
      <c r="Z52" s="13"/>
      <c r="AA52" s="399" t="s">
        <v>4696</v>
      </c>
    </row>
    <row r="53" spans="1:27" s="333" customFormat="1" ht="19.899999999999999" hidden="1" customHeight="1" x14ac:dyDescent="0.25">
      <c r="A53" s="140" t="s">
        <v>4678</v>
      </c>
      <c r="B53" s="308">
        <v>9</v>
      </c>
      <c r="C53" s="308" t="s">
        <v>4753</v>
      </c>
      <c r="D53" s="468" t="s">
        <v>4858</v>
      </c>
      <c r="E53" s="217" t="s">
        <v>4697</v>
      </c>
      <c r="F53" s="319">
        <v>45301</v>
      </c>
      <c r="G53" s="319"/>
      <c r="H53" s="390" t="s">
        <v>677</v>
      </c>
      <c r="I53" s="800"/>
      <c r="J53" s="800"/>
      <c r="K53" s="800"/>
      <c r="L53" s="808"/>
      <c r="M53" s="443">
        <f>Таблица4[[#This Row],[Количество хлыстов]]-Таблица4[[#This Row],[Готово, хл]]-Таблица4[[#This Row],[Вывезено, хл]]</f>
        <v>1</v>
      </c>
      <c r="N53" s="392"/>
      <c r="O53" s="13"/>
      <c r="P53" s="13"/>
      <c r="Q53" s="13" t="s">
        <v>4691</v>
      </c>
      <c r="R53" s="13" t="s">
        <v>54</v>
      </c>
      <c r="S53" s="117">
        <v>1</v>
      </c>
      <c r="T53" s="13"/>
      <c r="U53" s="13"/>
      <c r="V53" s="13"/>
      <c r="W53" s="13"/>
      <c r="X53" s="13"/>
      <c r="Y53" s="13"/>
      <c r="Z53" s="13"/>
      <c r="AA53" s="399" t="s">
        <v>4695</v>
      </c>
    </row>
    <row r="54" spans="1:27" s="333" customFormat="1" ht="19.899999999999999" hidden="1" customHeight="1" x14ac:dyDescent="0.25">
      <c r="A54" s="344" t="s">
        <v>4678</v>
      </c>
      <c r="B54" s="425">
        <v>10</v>
      </c>
      <c r="C54" s="425" t="s">
        <v>4753</v>
      </c>
      <c r="D54" s="468" t="s">
        <v>4858</v>
      </c>
      <c r="E54" s="204" t="s">
        <v>799</v>
      </c>
      <c r="F54" s="568">
        <v>45301</v>
      </c>
      <c r="G54" s="569">
        <v>45356</v>
      </c>
      <c r="H54" s="565" t="s">
        <v>677</v>
      </c>
      <c r="I54" s="800"/>
      <c r="J54" s="800"/>
      <c r="K54" s="800"/>
      <c r="L54" s="808"/>
      <c r="M54" s="443">
        <f>Таблица4[[#This Row],[Количество хлыстов]]-Таблица4[[#This Row],[Готово, хл]]-Таблица4[[#This Row],[Вывезено, хл]]</f>
        <v>371</v>
      </c>
      <c r="N54" s="345">
        <v>6</v>
      </c>
      <c r="O54" s="145" t="s">
        <v>2776</v>
      </c>
      <c r="P54" s="145"/>
      <c r="Q54" s="145" t="s">
        <v>4744</v>
      </c>
      <c r="R54" s="145" t="s">
        <v>4751</v>
      </c>
      <c r="S54" s="322">
        <v>371</v>
      </c>
      <c r="T54" s="145"/>
      <c r="U54" s="145"/>
      <c r="V54" s="145"/>
      <c r="W54" s="145"/>
      <c r="X54" s="145"/>
      <c r="Y54" s="145"/>
      <c r="Z54" s="145"/>
      <c r="AA54" s="397"/>
    </row>
    <row r="55" spans="1:27" s="339" customFormat="1" ht="19.899999999999999" hidden="1" customHeight="1" x14ac:dyDescent="0.25">
      <c r="A55" s="437" t="s">
        <v>4678</v>
      </c>
      <c r="B55" s="438">
        <v>10</v>
      </c>
      <c r="C55" s="438"/>
      <c r="D55" s="468" t="s">
        <v>4858</v>
      </c>
      <c r="E55" s="439" t="s">
        <v>328</v>
      </c>
      <c r="F55" s="440">
        <v>45303</v>
      </c>
      <c r="G55" s="440"/>
      <c r="H55" s="439" t="s">
        <v>23</v>
      </c>
      <c r="I55" s="441"/>
      <c r="J55" s="441"/>
      <c r="K55" s="441"/>
      <c r="L55" s="442"/>
      <c r="M55" s="443">
        <f>Таблица4[[#This Row],[Количество хлыстов]]-Таблица4[[#This Row],[Готово, хл]]-Таблица4[[#This Row],[Вывезено, хл]]</f>
        <v>77</v>
      </c>
      <c r="N55" s="444">
        <f>Таблица4[[#This Row],[Площадь общая, м2]]/28</f>
        <v>5.1017999999999999</v>
      </c>
      <c r="O55" s="445" t="s">
        <v>559</v>
      </c>
      <c r="P55" s="445"/>
      <c r="Q55" s="445" t="s">
        <v>650</v>
      </c>
      <c r="R55" s="447">
        <v>462</v>
      </c>
      <c r="S55" s="451">
        <v>77</v>
      </c>
      <c r="T55" s="447">
        <v>0.30919999999999997</v>
      </c>
      <c r="U55" s="447">
        <v>1.1000000000000001</v>
      </c>
      <c r="V55" s="447">
        <v>142.85040000000001</v>
      </c>
      <c r="W55" s="447">
        <v>508.2</v>
      </c>
      <c r="X55" s="447">
        <v>18.57</v>
      </c>
      <c r="Y55" s="447">
        <v>112.86</v>
      </c>
      <c r="Z55" s="447">
        <v>365</v>
      </c>
      <c r="AA55" s="448">
        <v>52140.4</v>
      </c>
    </row>
    <row r="56" spans="1:27" s="339" customFormat="1" ht="19.899999999999999" hidden="1" customHeight="1" x14ac:dyDescent="0.25">
      <c r="A56" s="437" t="s">
        <v>4678</v>
      </c>
      <c r="B56" s="467">
        <v>11</v>
      </c>
      <c r="C56" s="467"/>
      <c r="D56" s="468" t="s">
        <v>4858</v>
      </c>
      <c r="E56" s="468" t="s">
        <v>4725</v>
      </c>
      <c r="F56" s="469">
        <v>45303</v>
      </c>
      <c r="G56" s="469"/>
      <c r="H56" s="439" t="s">
        <v>23</v>
      </c>
      <c r="I56" s="449"/>
      <c r="J56" s="449"/>
      <c r="K56" s="449">
        <f>77+68+77</f>
        <v>222</v>
      </c>
      <c r="L56" s="450"/>
      <c r="M56" s="443">
        <f>Таблица4[[#This Row],[Количество хлыстов]]-Таблица4[[#This Row],[Готово, хл]]-Таблица4[[#This Row],[Вывезено, хл]]</f>
        <v>0</v>
      </c>
      <c r="N56" s="444">
        <f>(Таблица4[[#This Row],[Осталось сделать, хлыст]]*Таблица4[[#This Row],[длина]]*Таблица4[[#This Row],[Периметр]])/28</f>
        <v>0</v>
      </c>
      <c r="O56" s="445" t="s">
        <v>4726</v>
      </c>
      <c r="P56" s="447">
        <v>6</v>
      </c>
      <c r="Q56" s="445" t="s">
        <v>4727</v>
      </c>
      <c r="R56" s="447">
        <v>1332</v>
      </c>
      <c r="S56" s="451">
        <v>222</v>
      </c>
      <c r="T56" s="447">
        <v>0.1938</v>
      </c>
      <c r="U56" s="447">
        <v>0.63600000000000001</v>
      </c>
      <c r="V56" s="447">
        <v>258.14159999999998</v>
      </c>
      <c r="W56" s="447">
        <v>847.15200000000004</v>
      </c>
      <c r="X56" s="447">
        <v>33.56</v>
      </c>
      <c r="Y56" s="447">
        <v>70.739999999999995</v>
      </c>
      <c r="Z56" s="447">
        <v>365</v>
      </c>
      <c r="AA56" s="448">
        <v>94221.68</v>
      </c>
    </row>
    <row r="57" spans="1:27" s="339" customFormat="1" ht="19.899999999999999" hidden="1" customHeight="1" x14ac:dyDescent="0.25">
      <c r="A57" s="437" t="s">
        <v>4678</v>
      </c>
      <c r="B57" s="438">
        <v>12</v>
      </c>
      <c r="C57" s="438"/>
      <c r="D57" s="468" t="s">
        <v>4858</v>
      </c>
      <c r="E57" s="439" t="s">
        <v>3404</v>
      </c>
      <c r="F57" s="440">
        <v>45303</v>
      </c>
      <c r="G57" s="440"/>
      <c r="H57" s="439" t="s">
        <v>23</v>
      </c>
      <c r="I57" s="441"/>
      <c r="J57" s="441"/>
      <c r="K57" s="441"/>
      <c r="L57" s="442"/>
      <c r="M57" s="443">
        <f>Таблица4[[#This Row],[Количество хлыстов]]-Таблица4[[#This Row],[Готово, хл]]-Таблица4[[#This Row],[Вывезено, хл]]</f>
        <v>102</v>
      </c>
      <c r="N57" s="444">
        <f>Таблица4[[#This Row],[Площадь общая, м2]]/28</f>
        <v>4.7998285714285709</v>
      </c>
      <c r="O57" s="453"/>
      <c r="P57" s="453"/>
      <c r="Q57" s="445" t="s">
        <v>4657</v>
      </c>
      <c r="R57" s="447">
        <v>612</v>
      </c>
      <c r="S57" s="451">
        <v>102</v>
      </c>
      <c r="T57" s="447">
        <v>0.21959999999999999</v>
      </c>
      <c r="U57" s="447">
        <v>0.35</v>
      </c>
      <c r="V57" s="447">
        <v>134.39519999999999</v>
      </c>
      <c r="W57" s="447">
        <v>214.2</v>
      </c>
      <c r="X57" s="447">
        <v>17.47</v>
      </c>
      <c r="Y57" s="447">
        <v>69.17</v>
      </c>
      <c r="Z57" s="447">
        <v>315</v>
      </c>
      <c r="AA57" s="448">
        <v>42334.49</v>
      </c>
    </row>
    <row r="58" spans="1:27" s="418" customFormat="1" ht="17.45" hidden="1" customHeight="1" x14ac:dyDescent="0.25">
      <c r="A58" s="507" t="s">
        <v>4978</v>
      </c>
      <c r="B58" s="508">
        <v>13</v>
      </c>
      <c r="C58" s="508"/>
      <c r="D58" s="468" t="s">
        <v>4858</v>
      </c>
      <c r="E58" s="509" t="s">
        <v>4725</v>
      </c>
      <c r="F58" s="510">
        <v>45303</v>
      </c>
      <c r="G58" s="510"/>
      <c r="H58" s="508" t="s">
        <v>23</v>
      </c>
      <c r="I58" s="511"/>
      <c r="J58" s="511"/>
      <c r="K58" s="511"/>
      <c r="L58" s="511">
        <v>95</v>
      </c>
      <c r="M58" s="443">
        <f>Таблица4[[#This Row],[Количество хлыстов]]-Таблица4[[#This Row],[Готово, хл]]-Таблица4[[#This Row],[Вывезено, хл]]</f>
        <v>1</v>
      </c>
      <c r="N58" s="513"/>
      <c r="O58" s="514" t="s">
        <v>4728</v>
      </c>
      <c r="P58" s="514"/>
      <c r="Q58" s="515" t="s">
        <v>4729</v>
      </c>
      <c r="R58" s="516">
        <v>576</v>
      </c>
      <c r="S58" s="517">
        <v>96</v>
      </c>
      <c r="T58" s="516">
        <v>0.36420000000000002</v>
      </c>
      <c r="U58" s="516">
        <v>1.0720000000000001</v>
      </c>
      <c r="V58" s="516">
        <v>209.7792</v>
      </c>
      <c r="W58" s="516">
        <v>617.47199999999998</v>
      </c>
      <c r="X58" s="516">
        <v>27.27</v>
      </c>
      <c r="Y58" s="516">
        <v>80.12</v>
      </c>
      <c r="Z58" s="516">
        <v>220</v>
      </c>
      <c r="AA58" s="518">
        <v>46151.42</v>
      </c>
    </row>
    <row r="59" spans="1:27" s="420" customFormat="1" ht="19.899999999999999" hidden="1" customHeight="1" x14ac:dyDescent="0.25">
      <c r="A59" s="499" t="s">
        <v>4939</v>
      </c>
      <c r="B59" s="467">
        <v>14</v>
      </c>
      <c r="C59" s="467"/>
      <c r="D59" s="468" t="s">
        <v>4858</v>
      </c>
      <c r="E59" s="468" t="s">
        <v>3819</v>
      </c>
      <c r="F59" s="469">
        <v>45303</v>
      </c>
      <c r="G59" s="469"/>
      <c r="H59" s="468" t="s">
        <v>23</v>
      </c>
      <c r="I59" s="519"/>
      <c r="J59" s="519"/>
      <c r="K59" s="519"/>
      <c r="L59" s="520">
        <v>522</v>
      </c>
      <c r="M59" s="501">
        <f>Таблица4[[#This Row],[Количество хлыстов]]-Таблица4[[#This Row],[Готово, хл]]-Таблица4[[#This Row],[Вывезено, хл]]</f>
        <v>4</v>
      </c>
      <c r="N59" s="478">
        <f>Таблица4[[#This Row],[Площадь общая, м2]]/28</f>
        <v>37.853214285714287</v>
      </c>
      <c r="O59" s="237" t="s">
        <v>4996</v>
      </c>
      <c r="P59" s="470"/>
      <c r="Q59" s="237" t="s">
        <v>4730</v>
      </c>
      <c r="R59" s="470">
        <v>3419</v>
      </c>
      <c r="S59" s="471">
        <v>526</v>
      </c>
      <c r="T59" s="470">
        <v>0.31</v>
      </c>
      <c r="U59" s="470">
        <v>1.2010000000000001</v>
      </c>
      <c r="V59" s="470">
        <v>1059.8900000000001</v>
      </c>
      <c r="W59" s="470">
        <v>4106.2190000000001</v>
      </c>
      <c r="X59" s="470">
        <v>137.79</v>
      </c>
      <c r="Y59" s="470">
        <v>94.55</v>
      </c>
      <c r="Z59" s="470">
        <v>305</v>
      </c>
      <c r="AA59" s="472">
        <v>323266.45</v>
      </c>
    </row>
    <row r="60" spans="1:27" s="418" customFormat="1" ht="17.45" hidden="1" customHeight="1" x14ac:dyDescent="0.25">
      <c r="A60" s="507" t="s">
        <v>4978</v>
      </c>
      <c r="B60" s="508">
        <v>16</v>
      </c>
      <c r="C60" s="508"/>
      <c r="D60" s="468" t="s">
        <v>4858</v>
      </c>
      <c r="E60" s="509" t="s">
        <v>32</v>
      </c>
      <c r="F60" s="510">
        <v>45303</v>
      </c>
      <c r="G60" s="510"/>
      <c r="H60" s="508" t="s">
        <v>23</v>
      </c>
      <c r="I60" s="511"/>
      <c r="J60" s="511"/>
      <c r="K60" s="511"/>
      <c r="L60" s="512"/>
      <c r="M60" s="443">
        <f>Таблица4[[#This Row],[Количество хлыстов]]-Таблица4[[#This Row],[Готово, хл]]-Таблица4[[#This Row],[Вывезено, хл]]</f>
        <v>290</v>
      </c>
      <c r="N60" s="513"/>
      <c r="O60" s="514" t="s">
        <v>4731</v>
      </c>
      <c r="P60" s="514"/>
      <c r="Q60" s="515" t="s">
        <v>4276</v>
      </c>
      <c r="R60" s="516">
        <v>1290.5</v>
      </c>
      <c r="S60" s="517">
        <v>290</v>
      </c>
      <c r="T60" s="516">
        <v>0.2651</v>
      </c>
      <c r="U60" s="516">
        <v>0.82099999999999995</v>
      </c>
      <c r="V60" s="516">
        <v>342.11160000000001</v>
      </c>
      <c r="W60" s="516">
        <v>1059.5005000000001</v>
      </c>
      <c r="X60" s="516">
        <v>44.47</v>
      </c>
      <c r="Y60" s="516">
        <v>83.51</v>
      </c>
      <c r="Z60" s="516">
        <v>315</v>
      </c>
      <c r="AA60" s="518">
        <v>107769.66</v>
      </c>
    </row>
    <row r="61" spans="1:27" s="418" customFormat="1" ht="17.45" hidden="1" customHeight="1" x14ac:dyDescent="0.25">
      <c r="A61" s="507" t="s">
        <v>4978</v>
      </c>
      <c r="B61" s="508">
        <v>16</v>
      </c>
      <c r="C61" s="508"/>
      <c r="D61" s="468" t="s">
        <v>4858</v>
      </c>
      <c r="E61" s="509" t="s">
        <v>32</v>
      </c>
      <c r="F61" s="510">
        <v>45303</v>
      </c>
      <c r="G61" s="510"/>
      <c r="H61" s="508" t="s">
        <v>23</v>
      </c>
      <c r="I61" s="511"/>
      <c r="J61" s="511"/>
      <c r="K61" s="511"/>
      <c r="L61" s="512"/>
      <c r="M61" s="443">
        <f>Таблица4[[#This Row],[Количество хлыстов]]-Таблица4[[#This Row],[Готово, хл]]-Таблица4[[#This Row],[Вывезено, хл]]</f>
        <v>312</v>
      </c>
      <c r="N61" s="513"/>
      <c r="O61" s="514" t="s">
        <v>4731</v>
      </c>
      <c r="P61" s="514"/>
      <c r="Q61" s="515" t="s">
        <v>4275</v>
      </c>
      <c r="R61" s="516">
        <v>1575.6</v>
      </c>
      <c r="S61" s="517">
        <v>312</v>
      </c>
      <c r="T61" s="516">
        <v>0.2651</v>
      </c>
      <c r="U61" s="516">
        <v>0.82099999999999995</v>
      </c>
      <c r="V61" s="516">
        <v>417.69159999999999</v>
      </c>
      <c r="W61" s="516">
        <v>1293.5676000000001</v>
      </c>
      <c r="X61" s="516">
        <v>54.3</v>
      </c>
      <c r="Y61" s="516">
        <v>83.51</v>
      </c>
      <c r="Z61" s="516">
        <v>315</v>
      </c>
      <c r="AA61" s="518">
        <v>131578.35999999999</v>
      </c>
    </row>
    <row r="62" spans="1:27" s="418" customFormat="1" ht="17.45" hidden="1" customHeight="1" x14ac:dyDescent="0.25">
      <c r="A62" s="507" t="s">
        <v>4978</v>
      </c>
      <c r="B62" s="508">
        <v>18</v>
      </c>
      <c r="C62" s="508"/>
      <c r="D62" s="468" t="s">
        <v>4858</v>
      </c>
      <c r="E62" s="509" t="s">
        <v>4718</v>
      </c>
      <c r="F62" s="510">
        <v>45306</v>
      </c>
      <c r="G62" s="510"/>
      <c r="H62" s="508" t="s">
        <v>23</v>
      </c>
      <c r="I62" s="511"/>
      <c r="J62" s="511"/>
      <c r="K62" s="511"/>
      <c r="L62" s="512"/>
      <c r="M62" s="443">
        <f>Таблица4[[#This Row],[Количество хлыстов]]-Таблица4[[#This Row],[Готово, хл]]-Таблица4[[#This Row],[Вывезено, хл]]</f>
        <v>348</v>
      </c>
      <c r="N62" s="513">
        <f>Таблица4[[#This Row],[Площадь общая, м2]]/28</f>
        <v>3.2413714285714286</v>
      </c>
      <c r="O62" s="514"/>
      <c r="P62" s="514">
        <v>2</v>
      </c>
      <c r="Q62" s="515" t="s">
        <v>4717</v>
      </c>
      <c r="R62" s="516">
        <v>696</v>
      </c>
      <c r="S62" s="517">
        <v>348</v>
      </c>
      <c r="T62" s="516">
        <v>0.13039999999999999</v>
      </c>
      <c r="U62" s="516">
        <v>0.19400000000000001</v>
      </c>
      <c r="V62" s="516">
        <v>90.758399999999995</v>
      </c>
      <c r="W62" s="516">
        <v>135.024</v>
      </c>
      <c r="X62" s="516">
        <v>11.8</v>
      </c>
      <c r="Y62" s="516">
        <v>39.119999999999997</v>
      </c>
      <c r="Z62" s="516">
        <v>300</v>
      </c>
      <c r="AA62" s="518">
        <v>27227.52</v>
      </c>
    </row>
    <row r="63" spans="1:27" s="339" customFormat="1" ht="19.899999999999999" hidden="1" customHeight="1" x14ac:dyDescent="0.25">
      <c r="A63" s="437" t="s">
        <v>4678</v>
      </c>
      <c r="B63" s="438">
        <v>19</v>
      </c>
      <c r="C63" s="438"/>
      <c r="D63" s="468" t="s">
        <v>4858</v>
      </c>
      <c r="E63" s="438" t="s">
        <v>3819</v>
      </c>
      <c r="F63" s="440">
        <v>45306</v>
      </c>
      <c r="G63" s="440"/>
      <c r="H63" s="439" t="s">
        <v>23</v>
      </c>
      <c r="I63" s="441"/>
      <c r="J63" s="441"/>
      <c r="K63" s="441">
        <v>30</v>
      </c>
      <c r="L63" s="442">
        <v>26</v>
      </c>
      <c r="M63" s="443">
        <f>Таблица4[[#This Row],[Количество хлыстов]]-Таблица4[[#This Row],[Готово, хл]]-Таблица4[[#This Row],[Вывезено, хл]]</f>
        <v>0</v>
      </c>
      <c r="N63" s="444">
        <f>(Таблица4[[#This Row],[Осталось сделать, хлыст]]*Таблица4[[#This Row],[длина]]*Таблица4[[#This Row],[Периметр]])/28</f>
        <v>0</v>
      </c>
      <c r="O63" s="445" t="s">
        <v>4745</v>
      </c>
      <c r="P63" s="447">
        <v>6</v>
      </c>
      <c r="Q63" s="445" t="s">
        <v>4732</v>
      </c>
      <c r="R63" s="447">
        <v>336</v>
      </c>
      <c r="S63" s="451">
        <v>56</v>
      </c>
      <c r="T63" s="447">
        <v>0.47549999999999998</v>
      </c>
      <c r="U63" s="447">
        <v>1.486</v>
      </c>
      <c r="V63" s="447">
        <v>159.768</v>
      </c>
      <c r="W63" s="447">
        <v>499.29599999999999</v>
      </c>
      <c r="X63" s="447">
        <v>20.77</v>
      </c>
      <c r="Y63" s="447">
        <v>156.91999999999999</v>
      </c>
      <c r="Z63" s="447">
        <v>330</v>
      </c>
      <c r="AA63" s="448">
        <v>52723.44</v>
      </c>
    </row>
    <row r="64" spans="1:27" s="339" customFormat="1" ht="19.899999999999999" customHeight="1" x14ac:dyDescent="0.25">
      <c r="A64" s="950" t="s">
        <v>4678</v>
      </c>
      <c r="B64" s="944">
        <v>20</v>
      </c>
      <c r="C64" s="944"/>
      <c r="D64" s="941" t="s">
        <v>4858</v>
      </c>
      <c r="E64" s="942" t="s">
        <v>4734</v>
      </c>
      <c r="F64" s="945">
        <v>45306</v>
      </c>
      <c r="G64" s="143"/>
      <c r="H64" s="439"/>
      <c r="I64" s="449"/>
      <c r="J64" s="449"/>
      <c r="K64" s="449"/>
      <c r="L64" s="450">
        <v>21</v>
      </c>
      <c r="M64" s="443">
        <f>Таблица4[[#This Row],[Количество хлыстов]]-Таблица4[[#This Row],[Готово, хл]]-Таблица4[[#This Row],[Вывезено, хл]]</f>
        <v>45</v>
      </c>
      <c r="N64" s="486">
        <f>(Таблица4[[#This Row],[Осталось сделать, хлыст]]*Таблица4[[#This Row],[длина]]*Таблица4[[#This Row],[Периметр]])/28</f>
        <v>5.6515178571428573</v>
      </c>
      <c r="O64" s="237"/>
      <c r="P64" s="470">
        <v>6.5</v>
      </c>
      <c r="Q64" s="237" t="s">
        <v>4733</v>
      </c>
      <c r="R64" s="447">
        <v>429</v>
      </c>
      <c r="S64" s="451">
        <v>66</v>
      </c>
      <c r="T64" s="447">
        <v>0.54100000000000004</v>
      </c>
      <c r="U64" s="447">
        <v>2.5299999999999998</v>
      </c>
      <c r="V64" s="447">
        <v>232.089</v>
      </c>
      <c r="W64" s="447">
        <v>1085.3699999999999</v>
      </c>
      <c r="X64" s="447">
        <v>30.17</v>
      </c>
      <c r="Y64" s="447">
        <v>178.53</v>
      </c>
      <c r="Z64" s="447">
        <v>330</v>
      </c>
      <c r="AA64" s="448">
        <v>76589.37</v>
      </c>
    </row>
    <row r="65" spans="1:27" s="339" customFormat="1" ht="19.899999999999999" customHeight="1" x14ac:dyDescent="0.25">
      <c r="A65" s="950" t="s">
        <v>4678</v>
      </c>
      <c r="B65" s="944">
        <v>20</v>
      </c>
      <c r="C65" s="944"/>
      <c r="D65" s="941" t="s">
        <v>4858</v>
      </c>
      <c r="E65" s="942" t="s">
        <v>4734</v>
      </c>
      <c r="F65" s="945">
        <v>45306</v>
      </c>
      <c r="G65" s="143"/>
      <c r="H65" s="439"/>
      <c r="I65" s="441"/>
      <c r="J65" s="441"/>
      <c r="K65" s="441"/>
      <c r="L65" s="442">
        <v>88</v>
      </c>
      <c r="M65" s="443">
        <f>Таблица4[[#This Row],[Количество хлыстов]]-Таблица4[[#This Row],[Готово, хл]]-Таблица4[[#This Row],[Вывезено, хл]]</f>
        <v>89</v>
      </c>
      <c r="N65" s="486">
        <f>(Таблица4[[#This Row],[Осталось сделать, хлыст]]*Таблица4[[#This Row],[длина]]*Таблица4[[#This Row],[Периметр]])/28</f>
        <v>12.892285714285714</v>
      </c>
      <c r="O65" s="570"/>
      <c r="P65" s="570">
        <v>6.5</v>
      </c>
      <c r="Q65" s="237" t="s">
        <v>2091</v>
      </c>
      <c r="R65" s="447">
        <v>1150.5</v>
      </c>
      <c r="S65" s="451">
        <v>177</v>
      </c>
      <c r="T65" s="447">
        <v>0.624</v>
      </c>
      <c r="U65" s="447">
        <v>2.6</v>
      </c>
      <c r="V65" s="447">
        <v>717.91200000000003</v>
      </c>
      <c r="W65" s="447">
        <v>2991.3</v>
      </c>
      <c r="X65" s="447">
        <v>93.33</v>
      </c>
      <c r="Y65" s="447">
        <v>205.92</v>
      </c>
      <c r="Z65" s="447">
        <v>330</v>
      </c>
      <c r="AA65" s="448">
        <v>236910.96</v>
      </c>
    </row>
    <row r="66" spans="1:27" s="339" customFormat="1" ht="19.899999999999999" hidden="1" customHeight="1" x14ac:dyDescent="0.25">
      <c r="A66" s="437" t="s">
        <v>4678</v>
      </c>
      <c r="B66" s="467">
        <v>21</v>
      </c>
      <c r="C66" s="467"/>
      <c r="D66" s="468" t="s">
        <v>4858</v>
      </c>
      <c r="E66" s="467" t="s">
        <v>4734</v>
      </c>
      <c r="F66" s="469">
        <v>45306</v>
      </c>
      <c r="G66" s="440"/>
      <c r="H66" s="439" t="s">
        <v>23</v>
      </c>
      <c r="I66" s="449"/>
      <c r="J66" s="449"/>
      <c r="K66" s="449"/>
      <c r="L66" s="450">
        <f>21+21+56</f>
        <v>98</v>
      </c>
      <c r="M66" s="443">
        <f>Таблица4[[#This Row],[Количество хлыстов]]-Таблица4[[#This Row],[Готово, хл]]-Таблица4[[#This Row],[Вывезено, хл]]</f>
        <v>0</v>
      </c>
      <c r="N66" s="444">
        <f>(Таблица4[[#This Row],[Осталось сделать, хлыст]]*Таблица4[[#This Row],[длина]]*Таблица4[[#This Row],[Периметр]])/28</f>
        <v>0</v>
      </c>
      <c r="O66" s="445"/>
      <c r="P66" s="447">
        <v>6.5</v>
      </c>
      <c r="Q66" s="445" t="s">
        <v>4402</v>
      </c>
      <c r="R66" s="447">
        <v>637</v>
      </c>
      <c r="S66" s="451">
        <v>98</v>
      </c>
      <c r="T66" s="447">
        <v>0.6179</v>
      </c>
      <c r="U66" s="447">
        <v>2.117</v>
      </c>
      <c r="V66" s="447">
        <v>393.60230000000001</v>
      </c>
      <c r="W66" s="447">
        <v>1348.529</v>
      </c>
      <c r="X66" s="447">
        <v>51.17</v>
      </c>
      <c r="Y66" s="447">
        <v>203.91</v>
      </c>
      <c r="Z66" s="447">
        <v>330</v>
      </c>
      <c r="AA66" s="448">
        <v>129888.76</v>
      </c>
    </row>
    <row r="67" spans="1:27" s="339" customFormat="1" ht="19.899999999999999" hidden="1" customHeight="1" x14ac:dyDescent="0.25">
      <c r="A67" s="437" t="s">
        <v>4678</v>
      </c>
      <c r="B67" s="438">
        <v>24</v>
      </c>
      <c r="C67" s="438"/>
      <c r="D67" s="468" t="s">
        <v>4858</v>
      </c>
      <c r="E67" s="438" t="s">
        <v>657</v>
      </c>
      <c r="F67" s="440">
        <v>45308</v>
      </c>
      <c r="G67" s="440"/>
      <c r="H67" s="439" t="s">
        <v>23</v>
      </c>
      <c r="I67" s="441"/>
      <c r="J67" s="441"/>
      <c r="K67" s="441"/>
      <c r="L67" s="442"/>
      <c r="M67" s="443">
        <f>Таблица4[[#This Row],[Количество хлыстов]]-Таблица4[[#This Row],[Готово, хл]]-Таблица4[[#This Row],[Вывезено, хл]]</f>
        <v>99</v>
      </c>
      <c r="N67" s="444">
        <f>Таблица4[[#This Row],[Площадь общая, м2]]/28</f>
        <v>3.5354321428571427</v>
      </c>
      <c r="O67" s="445" t="s">
        <v>4736</v>
      </c>
      <c r="P67" s="445"/>
      <c r="Q67" s="439" t="s">
        <v>2963</v>
      </c>
      <c r="R67" s="458">
        <v>574.20000000000005</v>
      </c>
      <c r="S67" s="459">
        <v>99</v>
      </c>
      <c r="T67" s="458">
        <v>0.1724</v>
      </c>
      <c r="U67" s="458">
        <v>0.41499999999999998</v>
      </c>
      <c r="V67" s="458">
        <v>98.992099999999994</v>
      </c>
      <c r="W67" s="458">
        <v>238.29300000000001</v>
      </c>
      <c r="X67" s="458">
        <v>12.87</v>
      </c>
      <c r="Y67" s="458">
        <v>62.93</v>
      </c>
      <c r="Z67" s="458">
        <v>365</v>
      </c>
      <c r="AA67" s="460">
        <v>36132.11</v>
      </c>
    </row>
    <row r="68" spans="1:27" s="339" customFormat="1" ht="19.899999999999999" hidden="1" customHeight="1" x14ac:dyDescent="0.25">
      <c r="A68" s="437" t="s">
        <v>4678</v>
      </c>
      <c r="B68" s="438">
        <v>25</v>
      </c>
      <c r="C68" s="438"/>
      <c r="D68" s="468" t="s">
        <v>4858</v>
      </c>
      <c r="E68" s="438" t="s">
        <v>45</v>
      </c>
      <c r="F68" s="440">
        <v>45308</v>
      </c>
      <c r="G68" s="440"/>
      <c r="H68" s="439" t="s">
        <v>23</v>
      </c>
      <c r="I68" s="449"/>
      <c r="J68" s="449"/>
      <c r="K68" s="449"/>
      <c r="L68" s="450">
        <f>24+22</f>
        <v>46</v>
      </c>
      <c r="M68" s="443">
        <f>Таблица4[[#This Row],[Количество хлыстов]]-Таблица4[[#This Row],[Готово, хл]]-Таблица4[[#This Row],[Вывезено, хл]]</f>
        <v>0</v>
      </c>
      <c r="N68" s="444">
        <f>(Таблица4[[#This Row],[Осталось сделать, хлыст]]*Таблица4[[#This Row],[длина]]*Таблица4[[#This Row],[Периметр]])/28</f>
        <v>0</v>
      </c>
      <c r="O68" s="445" t="s">
        <v>4736</v>
      </c>
      <c r="P68" s="447">
        <v>3.1</v>
      </c>
      <c r="Q68" s="445" t="s">
        <v>2840</v>
      </c>
      <c r="R68" s="447">
        <v>142.6</v>
      </c>
      <c r="S68" s="451">
        <v>46</v>
      </c>
      <c r="T68" s="447">
        <v>0.9929</v>
      </c>
      <c r="U68" s="447">
        <v>4.5880000000000001</v>
      </c>
      <c r="V68" s="447">
        <v>141.58750000000001</v>
      </c>
      <c r="W68" s="447">
        <v>654.24879999999996</v>
      </c>
      <c r="X68" s="447">
        <v>18.41</v>
      </c>
      <c r="Y68" s="447">
        <v>332.62</v>
      </c>
      <c r="Z68" s="447">
        <v>335</v>
      </c>
      <c r="AA68" s="448">
        <v>47431.61</v>
      </c>
    </row>
    <row r="69" spans="1:27" s="339" customFormat="1" ht="19.899999999999999" hidden="1" customHeight="1" x14ac:dyDescent="0.25">
      <c r="A69" s="437" t="s">
        <v>4678</v>
      </c>
      <c r="B69" s="438">
        <v>26</v>
      </c>
      <c r="C69" s="438"/>
      <c r="D69" s="468" t="s">
        <v>4858</v>
      </c>
      <c r="E69" s="439" t="s">
        <v>80</v>
      </c>
      <c r="F69" s="440">
        <v>45308</v>
      </c>
      <c r="G69" s="440"/>
      <c r="H69" s="439" t="s">
        <v>23</v>
      </c>
      <c r="I69" s="441"/>
      <c r="J69" s="441"/>
      <c r="K69" s="441">
        <f>90+45+38+31+45</f>
        <v>249</v>
      </c>
      <c r="L69" s="442">
        <v>180</v>
      </c>
      <c r="M69" s="443">
        <f>Таблица4[[#This Row],[Количество хлыстов]]-Таблица4[[#This Row],[Готово, хл]]-Таблица4[[#This Row],[Вывезено, хл]]</f>
        <v>50</v>
      </c>
      <c r="N69" s="486">
        <f>(Таблица4[[#This Row],[Осталось сделать, хлыст]]*Таблица4[[#This Row],[длина]]*Таблица4[[#This Row],[Периметр]])/28</f>
        <v>3.3586517857142857</v>
      </c>
      <c r="O69" s="445" t="s">
        <v>1568</v>
      </c>
      <c r="P69" s="447">
        <v>3.65</v>
      </c>
      <c r="Q69" s="445" t="s">
        <v>271</v>
      </c>
      <c r="R69" s="447">
        <v>1748.35</v>
      </c>
      <c r="S69" s="451">
        <v>479</v>
      </c>
      <c r="T69" s="447">
        <v>0.51529999999999998</v>
      </c>
      <c r="U69" s="447">
        <v>1.3759999999999999</v>
      </c>
      <c r="V69" s="447">
        <v>900.9248</v>
      </c>
      <c r="W69" s="447">
        <v>2405.7296000000001</v>
      </c>
      <c r="X69" s="447">
        <v>117.12</v>
      </c>
      <c r="Y69" s="447">
        <v>172.63</v>
      </c>
      <c r="Z69" s="447">
        <v>335</v>
      </c>
      <c r="AA69" s="448">
        <v>301809.78999999998</v>
      </c>
    </row>
    <row r="70" spans="1:27" s="339" customFormat="1" ht="19.899999999999999" hidden="1" customHeight="1" x14ac:dyDescent="0.25">
      <c r="A70" s="437" t="s">
        <v>4678</v>
      </c>
      <c r="B70" s="438">
        <v>26</v>
      </c>
      <c r="C70" s="438"/>
      <c r="D70" s="468" t="s">
        <v>4858</v>
      </c>
      <c r="E70" s="438" t="s">
        <v>80</v>
      </c>
      <c r="F70" s="440">
        <v>45308</v>
      </c>
      <c r="G70" s="440"/>
      <c r="H70" s="502" t="s">
        <v>23</v>
      </c>
      <c r="I70" s="449"/>
      <c r="J70" s="449"/>
      <c r="K70" s="449">
        <v>42</v>
      </c>
      <c r="L70" s="450"/>
      <c r="M70" s="443">
        <f>Таблица4[[#This Row],[Количество хлыстов]]-Таблица4[[#This Row],[Готово, хл]]-Таблица4[[#This Row],[Вывезено, хл]]</f>
        <v>89</v>
      </c>
      <c r="N70" s="444">
        <f>Таблица4[[#This Row],[Площадь общая, м2]]/28</f>
        <v>7.7147785714285719</v>
      </c>
      <c r="O70" s="445" t="s">
        <v>4791</v>
      </c>
      <c r="P70" s="445"/>
      <c r="Q70" s="445" t="s">
        <v>381</v>
      </c>
      <c r="R70" s="447">
        <v>419.2</v>
      </c>
      <c r="S70" s="451">
        <v>131</v>
      </c>
      <c r="T70" s="447">
        <v>0.51529999999999998</v>
      </c>
      <c r="U70" s="447">
        <v>1.3759999999999999</v>
      </c>
      <c r="V70" s="447">
        <v>216.0138</v>
      </c>
      <c r="W70" s="447">
        <v>576.81920000000002</v>
      </c>
      <c r="X70" s="447">
        <v>28.08</v>
      </c>
      <c r="Y70" s="447">
        <v>172.63</v>
      </c>
      <c r="Z70" s="447">
        <v>335</v>
      </c>
      <c r="AA70" s="448">
        <v>72364.61</v>
      </c>
    </row>
    <row r="71" spans="1:27" s="420" customFormat="1" ht="19.899999999999999" hidden="1" customHeight="1" x14ac:dyDescent="0.25">
      <c r="A71" s="499" t="s">
        <v>4678</v>
      </c>
      <c r="B71" s="467">
        <v>27</v>
      </c>
      <c r="C71" s="467"/>
      <c r="D71" s="468" t="s">
        <v>4858</v>
      </c>
      <c r="E71" s="474" t="s">
        <v>3765</v>
      </c>
      <c r="F71" s="469">
        <v>45308</v>
      </c>
      <c r="G71" s="469"/>
      <c r="H71" s="468" t="s">
        <v>23</v>
      </c>
      <c r="I71" s="519"/>
      <c r="J71" s="519"/>
      <c r="K71" s="519">
        <f>162+168</f>
        <v>330</v>
      </c>
      <c r="L71" s="520"/>
      <c r="M71" s="501">
        <f>Таблица4[[#This Row],[Количество хлыстов]]-Таблица4[[#This Row],[Готово, хл]]-Таблица4[[#This Row],[Вывезено, хл]]</f>
        <v>0</v>
      </c>
      <c r="N71" s="478">
        <f>Таблица4[[#This Row],[Площадь общая, м2]]/28</f>
        <v>7.5452142857142857</v>
      </c>
      <c r="O71" s="237" t="s">
        <v>4736</v>
      </c>
      <c r="P71" s="237"/>
      <c r="Q71" s="237" t="s">
        <v>3300</v>
      </c>
      <c r="R71" s="470">
        <v>990</v>
      </c>
      <c r="S71" s="471">
        <v>330</v>
      </c>
      <c r="T71" s="470">
        <v>0.21340000000000001</v>
      </c>
      <c r="U71" s="470">
        <v>0.86599999999999999</v>
      </c>
      <c r="V71" s="470">
        <v>211.26599999999999</v>
      </c>
      <c r="W71" s="470">
        <v>857.34</v>
      </c>
      <c r="X71" s="470">
        <v>27.46</v>
      </c>
      <c r="Y71" s="470">
        <v>81.73</v>
      </c>
      <c r="Z71" s="470">
        <v>383</v>
      </c>
      <c r="AA71" s="472">
        <v>80914.880000000005</v>
      </c>
    </row>
    <row r="72" spans="1:27" s="420" customFormat="1" ht="19.899999999999999" hidden="1" customHeight="1" x14ac:dyDescent="0.25">
      <c r="A72" s="499" t="s">
        <v>4678</v>
      </c>
      <c r="B72" s="467">
        <v>27</v>
      </c>
      <c r="C72" s="467"/>
      <c r="D72" s="468" t="s">
        <v>4858</v>
      </c>
      <c r="E72" s="474" t="s">
        <v>3765</v>
      </c>
      <c r="F72" s="469">
        <v>45308</v>
      </c>
      <c r="G72" s="469"/>
      <c r="H72" s="468" t="s">
        <v>23</v>
      </c>
      <c r="I72" s="476"/>
      <c r="J72" s="476"/>
      <c r="K72" s="476">
        <f>136+133</f>
        <v>269</v>
      </c>
      <c r="L72" s="500"/>
      <c r="M72" s="501">
        <f>Таблица4[[#This Row],[Количество хлыстов]]-Таблица4[[#This Row],[Готово, хл]]-Таблица4[[#This Row],[Вывезено, хл]]</f>
        <v>0</v>
      </c>
      <c r="N72" s="478">
        <f>Таблица4[[#This Row],[Площадь общая, м2]]/28</f>
        <v>5.7297000000000002</v>
      </c>
      <c r="O72" s="237"/>
      <c r="P72" s="237"/>
      <c r="Q72" s="237" t="s">
        <v>3646</v>
      </c>
      <c r="R72" s="470">
        <v>807</v>
      </c>
      <c r="S72" s="471">
        <v>269</v>
      </c>
      <c r="T72" s="470">
        <v>0.1988</v>
      </c>
      <c r="U72" s="470">
        <v>0.63300000000000001</v>
      </c>
      <c r="V72" s="470">
        <v>160.4316</v>
      </c>
      <c r="W72" s="470">
        <v>510.83100000000002</v>
      </c>
      <c r="X72" s="470">
        <v>20.86</v>
      </c>
      <c r="Y72" s="470">
        <v>12.92</v>
      </c>
      <c r="Z72" s="470">
        <v>65</v>
      </c>
      <c r="AA72" s="472">
        <v>10428.049999999999</v>
      </c>
    </row>
    <row r="73" spans="1:27" s="339" customFormat="1" ht="19.899999999999999" hidden="1" customHeight="1" x14ac:dyDescent="0.25">
      <c r="A73" s="437" t="s">
        <v>4678</v>
      </c>
      <c r="B73" s="531">
        <v>28</v>
      </c>
      <c r="C73" s="531"/>
      <c r="D73" s="468" t="s">
        <v>13</v>
      </c>
      <c r="E73" s="532" t="s">
        <v>4734</v>
      </c>
      <c r="F73" s="543">
        <v>45308</v>
      </c>
      <c r="G73" s="143"/>
      <c r="H73" s="439" t="s">
        <v>677</v>
      </c>
      <c r="I73" s="441"/>
      <c r="J73" s="441"/>
      <c r="K73" s="441"/>
      <c r="L73" s="442">
        <v>86</v>
      </c>
      <c r="M73" s="443">
        <f>Таблица4[[#This Row],[Количество хлыстов]]-Таблица4[[#This Row],[Готово, хл]]-Таблица4[[#This Row],[Вывезено, хл]]</f>
        <v>174</v>
      </c>
      <c r="N73" s="486">
        <f>(Таблица4[[#This Row],[Осталось сделать, хлыст]]*Таблица4[[#This Row],[длина]]*Таблица4[[#This Row],[Периметр]])/28</f>
        <v>2.1774857142857145</v>
      </c>
      <c r="O73" s="445"/>
      <c r="P73" s="447">
        <v>3</v>
      </c>
      <c r="Q73" s="445" t="s">
        <v>4737</v>
      </c>
      <c r="R73" s="447">
        <v>780</v>
      </c>
      <c r="S73" s="451">
        <v>260</v>
      </c>
      <c r="T73" s="447">
        <v>0.1168</v>
      </c>
      <c r="U73" s="447">
        <v>0.72</v>
      </c>
      <c r="V73" s="447">
        <v>91.103999999999999</v>
      </c>
      <c r="W73" s="447">
        <v>561.6</v>
      </c>
      <c r="X73" s="447">
        <v>11.84</v>
      </c>
      <c r="Y73" s="447">
        <v>35.04</v>
      </c>
      <c r="Z73" s="447">
        <v>300</v>
      </c>
      <c r="AA73" s="448">
        <v>27331.200000000001</v>
      </c>
    </row>
    <row r="74" spans="1:27" s="418" customFormat="1" ht="17.45" hidden="1" customHeight="1" x14ac:dyDescent="0.25">
      <c r="A74" s="507" t="s">
        <v>4978</v>
      </c>
      <c r="B74" s="508">
        <v>29</v>
      </c>
      <c r="C74" s="508"/>
      <c r="D74" s="468" t="s">
        <v>4858</v>
      </c>
      <c r="E74" s="509" t="s">
        <v>4722</v>
      </c>
      <c r="F74" s="510">
        <v>45308</v>
      </c>
      <c r="G74" s="510"/>
      <c r="H74" s="508" t="s">
        <v>23</v>
      </c>
      <c r="I74" s="511"/>
      <c r="J74" s="511"/>
      <c r="K74" s="511"/>
      <c r="L74" s="512"/>
      <c r="M74" s="443">
        <f>Таблица4[[#This Row],[Количество хлыстов]]-Таблица4[[#This Row],[Готово, хл]]-Таблица4[[#This Row],[Вывезено, хл]]</f>
        <v>50</v>
      </c>
      <c r="N74" s="513">
        <f>Таблица4[[#This Row],[Площадь общая, м2]]/28</f>
        <v>3.5975892857142857</v>
      </c>
      <c r="O74" s="514"/>
      <c r="P74" s="514"/>
      <c r="Q74" s="515" t="s">
        <v>4724</v>
      </c>
      <c r="R74" s="516">
        <v>302.5</v>
      </c>
      <c r="S74" s="517">
        <v>50</v>
      </c>
      <c r="T74" s="516">
        <v>0.33300000000000002</v>
      </c>
      <c r="U74" s="516">
        <v>0.86599999999999999</v>
      </c>
      <c r="V74" s="516">
        <v>100.7325</v>
      </c>
      <c r="W74" s="516">
        <v>261.96499999999997</v>
      </c>
      <c r="X74" s="516">
        <v>13.1</v>
      </c>
      <c r="Y74" s="516">
        <v>103.23</v>
      </c>
      <c r="Z74" s="516">
        <v>310</v>
      </c>
      <c r="AA74" s="518">
        <v>31227.08</v>
      </c>
    </row>
    <row r="75" spans="1:27" s="418" customFormat="1" ht="17.45" hidden="1" customHeight="1" x14ac:dyDescent="0.25">
      <c r="A75" s="507" t="s">
        <v>4978</v>
      </c>
      <c r="B75" s="508">
        <v>30</v>
      </c>
      <c r="C75" s="508"/>
      <c r="D75" s="468" t="s">
        <v>4858</v>
      </c>
      <c r="E75" s="509" t="s">
        <v>4722</v>
      </c>
      <c r="F75" s="510">
        <v>45308</v>
      </c>
      <c r="G75" s="510"/>
      <c r="H75" s="508" t="s">
        <v>23</v>
      </c>
      <c r="I75" s="511"/>
      <c r="J75" s="511"/>
      <c r="K75" s="511"/>
      <c r="L75" s="512"/>
      <c r="M75" s="443">
        <f>Таблица4[[#This Row],[Количество хлыстов]]-Таблица4[[#This Row],[Готово, хл]]-Таблица4[[#This Row],[Вывезено, хл]]</f>
        <v>158</v>
      </c>
      <c r="N75" s="513">
        <f>Таблица4[[#This Row],[Площадь общая, м2]]/28</f>
        <v>11.368382142857143</v>
      </c>
      <c r="O75" s="514"/>
      <c r="P75" s="514"/>
      <c r="Q75" s="515" t="s">
        <v>4724</v>
      </c>
      <c r="R75" s="516">
        <v>955.9</v>
      </c>
      <c r="S75" s="517">
        <v>158</v>
      </c>
      <c r="T75" s="516">
        <v>0.33300000000000002</v>
      </c>
      <c r="U75" s="516">
        <v>0.86599999999999999</v>
      </c>
      <c r="V75" s="516">
        <v>318.31470000000002</v>
      </c>
      <c r="W75" s="516">
        <v>827.80939999999998</v>
      </c>
      <c r="X75" s="516">
        <v>41.38</v>
      </c>
      <c r="Y75" s="516">
        <v>103.23</v>
      </c>
      <c r="Z75" s="516">
        <v>310</v>
      </c>
      <c r="AA75" s="518">
        <v>98677.56</v>
      </c>
    </row>
    <row r="76" spans="1:27" s="418" customFormat="1" ht="17.45" hidden="1" customHeight="1" x14ac:dyDescent="0.25">
      <c r="A76" s="499" t="s">
        <v>4678</v>
      </c>
      <c r="B76" s="438">
        <v>31</v>
      </c>
      <c r="C76" s="438"/>
      <c r="D76" s="439" t="s">
        <v>13</v>
      </c>
      <c r="E76" s="438" t="s">
        <v>3863</v>
      </c>
      <c r="F76" s="440">
        <v>45308</v>
      </c>
      <c r="G76" s="143"/>
      <c r="H76" s="905" t="s">
        <v>677</v>
      </c>
      <c r="I76" s="522"/>
      <c r="J76" s="522"/>
      <c r="K76" s="522"/>
      <c r="L76" s="523">
        <v>70</v>
      </c>
      <c r="M76" s="443">
        <f>Таблица4[[#This Row],[Количество хлыстов]]-Таблица4[[#This Row],[Готово, хл]]-Таблица4[[#This Row],[Вывезено, хл]]</f>
        <v>226</v>
      </c>
      <c r="N76" s="626">
        <f>Таблица4[[#This Row],[Площадь общая, м2]]/28</f>
        <v>4.0541428571428577</v>
      </c>
      <c r="O76" s="183"/>
      <c r="P76" s="220">
        <v>5</v>
      </c>
      <c r="Q76" s="142" t="s">
        <v>5311</v>
      </c>
      <c r="R76" s="525">
        <v>1480</v>
      </c>
      <c r="S76" s="526">
        <v>296</v>
      </c>
      <c r="T76" s="525">
        <v>7.6700000000000004E-2</v>
      </c>
      <c r="U76" s="525">
        <v>0.17799999999999999</v>
      </c>
      <c r="V76" s="525">
        <v>113.51600000000001</v>
      </c>
      <c r="W76" s="525">
        <v>263.44</v>
      </c>
      <c r="X76" s="525">
        <v>14.76</v>
      </c>
      <c r="Y76" s="525">
        <v>28</v>
      </c>
      <c r="Z76" s="525">
        <v>365</v>
      </c>
      <c r="AA76" s="527">
        <v>41433.339999999997</v>
      </c>
    </row>
    <row r="77" spans="1:27" s="339" customFormat="1" ht="19.899999999999999" customHeight="1" x14ac:dyDescent="0.25">
      <c r="A77" s="953" t="s">
        <v>4678</v>
      </c>
      <c r="B77" s="951">
        <v>31</v>
      </c>
      <c r="C77" s="951"/>
      <c r="D77" s="941" t="s">
        <v>13</v>
      </c>
      <c r="E77" s="951" t="s">
        <v>3863</v>
      </c>
      <c r="F77" s="952">
        <v>45308</v>
      </c>
      <c r="G77" s="143"/>
      <c r="H77" s="439"/>
      <c r="I77" s="449"/>
      <c r="J77" s="449"/>
      <c r="K77" s="449"/>
      <c r="L77" s="450">
        <v>135</v>
      </c>
      <c r="M77" s="443">
        <f>Таблица4[[#This Row],[Количество хлыстов]]-Таблица4[[#This Row],[Готово, хл]]-Таблица4[[#This Row],[Вывезено, хл]]</f>
        <v>131</v>
      </c>
      <c r="N77" s="486">
        <f>(Таблица4[[#This Row],[Осталось сделать, хлыст]]*Таблица4[[#This Row],[длина]]*Таблица4[[#This Row],[Периметр]])/28</f>
        <v>3.0925357142857144</v>
      </c>
      <c r="O77" s="445" t="s">
        <v>559</v>
      </c>
      <c r="P77" s="447">
        <v>5</v>
      </c>
      <c r="Q77" s="445" t="s">
        <v>3502</v>
      </c>
      <c r="R77" s="447">
        <v>1330</v>
      </c>
      <c r="S77" s="451">
        <v>266</v>
      </c>
      <c r="T77" s="447">
        <v>0.13220000000000001</v>
      </c>
      <c r="U77" s="447">
        <v>0.33</v>
      </c>
      <c r="V77" s="447">
        <v>176.48699999999999</v>
      </c>
      <c r="W77" s="447">
        <v>440.55</v>
      </c>
      <c r="X77" s="447">
        <v>22.94</v>
      </c>
      <c r="Y77" s="447">
        <v>48.25</v>
      </c>
      <c r="Z77" s="447">
        <v>365</v>
      </c>
      <c r="AA77" s="448">
        <v>64417.760000000002</v>
      </c>
    </row>
    <row r="78" spans="1:27" s="339" customFormat="1" ht="19.899999999999999" hidden="1" customHeight="1" x14ac:dyDescent="0.25">
      <c r="A78" s="499" t="s">
        <v>4678</v>
      </c>
      <c r="B78" s="467">
        <v>31</v>
      </c>
      <c r="C78" s="467"/>
      <c r="D78" s="468" t="s">
        <v>4858</v>
      </c>
      <c r="E78" s="467" t="s">
        <v>3863</v>
      </c>
      <c r="F78" s="469">
        <v>45308</v>
      </c>
      <c r="G78" s="469"/>
      <c r="H78" s="439" t="s">
        <v>677</v>
      </c>
      <c r="I78" s="441"/>
      <c r="J78" s="441"/>
      <c r="K78" s="441"/>
      <c r="L78" s="442"/>
      <c r="M78" s="443">
        <f>Таблица4[[#This Row],[Количество хлыстов]]-Таблица4[[#This Row],[Готово, хл]]-Таблица4[[#This Row],[Вывезено, хл]]</f>
        <v>295</v>
      </c>
      <c r="N78" s="486">
        <f>(Таблица4[[#This Row],[Осталось сделать, хлыст]]*Таблица4[[#This Row],[длина]]*Таблица4[[#This Row],[Периметр]])/28</f>
        <v>4.0404464285714292</v>
      </c>
      <c r="O78" s="445" t="s">
        <v>5150</v>
      </c>
      <c r="P78" s="447">
        <v>5</v>
      </c>
      <c r="Q78" s="445" t="s">
        <v>4739</v>
      </c>
      <c r="R78" s="447">
        <v>1475</v>
      </c>
      <c r="S78" s="451">
        <v>295</v>
      </c>
      <c r="T78" s="447">
        <v>7.6700000000000004E-2</v>
      </c>
      <c r="U78" s="447">
        <v>0.17799999999999999</v>
      </c>
      <c r="V78" s="447">
        <v>113.51600000000001</v>
      </c>
      <c r="W78" s="447">
        <v>263.44</v>
      </c>
      <c r="X78" s="447">
        <v>14.76</v>
      </c>
      <c r="Y78" s="447">
        <v>28</v>
      </c>
      <c r="Z78" s="447">
        <v>365</v>
      </c>
      <c r="AA78" s="448">
        <v>41433.339999999997</v>
      </c>
    </row>
    <row r="79" spans="1:27" s="333" customFormat="1" ht="19.899999999999999" hidden="1" customHeight="1" x14ac:dyDescent="0.25">
      <c r="A79" s="355" t="s">
        <v>4678</v>
      </c>
      <c r="B79" s="353">
        <v>19</v>
      </c>
      <c r="C79" s="353" t="s">
        <v>4753</v>
      </c>
      <c r="D79" s="468" t="s">
        <v>4858</v>
      </c>
      <c r="E79" s="353" t="s">
        <v>861</v>
      </c>
      <c r="F79" s="320">
        <v>45308</v>
      </c>
      <c r="G79" s="320"/>
      <c r="H79" s="439" t="s">
        <v>23</v>
      </c>
      <c r="I79" s="449"/>
      <c r="J79" s="449"/>
      <c r="K79" s="449"/>
      <c r="L79" s="450"/>
      <c r="M79" s="443">
        <f>Таблица4[[#This Row],[Количество хлыстов]]-Таблица4[[#This Row],[Готово, хл]]-Таблица4[[#This Row],[Вывезено, хл]]</f>
        <v>110</v>
      </c>
      <c r="N79" s="356"/>
      <c r="O79" s="305"/>
      <c r="P79" s="305"/>
      <c r="Q79" s="305" t="s">
        <v>3982</v>
      </c>
      <c r="R79" s="305"/>
      <c r="S79" s="326">
        <v>110</v>
      </c>
      <c r="T79" s="305"/>
      <c r="U79" s="305"/>
      <c r="V79" s="305"/>
      <c r="W79" s="305"/>
      <c r="X79" s="305"/>
      <c r="Y79" s="305"/>
      <c r="Z79" s="305"/>
      <c r="AA79" s="396" t="s">
        <v>4740</v>
      </c>
    </row>
    <row r="80" spans="1:27" s="333" customFormat="1" ht="19.899999999999999" hidden="1" customHeight="1" x14ac:dyDescent="0.25">
      <c r="A80" s="147" t="s">
        <v>4678</v>
      </c>
      <c r="B80" s="321">
        <v>19</v>
      </c>
      <c r="C80" s="321" t="s">
        <v>4753</v>
      </c>
      <c r="D80" s="468" t="s">
        <v>4858</v>
      </c>
      <c r="E80" s="321" t="s">
        <v>861</v>
      </c>
      <c r="F80" s="310">
        <v>45308</v>
      </c>
      <c r="G80" s="310"/>
      <c r="H80" s="439" t="s">
        <v>23</v>
      </c>
      <c r="I80" s="441"/>
      <c r="J80" s="441"/>
      <c r="K80" s="441"/>
      <c r="L80" s="442"/>
      <c r="M80" s="443">
        <f>Таблица4[[#This Row],[Количество хлыстов]]-Таблица4[[#This Row],[Готово, хл]]-Таблица4[[#This Row],[Вывезено, хл]]</f>
        <v>154</v>
      </c>
      <c r="N80" s="444">
        <f>(Таблица4[[#This Row],[Осталось сделать, хлыст]]*Таблица4[[#This Row],[длина]]*Таблица4[[#This Row],[Периметр]])/28</f>
        <v>0</v>
      </c>
      <c r="O80" s="145"/>
      <c r="P80" s="145"/>
      <c r="Q80" s="145" t="s">
        <v>3634</v>
      </c>
      <c r="R80" s="145"/>
      <c r="S80" s="322">
        <v>154</v>
      </c>
      <c r="T80" s="145"/>
      <c r="U80" s="145"/>
      <c r="V80" s="145"/>
      <c r="W80" s="145"/>
      <c r="X80" s="145"/>
      <c r="Y80" s="145"/>
      <c r="Z80" s="145"/>
      <c r="AA80" s="397" t="s">
        <v>4741</v>
      </c>
    </row>
    <row r="81" spans="1:27" s="339" customFormat="1" ht="19.899999999999999" hidden="1" customHeight="1" x14ac:dyDescent="0.25">
      <c r="A81" s="437" t="s">
        <v>4678</v>
      </c>
      <c r="B81" s="438" t="s">
        <v>4742</v>
      </c>
      <c r="C81" s="438"/>
      <c r="D81" s="468" t="s">
        <v>4858</v>
      </c>
      <c r="E81" s="438" t="s">
        <v>16</v>
      </c>
      <c r="F81" s="440">
        <v>45308</v>
      </c>
      <c r="G81" s="440"/>
      <c r="H81" s="439" t="s">
        <v>23</v>
      </c>
      <c r="I81" s="449"/>
      <c r="J81" s="449"/>
      <c r="K81" s="449"/>
      <c r="L81" s="450">
        <f>352+9+109</f>
        <v>470</v>
      </c>
      <c r="M81" s="443">
        <f>Таблица4[[#This Row],[Количество хлыстов]]-Таблица4[[#This Row],[Готово, хл]]-Таблица4[[#This Row],[Вывезено, хл]]</f>
        <v>0</v>
      </c>
      <c r="N81" s="444">
        <f>(Таблица4[[#This Row],[Осталось сделать, хлыст]]*Таблица4[[#This Row],[длина]]*Таблица4[[#This Row],[Периметр]])/28</f>
        <v>0</v>
      </c>
      <c r="O81" s="445" t="s">
        <v>5042</v>
      </c>
      <c r="P81" s="445">
        <v>6</v>
      </c>
      <c r="Q81" s="445" t="s">
        <v>2845</v>
      </c>
      <c r="R81" s="447">
        <v>2820</v>
      </c>
      <c r="S81" s="451">
        <v>470</v>
      </c>
      <c r="T81" s="447">
        <v>0.15909999999999999</v>
      </c>
      <c r="U81" s="447">
        <v>0.26</v>
      </c>
      <c r="V81" s="447">
        <v>448.66199999999998</v>
      </c>
      <c r="W81" s="447">
        <v>733.2</v>
      </c>
      <c r="X81" s="447">
        <v>58.33</v>
      </c>
      <c r="Y81" s="447">
        <v>74.78</v>
      </c>
      <c r="Z81" s="447">
        <v>470</v>
      </c>
      <c r="AA81" s="448">
        <v>210871.14</v>
      </c>
    </row>
    <row r="82" spans="1:27" s="339" customFormat="1" ht="19.899999999999999" hidden="1" customHeight="1" x14ac:dyDescent="0.25">
      <c r="A82" s="437" t="s">
        <v>4678</v>
      </c>
      <c r="B82" s="438" t="s">
        <v>2525</v>
      </c>
      <c r="C82" s="438"/>
      <c r="D82" s="468" t="s">
        <v>4858</v>
      </c>
      <c r="E82" s="438" t="s">
        <v>16</v>
      </c>
      <c r="F82" s="440">
        <v>45308</v>
      </c>
      <c r="G82" s="440"/>
      <c r="H82" s="439" t="s">
        <v>23</v>
      </c>
      <c r="I82" s="441"/>
      <c r="J82" s="441"/>
      <c r="K82" s="441"/>
      <c r="L82" s="442"/>
      <c r="M82" s="443">
        <f>Таблица4[[#This Row],[Количество хлыстов]]-Таблица4[[#This Row],[Готово, хл]]-Таблица4[[#This Row],[Вывезено, хл]]</f>
        <v>104</v>
      </c>
      <c r="N82" s="444">
        <f>(Таблица4[[#This Row],[Осталось сделать, хлыст]]*Таблица4[[#This Row],[длина]]*Таблица4[[#This Row],[Периметр]])/28</f>
        <v>7.7955428571428573</v>
      </c>
      <c r="O82" s="445"/>
      <c r="P82" s="445">
        <v>6</v>
      </c>
      <c r="Q82" s="445" t="s">
        <v>2730</v>
      </c>
      <c r="R82" s="447">
        <v>624</v>
      </c>
      <c r="S82" s="451">
        <v>104</v>
      </c>
      <c r="T82" s="447">
        <v>0.3498</v>
      </c>
      <c r="U82" s="447">
        <v>1.425</v>
      </c>
      <c r="V82" s="447">
        <v>218.27520000000001</v>
      </c>
      <c r="W82" s="447">
        <v>889.2</v>
      </c>
      <c r="X82" s="447">
        <v>28.38</v>
      </c>
      <c r="Y82" s="447">
        <v>127.68</v>
      </c>
      <c r="Z82" s="447">
        <v>365</v>
      </c>
      <c r="AA82" s="448">
        <v>79670.45</v>
      </c>
    </row>
    <row r="83" spans="1:27" s="333" customFormat="1" ht="19.899999999999999" hidden="1" customHeight="1" x14ac:dyDescent="0.25">
      <c r="A83" s="422" t="s">
        <v>4678</v>
      </c>
      <c r="B83" s="571">
        <v>11</v>
      </c>
      <c r="C83" s="353" t="s">
        <v>4753</v>
      </c>
      <c r="D83" s="468" t="s">
        <v>4858</v>
      </c>
      <c r="E83" s="307" t="s">
        <v>799</v>
      </c>
      <c r="F83" s="572">
        <v>45308</v>
      </c>
      <c r="G83" s="572"/>
      <c r="H83" s="560" t="s">
        <v>677</v>
      </c>
      <c r="I83" s="449"/>
      <c r="J83" s="449"/>
      <c r="K83" s="449"/>
      <c r="L83" s="450"/>
      <c r="M83" s="443">
        <f>Таблица4[[#This Row],[Количество хлыстов]]-Таблица4[[#This Row],[Готово, хл]]-Таблица4[[#This Row],[Вывезено, хл]]</f>
        <v>325</v>
      </c>
      <c r="N83" s="444">
        <v>22</v>
      </c>
      <c r="O83" s="14" t="s">
        <v>4945</v>
      </c>
      <c r="P83" s="14"/>
      <c r="Q83" s="14" t="s">
        <v>4746</v>
      </c>
      <c r="R83" s="305" t="s">
        <v>2780</v>
      </c>
      <c r="S83" s="326">
        <v>325</v>
      </c>
      <c r="T83" s="305"/>
      <c r="U83" s="305"/>
      <c r="V83" s="305"/>
      <c r="W83" s="305"/>
      <c r="X83" s="305"/>
      <c r="Y83" s="305"/>
      <c r="Z83" s="305"/>
      <c r="AA83" s="396"/>
    </row>
    <row r="84" spans="1:27" s="333" customFormat="1" ht="19.899999999999999" hidden="1" customHeight="1" x14ac:dyDescent="0.25">
      <c r="A84" s="141" t="s">
        <v>4678</v>
      </c>
      <c r="B84" s="416">
        <v>20</v>
      </c>
      <c r="C84" s="416" t="s">
        <v>4753</v>
      </c>
      <c r="D84" s="468" t="s">
        <v>4858</v>
      </c>
      <c r="E84" s="200" t="s">
        <v>30</v>
      </c>
      <c r="F84" s="573">
        <v>45308</v>
      </c>
      <c r="G84" s="572"/>
      <c r="H84" s="561" t="s">
        <v>23</v>
      </c>
      <c r="I84" s="441"/>
      <c r="J84" s="441"/>
      <c r="K84" s="441"/>
      <c r="L84" s="442"/>
      <c r="M84" s="443">
        <f>Таблица4[[#This Row],[Количество хлыстов]]-Таблица4[[#This Row],[Готово, хл]]-Таблица4[[#This Row],[Вывезено, хл]]</f>
        <v>14</v>
      </c>
      <c r="N84" s="429">
        <v>13</v>
      </c>
      <c r="O84" s="162"/>
      <c r="P84" s="162"/>
      <c r="Q84" s="162" t="s">
        <v>710</v>
      </c>
      <c r="R84" s="162"/>
      <c r="S84" s="480">
        <v>14</v>
      </c>
      <c r="T84" s="162"/>
      <c r="U84" s="162"/>
      <c r="V84" s="142"/>
      <c r="W84" s="142"/>
      <c r="X84" s="142"/>
      <c r="Y84" s="142"/>
      <c r="Z84" s="142"/>
      <c r="AA84" s="527"/>
    </row>
    <row r="85" spans="1:27" s="333" customFormat="1" ht="19.899999999999999" hidden="1" customHeight="1" x14ac:dyDescent="0.25">
      <c r="A85" s="141" t="s">
        <v>4678</v>
      </c>
      <c r="B85" s="416">
        <v>20</v>
      </c>
      <c r="C85" s="416" t="s">
        <v>4753</v>
      </c>
      <c r="D85" s="468" t="s">
        <v>4858</v>
      </c>
      <c r="E85" s="200" t="s">
        <v>30</v>
      </c>
      <c r="F85" s="573">
        <v>45308</v>
      </c>
      <c r="G85" s="572"/>
      <c r="H85" s="561" t="s">
        <v>23</v>
      </c>
      <c r="I85" s="449"/>
      <c r="J85" s="449"/>
      <c r="K85" s="449"/>
      <c r="L85" s="450"/>
      <c r="M85" s="443">
        <f>Таблица4[[#This Row],[Количество хлыстов]]-Таблица4[[#This Row],[Готово, хл]]-Таблица4[[#This Row],[Вывезено, хл]]</f>
        <v>14</v>
      </c>
      <c r="N85" s="393"/>
      <c r="O85" s="142"/>
      <c r="P85" s="142"/>
      <c r="Q85" s="142" t="s">
        <v>711</v>
      </c>
      <c r="R85" s="142"/>
      <c r="S85" s="526">
        <v>14</v>
      </c>
      <c r="T85" s="142"/>
      <c r="U85" s="142"/>
      <c r="V85" s="142"/>
      <c r="W85" s="142"/>
      <c r="X85" s="142"/>
      <c r="Y85" s="142"/>
      <c r="Z85" s="142"/>
      <c r="AA85" s="527"/>
    </row>
    <row r="86" spans="1:27" s="333" customFormat="1" ht="19.899999999999999" hidden="1" customHeight="1" x14ac:dyDescent="0.25">
      <c r="A86" s="141" t="s">
        <v>4678</v>
      </c>
      <c r="B86" s="416">
        <v>20</v>
      </c>
      <c r="C86" s="416" t="s">
        <v>4753</v>
      </c>
      <c r="D86" s="468" t="s">
        <v>4858</v>
      </c>
      <c r="E86" s="200" t="s">
        <v>30</v>
      </c>
      <c r="F86" s="573">
        <v>45308</v>
      </c>
      <c r="G86" s="572"/>
      <c r="H86" s="561" t="s">
        <v>23</v>
      </c>
      <c r="I86" s="441"/>
      <c r="J86" s="441"/>
      <c r="K86" s="441"/>
      <c r="L86" s="442"/>
      <c r="M86" s="443">
        <f>Таблица4[[#This Row],[Количество хлыстов]]-Таблица4[[#This Row],[Готово, хл]]-Таблица4[[#This Row],[Вывезено, хл]]</f>
        <v>28</v>
      </c>
      <c r="N86" s="393"/>
      <c r="O86" s="142"/>
      <c r="P86" s="142"/>
      <c r="Q86" s="142" t="s">
        <v>712</v>
      </c>
      <c r="R86" s="142"/>
      <c r="S86" s="526">
        <v>28</v>
      </c>
      <c r="T86" s="142"/>
      <c r="U86" s="142"/>
      <c r="V86" s="142"/>
      <c r="W86" s="142"/>
      <c r="X86" s="142"/>
      <c r="Y86" s="142"/>
      <c r="Z86" s="142"/>
      <c r="AA86" s="527"/>
    </row>
    <row r="87" spans="1:27" s="333" customFormat="1" ht="19.899999999999999" hidden="1" customHeight="1" x14ac:dyDescent="0.25">
      <c r="A87" s="141" t="s">
        <v>4678</v>
      </c>
      <c r="B87" s="416">
        <v>20</v>
      </c>
      <c r="C87" s="416" t="s">
        <v>4753</v>
      </c>
      <c r="D87" s="468" t="s">
        <v>4858</v>
      </c>
      <c r="E87" s="200" t="s">
        <v>30</v>
      </c>
      <c r="F87" s="573">
        <v>45308</v>
      </c>
      <c r="G87" s="572"/>
      <c r="H87" s="561" t="s">
        <v>23</v>
      </c>
      <c r="I87" s="449"/>
      <c r="J87" s="449"/>
      <c r="K87" s="449"/>
      <c r="L87" s="450"/>
      <c r="M87" s="443">
        <f>Таблица4[[#This Row],[Количество хлыстов]]-Таблица4[[#This Row],[Готово, хл]]-Таблица4[[#This Row],[Вывезено, хл]]</f>
        <v>40</v>
      </c>
      <c r="N87" s="393"/>
      <c r="O87" s="142"/>
      <c r="P87" s="142"/>
      <c r="Q87" s="142" t="s">
        <v>713</v>
      </c>
      <c r="R87" s="142"/>
      <c r="S87" s="526">
        <v>40</v>
      </c>
      <c r="T87" s="142"/>
      <c r="U87" s="142"/>
      <c r="V87" s="142"/>
      <c r="W87" s="142"/>
      <c r="X87" s="142"/>
      <c r="Y87" s="142"/>
      <c r="Z87" s="142"/>
      <c r="AA87" s="527"/>
    </row>
    <row r="88" spans="1:27" s="333" customFormat="1" ht="19.899999999999999" hidden="1" customHeight="1" x14ac:dyDescent="0.25">
      <c r="A88" s="141" t="s">
        <v>4678</v>
      </c>
      <c r="B88" s="416">
        <v>20</v>
      </c>
      <c r="C88" s="416" t="s">
        <v>4753</v>
      </c>
      <c r="D88" s="468" t="s">
        <v>4858</v>
      </c>
      <c r="E88" s="200" t="s">
        <v>30</v>
      </c>
      <c r="F88" s="573">
        <v>45308</v>
      </c>
      <c r="G88" s="572"/>
      <c r="H88" s="561" t="s">
        <v>23</v>
      </c>
      <c r="I88" s="441"/>
      <c r="J88" s="441"/>
      <c r="K88" s="441"/>
      <c r="L88" s="442"/>
      <c r="M88" s="443">
        <f>Таблица4[[#This Row],[Количество хлыстов]]-Таблица4[[#This Row],[Готово, хл]]-Таблица4[[#This Row],[Вывезено, хл]]</f>
        <v>20</v>
      </c>
      <c r="N88" s="393"/>
      <c r="O88" s="142"/>
      <c r="P88" s="142"/>
      <c r="Q88" s="142" t="s">
        <v>714</v>
      </c>
      <c r="R88" s="142"/>
      <c r="S88" s="526">
        <v>20</v>
      </c>
      <c r="T88" s="142"/>
      <c r="U88" s="142"/>
      <c r="V88" s="142"/>
      <c r="W88" s="142"/>
      <c r="X88" s="142"/>
      <c r="Y88" s="142"/>
      <c r="Z88" s="142"/>
      <c r="AA88" s="527"/>
    </row>
    <row r="89" spans="1:27" s="333" customFormat="1" ht="19.899999999999999" hidden="1" customHeight="1" x14ac:dyDescent="0.25">
      <c r="A89" s="141" t="s">
        <v>4678</v>
      </c>
      <c r="B89" s="416">
        <v>20</v>
      </c>
      <c r="C89" s="416" t="s">
        <v>4753</v>
      </c>
      <c r="D89" s="468" t="s">
        <v>4858</v>
      </c>
      <c r="E89" s="200" t="s">
        <v>30</v>
      </c>
      <c r="F89" s="573">
        <v>45308</v>
      </c>
      <c r="G89" s="572"/>
      <c r="H89" s="561" t="s">
        <v>23</v>
      </c>
      <c r="I89" s="449"/>
      <c r="J89" s="449"/>
      <c r="K89" s="449"/>
      <c r="L89" s="450"/>
      <c r="M89" s="443">
        <f>Таблица4[[#This Row],[Количество хлыстов]]-Таблица4[[#This Row],[Готово, хл]]-Таблица4[[#This Row],[Вывезено, хл]]</f>
        <v>20</v>
      </c>
      <c r="N89" s="393"/>
      <c r="O89" s="142"/>
      <c r="P89" s="142"/>
      <c r="Q89" s="142" t="s">
        <v>715</v>
      </c>
      <c r="R89" s="142"/>
      <c r="S89" s="526">
        <v>20</v>
      </c>
      <c r="T89" s="142"/>
      <c r="U89" s="142"/>
      <c r="V89" s="142"/>
      <c r="W89" s="142"/>
      <c r="X89" s="142"/>
      <c r="Y89" s="142"/>
      <c r="Z89" s="142"/>
      <c r="AA89" s="527"/>
    </row>
    <row r="90" spans="1:27" s="333" customFormat="1" ht="19.899999999999999" hidden="1" customHeight="1" x14ac:dyDescent="0.25">
      <c r="A90" s="141" t="s">
        <v>4678</v>
      </c>
      <c r="B90" s="416">
        <v>20</v>
      </c>
      <c r="C90" s="416" t="s">
        <v>4753</v>
      </c>
      <c r="D90" s="468" t="s">
        <v>4858</v>
      </c>
      <c r="E90" s="200" t="s">
        <v>30</v>
      </c>
      <c r="F90" s="573">
        <v>45308</v>
      </c>
      <c r="G90" s="572"/>
      <c r="H90" s="561" t="s">
        <v>23</v>
      </c>
      <c r="I90" s="441"/>
      <c r="J90" s="441"/>
      <c r="K90" s="441"/>
      <c r="L90" s="442"/>
      <c r="M90" s="443">
        <f>Таблица4[[#This Row],[Количество хлыстов]]-Таблица4[[#This Row],[Готово, хл]]-Таблица4[[#This Row],[Вывезено, хл]]</f>
        <v>6</v>
      </c>
      <c r="N90" s="393"/>
      <c r="O90" s="142"/>
      <c r="P90" s="142"/>
      <c r="Q90" s="142" t="s">
        <v>716</v>
      </c>
      <c r="R90" s="142"/>
      <c r="S90" s="526">
        <v>6</v>
      </c>
      <c r="T90" s="142"/>
      <c r="U90" s="142"/>
      <c r="V90" s="142"/>
      <c r="W90" s="142"/>
      <c r="X90" s="142"/>
      <c r="Y90" s="142"/>
      <c r="Z90" s="142"/>
      <c r="AA90" s="527"/>
    </row>
    <row r="91" spans="1:27" s="333" customFormat="1" ht="19.899999999999999" hidden="1" customHeight="1" x14ac:dyDescent="0.25">
      <c r="A91" s="141" t="s">
        <v>4678</v>
      </c>
      <c r="B91" s="416">
        <v>20</v>
      </c>
      <c r="C91" s="416" t="s">
        <v>4753</v>
      </c>
      <c r="D91" s="468" t="s">
        <v>4858</v>
      </c>
      <c r="E91" s="200" t="s">
        <v>30</v>
      </c>
      <c r="F91" s="573">
        <v>45308</v>
      </c>
      <c r="G91" s="572"/>
      <c r="H91" s="561" t="s">
        <v>23</v>
      </c>
      <c r="I91" s="449"/>
      <c r="J91" s="449"/>
      <c r="K91" s="449"/>
      <c r="L91" s="450"/>
      <c r="M91" s="443">
        <f>Таблица4[[#This Row],[Количество хлыстов]]-Таблица4[[#This Row],[Готово, хл]]-Таблица4[[#This Row],[Вывезено, хл]]</f>
        <v>6</v>
      </c>
      <c r="N91" s="393"/>
      <c r="O91" s="142"/>
      <c r="P91" s="142"/>
      <c r="Q91" s="142" t="s">
        <v>717</v>
      </c>
      <c r="R91" s="142"/>
      <c r="S91" s="526">
        <v>6</v>
      </c>
      <c r="T91" s="142"/>
      <c r="U91" s="142"/>
      <c r="V91" s="142"/>
      <c r="W91" s="142"/>
      <c r="X91" s="142"/>
      <c r="Y91" s="142"/>
      <c r="Z91" s="142"/>
      <c r="AA91" s="527"/>
    </row>
    <row r="92" spans="1:27" s="333" customFormat="1" ht="19.899999999999999" hidden="1" customHeight="1" x14ac:dyDescent="0.25">
      <c r="A92" s="141" t="s">
        <v>4678</v>
      </c>
      <c r="B92" s="416">
        <v>20</v>
      </c>
      <c r="C92" s="416" t="s">
        <v>4753</v>
      </c>
      <c r="D92" s="468" t="s">
        <v>4858</v>
      </c>
      <c r="E92" s="200" t="s">
        <v>30</v>
      </c>
      <c r="F92" s="573">
        <v>45308</v>
      </c>
      <c r="G92" s="572"/>
      <c r="H92" s="561" t="s">
        <v>23</v>
      </c>
      <c r="I92" s="441"/>
      <c r="J92" s="441"/>
      <c r="K92" s="441"/>
      <c r="L92" s="442"/>
      <c r="M92" s="443">
        <f>Таблица4[[#This Row],[Количество хлыстов]]-Таблица4[[#This Row],[Готово, хл]]-Таблица4[[#This Row],[Вывезено, хл]]</f>
        <v>14</v>
      </c>
      <c r="N92" s="393"/>
      <c r="O92" s="142"/>
      <c r="P92" s="142"/>
      <c r="Q92" s="142" t="s">
        <v>718</v>
      </c>
      <c r="R92" s="142"/>
      <c r="S92" s="526">
        <v>14</v>
      </c>
      <c r="T92" s="142"/>
      <c r="U92" s="142"/>
      <c r="V92" s="142"/>
      <c r="W92" s="142"/>
      <c r="X92" s="142"/>
      <c r="Y92" s="142"/>
      <c r="Z92" s="142"/>
      <c r="AA92" s="527"/>
    </row>
    <row r="93" spans="1:27" s="333" customFormat="1" ht="19.899999999999999" hidden="1" customHeight="1" x14ac:dyDescent="0.25">
      <c r="A93" s="141" t="s">
        <v>4678</v>
      </c>
      <c r="B93" s="416">
        <v>20</v>
      </c>
      <c r="C93" s="416" t="s">
        <v>4753</v>
      </c>
      <c r="D93" s="468" t="s">
        <v>4858</v>
      </c>
      <c r="E93" s="200" t="s">
        <v>30</v>
      </c>
      <c r="F93" s="573">
        <v>45308</v>
      </c>
      <c r="G93" s="572"/>
      <c r="H93" s="561" t="s">
        <v>23</v>
      </c>
      <c r="I93" s="449"/>
      <c r="J93" s="449"/>
      <c r="K93" s="449"/>
      <c r="L93" s="450"/>
      <c r="M93" s="443">
        <f>Таблица4[[#This Row],[Количество хлыстов]]-Таблица4[[#This Row],[Готово, хл]]-Таблица4[[#This Row],[Вывезено, хл]]</f>
        <v>14</v>
      </c>
      <c r="N93" s="393"/>
      <c r="O93" s="142"/>
      <c r="P93" s="142"/>
      <c r="Q93" s="142" t="s">
        <v>719</v>
      </c>
      <c r="R93" s="142"/>
      <c r="S93" s="526">
        <v>14</v>
      </c>
      <c r="T93" s="142"/>
      <c r="U93" s="142"/>
      <c r="V93" s="142"/>
      <c r="W93" s="142"/>
      <c r="X93" s="142"/>
      <c r="Y93" s="142"/>
      <c r="Z93" s="142"/>
      <c r="AA93" s="527"/>
    </row>
    <row r="94" spans="1:27" s="414" customFormat="1" ht="19.899999999999999" hidden="1" customHeight="1" x14ac:dyDescent="0.25">
      <c r="A94" s="167" t="s">
        <v>4939</v>
      </c>
      <c r="B94" s="416">
        <v>23</v>
      </c>
      <c r="C94" s="416" t="s">
        <v>4753</v>
      </c>
      <c r="D94" s="468" t="s">
        <v>4858</v>
      </c>
      <c r="E94" s="204" t="s">
        <v>4879</v>
      </c>
      <c r="F94" s="201">
        <v>45308</v>
      </c>
      <c r="G94" s="475">
        <v>45390</v>
      </c>
      <c r="H94" s="574" t="s">
        <v>23</v>
      </c>
      <c r="I94" s="476"/>
      <c r="J94" s="476"/>
      <c r="K94" s="476"/>
      <c r="L94" s="476">
        <v>355</v>
      </c>
      <c r="M94" s="477">
        <f>Таблица4[[#This Row],[Количество хлыстов]]-Таблица4[[#This Row],[Готово, хл]]-Таблица4[[#This Row],[Вывезено, хл]]</f>
        <v>6</v>
      </c>
      <c r="N94" s="478">
        <f>(Таблица4[[#This Row],[Осталось сделать, хлыст]]*Таблица4[[#This Row],[длина]]*Таблица4[[#This Row],[Периметр]])/28</f>
        <v>0.25328571428571428</v>
      </c>
      <c r="O94" s="575" t="s">
        <v>4961</v>
      </c>
      <c r="P94" s="162">
        <v>6</v>
      </c>
      <c r="Q94" s="162" t="s">
        <v>5023</v>
      </c>
      <c r="R94" s="479">
        <v>2166</v>
      </c>
      <c r="S94" s="480">
        <v>361</v>
      </c>
      <c r="T94" s="479">
        <v>0.19700000000000001</v>
      </c>
      <c r="U94" s="479">
        <v>0.58499999999999996</v>
      </c>
      <c r="V94" s="479">
        <f>Таблица4[[#This Row],[Осталось сделать, хлыст]]*Таблица4[[#This Row],[длина]]*Таблица4[[#This Row],[Периметр]]</f>
        <v>7.0920000000000005</v>
      </c>
      <c r="W94" s="479">
        <f>Таблица4[[#This Row],[Осталось сделать, хлыст]]*Таблица4[[#This Row],[длина]]*Таблица4[[#This Row],[Вес п.м., кг]]</f>
        <v>21.06</v>
      </c>
      <c r="X94" s="479">
        <v>55.47</v>
      </c>
      <c r="Y94" s="479">
        <v>63.04</v>
      </c>
      <c r="Z94" s="479">
        <v>320</v>
      </c>
      <c r="AA94" s="481">
        <v>136544.64000000001</v>
      </c>
    </row>
    <row r="95" spans="1:27" s="414" customFormat="1" ht="19.899999999999999" hidden="1" customHeight="1" x14ac:dyDescent="0.25">
      <c r="A95" s="167" t="s">
        <v>4939</v>
      </c>
      <c r="B95" s="416">
        <v>23</v>
      </c>
      <c r="C95" s="416" t="s">
        <v>4753</v>
      </c>
      <c r="D95" s="468" t="s">
        <v>4858</v>
      </c>
      <c r="E95" s="204" t="s">
        <v>4879</v>
      </c>
      <c r="F95" s="201">
        <v>45308</v>
      </c>
      <c r="G95" s="475">
        <v>45390</v>
      </c>
      <c r="H95" s="200" t="s">
        <v>23</v>
      </c>
      <c r="I95" s="476"/>
      <c r="J95" s="476"/>
      <c r="K95" s="476"/>
      <c r="L95" s="476">
        <f>482+175</f>
        <v>657</v>
      </c>
      <c r="M95" s="477">
        <f>Таблица4[[#This Row],[Количество хлыстов]]-Таблица4[[#This Row],[Готово, хл]]-Таблица4[[#This Row],[Вывезено, хл]]</f>
        <v>5</v>
      </c>
      <c r="N95" s="478">
        <f>(Таблица4[[#This Row],[Осталось сделать, хлыст]]*Таблица4[[#This Row],[длина]]*Таблица4[[#This Row],[Периметр]])/28</f>
        <v>0.21670000000000003</v>
      </c>
      <c r="O95" s="576" t="s">
        <v>4962</v>
      </c>
      <c r="P95" s="577">
        <v>6.16</v>
      </c>
      <c r="Q95" s="162" t="s">
        <v>5024</v>
      </c>
      <c r="R95" s="479">
        <v>4077.92</v>
      </c>
      <c r="S95" s="480">
        <v>662</v>
      </c>
      <c r="T95" s="479">
        <v>0.19700000000000001</v>
      </c>
      <c r="U95" s="479">
        <v>0.58499999999999996</v>
      </c>
      <c r="V95" s="479">
        <f>Таблица4[[#This Row],[Осталось сделать, хлыст]]*Таблица4[[#This Row],[длина]]*Таблица4[[#This Row],[Периметр]]</f>
        <v>6.0676000000000005</v>
      </c>
      <c r="W95" s="479">
        <f>Таблица4[[#This Row],[Осталось сделать, хлыст]]*Таблица4[[#This Row],[длина]]*Таблица4[[#This Row],[Вес п.м., кг]]</f>
        <v>18.018000000000001</v>
      </c>
      <c r="X95" s="479">
        <v>104.44</v>
      </c>
      <c r="Y95" s="479">
        <v>63.04</v>
      </c>
      <c r="Z95" s="479">
        <v>320</v>
      </c>
      <c r="AA95" s="481">
        <v>257072.08</v>
      </c>
    </row>
    <row r="96" spans="1:27" s="333" customFormat="1" ht="19.899999999999999" hidden="1" customHeight="1" x14ac:dyDescent="0.25">
      <c r="A96" s="141" t="s">
        <v>4678</v>
      </c>
      <c r="B96" s="318">
        <v>25</v>
      </c>
      <c r="C96" s="318" t="s">
        <v>4753</v>
      </c>
      <c r="D96" s="468" t="s">
        <v>4858</v>
      </c>
      <c r="E96" s="318" t="s">
        <v>3401</v>
      </c>
      <c r="F96" s="528">
        <v>45308</v>
      </c>
      <c r="G96" s="528"/>
      <c r="H96" s="142" t="s">
        <v>23</v>
      </c>
      <c r="I96" s="522"/>
      <c r="J96" s="522"/>
      <c r="K96" s="522" t="s">
        <v>4850</v>
      </c>
      <c r="L96" s="523"/>
      <c r="M96" s="578"/>
      <c r="N96" s="579">
        <f>Таблица4[[#This Row],[Площадь общая, м2]]/28</f>
        <v>8.9926571428571425</v>
      </c>
      <c r="O96" s="142"/>
      <c r="P96" s="145"/>
      <c r="Q96" s="482" t="s">
        <v>4906</v>
      </c>
      <c r="R96" s="483">
        <v>1760.8</v>
      </c>
      <c r="S96" s="484">
        <v>568</v>
      </c>
      <c r="T96" s="483">
        <v>0.14299999999999999</v>
      </c>
      <c r="U96" s="483">
        <v>0.41499999999999998</v>
      </c>
      <c r="V96" s="483">
        <v>251.7944</v>
      </c>
      <c r="W96" s="483">
        <v>730.73199999999997</v>
      </c>
      <c r="X96" s="483">
        <v>32.729999999999997</v>
      </c>
      <c r="Y96" s="483">
        <v>45.76</v>
      </c>
      <c r="Z96" s="483">
        <v>320</v>
      </c>
      <c r="AA96" s="485">
        <v>80574.210000000006</v>
      </c>
    </row>
    <row r="97" spans="1:27" s="333" customFormat="1" ht="19.899999999999999" hidden="1" customHeight="1" x14ac:dyDescent="0.25">
      <c r="A97" s="141" t="s">
        <v>4678</v>
      </c>
      <c r="B97" s="580">
        <v>27</v>
      </c>
      <c r="C97" s="318" t="s">
        <v>4753</v>
      </c>
      <c r="D97" s="468" t="s">
        <v>4858</v>
      </c>
      <c r="E97" s="318" t="s">
        <v>4775</v>
      </c>
      <c r="F97" s="528">
        <v>45308</v>
      </c>
      <c r="G97" s="528"/>
      <c r="H97" s="303" t="s">
        <v>23</v>
      </c>
      <c r="I97" s="441"/>
      <c r="J97" s="441"/>
      <c r="K97" s="441"/>
      <c r="L97" s="442"/>
      <c r="M97" s="443">
        <f>Таблица4[[#This Row],[Количество хлыстов]]-Таблица4[[#This Row],[Готово, хл]]-Таблица4[[#This Row],[Вывезено, хл]]</f>
        <v>1140</v>
      </c>
      <c r="N97" s="393">
        <v>7</v>
      </c>
      <c r="O97" s="581"/>
      <c r="P97" s="581"/>
      <c r="Q97" s="142" t="s">
        <v>4108</v>
      </c>
      <c r="R97" s="142"/>
      <c r="S97" s="526">
        <v>1140</v>
      </c>
      <c r="T97" s="142"/>
      <c r="U97" s="142"/>
      <c r="V97" s="142"/>
      <c r="W97" s="142"/>
      <c r="X97" s="142"/>
      <c r="Y97" s="142"/>
      <c r="Z97" s="142"/>
      <c r="AA97" s="527"/>
    </row>
    <row r="98" spans="1:27" s="333" customFormat="1" ht="19.899999999999999" hidden="1" customHeight="1" x14ac:dyDescent="0.25">
      <c r="A98" s="141" t="s">
        <v>4678</v>
      </c>
      <c r="B98" s="582">
        <v>27</v>
      </c>
      <c r="C98" s="416" t="s">
        <v>4753</v>
      </c>
      <c r="D98" s="468" t="s">
        <v>4858</v>
      </c>
      <c r="E98" s="416" t="s">
        <v>4775</v>
      </c>
      <c r="F98" s="201">
        <v>45308</v>
      </c>
      <c r="G98" s="528">
        <v>45334</v>
      </c>
      <c r="H98" s="303" t="s">
        <v>23</v>
      </c>
      <c r="I98" s="449"/>
      <c r="J98" s="449"/>
      <c r="K98" s="449"/>
      <c r="L98" s="450"/>
      <c r="M98" s="443">
        <f>Таблица4[[#This Row],[Количество хлыстов]]-Таблица4[[#This Row],[Готово, хл]]-Таблица4[[#This Row],[Вывезено, хл]]</f>
        <v>162</v>
      </c>
      <c r="N98" s="393">
        <v>1</v>
      </c>
      <c r="O98" s="581"/>
      <c r="P98" s="581"/>
      <c r="Q98" s="142" t="s">
        <v>4107</v>
      </c>
      <c r="R98" s="142"/>
      <c r="S98" s="526">
        <v>162</v>
      </c>
      <c r="T98" s="142"/>
      <c r="U98" s="142"/>
      <c r="V98" s="142"/>
      <c r="W98" s="142"/>
      <c r="X98" s="142"/>
      <c r="Y98" s="142"/>
      <c r="Z98" s="142"/>
      <c r="AA98" s="527"/>
    </row>
    <row r="99" spans="1:27" s="333" customFormat="1" ht="19.899999999999999" hidden="1" customHeight="1" x14ac:dyDescent="0.25">
      <c r="A99" s="147" t="s">
        <v>4678</v>
      </c>
      <c r="B99" s="583">
        <v>27</v>
      </c>
      <c r="C99" s="417" t="s">
        <v>4753</v>
      </c>
      <c r="D99" s="468" t="s">
        <v>4858</v>
      </c>
      <c r="E99" s="417" t="s">
        <v>4775</v>
      </c>
      <c r="F99" s="584">
        <v>45308</v>
      </c>
      <c r="G99" s="310">
        <v>45334</v>
      </c>
      <c r="H99" s="304" t="s">
        <v>23</v>
      </c>
      <c r="I99" s="441"/>
      <c r="J99" s="441"/>
      <c r="K99" s="441"/>
      <c r="L99" s="442"/>
      <c r="M99" s="443">
        <f>Таблица4[[#This Row],[Количество хлыстов]]-Таблица4[[#This Row],[Готово, хл]]-Таблица4[[#This Row],[Вывезено, хл]]</f>
        <v>270</v>
      </c>
      <c r="N99" s="394">
        <v>2</v>
      </c>
      <c r="O99" s="585"/>
      <c r="P99" s="585"/>
      <c r="Q99" s="145" t="s">
        <v>3569</v>
      </c>
      <c r="R99" s="145"/>
      <c r="S99" s="322">
        <v>270</v>
      </c>
      <c r="T99" s="145"/>
      <c r="U99" s="145"/>
      <c r="V99" s="145"/>
      <c r="W99" s="145"/>
      <c r="X99" s="145"/>
      <c r="Y99" s="145"/>
      <c r="Z99" s="145"/>
      <c r="AA99" s="397"/>
    </row>
    <row r="100" spans="1:27" s="339" customFormat="1" ht="19.899999999999999" hidden="1" customHeight="1" x14ac:dyDescent="0.25">
      <c r="A100" s="499" t="s">
        <v>4678</v>
      </c>
      <c r="B100" s="467">
        <v>33</v>
      </c>
      <c r="C100" s="467"/>
      <c r="D100" s="468" t="s">
        <v>4858</v>
      </c>
      <c r="E100" s="162" t="s">
        <v>292</v>
      </c>
      <c r="F100" s="469">
        <v>45308</v>
      </c>
      <c r="G100" s="469">
        <v>45386</v>
      </c>
      <c r="H100" s="439" t="s">
        <v>23</v>
      </c>
      <c r="I100" s="449"/>
      <c r="J100" s="449"/>
      <c r="K100" s="449"/>
      <c r="L100" s="450">
        <v>316</v>
      </c>
      <c r="M100" s="443">
        <f>Таблица4[[#This Row],[Количество хлыстов]]-Таблица4[[#This Row],[Готово, хл]]-Таблица4[[#This Row],[Вывезено, хл]]</f>
        <v>0</v>
      </c>
      <c r="N100" s="486">
        <f>(Таблица4[[#This Row],[Осталось сделать, хлыст]]*Таблица4[[#This Row],[длина]]*Таблица4[[#This Row],[Периметр]])/28</f>
        <v>0</v>
      </c>
      <c r="O100" s="445"/>
      <c r="P100" s="447">
        <v>4</v>
      </c>
      <c r="Q100" s="445" t="s">
        <v>4544</v>
      </c>
      <c r="R100" s="447">
        <v>1264</v>
      </c>
      <c r="S100" s="451">
        <v>316</v>
      </c>
      <c r="T100" s="447">
        <v>0.3266</v>
      </c>
      <c r="U100" s="447">
        <v>0.84099999999999997</v>
      </c>
      <c r="V100" s="447">
        <v>412.82240000000002</v>
      </c>
      <c r="W100" s="447">
        <v>1063.0239999999999</v>
      </c>
      <c r="X100" s="447">
        <v>53.67</v>
      </c>
      <c r="Y100" s="447">
        <v>109.41</v>
      </c>
      <c r="Z100" s="447">
        <v>335</v>
      </c>
      <c r="AA100" s="448">
        <v>138294.24</v>
      </c>
    </row>
    <row r="101" spans="1:27" s="339" customFormat="1" ht="18" hidden="1" customHeight="1" x14ac:dyDescent="0.25">
      <c r="A101" s="437" t="s">
        <v>4678</v>
      </c>
      <c r="B101" s="438">
        <v>33</v>
      </c>
      <c r="C101" s="438"/>
      <c r="D101" s="468" t="s">
        <v>4858</v>
      </c>
      <c r="E101" s="438" t="s">
        <v>4747</v>
      </c>
      <c r="F101" s="440">
        <v>45308</v>
      </c>
      <c r="G101" s="440">
        <v>45369</v>
      </c>
      <c r="H101" s="439" t="s">
        <v>23</v>
      </c>
      <c r="I101" s="441"/>
      <c r="J101" s="441"/>
      <c r="K101" s="441"/>
      <c r="L101" s="442">
        <v>72</v>
      </c>
      <c r="M101" s="443">
        <f>Таблица4[[#This Row],[Количество хлыстов]]-Таблица4[[#This Row],[Готово, хл]]-Таблица4[[#This Row],[Вывезено, хл]]</f>
        <v>0</v>
      </c>
      <c r="N101" s="444">
        <f>(Таблица4[[#This Row],[Осталось сделать, хлыст]]*Таблица4[[#This Row],[длина]]*Таблица4[[#This Row],[Периметр]])/28</f>
        <v>0</v>
      </c>
      <c r="O101" s="445"/>
      <c r="P101" s="447">
        <v>4.5999999999999996</v>
      </c>
      <c r="Q101" s="445" t="s">
        <v>3974</v>
      </c>
      <c r="R101" s="447">
        <v>331.2</v>
      </c>
      <c r="S101" s="451">
        <v>72</v>
      </c>
      <c r="T101" s="447">
        <v>0.3266</v>
      </c>
      <c r="U101" s="447">
        <v>0.84099999999999997</v>
      </c>
      <c r="V101" s="447">
        <v>108.1699</v>
      </c>
      <c r="W101" s="447">
        <v>278.53919999999999</v>
      </c>
      <c r="X101" s="447">
        <v>14.06</v>
      </c>
      <c r="Y101" s="447">
        <v>109.41</v>
      </c>
      <c r="Z101" s="447">
        <v>335</v>
      </c>
      <c r="AA101" s="448">
        <v>36236.589999999997</v>
      </c>
    </row>
    <row r="102" spans="1:27" s="339" customFormat="1" ht="18" hidden="1" customHeight="1" x14ac:dyDescent="0.25">
      <c r="A102" s="437" t="s">
        <v>4678</v>
      </c>
      <c r="B102" s="438">
        <v>34</v>
      </c>
      <c r="C102" s="438"/>
      <c r="D102" s="468" t="s">
        <v>4858</v>
      </c>
      <c r="E102" s="438" t="s">
        <v>3819</v>
      </c>
      <c r="F102" s="440">
        <v>45308</v>
      </c>
      <c r="G102" s="440"/>
      <c r="H102" s="439" t="s">
        <v>23</v>
      </c>
      <c r="I102" s="449"/>
      <c r="J102" s="449"/>
      <c r="K102" s="449"/>
      <c r="L102" s="450">
        <v>62</v>
      </c>
      <c r="M102" s="443">
        <f>Таблица4[[#This Row],[Количество хлыстов]]-Таблица4[[#This Row],[Готово, хл]]-Таблица4[[#This Row],[Вывезено, хл]]</f>
        <v>1</v>
      </c>
      <c r="N102" s="444">
        <f>(Таблица4[[#This Row],[Осталось сделать, хлыст]]*Таблица4[[#This Row],[длина]]*Таблица4[[#This Row],[Периметр]])/28</f>
        <v>7.2128571428571431E-2</v>
      </c>
      <c r="O102" s="445" t="s">
        <v>559</v>
      </c>
      <c r="P102" s="447">
        <v>6</v>
      </c>
      <c r="Q102" s="445" t="s">
        <v>4748</v>
      </c>
      <c r="R102" s="447">
        <v>378</v>
      </c>
      <c r="S102" s="451">
        <v>63</v>
      </c>
      <c r="T102" s="447">
        <v>0.33660000000000001</v>
      </c>
      <c r="U102" s="447">
        <v>1.2350000000000001</v>
      </c>
      <c r="V102" s="447">
        <v>127.23480000000001</v>
      </c>
      <c r="W102" s="447">
        <v>466.83</v>
      </c>
      <c r="X102" s="447">
        <v>16.54</v>
      </c>
      <c r="Y102" s="447">
        <v>112.76</v>
      </c>
      <c r="Z102" s="447">
        <v>335</v>
      </c>
      <c r="AA102" s="448">
        <v>42623.66</v>
      </c>
    </row>
    <row r="103" spans="1:27" s="339" customFormat="1" ht="18" customHeight="1" x14ac:dyDescent="0.25">
      <c r="A103" s="950" t="s">
        <v>4678</v>
      </c>
      <c r="B103" s="944">
        <v>35</v>
      </c>
      <c r="C103" s="944"/>
      <c r="D103" s="941" t="s">
        <v>4858</v>
      </c>
      <c r="E103" s="942" t="s">
        <v>4734</v>
      </c>
      <c r="F103" s="945">
        <v>45308</v>
      </c>
      <c r="G103" s="143"/>
      <c r="H103" s="439"/>
      <c r="I103" s="519"/>
      <c r="J103" s="519"/>
      <c r="K103" s="519"/>
      <c r="L103" s="520">
        <f>38+25</f>
        <v>63</v>
      </c>
      <c r="M103" s="443">
        <f>Таблица4[[#This Row],[Количество хлыстов]]-Таблица4[[#This Row],[Готово, хл]]-Таблица4[[#This Row],[Вывезено, хл]]</f>
        <v>21</v>
      </c>
      <c r="N103" s="486">
        <f>(Таблица4[[#This Row],[Осталось сделать, хлыст]]*Таблица4[[#This Row],[длина]]*Таблица4[[#This Row],[Периметр]])/28</f>
        <v>2.6349374999999999</v>
      </c>
      <c r="O103" s="445"/>
      <c r="P103" s="447">
        <v>6.5</v>
      </c>
      <c r="Q103" s="445" t="s">
        <v>4491</v>
      </c>
      <c r="R103" s="447">
        <v>546</v>
      </c>
      <c r="S103" s="451">
        <v>84</v>
      </c>
      <c r="T103" s="447">
        <v>0.54049999999999998</v>
      </c>
      <c r="U103" s="447">
        <v>2.0979999999999999</v>
      </c>
      <c r="V103" s="447">
        <v>295.113</v>
      </c>
      <c r="W103" s="447">
        <v>1145.508</v>
      </c>
      <c r="X103" s="447">
        <v>38.36</v>
      </c>
      <c r="Y103" s="447">
        <v>178.37</v>
      </c>
      <c r="Z103" s="447">
        <v>330</v>
      </c>
      <c r="AA103" s="448">
        <v>97390.02</v>
      </c>
    </row>
    <row r="104" spans="1:27" s="339" customFormat="1" ht="18" hidden="1" customHeight="1" x14ac:dyDescent="0.25">
      <c r="A104" s="437" t="s">
        <v>4678</v>
      </c>
      <c r="B104" s="438">
        <v>36</v>
      </c>
      <c r="C104" s="438"/>
      <c r="D104" s="439" t="s">
        <v>13</v>
      </c>
      <c r="E104" s="439" t="s">
        <v>2217</v>
      </c>
      <c r="F104" s="440">
        <v>45308</v>
      </c>
      <c r="G104" s="503"/>
      <c r="H104" s="439" t="s">
        <v>23</v>
      </c>
      <c r="I104" s="449"/>
      <c r="J104" s="449"/>
      <c r="K104" s="449">
        <v>241</v>
      </c>
      <c r="L104" s="450"/>
      <c r="M104" s="443">
        <f>Таблица4[[#This Row],[Количество хлыстов]]-Таблица4[[#This Row],[Готово, хл]]-Таблица4[[#This Row],[Вывезено, хл]]</f>
        <v>0</v>
      </c>
      <c r="N104" s="444">
        <f>Таблица4[[#This Row],[Площадь общая, м2]]/28</f>
        <v>9.6335464285714298</v>
      </c>
      <c r="O104" s="445" t="s">
        <v>4767</v>
      </c>
      <c r="P104" s="445">
        <v>6.05</v>
      </c>
      <c r="Q104" s="445" t="s">
        <v>3860</v>
      </c>
      <c r="R104" s="447">
        <v>1458.05</v>
      </c>
      <c r="S104" s="451">
        <v>241</v>
      </c>
      <c r="T104" s="447">
        <v>0.185</v>
      </c>
      <c r="U104" s="447">
        <v>0.70899999999999996</v>
      </c>
      <c r="V104" s="447">
        <v>269.73930000000001</v>
      </c>
      <c r="W104" s="447">
        <v>1033.7574999999999</v>
      </c>
      <c r="X104" s="447">
        <v>35.07</v>
      </c>
      <c r="Y104" s="447">
        <v>70.849999999999994</v>
      </c>
      <c r="Z104" s="447">
        <v>383</v>
      </c>
      <c r="AA104" s="448">
        <v>103310.13</v>
      </c>
    </row>
    <row r="105" spans="1:27" s="339" customFormat="1" ht="18" hidden="1" customHeight="1" x14ac:dyDescent="0.25">
      <c r="A105" s="499" t="s">
        <v>4678</v>
      </c>
      <c r="B105" s="467">
        <v>37</v>
      </c>
      <c r="C105" s="467"/>
      <c r="D105" s="468" t="s">
        <v>13</v>
      </c>
      <c r="E105" s="468" t="s">
        <v>2217</v>
      </c>
      <c r="F105" s="469">
        <v>45308</v>
      </c>
      <c r="G105" s="469"/>
      <c r="H105" s="439" t="s">
        <v>23</v>
      </c>
      <c r="I105" s="441"/>
      <c r="J105" s="441"/>
      <c r="K105" s="441">
        <v>89</v>
      </c>
      <c r="L105" s="442"/>
      <c r="M105" s="443">
        <f>Таблица4[[#This Row],[Количество хлыстов]]-Таблица4[[#This Row],[Готово, хл]]-Таблица4[[#This Row],[Вывезено, хл]]</f>
        <v>2</v>
      </c>
      <c r="N105" s="444">
        <f>Таблица4[[#This Row],[Площадь общая, м2]]/28</f>
        <v>4.709167857142857</v>
      </c>
      <c r="O105" s="445" t="s">
        <v>4809</v>
      </c>
      <c r="P105" s="445">
        <v>6.05</v>
      </c>
      <c r="Q105" s="445" t="s">
        <v>4749</v>
      </c>
      <c r="R105" s="447">
        <v>550.54999999999995</v>
      </c>
      <c r="S105" s="451">
        <v>91</v>
      </c>
      <c r="T105" s="447">
        <v>0.23949999999999999</v>
      </c>
      <c r="U105" s="447">
        <v>0.95599999999999996</v>
      </c>
      <c r="V105" s="447">
        <v>131.85669999999999</v>
      </c>
      <c r="W105" s="447">
        <v>526.32579999999996</v>
      </c>
      <c r="X105" s="447">
        <v>17.14</v>
      </c>
      <c r="Y105" s="447">
        <v>91.73</v>
      </c>
      <c r="Z105" s="447">
        <v>383</v>
      </c>
      <c r="AA105" s="448">
        <v>50501.95</v>
      </c>
    </row>
    <row r="106" spans="1:27" s="339" customFormat="1" ht="18" hidden="1" customHeight="1" x14ac:dyDescent="0.25">
      <c r="A106" s="437" t="s">
        <v>4678</v>
      </c>
      <c r="B106" s="438">
        <v>38</v>
      </c>
      <c r="C106" s="438"/>
      <c r="D106" s="439" t="s">
        <v>13</v>
      </c>
      <c r="E106" s="438" t="s">
        <v>892</v>
      </c>
      <c r="F106" s="440">
        <v>45308</v>
      </c>
      <c r="G106" s="440"/>
      <c r="H106" s="439" t="s">
        <v>677</v>
      </c>
      <c r="I106" s="449"/>
      <c r="J106" s="449"/>
      <c r="K106" s="449"/>
      <c r="L106" s="450"/>
      <c r="M106" s="443">
        <f>Таблица4[[#This Row],[Количество хлыстов]]-Таблица4[[#This Row],[Готово, хл]]-Таблица4[[#This Row],[Вывезено, хл]]</f>
        <v>44</v>
      </c>
      <c r="N106" s="444">
        <f>(Таблица4[[#This Row],[Осталось сделать, хлыст]]*Таблица4[[#This Row],[длина]]*Таблица4[[#This Row],[Периметр]])/28</f>
        <v>1.1510321428571431</v>
      </c>
      <c r="O106" s="445" t="s">
        <v>4905</v>
      </c>
      <c r="P106" s="447">
        <v>4.1500000000000004</v>
      </c>
      <c r="Q106" s="445" t="s">
        <v>4673</v>
      </c>
      <c r="R106" s="447">
        <v>182.6</v>
      </c>
      <c r="S106" s="451">
        <v>44</v>
      </c>
      <c r="T106" s="447">
        <v>0.17649999999999999</v>
      </c>
      <c r="U106" s="447">
        <v>1.3280000000000001</v>
      </c>
      <c r="V106" s="447">
        <v>32.228900000000003</v>
      </c>
      <c r="W106" s="447">
        <v>242.49279999999999</v>
      </c>
      <c r="X106" s="447">
        <v>4.1900000000000004</v>
      </c>
      <c r="Y106" s="447">
        <v>64.42</v>
      </c>
      <c r="Z106" s="447">
        <v>365</v>
      </c>
      <c r="AA106" s="448">
        <v>11763.55</v>
      </c>
    </row>
    <row r="107" spans="1:27" s="339" customFormat="1" ht="18" hidden="1" customHeight="1" x14ac:dyDescent="0.25">
      <c r="A107" s="437" t="s">
        <v>4678</v>
      </c>
      <c r="B107" s="438">
        <v>39</v>
      </c>
      <c r="C107" s="438"/>
      <c r="D107" s="439" t="s">
        <v>13</v>
      </c>
      <c r="E107" s="439" t="s">
        <v>32</v>
      </c>
      <c r="F107" s="440">
        <v>45308</v>
      </c>
      <c r="G107" s="440"/>
      <c r="H107" s="439" t="s">
        <v>23</v>
      </c>
      <c r="I107" s="441"/>
      <c r="J107" s="441"/>
      <c r="K107" s="441"/>
      <c r="L107" s="441">
        <v>130</v>
      </c>
      <c r="M107" s="443">
        <f>Таблица4[[#This Row],[Количество хлыстов]]-Таблица4[[#This Row],[Готово, хл]]-Таблица4[[#This Row],[Вывезено, хл]]</f>
        <v>0</v>
      </c>
      <c r="N107" s="444">
        <f>(Таблица4[[#This Row],[Осталось сделать, хлыст]]*Таблица4[[#This Row],[длина]]*Таблица4[[#This Row],[Периметр]])/28</f>
        <v>0</v>
      </c>
      <c r="O107" s="445" t="s">
        <v>4880</v>
      </c>
      <c r="P107" s="447">
        <v>4.45</v>
      </c>
      <c r="Q107" s="445" t="s">
        <v>4276</v>
      </c>
      <c r="R107" s="447">
        <v>578.5</v>
      </c>
      <c r="S107" s="451">
        <v>130</v>
      </c>
      <c r="T107" s="447">
        <v>0.2651</v>
      </c>
      <c r="U107" s="447">
        <v>0.82099999999999995</v>
      </c>
      <c r="V107" s="447">
        <v>153.3604</v>
      </c>
      <c r="W107" s="447">
        <v>474.94850000000002</v>
      </c>
      <c r="X107" s="447">
        <v>19.940000000000001</v>
      </c>
      <c r="Y107" s="447">
        <v>124.6</v>
      </c>
      <c r="Z107" s="447">
        <v>470</v>
      </c>
      <c r="AA107" s="448">
        <v>72081.100000000006</v>
      </c>
    </row>
    <row r="108" spans="1:27" s="339" customFormat="1" ht="17.45" hidden="1" customHeight="1" x14ac:dyDescent="0.25">
      <c r="A108" s="499" t="s">
        <v>4678</v>
      </c>
      <c r="B108" s="467">
        <v>39</v>
      </c>
      <c r="C108" s="467"/>
      <c r="D108" s="468" t="s">
        <v>13</v>
      </c>
      <c r="E108" s="468" t="s">
        <v>32</v>
      </c>
      <c r="F108" s="469">
        <v>45308</v>
      </c>
      <c r="G108" s="469"/>
      <c r="H108" s="439" t="s">
        <v>23</v>
      </c>
      <c r="I108" s="449"/>
      <c r="J108" s="449"/>
      <c r="K108" s="449"/>
      <c r="L108" s="450">
        <v>336</v>
      </c>
      <c r="M108" s="443">
        <f>Таблица4[[#This Row],[Количество хлыстов]]-Таблица4[[#This Row],[Готово, хл]]-Таблица4[[#This Row],[Вывезено, хл]]</f>
        <v>9</v>
      </c>
      <c r="N108" s="586"/>
      <c r="O108" s="445" t="s">
        <v>5000</v>
      </c>
      <c r="P108" s="447">
        <v>5.15</v>
      </c>
      <c r="Q108" s="445" t="s">
        <v>1975</v>
      </c>
      <c r="R108" s="447">
        <v>1776.75</v>
      </c>
      <c r="S108" s="451">
        <v>345</v>
      </c>
      <c r="T108" s="447">
        <v>0.15790000000000001</v>
      </c>
      <c r="U108" s="447">
        <v>0.309</v>
      </c>
      <c r="V108" s="447">
        <v>280.54880000000003</v>
      </c>
      <c r="W108" s="447">
        <v>549.01580000000001</v>
      </c>
      <c r="X108" s="447">
        <v>36.47</v>
      </c>
      <c r="Y108" s="447">
        <v>74.209999999999994</v>
      </c>
      <c r="Z108" s="447">
        <v>470</v>
      </c>
      <c r="AA108" s="448">
        <v>131857.95000000001</v>
      </c>
    </row>
    <row r="109" spans="1:27" s="420" customFormat="1" ht="17.45" hidden="1" customHeight="1" x14ac:dyDescent="0.25">
      <c r="A109" s="499" t="s">
        <v>4939</v>
      </c>
      <c r="B109" s="467">
        <v>40</v>
      </c>
      <c r="C109" s="467"/>
      <c r="D109" s="468" t="s">
        <v>13</v>
      </c>
      <c r="E109" s="468" t="s">
        <v>4734</v>
      </c>
      <c r="F109" s="469">
        <v>45308</v>
      </c>
      <c r="G109" s="469"/>
      <c r="H109" s="468" t="s">
        <v>23</v>
      </c>
      <c r="I109" s="519"/>
      <c r="J109" s="519"/>
      <c r="K109" s="519"/>
      <c r="L109" s="520">
        <f>114+22</f>
        <v>136</v>
      </c>
      <c r="M109" s="501">
        <f>Таблица4[[#This Row],[Количество хлыстов]]-Таблица4[[#This Row],[Готово, хл]]-Таблица4[[#This Row],[Вывезено, хл]]</f>
        <v>0</v>
      </c>
      <c r="N109" s="478">
        <f>Таблица4[[#This Row],[Площадь общая, м2]]/28</f>
        <v>17.064357142857144</v>
      </c>
      <c r="O109" s="237"/>
      <c r="P109" s="470">
        <v>6.5</v>
      </c>
      <c r="Q109" s="237" t="s">
        <v>4491</v>
      </c>
      <c r="R109" s="470">
        <v>884</v>
      </c>
      <c r="S109" s="471">
        <v>136</v>
      </c>
      <c r="T109" s="470">
        <v>0.54049999999999998</v>
      </c>
      <c r="U109" s="470">
        <v>2.0979999999999999</v>
      </c>
      <c r="V109" s="470">
        <v>477.80200000000002</v>
      </c>
      <c r="W109" s="470">
        <v>1854.6320000000001</v>
      </c>
      <c r="X109" s="470">
        <v>62.11</v>
      </c>
      <c r="Y109" s="470">
        <f>Таблица4[[#This Row],[Цена м2
руб]]*Таблица4[[#This Row],[Периметр]]</f>
        <v>164.85249999999999</v>
      </c>
      <c r="Z109" s="470">
        <v>305</v>
      </c>
      <c r="AA109" s="472">
        <f>Таблица4[[#This Row],[Цена м.п. руб]]*Таблица4[[#This Row],[Коли-
чество м.п.]]</f>
        <v>145729.60999999999</v>
      </c>
    </row>
    <row r="110" spans="1:27" s="420" customFormat="1" ht="17.45" hidden="1" customHeight="1" x14ac:dyDescent="0.25">
      <c r="A110" s="499" t="s">
        <v>4939</v>
      </c>
      <c r="B110" s="467">
        <v>40</v>
      </c>
      <c r="C110" s="467"/>
      <c r="D110" s="468" t="s">
        <v>13</v>
      </c>
      <c r="E110" s="468" t="s">
        <v>4734</v>
      </c>
      <c r="F110" s="469">
        <v>45308</v>
      </c>
      <c r="G110" s="469"/>
      <c r="H110" s="468" t="s">
        <v>23</v>
      </c>
      <c r="I110" s="476"/>
      <c r="J110" s="476"/>
      <c r="K110" s="476"/>
      <c r="L110" s="476">
        <v>20</v>
      </c>
      <c r="M110" s="501">
        <f>Таблица4[[#This Row],[Количество хлыстов]]-Таблица4[[#This Row],[Готово, хл]]-Таблица4[[#This Row],[Вывезено, хл]]</f>
        <v>0</v>
      </c>
      <c r="N110" s="478">
        <f>Таблица4[[#This Row],[Площадь общая, м2]]/28</f>
        <v>2.8971428571428572</v>
      </c>
      <c r="O110" s="237"/>
      <c r="P110" s="470">
        <v>6.5</v>
      </c>
      <c r="Q110" s="237" t="s">
        <v>2091</v>
      </c>
      <c r="R110" s="470">
        <v>130</v>
      </c>
      <c r="S110" s="471">
        <v>20</v>
      </c>
      <c r="T110" s="470">
        <v>0.624</v>
      </c>
      <c r="U110" s="470">
        <v>2.6</v>
      </c>
      <c r="V110" s="470">
        <v>81.12</v>
      </c>
      <c r="W110" s="470">
        <v>338</v>
      </c>
      <c r="X110" s="470">
        <v>10.55</v>
      </c>
      <c r="Y110" s="470">
        <f>Таблица4[[#This Row],[Цена м2
руб]]*Таблица4[[#This Row],[Периметр]]</f>
        <v>190.32</v>
      </c>
      <c r="Z110" s="470">
        <v>305</v>
      </c>
      <c r="AA110" s="472">
        <f>Таблица4[[#This Row],[Цена м.п. руб]]*Таблица4[[#This Row],[Коли-
чество м.п.]]</f>
        <v>24741.599999999999</v>
      </c>
    </row>
    <row r="111" spans="1:27" s="418" customFormat="1" ht="17.45" hidden="1" customHeight="1" x14ac:dyDescent="0.25">
      <c r="A111" s="507" t="s">
        <v>4978</v>
      </c>
      <c r="B111" s="508">
        <v>42</v>
      </c>
      <c r="C111" s="508"/>
      <c r="D111" s="509" t="s">
        <v>13</v>
      </c>
      <c r="E111" s="509" t="s">
        <v>32</v>
      </c>
      <c r="F111" s="510">
        <v>45309</v>
      </c>
      <c r="G111" s="510"/>
      <c r="H111" s="508" t="s">
        <v>23</v>
      </c>
      <c r="I111" s="511"/>
      <c r="J111" s="511"/>
      <c r="K111" s="511"/>
      <c r="L111" s="511">
        <v>175</v>
      </c>
      <c r="M111" s="443">
        <f>Таблица4[[#This Row],[Количество хлыстов]]-Таблица4[[#This Row],[Готово, хл]]-Таблица4[[#This Row],[Вывезено, хл]]</f>
        <v>7</v>
      </c>
      <c r="N111" s="513">
        <f>Таблица4[[#This Row],[Площадь общая, м2]]/28</f>
        <v>4.8219928571428579</v>
      </c>
      <c r="O111" s="514"/>
      <c r="P111" s="514"/>
      <c r="Q111" s="515" t="s">
        <v>4403</v>
      </c>
      <c r="R111" s="516">
        <v>919.1</v>
      </c>
      <c r="S111" s="517">
        <v>182</v>
      </c>
      <c r="T111" s="516">
        <v>0.1469</v>
      </c>
      <c r="U111" s="516">
        <v>1.3859999999999999</v>
      </c>
      <c r="V111" s="516">
        <v>135.01580000000001</v>
      </c>
      <c r="W111" s="516">
        <v>1273.8725999999999</v>
      </c>
      <c r="X111" s="516">
        <v>17.55</v>
      </c>
      <c r="Y111" s="516">
        <v>49.74</v>
      </c>
      <c r="Z111" s="516">
        <v>315</v>
      </c>
      <c r="AA111" s="518">
        <v>45716.03</v>
      </c>
    </row>
    <row r="112" spans="1:27" s="414" customFormat="1" ht="17.45" hidden="1" customHeight="1" x14ac:dyDescent="0.25">
      <c r="A112" s="423" t="s">
        <v>4678</v>
      </c>
      <c r="B112" s="424">
        <v>29</v>
      </c>
      <c r="C112" s="424" t="s">
        <v>4753</v>
      </c>
      <c r="D112" s="496" t="s">
        <v>13</v>
      </c>
      <c r="E112" s="474" t="s">
        <v>3765</v>
      </c>
      <c r="F112" s="475">
        <v>45309</v>
      </c>
      <c r="G112" s="475">
        <v>45369</v>
      </c>
      <c r="H112" s="695" t="s">
        <v>23</v>
      </c>
      <c r="I112" s="476"/>
      <c r="J112" s="476"/>
      <c r="K112" s="476"/>
      <c r="L112" s="500"/>
      <c r="M112" s="501">
        <f>Таблица4[[#This Row],[Количество хлыстов]]-Таблица4[[#This Row],[Готово, хл]]-Таблица4[[#This Row],[Вывезено, хл]]</f>
        <v>20</v>
      </c>
      <c r="N112" s="696">
        <v>2</v>
      </c>
      <c r="O112" s="697" t="s">
        <v>4757</v>
      </c>
      <c r="P112" s="697"/>
      <c r="Q112" s="697" t="s">
        <v>4407</v>
      </c>
      <c r="R112" s="697"/>
      <c r="S112" s="698">
        <v>20</v>
      </c>
      <c r="T112" s="697"/>
      <c r="U112" s="697"/>
      <c r="V112" s="697"/>
      <c r="W112" s="697"/>
      <c r="X112" s="697"/>
      <c r="Y112" s="697"/>
      <c r="Z112" s="697"/>
      <c r="AA112" s="699"/>
    </row>
    <row r="113" spans="1:27" s="414" customFormat="1" ht="17.45" hidden="1" customHeight="1" x14ac:dyDescent="0.25">
      <c r="A113" s="171" t="s">
        <v>4678</v>
      </c>
      <c r="B113" s="425">
        <v>30</v>
      </c>
      <c r="C113" s="425" t="s">
        <v>4753</v>
      </c>
      <c r="D113" s="204" t="s">
        <v>13</v>
      </c>
      <c r="E113" s="474" t="s">
        <v>3765</v>
      </c>
      <c r="F113" s="239">
        <v>45309</v>
      </c>
      <c r="G113" s="239">
        <v>45369</v>
      </c>
      <c r="H113" s="700" t="s">
        <v>23</v>
      </c>
      <c r="I113" s="519"/>
      <c r="J113" s="519"/>
      <c r="K113" s="519"/>
      <c r="L113" s="520"/>
      <c r="M113" s="501">
        <v>22</v>
      </c>
      <c r="N113" s="701">
        <v>2</v>
      </c>
      <c r="O113" s="163" t="s">
        <v>4757</v>
      </c>
      <c r="P113" s="163"/>
      <c r="Q113" s="163" t="s">
        <v>4407</v>
      </c>
      <c r="R113" s="163"/>
      <c r="S113" s="702">
        <v>22</v>
      </c>
      <c r="T113" s="163"/>
      <c r="U113" s="163"/>
      <c r="V113" s="163"/>
      <c r="W113" s="163"/>
      <c r="X113" s="163"/>
      <c r="Y113" s="163"/>
      <c r="Z113" s="163"/>
      <c r="AA113" s="703"/>
    </row>
    <row r="114" spans="1:27" s="414" customFormat="1" ht="17.45" hidden="1" customHeight="1" x14ac:dyDescent="0.25">
      <c r="A114" s="171" t="s">
        <v>4678</v>
      </c>
      <c r="B114" s="521">
        <v>24</v>
      </c>
      <c r="C114" s="521" t="s">
        <v>4753</v>
      </c>
      <c r="D114" s="304" t="s">
        <v>13</v>
      </c>
      <c r="E114" s="142" t="s">
        <v>4879</v>
      </c>
      <c r="F114" s="594">
        <v>45310</v>
      </c>
      <c r="G114" s="475">
        <v>45366</v>
      </c>
      <c r="H114" s="162" t="s">
        <v>23</v>
      </c>
      <c r="I114" s="587"/>
      <c r="J114" s="587"/>
      <c r="K114" s="587">
        <f>280+279</f>
        <v>559</v>
      </c>
      <c r="L114" s="588"/>
      <c r="M114" s="443">
        <f>Таблица4[[#This Row],[Количество хлыстов]]-Таблица4[[#This Row],[Готово, хл]]-Таблица4[[#This Row],[Вывезено, хл]]</f>
        <v>9</v>
      </c>
      <c r="N114" s="589">
        <v>9</v>
      </c>
      <c r="O114" s="575" t="s">
        <v>4886</v>
      </c>
      <c r="P114" s="163">
        <v>3.1</v>
      </c>
      <c r="Q114" s="162" t="s">
        <v>4849</v>
      </c>
      <c r="R114" s="162">
        <v>1760.8</v>
      </c>
      <c r="S114" s="480">
        <v>568</v>
      </c>
      <c r="T114" s="162"/>
      <c r="U114" s="162">
        <v>0.41499999999999998</v>
      </c>
      <c r="V114" s="162"/>
      <c r="W114" s="479">
        <f>Таблица4[[#This Row],[Осталось сделать, хлыст]]*Таблица4[[#This Row],[длина]]*Таблица4[[#This Row],[Вес п.м., кг]]</f>
        <v>11.5785</v>
      </c>
      <c r="X114" s="162"/>
      <c r="Y114" s="162"/>
      <c r="Z114" s="470">
        <v>305</v>
      </c>
      <c r="AA114" s="481"/>
    </row>
    <row r="115" spans="1:27" s="898" customFormat="1" ht="17.25" hidden="1" customHeight="1" x14ac:dyDescent="0.25">
      <c r="A115" s="891" t="s">
        <v>4978</v>
      </c>
      <c r="B115" s="67"/>
      <c r="C115" s="892"/>
      <c r="D115" s="539" t="s">
        <v>13</v>
      </c>
      <c r="E115" s="539" t="s">
        <v>32</v>
      </c>
      <c r="F115" s="893">
        <v>45310</v>
      </c>
      <c r="G115" s="893"/>
      <c r="H115" s="539" t="s">
        <v>677</v>
      </c>
      <c r="I115" s="894"/>
      <c r="J115" s="894"/>
      <c r="K115" s="894"/>
      <c r="L115" s="895"/>
      <c r="M115" s="896">
        <f>Таблица4[[#This Row],[Количество хлыстов]]-Таблица4[[#This Row],[Готово, хл]]-Таблица4[[#This Row],[Вывезено, хл]]</f>
        <v>118</v>
      </c>
      <c r="N115" s="478">
        <f>(Таблица4[[#This Row],[Осталось сделать, хлыст]]*Таблица4[[#This Row],[длина]]*Таблица4[[#This Row],[Периметр]])/28</f>
        <v>6.7591032142857141</v>
      </c>
      <c r="O115" s="539" t="s">
        <v>4760</v>
      </c>
      <c r="P115" s="539">
        <v>6.05</v>
      </c>
      <c r="Q115" s="539" t="s">
        <v>4759</v>
      </c>
      <c r="R115" s="540">
        <v>595.9</v>
      </c>
      <c r="S115" s="541">
        <v>118</v>
      </c>
      <c r="T115" s="540">
        <v>0.2651</v>
      </c>
      <c r="U115" s="540">
        <v>0.82099999999999995</v>
      </c>
      <c r="V115" s="540">
        <v>157.97309999999999</v>
      </c>
      <c r="W115" s="540">
        <v>489.23390000000001</v>
      </c>
      <c r="X115" s="540">
        <v>20.54</v>
      </c>
      <c r="Y115" s="540" t="s">
        <v>17</v>
      </c>
      <c r="Z115" s="540" t="s">
        <v>17</v>
      </c>
      <c r="AA115" s="897" t="s">
        <v>17</v>
      </c>
    </row>
    <row r="116" spans="1:27" s="430" customFormat="1" ht="17.45" hidden="1" customHeight="1" x14ac:dyDescent="0.25">
      <c r="A116" s="547" t="s">
        <v>4978</v>
      </c>
      <c r="B116" s="590">
        <v>45</v>
      </c>
      <c r="C116" s="590"/>
      <c r="D116" s="556" t="s">
        <v>13</v>
      </c>
      <c r="E116" s="556" t="s">
        <v>3764</v>
      </c>
      <c r="F116" s="591">
        <v>45310</v>
      </c>
      <c r="G116" s="591"/>
      <c r="H116" s="556" t="s">
        <v>23</v>
      </c>
      <c r="I116" s="592"/>
      <c r="J116" s="592"/>
      <c r="K116" s="592"/>
      <c r="L116" s="592">
        <v>390</v>
      </c>
      <c r="M116" s="553">
        <f>Таблица4[[#This Row],[Количество хлыстов]]-Таблица4[[#This Row],[Готово, хл]]-Таблица4[[#This Row],[Вывезено, хл]]</f>
        <v>0</v>
      </c>
      <c r="N116" s="554"/>
      <c r="O116" s="556"/>
      <c r="P116" s="556">
        <v>4.8499999999999996</v>
      </c>
      <c r="Q116" s="556" t="s">
        <v>2841</v>
      </c>
      <c r="R116" s="557">
        <v>1891.5</v>
      </c>
      <c r="S116" s="558">
        <v>390</v>
      </c>
      <c r="T116" s="557">
        <v>9.5600000000000004E-2</v>
      </c>
      <c r="U116" s="557">
        <v>0.16</v>
      </c>
      <c r="V116" s="557">
        <v>180.82740000000001</v>
      </c>
      <c r="W116" s="557">
        <v>302.64</v>
      </c>
      <c r="X116" s="557">
        <v>23.51</v>
      </c>
      <c r="Y116" s="557"/>
      <c r="Z116" s="557"/>
      <c r="AA116" s="559"/>
    </row>
    <row r="117" spans="1:27" s="418" customFormat="1" ht="17.45" hidden="1" customHeight="1" x14ac:dyDescent="0.25">
      <c r="A117" s="507" t="s">
        <v>4978</v>
      </c>
      <c r="B117" s="508">
        <v>41</v>
      </c>
      <c r="C117" s="508"/>
      <c r="D117" s="509" t="s">
        <v>34</v>
      </c>
      <c r="E117" s="509" t="s">
        <v>643</v>
      </c>
      <c r="F117" s="510">
        <v>45309</v>
      </c>
      <c r="G117" s="510"/>
      <c r="H117" s="508" t="s">
        <v>23</v>
      </c>
      <c r="I117" s="511"/>
      <c r="J117" s="511"/>
      <c r="K117" s="511"/>
      <c r="L117" s="512"/>
      <c r="M117" s="443">
        <f>Таблица4[[#This Row],[Количество хлыстов]]-Таблица4[[#This Row],[Готово, хл]]-Таблица4[[#This Row],[Вывезено, хл]]</f>
        <v>60</v>
      </c>
      <c r="N117" s="513">
        <f>Таблица4[[#This Row],[Площадь общая, м2]]/28</f>
        <v>2.3297142857142856</v>
      </c>
      <c r="O117" s="514"/>
      <c r="P117" s="514"/>
      <c r="Q117" s="515" t="s">
        <v>4763</v>
      </c>
      <c r="R117" s="516">
        <v>288</v>
      </c>
      <c r="S117" s="517">
        <v>60</v>
      </c>
      <c r="T117" s="516">
        <v>0.22650000000000001</v>
      </c>
      <c r="U117" s="516">
        <v>0.52700000000000002</v>
      </c>
      <c r="V117" s="516">
        <v>65.231999999999999</v>
      </c>
      <c r="W117" s="516">
        <v>151.77600000000001</v>
      </c>
      <c r="X117" s="516">
        <v>8.48</v>
      </c>
      <c r="Y117" s="516">
        <v>67.95</v>
      </c>
      <c r="Z117" s="516">
        <v>300</v>
      </c>
      <c r="AA117" s="518">
        <v>19569.599999999999</v>
      </c>
    </row>
    <row r="118" spans="1:27" s="418" customFormat="1" ht="17.45" hidden="1" customHeight="1" x14ac:dyDescent="0.25">
      <c r="A118" s="507" t="s">
        <v>4978</v>
      </c>
      <c r="B118" s="508">
        <v>41</v>
      </c>
      <c r="C118" s="508"/>
      <c r="D118" s="509" t="s">
        <v>34</v>
      </c>
      <c r="E118" s="509" t="s">
        <v>643</v>
      </c>
      <c r="F118" s="510">
        <v>45309</v>
      </c>
      <c r="G118" s="510"/>
      <c r="H118" s="508" t="s">
        <v>23</v>
      </c>
      <c r="I118" s="511"/>
      <c r="J118" s="511"/>
      <c r="K118" s="511"/>
      <c r="L118" s="512"/>
      <c r="M118" s="443">
        <f>Таблица4[[#This Row],[Количество хлыстов]]-Таблица4[[#This Row],[Готово, хл]]-Таблица4[[#This Row],[Вывезено, хл]]</f>
        <v>66</v>
      </c>
      <c r="N118" s="513">
        <f>Таблица4[[#This Row],[Площадь общая, м2]]/28</f>
        <v>2.2423500000000001</v>
      </c>
      <c r="O118" s="514"/>
      <c r="P118" s="514"/>
      <c r="Q118" s="515" t="s">
        <v>4764</v>
      </c>
      <c r="R118" s="516">
        <v>277.2</v>
      </c>
      <c r="S118" s="517">
        <v>66</v>
      </c>
      <c r="T118" s="516">
        <v>0.22650000000000001</v>
      </c>
      <c r="U118" s="516">
        <v>0.52700000000000002</v>
      </c>
      <c r="V118" s="516">
        <v>62.785800000000002</v>
      </c>
      <c r="W118" s="516">
        <v>146.08439999999999</v>
      </c>
      <c r="X118" s="516">
        <v>8.16</v>
      </c>
      <c r="Y118" s="516">
        <v>67.95</v>
      </c>
      <c r="Z118" s="516">
        <v>300</v>
      </c>
      <c r="AA118" s="518">
        <v>18835.740000000002</v>
      </c>
    </row>
    <row r="119" spans="1:27" s="339" customFormat="1" ht="17.45" hidden="1" customHeight="1" x14ac:dyDescent="0.25">
      <c r="A119" s="437" t="s">
        <v>4678</v>
      </c>
      <c r="B119" s="438" t="s">
        <v>3797</v>
      </c>
      <c r="C119" s="438"/>
      <c r="D119" s="439" t="s">
        <v>34</v>
      </c>
      <c r="E119" s="439" t="s">
        <v>16</v>
      </c>
      <c r="F119" s="440">
        <v>45316</v>
      </c>
      <c r="G119" s="440"/>
      <c r="H119" s="439" t="s">
        <v>23</v>
      </c>
      <c r="I119" s="441"/>
      <c r="J119" s="441"/>
      <c r="K119" s="441"/>
      <c r="L119" s="442"/>
      <c r="M119" s="443">
        <f>Таблица4[[#This Row],[Количество хлыстов]]-Таблица4[[#This Row],[Готово, хл]]-Таблица4[[#This Row],[Вывезено, хл]]</f>
        <v>41</v>
      </c>
      <c r="N119" s="444">
        <f>(Таблица4[[#This Row],[Осталось сделать, хлыст]]*Таблица4[[#This Row],[длина]]*Таблица4[[#This Row],[Периметр]])/28</f>
        <v>2.3949857142857143</v>
      </c>
      <c r="O119" s="445"/>
      <c r="P119" s="445">
        <v>6</v>
      </c>
      <c r="Q119" s="445" t="s">
        <v>2859</v>
      </c>
      <c r="R119" s="447">
        <v>246</v>
      </c>
      <c r="S119" s="451">
        <v>41</v>
      </c>
      <c r="T119" s="447">
        <v>0.27260000000000001</v>
      </c>
      <c r="U119" s="447">
        <v>0.72899999999999998</v>
      </c>
      <c r="V119" s="447">
        <v>67.059600000000003</v>
      </c>
      <c r="W119" s="447">
        <v>179.334</v>
      </c>
      <c r="X119" s="447">
        <v>8.7200000000000006</v>
      </c>
      <c r="Y119" s="447">
        <v>106.31</v>
      </c>
      <c r="Z119" s="447">
        <v>390</v>
      </c>
      <c r="AA119" s="448">
        <v>26153.24</v>
      </c>
    </row>
    <row r="120" spans="1:27" s="418" customFormat="1" ht="17.45" hidden="1" customHeight="1" x14ac:dyDescent="0.25">
      <c r="A120" s="507" t="s">
        <v>4978</v>
      </c>
      <c r="B120" s="508">
        <v>51</v>
      </c>
      <c r="C120" s="508"/>
      <c r="D120" s="509" t="s">
        <v>13</v>
      </c>
      <c r="E120" s="509" t="s">
        <v>32</v>
      </c>
      <c r="F120" s="510">
        <v>45317</v>
      </c>
      <c r="G120" s="510"/>
      <c r="H120" s="508" t="s">
        <v>23</v>
      </c>
      <c r="I120" s="511"/>
      <c r="J120" s="511"/>
      <c r="K120" s="511"/>
      <c r="L120" s="512"/>
      <c r="M120" s="443">
        <f>Таблица4[[#This Row],[Количество хлыстов]]-Таблица4[[#This Row],[Готово, хл]]-Таблица4[[#This Row],[Вывезено, хл]]</f>
        <v>179</v>
      </c>
      <c r="N120" s="513"/>
      <c r="O120" s="514" t="s">
        <v>4731</v>
      </c>
      <c r="P120" s="514"/>
      <c r="Q120" s="515" t="s">
        <v>4772</v>
      </c>
      <c r="R120" s="516">
        <v>796.55</v>
      </c>
      <c r="S120" s="517">
        <v>179</v>
      </c>
      <c r="T120" s="516">
        <v>0.2651</v>
      </c>
      <c r="U120" s="516">
        <v>0.82099999999999995</v>
      </c>
      <c r="V120" s="516">
        <v>211.16540000000001</v>
      </c>
      <c r="W120" s="516">
        <v>653.96759999999995</v>
      </c>
      <c r="X120" s="516">
        <v>27.45</v>
      </c>
      <c r="Y120" s="516">
        <v>83.51</v>
      </c>
      <c r="Z120" s="516">
        <v>315</v>
      </c>
      <c r="AA120" s="518">
        <v>66517.100000000006</v>
      </c>
    </row>
    <row r="121" spans="1:27" s="418" customFormat="1" ht="17.45" hidden="1" customHeight="1" x14ac:dyDescent="0.25">
      <c r="A121" s="507" t="s">
        <v>4978</v>
      </c>
      <c r="B121" s="508">
        <v>51</v>
      </c>
      <c r="C121" s="508"/>
      <c r="D121" s="509" t="s">
        <v>13</v>
      </c>
      <c r="E121" s="509" t="s">
        <v>32</v>
      </c>
      <c r="F121" s="510">
        <v>45317</v>
      </c>
      <c r="G121" s="510"/>
      <c r="H121" s="508" t="s">
        <v>23</v>
      </c>
      <c r="I121" s="511"/>
      <c r="J121" s="511"/>
      <c r="K121" s="511"/>
      <c r="L121" s="512"/>
      <c r="M121" s="443">
        <f>Таблица4[[#This Row],[Количество хлыстов]]-Таблица4[[#This Row],[Готово, хл]]-Таблица4[[#This Row],[Вывезено, хл]]</f>
        <v>360</v>
      </c>
      <c r="N121" s="513"/>
      <c r="O121" s="514" t="s">
        <v>4731</v>
      </c>
      <c r="P121" s="514"/>
      <c r="Q121" s="515" t="s">
        <v>4773</v>
      </c>
      <c r="R121" s="516">
        <v>1854</v>
      </c>
      <c r="S121" s="517">
        <v>360</v>
      </c>
      <c r="T121" s="516">
        <v>0.15790000000000001</v>
      </c>
      <c r="U121" s="516">
        <v>0.309</v>
      </c>
      <c r="V121" s="516">
        <v>292.7466</v>
      </c>
      <c r="W121" s="516">
        <v>572.88599999999997</v>
      </c>
      <c r="X121" s="516">
        <v>38.06</v>
      </c>
      <c r="Y121" s="516">
        <v>49.74</v>
      </c>
      <c r="Z121" s="516">
        <v>315</v>
      </c>
      <c r="AA121" s="518">
        <v>92215.18</v>
      </c>
    </row>
    <row r="122" spans="1:27" s="418" customFormat="1" ht="17.45" hidden="1" customHeight="1" x14ac:dyDescent="0.25">
      <c r="A122" s="507" t="s">
        <v>4978</v>
      </c>
      <c r="B122" s="508">
        <v>51</v>
      </c>
      <c r="C122" s="508"/>
      <c r="D122" s="509" t="s">
        <v>13</v>
      </c>
      <c r="E122" s="509" t="s">
        <v>32</v>
      </c>
      <c r="F122" s="510">
        <v>45317</v>
      </c>
      <c r="G122" s="510"/>
      <c r="H122" s="508" t="s">
        <v>23</v>
      </c>
      <c r="I122" s="511"/>
      <c r="J122" s="511"/>
      <c r="K122" s="511"/>
      <c r="L122" s="512"/>
      <c r="M122" s="443">
        <f>Таблица4[[#This Row],[Количество хлыстов]]-Таблица4[[#This Row],[Готово, хл]]-Таблица4[[#This Row],[Вывезено, хл]]</f>
        <v>192</v>
      </c>
      <c r="N122" s="513"/>
      <c r="O122" s="514" t="s">
        <v>4731</v>
      </c>
      <c r="P122" s="514"/>
      <c r="Q122" s="515" t="s">
        <v>1975</v>
      </c>
      <c r="R122" s="516">
        <v>988.8</v>
      </c>
      <c r="S122" s="517">
        <v>192</v>
      </c>
      <c r="T122" s="516">
        <v>0.15790000000000001</v>
      </c>
      <c r="U122" s="516">
        <v>0.309</v>
      </c>
      <c r="V122" s="516">
        <v>156.13149999999999</v>
      </c>
      <c r="W122" s="516">
        <v>305.53919999999999</v>
      </c>
      <c r="X122" s="516">
        <v>20.3</v>
      </c>
      <c r="Y122" s="516">
        <v>49.74</v>
      </c>
      <c r="Z122" s="516">
        <v>315</v>
      </c>
      <c r="AA122" s="518">
        <v>49181.43</v>
      </c>
    </row>
    <row r="123" spans="1:27" s="418" customFormat="1" ht="17.45" hidden="1" customHeight="1" x14ac:dyDescent="0.25">
      <c r="A123" s="507" t="s">
        <v>4978</v>
      </c>
      <c r="B123" s="508">
        <v>51</v>
      </c>
      <c r="C123" s="508"/>
      <c r="D123" s="509" t="s">
        <v>13</v>
      </c>
      <c r="E123" s="509" t="s">
        <v>32</v>
      </c>
      <c r="F123" s="510">
        <v>45317</v>
      </c>
      <c r="G123" s="510"/>
      <c r="H123" s="508" t="s">
        <v>23</v>
      </c>
      <c r="I123" s="511"/>
      <c r="J123" s="511"/>
      <c r="K123" s="511"/>
      <c r="L123" s="511">
        <v>365</v>
      </c>
      <c r="M123" s="443">
        <f>Таблица4[[#This Row],[Количество хлыстов]]-Таблица4[[#This Row],[Готово, хл]]-Таблица4[[#This Row],[Вывезено, хл]]</f>
        <v>3</v>
      </c>
      <c r="N123" s="513"/>
      <c r="O123" s="514" t="s">
        <v>4731</v>
      </c>
      <c r="P123" s="514"/>
      <c r="Q123" s="515" t="s">
        <v>4774</v>
      </c>
      <c r="R123" s="516">
        <v>1784.8</v>
      </c>
      <c r="S123" s="517">
        <v>368</v>
      </c>
      <c r="T123" s="516">
        <v>9.5600000000000004E-2</v>
      </c>
      <c r="U123" s="516">
        <v>0.16</v>
      </c>
      <c r="V123" s="516">
        <v>170.62690000000001</v>
      </c>
      <c r="W123" s="516">
        <v>285.56799999999998</v>
      </c>
      <c r="X123" s="516">
        <v>22.18</v>
      </c>
      <c r="Y123" s="516">
        <v>30.11</v>
      </c>
      <c r="Z123" s="516">
        <v>315</v>
      </c>
      <c r="AA123" s="518">
        <v>53747.47</v>
      </c>
    </row>
    <row r="124" spans="1:27" s="339" customFormat="1" ht="17.45" hidden="1" customHeight="1" x14ac:dyDescent="0.25">
      <c r="A124" s="437" t="s">
        <v>4678</v>
      </c>
      <c r="B124" s="446">
        <v>53</v>
      </c>
      <c r="C124" s="446"/>
      <c r="D124" s="445" t="s">
        <v>34</v>
      </c>
      <c r="E124" s="445" t="s">
        <v>79</v>
      </c>
      <c r="F124" s="594">
        <v>45317</v>
      </c>
      <c r="G124" s="594"/>
      <c r="H124" s="445" t="s">
        <v>23</v>
      </c>
      <c r="I124" s="449"/>
      <c r="J124" s="449"/>
      <c r="K124" s="449"/>
      <c r="L124" s="450"/>
      <c r="M124" s="443">
        <f>Таблица4[[#This Row],[Количество хлыстов]]-Таблица4[[#This Row],[Готово, хл]]-Таблица4[[#This Row],[Вывезено, хл]]</f>
        <v>54</v>
      </c>
      <c r="N124" s="444">
        <f>(Таблица4[[#This Row],[Осталось сделать, хлыст]]*Таблица4[[#This Row],[длина]]*Таблица4[[#This Row],[Периметр]])/28</f>
        <v>5.2707857142857142</v>
      </c>
      <c r="O124" s="445"/>
      <c r="P124" s="445">
        <v>6</v>
      </c>
      <c r="Q124" s="445" t="s">
        <v>4590</v>
      </c>
      <c r="R124" s="447">
        <v>324</v>
      </c>
      <c r="S124" s="451">
        <v>54</v>
      </c>
      <c r="T124" s="447">
        <v>0.45550000000000002</v>
      </c>
      <c r="U124" s="447">
        <v>1.6990000000000001</v>
      </c>
      <c r="V124" s="447">
        <v>147.58199999999999</v>
      </c>
      <c r="W124" s="447">
        <v>550.476</v>
      </c>
      <c r="X124" s="447">
        <v>19.190000000000001</v>
      </c>
      <c r="Y124" s="447">
        <v>152.59</v>
      </c>
      <c r="Z124" s="447">
        <v>335</v>
      </c>
      <c r="AA124" s="448">
        <v>49439.97</v>
      </c>
    </row>
    <row r="125" spans="1:27" s="339" customFormat="1" ht="17.45" hidden="1" customHeight="1" x14ac:dyDescent="0.25">
      <c r="A125" s="437" t="s">
        <v>4678</v>
      </c>
      <c r="B125" s="446">
        <v>54</v>
      </c>
      <c r="C125" s="446"/>
      <c r="D125" s="445" t="s">
        <v>34</v>
      </c>
      <c r="E125" s="445" t="s">
        <v>3404</v>
      </c>
      <c r="F125" s="594">
        <v>45317</v>
      </c>
      <c r="G125" s="594"/>
      <c r="H125" s="439" t="s">
        <v>23</v>
      </c>
      <c r="I125" s="441"/>
      <c r="J125" s="441"/>
      <c r="K125" s="441"/>
      <c r="L125" s="442"/>
      <c r="M125" s="443">
        <f>Таблица4[[#This Row],[Количество хлыстов]]-Таблица4[[#This Row],[Готово, хл]]-Таблица4[[#This Row],[Вывезено, хл]]</f>
        <v>148</v>
      </c>
      <c r="N125" s="444">
        <f>Таблица4[[#This Row],[Площадь общая, м2]]/28</f>
        <v>6.9644571428571425</v>
      </c>
      <c r="O125" s="445"/>
      <c r="P125" s="445"/>
      <c r="Q125" s="445" t="s">
        <v>4657</v>
      </c>
      <c r="R125" s="447">
        <v>888</v>
      </c>
      <c r="S125" s="451">
        <v>148</v>
      </c>
      <c r="T125" s="447">
        <v>0.21959999999999999</v>
      </c>
      <c r="U125" s="447">
        <v>0.35</v>
      </c>
      <c r="V125" s="447">
        <v>195.00479999999999</v>
      </c>
      <c r="W125" s="447">
        <v>310.8</v>
      </c>
      <c r="X125" s="447">
        <v>25.35</v>
      </c>
      <c r="Y125" s="447">
        <v>73.569999999999993</v>
      </c>
      <c r="Z125" s="447">
        <v>335</v>
      </c>
      <c r="AA125" s="448">
        <v>65326.61</v>
      </c>
    </row>
    <row r="126" spans="1:27" s="339" customFormat="1" ht="17.45" hidden="1" customHeight="1" x14ac:dyDescent="0.25">
      <c r="A126" s="437" t="s">
        <v>4678</v>
      </c>
      <c r="B126" s="446" t="s">
        <v>4778</v>
      </c>
      <c r="C126" s="446"/>
      <c r="D126" s="445" t="s">
        <v>34</v>
      </c>
      <c r="E126" s="445" t="s">
        <v>16</v>
      </c>
      <c r="F126" s="594">
        <v>45317</v>
      </c>
      <c r="G126" s="594"/>
      <c r="H126" s="445" t="s">
        <v>23</v>
      </c>
      <c r="I126" s="449"/>
      <c r="J126" s="449"/>
      <c r="K126" s="449">
        <v>4</v>
      </c>
      <c r="L126" s="450">
        <f>60+48+12</f>
        <v>120</v>
      </c>
      <c r="M126" s="443">
        <f>Таблица4[[#This Row],[Количество хлыстов]]-Таблица4[[#This Row],[Готово, хл]]-Таблица4[[#This Row],[Вывезено, хл]]</f>
        <v>0</v>
      </c>
      <c r="N126" s="444">
        <f>(Таблица4[[#This Row],[Осталось сделать, хлыст]]*Таблица4[[#This Row],[длина]]*Таблица4[[#This Row],[Периметр]])/28</f>
        <v>0</v>
      </c>
      <c r="O126" s="445" t="s">
        <v>1569</v>
      </c>
      <c r="P126" s="445">
        <v>6</v>
      </c>
      <c r="Q126" s="445" t="s">
        <v>2581</v>
      </c>
      <c r="R126" s="447">
        <v>744</v>
      </c>
      <c r="S126" s="451">
        <v>124</v>
      </c>
      <c r="T126" s="447">
        <v>0.56989999999999996</v>
      </c>
      <c r="U126" s="447">
        <v>1.304</v>
      </c>
      <c r="V126" s="447">
        <v>424.00560000000002</v>
      </c>
      <c r="W126" s="447">
        <v>970.17600000000004</v>
      </c>
      <c r="X126" s="447">
        <v>55.12</v>
      </c>
      <c r="Y126" s="447">
        <v>290.64999999999998</v>
      </c>
      <c r="Z126" s="447">
        <v>510</v>
      </c>
      <c r="AA126" s="448">
        <v>216242.86</v>
      </c>
    </row>
    <row r="127" spans="1:27" s="339" customFormat="1" ht="17.45" hidden="1" customHeight="1" x14ac:dyDescent="0.25">
      <c r="A127" s="437" t="s">
        <v>4678</v>
      </c>
      <c r="B127" s="446" t="s">
        <v>4779</v>
      </c>
      <c r="C127" s="446"/>
      <c r="D127" s="445" t="s">
        <v>34</v>
      </c>
      <c r="E127" s="445" t="s">
        <v>16</v>
      </c>
      <c r="F127" s="594">
        <v>45317</v>
      </c>
      <c r="G127" s="594"/>
      <c r="H127" s="445" t="s">
        <v>23</v>
      </c>
      <c r="I127" s="449"/>
      <c r="J127" s="449"/>
      <c r="K127" s="449"/>
      <c r="L127" s="450">
        <v>78</v>
      </c>
      <c r="M127" s="443">
        <f>Таблица4[[#This Row],[Количество хлыстов]]-Таблица4[[#This Row],[Готово, хл]]-Таблица4[[#This Row],[Вывезено, хл]]</f>
        <v>0</v>
      </c>
      <c r="N127" s="444">
        <f>(Таблица4[[#This Row],[Осталось сделать, хлыст]]*Таблица4[[#This Row],[длина]]*Таблица4[[#This Row],[Периметр]])/28</f>
        <v>0</v>
      </c>
      <c r="O127" s="445"/>
      <c r="P127" s="445">
        <v>6</v>
      </c>
      <c r="Q127" s="445" t="s">
        <v>2845</v>
      </c>
      <c r="R127" s="447">
        <v>468</v>
      </c>
      <c r="S127" s="451">
        <v>78</v>
      </c>
      <c r="T127" s="447">
        <v>0.15909999999999999</v>
      </c>
      <c r="U127" s="447">
        <v>0.26</v>
      </c>
      <c r="V127" s="447">
        <v>74.458799999999997</v>
      </c>
      <c r="W127" s="447">
        <v>121.68</v>
      </c>
      <c r="X127" s="447">
        <v>9.68</v>
      </c>
      <c r="Y127" s="447">
        <v>81.14</v>
      </c>
      <c r="Z127" s="447">
        <v>510</v>
      </c>
      <c r="AA127" s="448">
        <v>37973.99</v>
      </c>
    </row>
    <row r="128" spans="1:27" s="339" customFormat="1" ht="17.45" hidden="1" customHeight="1" x14ac:dyDescent="0.25">
      <c r="A128" s="437" t="s">
        <v>4678</v>
      </c>
      <c r="B128" s="446" t="s">
        <v>4780</v>
      </c>
      <c r="C128" s="446"/>
      <c r="D128" s="445" t="s">
        <v>34</v>
      </c>
      <c r="E128" s="445" t="s">
        <v>16</v>
      </c>
      <c r="F128" s="594">
        <v>45317</v>
      </c>
      <c r="G128" s="594"/>
      <c r="H128" s="445" t="s">
        <v>23</v>
      </c>
      <c r="I128" s="449"/>
      <c r="J128" s="449"/>
      <c r="K128" s="449"/>
      <c r="L128" s="450">
        <v>84</v>
      </c>
      <c r="M128" s="443">
        <f>Таблица4[[#This Row],[Количество хлыстов]]-Таблица4[[#This Row],[Готово, хл]]-Таблица4[[#This Row],[Вывезено, хл]]</f>
        <v>116</v>
      </c>
      <c r="N128" s="444">
        <f>(Таблица4[[#This Row],[Осталось сделать, хлыст]]*Таблица4[[#This Row],[длина]]*Таблица4[[#This Row],[Периметр]])/28</f>
        <v>7.4496857142857147</v>
      </c>
      <c r="O128" s="445"/>
      <c r="P128" s="445">
        <v>6</v>
      </c>
      <c r="Q128" s="445" t="s">
        <v>2423</v>
      </c>
      <c r="R128" s="447">
        <v>1200</v>
      </c>
      <c r="S128" s="451">
        <v>200</v>
      </c>
      <c r="T128" s="447">
        <v>0.29970000000000002</v>
      </c>
      <c r="U128" s="447">
        <v>1.6739999999999999</v>
      </c>
      <c r="V128" s="447">
        <v>359.64</v>
      </c>
      <c r="W128" s="447">
        <v>2008.8</v>
      </c>
      <c r="X128" s="447">
        <v>46.75</v>
      </c>
      <c r="Y128" s="447">
        <v>116.88</v>
      </c>
      <c r="Z128" s="447">
        <v>390</v>
      </c>
      <c r="AA128" s="448">
        <v>140259.6</v>
      </c>
    </row>
    <row r="129" spans="1:27" s="339" customFormat="1" ht="17.45" hidden="1" customHeight="1" x14ac:dyDescent="0.25">
      <c r="A129" s="437" t="s">
        <v>4678</v>
      </c>
      <c r="B129" s="446" t="s">
        <v>4781</v>
      </c>
      <c r="C129" s="446"/>
      <c r="D129" s="445" t="s">
        <v>34</v>
      </c>
      <c r="E129" s="445" t="s">
        <v>16</v>
      </c>
      <c r="F129" s="594">
        <v>45317</v>
      </c>
      <c r="G129" s="594"/>
      <c r="H129" s="445" t="s">
        <v>23</v>
      </c>
      <c r="I129" s="441"/>
      <c r="J129" s="441"/>
      <c r="K129" s="441"/>
      <c r="L129" s="442"/>
      <c r="M129" s="443">
        <f>Таблица4[[#This Row],[Количество хлыстов]]-Таблица4[[#This Row],[Готово, хл]]-Таблица4[[#This Row],[Вывезено, хл]]</f>
        <v>51</v>
      </c>
      <c r="N129" s="444">
        <f>(Таблица4[[#This Row],[Осталось сделать, хлыст]]*Таблица4[[#This Row],[длина]]*Таблица4[[#This Row],[Периметр]])/28</f>
        <v>3.8228142857142857</v>
      </c>
      <c r="O129" s="445" t="s">
        <v>721</v>
      </c>
      <c r="P129" s="445">
        <v>6</v>
      </c>
      <c r="Q129" s="445" t="s">
        <v>2730</v>
      </c>
      <c r="R129" s="447">
        <v>306</v>
      </c>
      <c r="S129" s="451">
        <v>51</v>
      </c>
      <c r="T129" s="447">
        <v>0.3498</v>
      </c>
      <c r="U129" s="447">
        <v>1.425</v>
      </c>
      <c r="V129" s="447">
        <v>107.03879999999999</v>
      </c>
      <c r="W129" s="447">
        <v>436.05</v>
      </c>
      <c r="X129" s="447">
        <v>13.92</v>
      </c>
      <c r="Y129" s="447">
        <v>136.41999999999999</v>
      </c>
      <c r="Z129" s="447">
        <v>390</v>
      </c>
      <c r="AA129" s="448">
        <v>41745.129999999997</v>
      </c>
    </row>
    <row r="130" spans="1:27" s="339" customFormat="1" ht="17.45" hidden="1" customHeight="1" x14ac:dyDescent="0.25">
      <c r="A130" s="437" t="s">
        <v>4678</v>
      </c>
      <c r="B130" s="446" t="s">
        <v>4782</v>
      </c>
      <c r="C130" s="446"/>
      <c r="D130" s="445" t="s">
        <v>34</v>
      </c>
      <c r="E130" s="445" t="s">
        <v>16</v>
      </c>
      <c r="F130" s="594">
        <v>45317</v>
      </c>
      <c r="G130" s="594"/>
      <c r="H130" s="445" t="s">
        <v>23</v>
      </c>
      <c r="I130" s="449"/>
      <c r="J130" s="449"/>
      <c r="K130" s="449"/>
      <c r="L130" s="450"/>
      <c r="M130" s="443">
        <f>Таблица4[[#This Row],[Количество хлыстов]]-Таблица4[[#This Row],[Готово, хл]]-Таблица4[[#This Row],[Вывезено, хл]]</f>
        <v>24</v>
      </c>
      <c r="N130" s="444">
        <f>(Таблица4[[#This Row],[Осталось сделать, хлыст]]*Таблица4[[#This Row],[длина]]*Таблица4[[#This Row],[Периметр]])/28</f>
        <v>3.6421714285714288</v>
      </c>
      <c r="O130" s="445"/>
      <c r="P130" s="445">
        <v>6</v>
      </c>
      <c r="Q130" s="445" t="s">
        <v>2469</v>
      </c>
      <c r="R130" s="447">
        <v>144</v>
      </c>
      <c r="S130" s="451">
        <v>24</v>
      </c>
      <c r="T130" s="447">
        <v>0.70820000000000005</v>
      </c>
      <c r="U130" s="447">
        <v>3.4609999999999999</v>
      </c>
      <c r="V130" s="447">
        <v>101.9808</v>
      </c>
      <c r="W130" s="447">
        <v>498.38400000000001</v>
      </c>
      <c r="X130" s="447">
        <v>13.26</v>
      </c>
      <c r="Y130" s="447">
        <v>276.2</v>
      </c>
      <c r="Z130" s="447">
        <v>390</v>
      </c>
      <c r="AA130" s="448">
        <v>39772.51</v>
      </c>
    </row>
    <row r="131" spans="1:27" s="333" customFormat="1" ht="17.45" hidden="1" customHeight="1" x14ac:dyDescent="0.25">
      <c r="A131" s="423" t="s">
        <v>4678</v>
      </c>
      <c r="B131" s="595">
        <v>41</v>
      </c>
      <c r="C131" s="595" t="s">
        <v>4753</v>
      </c>
      <c r="D131" s="530" t="s">
        <v>13</v>
      </c>
      <c r="E131" s="530" t="s">
        <v>3791</v>
      </c>
      <c r="F131" s="596">
        <v>45317</v>
      </c>
      <c r="G131" s="597"/>
      <c r="H131" s="598" t="s">
        <v>23</v>
      </c>
      <c r="I131" s="441"/>
      <c r="J131" s="441"/>
      <c r="K131" s="441"/>
      <c r="L131" s="442"/>
      <c r="M131" s="443">
        <f>Таблица4[[#This Row],[Количество хлыстов]]-Таблица4[[#This Row],[Готово, хл]]-Таблица4[[#This Row],[Вывезено, хл]]</f>
        <v>300</v>
      </c>
      <c r="N131" s="395">
        <v>5</v>
      </c>
      <c r="O131" s="352"/>
      <c r="P131" s="352"/>
      <c r="Q131" s="352" t="s">
        <v>4788</v>
      </c>
      <c r="R131" s="352">
        <v>1500</v>
      </c>
      <c r="S131" s="401">
        <v>300</v>
      </c>
      <c r="T131" s="352"/>
      <c r="U131" s="352"/>
      <c r="V131" s="352"/>
      <c r="W131" s="352"/>
      <c r="X131" s="352"/>
      <c r="Y131" s="352"/>
      <c r="Z131" s="352"/>
      <c r="AA131" s="398"/>
    </row>
    <row r="132" spans="1:27" s="339" customFormat="1" ht="17.45" hidden="1" customHeight="1" x14ac:dyDescent="0.25">
      <c r="A132" s="499" t="s">
        <v>4678</v>
      </c>
      <c r="B132" s="446">
        <v>47</v>
      </c>
      <c r="C132" s="446"/>
      <c r="D132" s="445" t="s">
        <v>13</v>
      </c>
      <c r="E132" s="445" t="s">
        <v>28</v>
      </c>
      <c r="F132" s="594"/>
      <c r="G132" s="594"/>
      <c r="H132" s="445" t="s">
        <v>23</v>
      </c>
      <c r="I132" s="449"/>
      <c r="J132" s="449"/>
      <c r="K132" s="449"/>
      <c r="L132" s="450">
        <v>1</v>
      </c>
      <c r="M132" s="443">
        <f>Таблица4[[#This Row],[Количество хлыстов]]-Таблица4[[#This Row],[Готово, хл]]-Таблица4[[#This Row],[Вывезено, хл]]</f>
        <v>0</v>
      </c>
      <c r="N132" s="444">
        <f>(Таблица4[[#This Row],[Осталось сделать, хлыст]]*Таблица4[[#This Row],[длина]]*Таблица4[[#This Row],[Периметр]])/28</f>
        <v>0</v>
      </c>
      <c r="O132" s="445" t="s">
        <v>680</v>
      </c>
      <c r="P132" s="447">
        <v>6</v>
      </c>
      <c r="Q132" s="445" t="s">
        <v>4785</v>
      </c>
      <c r="R132" s="447">
        <v>6</v>
      </c>
      <c r="S132" s="451">
        <v>1</v>
      </c>
      <c r="T132" s="447">
        <v>0.41899999999999998</v>
      </c>
      <c r="U132" s="447">
        <v>0.75800000000000001</v>
      </c>
      <c r="V132" s="447">
        <v>2.5139999999999998</v>
      </c>
      <c r="W132" s="447">
        <v>4.548</v>
      </c>
      <c r="X132" s="447">
        <v>0.33</v>
      </c>
      <c r="Y132" s="447">
        <v>148.75</v>
      </c>
      <c r="Z132" s="447">
        <v>355</v>
      </c>
      <c r="AA132" s="448">
        <v>892.5</v>
      </c>
    </row>
    <row r="133" spans="1:27" s="339" customFormat="1" ht="17.45" hidden="1" customHeight="1" x14ac:dyDescent="0.25">
      <c r="A133" s="437" t="s">
        <v>4678</v>
      </c>
      <c r="B133" s="446">
        <v>48</v>
      </c>
      <c r="C133" s="446"/>
      <c r="D133" s="445" t="s">
        <v>13</v>
      </c>
      <c r="E133" s="445" t="s">
        <v>45</v>
      </c>
      <c r="F133" s="594"/>
      <c r="G133" s="594"/>
      <c r="H133" s="445" t="s">
        <v>23</v>
      </c>
      <c r="I133" s="441"/>
      <c r="J133" s="441"/>
      <c r="K133" s="441"/>
      <c r="L133" s="442"/>
      <c r="M133" s="443">
        <f>Таблица4[[#This Row],[Количество хлыстов]]-Таблица4[[#This Row],[Готово, хл]]-Таблица4[[#This Row],[Вывезено, хл]]</f>
        <v>10</v>
      </c>
      <c r="N133" s="444">
        <f>Таблица4[[#This Row],[Площадь общая, м2]]/28</f>
        <v>0.6199285714285715</v>
      </c>
      <c r="O133" s="445" t="s">
        <v>680</v>
      </c>
      <c r="P133" s="445"/>
      <c r="Q133" s="445" t="s">
        <v>4786</v>
      </c>
      <c r="R133" s="447">
        <v>60</v>
      </c>
      <c r="S133" s="451">
        <v>10</v>
      </c>
      <c r="T133" s="447">
        <v>0.2893</v>
      </c>
      <c r="U133" s="447">
        <v>1.48</v>
      </c>
      <c r="V133" s="447">
        <v>17.358000000000001</v>
      </c>
      <c r="W133" s="447">
        <v>88.8</v>
      </c>
      <c r="X133" s="447">
        <v>2.2599999999999998</v>
      </c>
      <c r="Y133" s="447">
        <v>88.24</v>
      </c>
      <c r="Z133" s="447">
        <v>305</v>
      </c>
      <c r="AA133" s="448">
        <v>5294.19</v>
      </c>
    </row>
    <row r="134" spans="1:27" s="420" customFormat="1" ht="17.45" hidden="1" customHeight="1" x14ac:dyDescent="0.25">
      <c r="A134" s="499" t="s">
        <v>4939</v>
      </c>
      <c r="B134" s="599">
        <v>56</v>
      </c>
      <c r="C134" s="599"/>
      <c r="D134" s="237" t="s">
        <v>13</v>
      </c>
      <c r="E134" s="237" t="s">
        <v>663</v>
      </c>
      <c r="F134" s="600">
        <v>45321</v>
      </c>
      <c r="G134" s="600"/>
      <c r="H134" s="237" t="s">
        <v>23</v>
      </c>
      <c r="I134" s="476"/>
      <c r="J134" s="476"/>
      <c r="K134" s="476"/>
      <c r="L134" s="476">
        <v>350</v>
      </c>
      <c r="M134" s="501">
        <f>Таблица4[[#This Row],[Количество хлыстов]]-Таблица4[[#This Row],[Готово, хл]]-Таблица4[[#This Row],[Вывезено, хл]]</f>
        <v>0</v>
      </c>
      <c r="N134" s="478">
        <f>Таблица4[[#This Row],[Площадь общая, м2]]/28</f>
        <v>12.4</v>
      </c>
      <c r="O134" s="237"/>
      <c r="P134" s="470"/>
      <c r="Q134" s="237" t="s">
        <v>4459</v>
      </c>
      <c r="R134" s="470">
        <v>1120</v>
      </c>
      <c r="S134" s="471">
        <v>350</v>
      </c>
      <c r="T134" s="470">
        <v>0.31</v>
      </c>
      <c r="U134" s="470">
        <v>1.2010000000000001</v>
      </c>
      <c r="V134" s="601">
        <v>347.2</v>
      </c>
      <c r="W134" s="601">
        <v>1345.12</v>
      </c>
      <c r="X134" s="470">
        <v>45.14</v>
      </c>
      <c r="Y134" s="470">
        <v>94.55</v>
      </c>
      <c r="Z134" s="470">
        <v>305</v>
      </c>
      <c r="AA134" s="472">
        <v>105896</v>
      </c>
    </row>
    <row r="135" spans="1:27" s="420" customFormat="1" ht="17.45" hidden="1" customHeight="1" x14ac:dyDescent="0.25">
      <c r="A135" s="499" t="s">
        <v>4939</v>
      </c>
      <c r="B135" s="599">
        <v>56</v>
      </c>
      <c r="C135" s="599"/>
      <c r="D135" s="237" t="s">
        <v>13</v>
      </c>
      <c r="E135" s="237" t="s">
        <v>663</v>
      </c>
      <c r="F135" s="600">
        <v>45321</v>
      </c>
      <c r="G135" s="600"/>
      <c r="H135" s="237" t="s">
        <v>23</v>
      </c>
      <c r="I135" s="519"/>
      <c r="J135" s="519"/>
      <c r="K135" s="519"/>
      <c r="L135" s="519">
        <v>379</v>
      </c>
      <c r="M135" s="501">
        <f>Таблица4[[#This Row],[Количество хлыстов]]-Таблица4[[#This Row],[Готово, хл]]-Таблица4[[#This Row],[Вывезено, хл]]</f>
        <v>0</v>
      </c>
      <c r="N135" s="478">
        <f>Таблица4[[#This Row],[Площадь общая, м2]]/28</f>
        <v>16.784285714285712</v>
      </c>
      <c r="O135" s="237"/>
      <c r="P135" s="470"/>
      <c r="Q135" s="237" t="s">
        <v>4460</v>
      </c>
      <c r="R135" s="470">
        <v>1516</v>
      </c>
      <c r="S135" s="471">
        <v>379</v>
      </c>
      <c r="T135" s="470">
        <v>0.31</v>
      </c>
      <c r="U135" s="470">
        <v>1.2010000000000001</v>
      </c>
      <c r="V135" s="470">
        <v>469.96</v>
      </c>
      <c r="W135" s="470">
        <v>1820.7159999999999</v>
      </c>
      <c r="X135" s="470">
        <v>61.09</v>
      </c>
      <c r="Y135" s="470">
        <v>94.55</v>
      </c>
      <c r="Z135" s="470">
        <v>305</v>
      </c>
      <c r="AA135" s="472">
        <v>143337.79999999999</v>
      </c>
    </row>
    <row r="136" spans="1:27" s="420" customFormat="1" ht="17.45" hidden="1" customHeight="1" x14ac:dyDescent="0.25">
      <c r="A136" s="499" t="s">
        <v>4939</v>
      </c>
      <c r="B136" s="599">
        <v>56</v>
      </c>
      <c r="C136" s="599"/>
      <c r="D136" s="237" t="s">
        <v>13</v>
      </c>
      <c r="E136" s="237" t="s">
        <v>663</v>
      </c>
      <c r="F136" s="600">
        <v>45321</v>
      </c>
      <c r="G136" s="600"/>
      <c r="H136" s="237" t="s">
        <v>23</v>
      </c>
      <c r="I136" s="476"/>
      <c r="J136" s="476"/>
      <c r="K136" s="476"/>
      <c r="L136" s="476">
        <v>427</v>
      </c>
      <c r="M136" s="501">
        <f>Таблица4[[#This Row],[Количество хлыстов]]-Таблица4[[#This Row],[Готово, хл]]-Таблица4[[#This Row],[Вывезено, хл]]</f>
        <v>0</v>
      </c>
      <c r="N136" s="478">
        <f>Таблица4[[#This Row],[Площадь общая, м2]]/28</f>
        <v>28.365000000000002</v>
      </c>
      <c r="O136" s="237"/>
      <c r="P136" s="470"/>
      <c r="Q136" s="237" t="s">
        <v>4461</v>
      </c>
      <c r="R136" s="470">
        <v>2562</v>
      </c>
      <c r="S136" s="471">
        <v>427</v>
      </c>
      <c r="T136" s="470">
        <v>0.31</v>
      </c>
      <c r="U136" s="470">
        <v>1.2010000000000001</v>
      </c>
      <c r="V136" s="470">
        <v>794.22</v>
      </c>
      <c r="W136" s="470">
        <v>3076.962</v>
      </c>
      <c r="X136" s="470">
        <v>103.25</v>
      </c>
      <c r="Y136" s="470">
        <v>94.55</v>
      </c>
      <c r="Z136" s="470">
        <v>305</v>
      </c>
      <c r="AA136" s="472">
        <v>242237.1</v>
      </c>
    </row>
    <row r="137" spans="1:27" s="420" customFormat="1" ht="17.45" hidden="1" customHeight="1" x14ac:dyDescent="0.25">
      <c r="A137" s="499" t="s">
        <v>4939</v>
      </c>
      <c r="B137" s="599">
        <v>56</v>
      </c>
      <c r="C137" s="599"/>
      <c r="D137" s="237" t="s">
        <v>13</v>
      </c>
      <c r="E137" s="237" t="s">
        <v>663</v>
      </c>
      <c r="F137" s="600">
        <v>45321</v>
      </c>
      <c r="G137" s="600"/>
      <c r="H137" s="237" t="s">
        <v>23</v>
      </c>
      <c r="I137" s="519"/>
      <c r="J137" s="519"/>
      <c r="K137" s="519"/>
      <c r="L137" s="519">
        <v>40</v>
      </c>
      <c r="M137" s="501">
        <f>Таблица4[[#This Row],[Количество хлыстов]]-Таблица4[[#This Row],[Готово, хл]]-Таблица4[[#This Row],[Вывезено, хл]]</f>
        <v>1</v>
      </c>
      <c r="N137" s="478">
        <f>Таблица4[[#This Row],[Площадь общая, м2]]/28</f>
        <v>4.1776071428571431</v>
      </c>
      <c r="O137" s="237" t="s">
        <v>559</v>
      </c>
      <c r="P137" s="470"/>
      <c r="Q137" s="237" t="s">
        <v>4732</v>
      </c>
      <c r="R137" s="470">
        <v>246</v>
      </c>
      <c r="S137" s="471">
        <v>41</v>
      </c>
      <c r="T137" s="470">
        <v>0.47549999999999998</v>
      </c>
      <c r="U137" s="470">
        <v>1.486</v>
      </c>
      <c r="V137" s="470">
        <v>116.973</v>
      </c>
      <c r="W137" s="470">
        <v>365.55599999999998</v>
      </c>
      <c r="X137" s="470">
        <v>15.21</v>
      </c>
      <c r="Y137" s="470">
        <v>145.03</v>
      </c>
      <c r="Z137" s="470">
        <v>305</v>
      </c>
      <c r="AA137" s="472">
        <v>35677.379999999997</v>
      </c>
    </row>
    <row r="138" spans="1:27" s="420" customFormat="1" ht="17.45" hidden="1" customHeight="1" x14ac:dyDescent="0.25">
      <c r="A138" s="499" t="s">
        <v>4939</v>
      </c>
      <c r="B138" s="599">
        <v>57</v>
      </c>
      <c r="C138" s="599"/>
      <c r="D138" s="237" t="s">
        <v>13</v>
      </c>
      <c r="E138" s="237" t="s">
        <v>4247</v>
      </c>
      <c r="F138" s="600">
        <v>45321</v>
      </c>
      <c r="G138" s="600"/>
      <c r="H138" s="237" t="s">
        <v>23</v>
      </c>
      <c r="I138" s="476"/>
      <c r="J138" s="476"/>
      <c r="K138" s="476"/>
      <c r="L138" s="476">
        <v>180</v>
      </c>
      <c r="M138" s="501">
        <f>Таблица4[[#This Row],[Количество хлыстов]]-Таблица4[[#This Row],[Готово, хл]]-Таблица4[[#This Row],[Вывезено, хл]]</f>
        <v>0</v>
      </c>
      <c r="N138" s="478">
        <f>Таблица4[[#This Row],[Площадь общая, м2]]/28</f>
        <v>11.957142857142857</v>
      </c>
      <c r="O138" s="237"/>
      <c r="P138" s="470"/>
      <c r="Q138" s="237" t="s">
        <v>4461</v>
      </c>
      <c r="R138" s="470">
        <v>1080</v>
      </c>
      <c r="S138" s="471">
        <v>180</v>
      </c>
      <c r="T138" s="470">
        <v>0.31</v>
      </c>
      <c r="U138" s="470">
        <v>1.2010000000000001</v>
      </c>
      <c r="V138" s="470">
        <v>334.8</v>
      </c>
      <c r="W138" s="470">
        <v>1297.08</v>
      </c>
      <c r="X138" s="470">
        <v>43.52</v>
      </c>
      <c r="Y138" s="470">
        <v>94.55</v>
      </c>
      <c r="Z138" s="470">
        <v>305</v>
      </c>
      <c r="AA138" s="472">
        <v>102114</v>
      </c>
    </row>
    <row r="139" spans="1:27" s="420" customFormat="1" ht="17.45" hidden="1" customHeight="1" x14ac:dyDescent="0.25">
      <c r="A139" s="499" t="s">
        <v>4939</v>
      </c>
      <c r="B139" s="599">
        <v>58</v>
      </c>
      <c r="C139" s="599"/>
      <c r="D139" s="237" t="s">
        <v>13</v>
      </c>
      <c r="E139" s="237" t="s">
        <v>4738</v>
      </c>
      <c r="F139" s="600">
        <v>45321</v>
      </c>
      <c r="G139" s="600"/>
      <c r="H139" s="237" t="s">
        <v>23</v>
      </c>
      <c r="I139" s="519"/>
      <c r="J139" s="519"/>
      <c r="K139" s="519"/>
      <c r="L139" s="519">
        <v>34</v>
      </c>
      <c r="M139" s="501">
        <f>Таблица4[[#This Row],[Количество хлыстов]]-Таблица4[[#This Row],[Готово, хл]]-Таблица4[[#This Row],[Вывезено, хл]]</f>
        <v>1</v>
      </c>
      <c r="N139" s="478">
        <f>Таблица4[[#This Row],[Площадь общая, м2]]/28</f>
        <v>16.142142857142858</v>
      </c>
      <c r="O139" s="237"/>
      <c r="P139" s="470"/>
      <c r="Q139" s="237" t="s">
        <v>4461</v>
      </c>
      <c r="R139" s="470">
        <v>1458</v>
      </c>
      <c r="S139" s="471">
        <v>35</v>
      </c>
      <c r="T139" s="470">
        <v>0.31</v>
      </c>
      <c r="U139" s="470">
        <v>1.2010000000000001</v>
      </c>
      <c r="V139" s="470">
        <v>451.98</v>
      </c>
      <c r="W139" s="470">
        <v>1751.058</v>
      </c>
      <c r="X139" s="470">
        <v>58.76</v>
      </c>
      <c r="Y139" s="470">
        <v>94.55</v>
      </c>
      <c r="Z139" s="470">
        <v>305</v>
      </c>
      <c r="AA139" s="472">
        <v>137853.9</v>
      </c>
    </row>
    <row r="140" spans="1:27" s="339" customFormat="1" ht="17.45" hidden="1" customHeight="1" x14ac:dyDescent="0.25">
      <c r="A140" s="437" t="s">
        <v>4678</v>
      </c>
      <c r="B140" s="446">
        <v>59</v>
      </c>
      <c r="C140" s="446"/>
      <c r="D140" s="445" t="s">
        <v>34</v>
      </c>
      <c r="E140" s="445" t="s">
        <v>79</v>
      </c>
      <c r="F140" s="594">
        <v>45321</v>
      </c>
      <c r="G140" s="594"/>
      <c r="H140" s="445" t="s">
        <v>23</v>
      </c>
      <c r="I140" s="449"/>
      <c r="J140" s="449"/>
      <c r="K140" s="449"/>
      <c r="L140" s="450"/>
      <c r="M140" s="443">
        <f>Таблица4[[#This Row],[Количество хлыстов]]-Таблица4[[#This Row],[Готово, хл]]-Таблица4[[#This Row],[Вывезено, хл]]</f>
        <v>486</v>
      </c>
      <c r="N140" s="444">
        <f>(Таблица4[[#This Row],[Осталось сделать, хлыст]]*Таблица4[[#This Row],[длина]]*Таблица4[[#This Row],[Периметр]])/28</f>
        <v>21.068099999999998</v>
      </c>
      <c r="O140" s="454" t="s">
        <v>4950</v>
      </c>
      <c r="P140" s="445">
        <v>6</v>
      </c>
      <c r="Q140" s="445" t="s">
        <v>78</v>
      </c>
      <c r="R140" s="447">
        <v>2916</v>
      </c>
      <c r="S140" s="451">
        <v>486</v>
      </c>
      <c r="T140" s="447">
        <v>0.20230000000000001</v>
      </c>
      <c r="U140" s="447">
        <v>0.499</v>
      </c>
      <c r="V140" s="447">
        <v>589.90679999999998</v>
      </c>
      <c r="W140" s="447">
        <v>1455.0840000000001</v>
      </c>
      <c r="X140" s="447">
        <v>76.69</v>
      </c>
      <c r="Y140" s="447">
        <v>63.72</v>
      </c>
      <c r="Z140" s="447">
        <v>315</v>
      </c>
      <c r="AA140" s="448">
        <v>185820.64</v>
      </c>
    </row>
    <row r="141" spans="1:27" s="333" customFormat="1" ht="17.45" hidden="1" customHeight="1" x14ac:dyDescent="0.25">
      <c r="A141" s="426" t="s">
        <v>4678</v>
      </c>
      <c r="B141" s="602">
        <v>51</v>
      </c>
      <c r="C141" s="602" t="s">
        <v>4753</v>
      </c>
      <c r="D141" s="305" t="s">
        <v>34</v>
      </c>
      <c r="E141" s="305" t="s">
        <v>4467</v>
      </c>
      <c r="F141" s="603">
        <v>45321</v>
      </c>
      <c r="G141" s="603"/>
      <c r="H141" s="305" t="s">
        <v>677</v>
      </c>
      <c r="I141" s="441"/>
      <c r="J141" s="441"/>
      <c r="K141" s="441"/>
      <c r="L141" s="442"/>
      <c r="M141" s="443">
        <f>Таблица4[[#This Row],[Количество хлыстов]]-Таблица4[[#This Row],[Готово, хл]]-Таблица4[[#This Row],[Вывезено, хл]]</f>
        <v>0</v>
      </c>
      <c r="N141" s="444">
        <v>2</v>
      </c>
      <c r="O141" s="14" t="s">
        <v>4795</v>
      </c>
      <c r="P141" s="14"/>
      <c r="Q141" s="305" t="s">
        <v>3929</v>
      </c>
      <c r="R141" s="305" t="s">
        <v>4056</v>
      </c>
      <c r="S141" s="326"/>
      <c r="T141" s="305"/>
      <c r="U141" s="305"/>
      <c r="V141" s="305"/>
      <c r="W141" s="305"/>
      <c r="X141" s="305"/>
      <c r="Y141" s="305"/>
      <c r="Z141" s="305"/>
      <c r="AA141" s="396"/>
    </row>
    <row r="142" spans="1:27" s="333" customFormat="1" ht="17.45" hidden="1" customHeight="1" x14ac:dyDescent="0.25">
      <c r="A142" s="147" t="s">
        <v>4678</v>
      </c>
      <c r="B142" s="521">
        <v>51</v>
      </c>
      <c r="C142" s="521" t="s">
        <v>4753</v>
      </c>
      <c r="D142" s="142" t="s">
        <v>34</v>
      </c>
      <c r="E142" s="142" t="s">
        <v>4467</v>
      </c>
      <c r="F142" s="143">
        <v>45321</v>
      </c>
      <c r="G142" s="143"/>
      <c r="H142" s="142" t="s">
        <v>677</v>
      </c>
      <c r="I142" s="449"/>
      <c r="J142" s="449"/>
      <c r="K142" s="449"/>
      <c r="L142" s="450"/>
      <c r="M142" s="443">
        <f>Таблица4[[#This Row],[Количество хлыстов]]-Таблица4[[#This Row],[Готово, хл]]-Таблица4[[#This Row],[Вывезено, хл]]</f>
        <v>0</v>
      </c>
      <c r="N142" s="444">
        <v>2</v>
      </c>
      <c r="O142" s="14" t="s">
        <v>4796</v>
      </c>
      <c r="P142" s="14"/>
      <c r="Q142" s="142" t="s">
        <v>4586</v>
      </c>
      <c r="R142" s="142" t="s">
        <v>4793</v>
      </c>
      <c r="S142" s="526"/>
      <c r="T142" s="142"/>
      <c r="U142" s="142"/>
      <c r="V142" s="142"/>
      <c r="W142" s="142"/>
      <c r="X142" s="142"/>
      <c r="Y142" s="142"/>
      <c r="Z142" s="142"/>
      <c r="AA142" s="527"/>
    </row>
    <row r="143" spans="1:27" s="333" customFormat="1" ht="17.45" hidden="1" customHeight="1" x14ac:dyDescent="0.25">
      <c r="A143" s="147" t="s">
        <v>4678</v>
      </c>
      <c r="B143" s="521">
        <v>51</v>
      </c>
      <c r="C143" s="521" t="s">
        <v>4753</v>
      </c>
      <c r="D143" s="142" t="s">
        <v>34</v>
      </c>
      <c r="E143" s="142" t="s">
        <v>4467</v>
      </c>
      <c r="F143" s="143">
        <v>45321</v>
      </c>
      <c r="G143" s="143"/>
      <c r="H143" s="142" t="s">
        <v>677</v>
      </c>
      <c r="I143" s="441"/>
      <c r="J143" s="441"/>
      <c r="K143" s="441"/>
      <c r="L143" s="442"/>
      <c r="M143" s="443">
        <f>Таблица4[[#This Row],[Количество хлыстов]]-Таблица4[[#This Row],[Готово, хл]]-Таблица4[[#This Row],[Вывезено, хл]]</f>
        <v>0</v>
      </c>
      <c r="N143" s="444">
        <v>2</v>
      </c>
      <c r="O143" s="14" t="s">
        <v>4797</v>
      </c>
      <c r="P143" s="14"/>
      <c r="Q143" s="142" t="s">
        <v>3866</v>
      </c>
      <c r="R143" s="142" t="s">
        <v>4296</v>
      </c>
      <c r="S143" s="526"/>
      <c r="T143" s="142"/>
      <c r="U143" s="142"/>
      <c r="V143" s="142"/>
      <c r="W143" s="142"/>
      <c r="X143" s="142"/>
      <c r="Y143" s="142"/>
      <c r="Z143" s="142"/>
      <c r="AA143" s="527"/>
    </row>
    <row r="144" spans="1:27" s="333" customFormat="1" ht="17.45" hidden="1" customHeight="1" x14ac:dyDescent="0.25">
      <c r="A144" s="147" t="s">
        <v>4678</v>
      </c>
      <c r="B144" s="521">
        <v>51</v>
      </c>
      <c r="C144" s="521" t="s">
        <v>4753</v>
      </c>
      <c r="D144" s="145" t="s">
        <v>34</v>
      </c>
      <c r="E144" s="145" t="s">
        <v>4467</v>
      </c>
      <c r="F144" s="148">
        <v>45321</v>
      </c>
      <c r="G144" s="148"/>
      <c r="H144" s="145" t="s">
        <v>677</v>
      </c>
      <c r="I144" s="449"/>
      <c r="J144" s="449"/>
      <c r="K144" s="449"/>
      <c r="L144" s="450"/>
      <c r="M144" s="443">
        <f>Таблица4[[#This Row],[Количество хлыстов]]-Таблица4[[#This Row],[Готово, хл]]-Таблица4[[#This Row],[Вывезено, хл]]</f>
        <v>0</v>
      </c>
      <c r="N144" s="444">
        <v>3</v>
      </c>
      <c r="O144" s="14" t="s">
        <v>4798</v>
      </c>
      <c r="P144" s="14"/>
      <c r="Q144" s="145" t="s">
        <v>4053</v>
      </c>
      <c r="R144" s="145" t="s">
        <v>4794</v>
      </c>
      <c r="S144" s="322"/>
      <c r="T144" s="145"/>
      <c r="U144" s="145"/>
      <c r="V144" s="145"/>
      <c r="W144" s="145"/>
      <c r="X144" s="145"/>
      <c r="Y144" s="145"/>
      <c r="Z144" s="145"/>
      <c r="AA144" s="397"/>
    </row>
    <row r="145" spans="1:27" s="418" customFormat="1" ht="17.45" hidden="1" customHeight="1" x14ac:dyDescent="0.25">
      <c r="A145" s="507" t="s">
        <v>4978</v>
      </c>
      <c r="B145" s="508">
        <v>61</v>
      </c>
      <c r="C145" s="508"/>
      <c r="D145" s="509" t="s">
        <v>13</v>
      </c>
      <c r="E145" s="509" t="s">
        <v>4722</v>
      </c>
      <c r="F145" s="510">
        <v>45322</v>
      </c>
      <c r="G145" s="510"/>
      <c r="H145" s="508" t="s">
        <v>23</v>
      </c>
      <c r="I145" s="511"/>
      <c r="J145" s="511"/>
      <c r="K145" s="511"/>
      <c r="L145" s="512"/>
      <c r="M145" s="443">
        <f>Таблица4[[#This Row],[Количество хлыстов]]-Таблица4[[#This Row],[Готово, хл]]-Таблица4[[#This Row],[Вывезено, хл]]</f>
        <v>50</v>
      </c>
      <c r="N145" s="513"/>
      <c r="O145" s="514" t="s">
        <v>4802</v>
      </c>
      <c r="P145" s="514"/>
      <c r="Q145" s="515" t="s">
        <v>4801</v>
      </c>
      <c r="R145" s="516">
        <v>300</v>
      </c>
      <c r="S145" s="517">
        <v>50</v>
      </c>
      <c r="T145" s="516">
        <v>0.33300000000000002</v>
      </c>
      <c r="U145" s="516">
        <v>0.86599999999999999</v>
      </c>
      <c r="V145" s="516">
        <v>99.9</v>
      </c>
      <c r="W145" s="516">
        <v>259.8</v>
      </c>
      <c r="X145" s="516">
        <v>12.99</v>
      </c>
      <c r="Y145" s="516">
        <v>103.23</v>
      </c>
      <c r="Z145" s="516">
        <v>310</v>
      </c>
      <c r="AA145" s="518">
        <v>30969</v>
      </c>
    </row>
    <row r="146" spans="1:27" s="418" customFormat="1" ht="17.45" hidden="1" customHeight="1" x14ac:dyDescent="0.25">
      <c r="A146" s="507" t="s">
        <v>4978</v>
      </c>
      <c r="B146" s="508">
        <v>62</v>
      </c>
      <c r="C146" s="508"/>
      <c r="D146" s="509" t="s">
        <v>13</v>
      </c>
      <c r="E146" s="509" t="s">
        <v>4722</v>
      </c>
      <c r="F146" s="510">
        <v>45322</v>
      </c>
      <c r="G146" s="510"/>
      <c r="H146" s="508" t="s">
        <v>23</v>
      </c>
      <c r="I146" s="511"/>
      <c r="J146" s="511"/>
      <c r="K146" s="511"/>
      <c r="L146" s="512"/>
      <c r="M146" s="443">
        <f>Таблица4[[#This Row],[Количество хлыстов]]-Таблица4[[#This Row],[Готово, хл]]-Таблица4[[#This Row],[Вывезено, хл]]</f>
        <v>50</v>
      </c>
      <c r="N146" s="513"/>
      <c r="O146" s="514" t="s">
        <v>4803</v>
      </c>
      <c r="P146" s="514"/>
      <c r="Q146" s="515" t="s">
        <v>4801</v>
      </c>
      <c r="R146" s="516">
        <v>300</v>
      </c>
      <c r="S146" s="517">
        <v>50</v>
      </c>
      <c r="T146" s="516">
        <v>0.33300000000000002</v>
      </c>
      <c r="U146" s="516">
        <v>0.86599999999999999</v>
      </c>
      <c r="V146" s="516">
        <v>99.9</v>
      </c>
      <c r="W146" s="516">
        <v>259.8</v>
      </c>
      <c r="X146" s="516">
        <v>12.99</v>
      </c>
      <c r="Y146" s="516">
        <v>103.23</v>
      </c>
      <c r="Z146" s="516">
        <v>310</v>
      </c>
      <c r="AA146" s="518">
        <v>30969</v>
      </c>
    </row>
    <row r="147" spans="1:27" s="339" customFormat="1" ht="17.45" hidden="1" customHeight="1" x14ac:dyDescent="0.25">
      <c r="A147" s="147" t="s">
        <v>4678</v>
      </c>
      <c r="B147" s="521">
        <v>53</v>
      </c>
      <c r="C147" s="521" t="s">
        <v>4753</v>
      </c>
      <c r="D147" s="142" t="s">
        <v>13</v>
      </c>
      <c r="E147" s="142" t="s">
        <v>3401</v>
      </c>
      <c r="F147" s="143">
        <v>45323</v>
      </c>
      <c r="G147" s="143"/>
      <c r="H147" s="142" t="s">
        <v>23</v>
      </c>
      <c r="I147" s="522"/>
      <c r="J147" s="522"/>
      <c r="K147" s="522"/>
      <c r="L147" s="523"/>
      <c r="M147" s="578"/>
      <c r="N147" s="564">
        <v>1</v>
      </c>
      <c r="O147" s="142" t="s">
        <v>4851</v>
      </c>
      <c r="P147" s="145"/>
      <c r="Q147" s="142" t="s">
        <v>4821</v>
      </c>
      <c r="R147" s="525">
        <v>108</v>
      </c>
      <c r="S147" s="526"/>
      <c r="T147" s="525"/>
      <c r="U147" s="525"/>
      <c r="V147" s="525"/>
      <c r="W147" s="525"/>
      <c r="X147" s="525"/>
      <c r="Y147" s="525"/>
      <c r="Z147" s="525"/>
      <c r="AA147" s="527"/>
    </row>
    <row r="148" spans="1:27" s="418" customFormat="1" ht="17.45" hidden="1" customHeight="1" x14ac:dyDescent="0.25">
      <c r="A148" s="507" t="s">
        <v>4978</v>
      </c>
      <c r="B148" s="604">
        <v>64</v>
      </c>
      <c r="C148" s="604"/>
      <c r="D148" s="515" t="s">
        <v>34</v>
      </c>
      <c r="E148" s="515" t="s">
        <v>4807</v>
      </c>
      <c r="F148" s="605">
        <v>45323</v>
      </c>
      <c r="G148" s="605"/>
      <c r="H148" s="515" t="s">
        <v>23</v>
      </c>
      <c r="I148" s="606"/>
      <c r="J148" s="606"/>
      <c r="K148" s="606"/>
      <c r="L148" s="607"/>
      <c r="M148" s="443" t="e">
        <f>Таблица4[[#This Row],[Количество хлыстов]]-Таблица4[[#This Row],[Готово, хл]]-Таблица4[[#This Row],[Вывезено, хл]]</f>
        <v>#VALUE!</v>
      </c>
      <c r="N148" s="513">
        <f>Таблица4[[#This Row],[Площадь общая, м2]]/28</f>
        <v>11.5962</v>
      </c>
      <c r="O148" s="515" t="s">
        <v>4808</v>
      </c>
      <c r="P148" s="515">
        <v>6</v>
      </c>
      <c r="Q148" s="515" t="s">
        <v>4804</v>
      </c>
      <c r="R148" s="516">
        <v>1176</v>
      </c>
      <c r="S148" s="704" t="s">
        <v>5075</v>
      </c>
      <c r="T148" s="516">
        <v>0.27610000000000001</v>
      </c>
      <c r="U148" s="516">
        <v>0.93400000000000005</v>
      </c>
      <c r="V148" s="516">
        <v>324.6936</v>
      </c>
      <c r="W148" s="516">
        <v>1098.384</v>
      </c>
      <c r="X148" s="516">
        <v>42.21</v>
      </c>
      <c r="Y148" s="516">
        <v>82.83</v>
      </c>
      <c r="Z148" s="516">
        <v>300</v>
      </c>
      <c r="AA148" s="518">
        <v>97408.08</v>
      </c>
    </row>
    <row r="149" spans="1:27" s="418" customFormat="1" ht="17.45" hidden="1" customHeight="1" x14ac:dyDescent="0.25">
      <c r="A149" s="507" t="s">
        <v>4978</v>
      </c>
      <c r="B149" s="604">
        <v>64</v>
      </c>
      <c r="C149" s="604"/>
      <c r="D149" s="515" t="s">
        <v>34</v>
      </c>
      <c r="E149" s="515" t="s">
        <v>4807</v>
      </c>
      <c r="F149" s="605">
        <v>45323</v>
      </c>
      <c r="G149" s="605"/>
      <c r="H149" s="515" t="s">
        <v>23</v>
      </c>
      <c r="I149" s="511"/>
      <c r="J149" s="511"/>
      <c r="K149" s="511"/>
      <c r="L149" s="512"/>
      <c r="M149" s="443">
        <f>Таблица4[[#This Row],[Количество хлыстов]]-Таблица4[[#This Row],[Готово, хл]]-Таблица4[[#This Row],[Вывезено, хл]]</f>
        <v>54</v>
      </c>
      <c r="N149" s="513">
        <f>Таблица4[[#This Row],[Площадь общая, м2]]/28</f>
        <v>6.6577964285714284</v>
      </c>
      <c r="O149" s="515" t="s">
        <v>4808</v>
      </c>
      <c r="P149" s="515"/>
      <c r="Q149" s="515" t="s">
        <v>4805</v>
      </c>
      <c r="R149" s="516">
        <v>321.3</v>
      </c>
      <c r="S149" s="517">
        <v>54</v>
      </c>
      <c r="T149" s="516">
        <v>0.58020000000000005</v>
      </c>
      <c r="U149" s="516">
        <v>1.306</v>
      </c>
      <c r="V149" s="516">
        <v>186.41829999999999</v>
      </c>
      <c r="W149" s="516">
        <v>419.61779999999999</v>
      </c>
      <c r="X149" s="516">
        <v>24.23</v>
      </c>
      <c r="Y149" s="516">
        <v>174.06</v>
      </c>
      <c r="Z149" s="516">
        <v>300</v>
      </c>
      <c r="AA149" s="518">
        <v>55925.48</v>
      </c>
    </row>
    <row r="150" spans="1:27" s="418" customFormat="1" ht="17.45" hidden="1" customHeight="1" x14ac:dyDescent="0.25">
      <c r="A150" s="507" t="s">
        <v>4978</v>
      </c>
      <c r="B150" s="604">
        <v>64</v>
      </c>
      <c r="C150" s="604"/>
      <c r="D150" s="515" t="s">
        <v>34</v>
      </c>
      <c r="E150" s="515" t="s">
        <v>4807</v>
      </c>
      <c r="F150" s="605">
        <v>45323</v>
      </c>
      <c r="G150" s="605"/>
      <c r="H150" s="515" t="s">
        <v>23</v>
      </c>
      <c r="I150" s="606"/>
      <c r="J150" s="606"/>
      <c r="K150" s="606"/>
      <c r="L150" s="607"/>
      <c r="M150" s="443">
        <f>Таблица4[[#This Row],[Количество хлыстов]]-Таблица4[[#This Row],[Готово, хл]]-Таблица4[[#This Row],[Вывезено, хл]]</f>
        <v>354</v>
      </c>
      <c r="N150" s="513">
        <f>Таблица4[[#This Row],[Площадь общая, м2]]/28</f>
        <v>14.922489285714287</v>
      </c>
      <c r="O150" s="515" t="s">
        <v>4808</v>
      </c>
      <c r="P150" s="515"/>
      <c r="Q150" s="515" t="s">
        <v>4806</v>
      </c>
      <c r="R150" s="516">
        <v>1876.2</v>
      </c>
      <c r="S150" s="517">
        <v>354</v>
      </c>
      <c r="T150" s="516">
        <v>0.22270000000000001</v>
      </c>
      <c r="U150" s="516">
        <v>0.52700000000000002</v>
      </c>
      <c r="V150" s="516">
        <v>417.8297</v>
      </c>
      <c r="W150" s="516">
        <v>988.75739999999996</v>
      </c>
      <c r="X150" s="516">
        <v>54.32</v>
      </c>
      <c r="Y150" s="516">
        <v>66.81</v>
      </c>
      <c r="Z150" s="516">
        <v>300</v>
      </c>
      <c r="AA150" s="518">
        <v>125348.92</v>
      </c>
    </row>
    <row r="151" spans="1:27" s="339" customFormat="1" ht="17.45" hidden="1" customHeight="1" x14ac:dyDescent="0.25">
      <c r="A151" s="499" t="s">
        <v>4678</v>
      </c>
      <c r="B151" s="446">
        <v>65</v>
      </c>
      <c r="C151" s="446"/>
      <c r="D151" s="445" t="s">
        <v>13</v>
      </c>
      <c r="E151" s="445" t="s">
        <v>4725</v>
      </c>
      <c r="F151" s="594">
        <v>45323</v>
      </c>
      <c r="G151" s="594"/>
      <c r="H151" s="445" t="s">
        <v>23</v>
      </c>
      <c r="I151" s="449"/>
      <c r="J151" s="449"/>
      <c r="K151" s="449">
        <f>28+58</f>
        <v>86</v>
      </c>
      <c r="L151" s="450">
        <f>28+42</f>
        <v>70</v>
      </c>
      <c r="M151" s="443">
        <f>Таблица4[[#This Row],[Количество хлыстов]]-Таблица4[[#This Row],[Готово, хл]]-Таблица4[[#This Row],[Вывезено, хл]]</f>
        <v>0</v>
      </c>
      <c r="N151" s="444">
        <f>(Таблица4[[#This Row],[Осталось сделать, хлыст]]*Таблица4[[#This Row],[длина]]*Таблица4[[#This Row],[Периметр]])/28</f>
        <v>0</v>
      </c>
      <c r="O151" s="445"/>
      <c r="P151" s="447">
        <v>6</v>
      </c>
      <c r="Q151" s="445" t="s">
        <v>4810</v>
      </c>
      <c r="R151" s="447">
        <v>936</v>
      </c>
      <c r="S151" s="451">
        <v>156</v>
      </c>
      <c r="T151" s="447">
        <v>0.60040000000000004</v>
      </c>
      <c r="U151" s="447">
        <v>2.5739999999999998</v>
      </c>
      <c r="V151" s="447">
        <v>561.97439999999995</v>
      </c>
      <c r="W151" s="447">
        <v>2409.2640000000001</v>
      </c>
      <c r="X151" s="447">
        <v>73.06</v>
      </c>
      <c r="Y151" s="447">
        <v>219.15</v>
      </c>
      <c r="Z151" s="447">
        <v>365</v>
      </c>
      <c r="AA151" s="448">
        <v>205120.66</v>
      </c>
    </row>
    <row r="152" spans="1:27" s="420" customFormat="1" ht="17.45" hidden="1" customHeight="1" x14ac:dyDescent="0.25">
      <c r="A152" s="499" t="s">
        <v>4678</v>
      </c>
      <c r="B152" s="446">
        <v>68</v>
      </c>
      <c r="C152" s="446"/>
      <c r="D152" s="445" t="s">
        <v>13</v>
      </c>
      <c r="E152" s="142" t="s">
        <v>292</v>
      </c>
      <c r="F152" s="594">
        <v>45323</v>
      </c>
      <c r="G152" s="600">
        <v>45414</v>
      </c>
      <c r="H152" s="519" t="s">
        <v>23</v>
      </c>
      <c r="I152" s="519"/>
      <c r="J152" s="519"/>
      <c r="K152" s="519">
        <v>146</v>
      </c>
      <c r="L152" s="520">
        <v>14</v>
      </c>
      <c r="M152" s="501">
        <f>Таблица4[[#This Row],[Количество хлыстов]]-Таблица4[[#This Row],[Готово, хл]]-Таблица4[[#This Row],[Вывезено, хл]]</f>
        <v>0</v>
      </c>
      <c r="N152" s="478">
        <f>(Таблица4[[#This Row],[Осталось сделать, хлыст]]*Таблица4[[#This Row],[длина]]*Таблица4[[#This Row],[Периметр]])/25</f>
        <v>0</v>
      </c>
      <c r="O152" s="600"/>
      <c r="P152" s="470">
        <v>4</v>
      </c>
      <c r="Q152" s="237" t="s">
        <v>4544</v>
      </c>
      <c r="R152" s="470">
        <v>640</v>
      </c>
      <c r="S152" s="471">
        <v>160</v>
      </c>
      <c r="T152" s="470">
        <v>0.3266</v>
      </c>
      <c r="U152" s="470">
        <v>0.84099999999999997</v>
      </c>
      <c r="V152" s="470">
        <v>209.024</v>
      </c>
      <c r="W152" s="470">
        <v>538.24</v>
      </c>
      <c r="X152" s="470">
        <v>27.17</v>
      </c>
      <c r="Y152" s="470">
        <v>109.41</v>
      </c>
      <c r="Z152" s="470">
        <v>335</v>
      </c>
      <c r="AA152" s="472">
        <v>70022.399999999994</v>
      </c>
    </row>
    <row r="153" spans="1:27" s="339" customFormat="1" ht="17.45" hidden="1" customHeight="1" x14ac:dyDescent="0.25">
      <c r="A153" s="499" t="s">
        <v>4678</v>
      </c>
      <c r="B153" s="446">
        <v>68</v>
      </c>
      <c r="C153" s="446"/>
      <c r="D153" s="445" t="s">
        <v>13</v>
      </c>
      <c r="E153" s="445" t="s">
        <v>4747</v>
      </c>
      <c r="F153" s="594">
        <v>45323</v>
      </c>
      <c r="G153" s="594" t="s">
        <v>4972</v>
      </c>
      <c r="H153" s="445" t="s">
        <v>23</v>
      </c>
      <c r="I153" s="449"/>
      <c r="J153" s="449"/>
      <c r="K153" s="449"/>
      <c r="L153" s="450">
        <f>38+190+19</f>
        <v>247</v>
      </c>
      <c r="M153" s="443">
        <f>Таблица4[[#This Row],[Количество хлыстов]]-Таблица4[[#This Row],[Готово, хл]]-Таблица4[[#This Row],[Вывезено, хл]]</f>
        <v>0</v>
      </c>
      <c r="N153" s="444">
        <f>(Таблица4[[#This Row],[Осталось сделать, хлыст]]*Таблица4[[#This Row],[длина]]*Таблица4[[#This Row],[Периметр]])/28</f>
        <v>0</v>
      </c>
      <c r="O153" s="445"/>
      <c r="P153" s="447">
        <v>4.5999999999999996</v>
      </c>
      <c r="Q153" s="445" t="s">
        <v>3974</v>
      </c>
      <c r="R153" s="447">
        <v>1136.2</v>
      </c>
      <c r="S153" s="451">
        <v>247</v>
      </c>
      <c r="T153" s="447">
        <v>0.3266</v>
      </c>
      <c r="U153" s="447">
        <v>0.84099999999999997</v>
      </c>
      <c r="V153" s="447">
        <v>371.0829</v>
      </c>
      <c r="W153" s="447">
        <v>955.54420000000005</v>
      </c>
      <c r="X153" s="447">
        <v>48.24</v>
      </c>
      <c r="Y153" s="447">
        <v>109.41</v>
      </c>
      <c r="Z153" s="447">
        <v>335</v>
      </c>
      <c r="AA153" s="448">
        <v>124311.64</v>
      </c>
    </row>
    <row r="154" spans="1:27" s="339" customFormat="1" ht="17.45" hidden="1" customHeight="1" x14ac:dyDescent="0.25">
      <c r="A154" s="499" t="s">
        <v>4678</v>
      </c>
      <c r="B154" s="446">
        <v>69</v>
      </c>
      <c r="C154" s="446"/>
      <c r="D154" s="445" t="s">
        <v>13</v>
      </c>
      <c r="E154" s="445" t="s">
        <v>32</v>
      </c>
      <c r="F154" s="594">
        <v>45323</v>
      </c>
      <c r="G154" s="594"/>
      <c r="H154" s="445" t="s">
        <v>23</v>
      </c>
      <c r="I154" s="441"/>
      <c r="J154" s="441"/>
      <c r="K154" s="441"/>
      <c r="L154" s="442">
        <v>44</v>
      </c>
      <c r="M154" s="443">
        <f>Таблица4[[#This Row],[Количество хлыстов]]-Таблица4[[#This Row],[Готово, хл]]-Таблица4[[#This Row],[Вывезено, хл]]</f>
        <v>0</v>
      </c>
      <c r="N154" s="444">
        <f>(Таблица4[[#This Row],[Осталось сделать, хлыст]]*Таблица4[[#This Row],[длина]]*Таблица4[[#This Row],[Периметр]])/28</f>
        <v>0</v>
      </c>
      <c r="O154" s="445"/>
      <c r="P154" s="447">
        <v>4.1500000000000004</v>
      </c>
      <c r="Q154" s="445" t="s">
        <v>4673</v>
      </c>
      <c r="R154" s="447">
        <v>182.6</v>
      </c>
      <c r="S154" s="451">
        <v>44</v>
      </c>
      <c r="T154" s="447">
        <v>0.17649999999999999</v>
      </c>
      <c r="U154" s="447">
        <v>1.3280000000000001</v>
      </c>
      <c r="V154" s="447">
        <v>32.228900000000003</v>
      </c>
      <c r="W154" s="447">
        <v>242.49279999999999</v>
      </c>
      <c r="X154" s="447">
        <v>4.1900000000000004</v>
      </c>
      <c r="Y154" s="447">
        <v>64.42</v>
      </c>
      <c r="Z154" s="447">
        <v>365</v>
      </c>
      <c r="AA154" s="448">
        <v>11763.55</v>
      </c>
    </row>
    <row r="155" spans="1:27" s="430" customFormat="1" ht="17.45" hidden="1" customHeight="1" x14ac:dyDescent="0.25">
      <c r="A155" s="547" t="s">
        <v>4978</v>
      </c>
      <c r="B155" s="590">
        <v>70</v>
      </c>
      <c r="C155" s="590"/>
      <c r="D155" s="556" t="s">
        <v>13</v>
      </c>
      <c r="E155" s="556" t="s">
        <v>32</v>
      </c>
      <c r="F155" s="591">
        <v>45323</v>
      </c>
      <c r="G155" s="591"/>
      <c r="H155" s="556" t="s">
        <v>23</v>
      </c>
      <c r="I155" s="551"/>
      <c r="J155" s="551"/>
      <c r="K155" s="551"/>
      <c r="L155" s="552">
        <v>354</v>
      </c>
      <c r="M155" s="553">
        <f>Таблица4[[#This Row],[Количество хлыстов]]-Таблица4[[#This Row],[Готово, хл]]-Таблица4[[#This Row],[Вывезено, хл]]</f>
        <v>0</v>
      </c>
      <c r="N155" s="554"/>
      <c r="O155" s="556"/>
      <c r="P155" s="556"/>
      <c r="Q155" s="556" t="s">
        <v>4774</v>
      </c>
      <c r="R155" s="557">
        <v>1716.9</v>
      </c>
      <c r="S155" s="558">
        <v>354</v>
      </c>
      <c r="T155" s="557">
        <v>9.5600000000000004E-2</v>
      </c>
      <c r="U155" s="557">
        <v>0.16</v>
      </c>
      <c r="V155" s="557">
        <v>164.13560000000001</v>
      </c>
      <c r="W155" s="557">
        <v>274.70400000000001</v>
      </c>
      <c r="X155" s="557">
        <v>21.34</v>
      </c>
      <c r="Y155" s="557">
        <v>30.11</v>
      </c>
      <c r="Z155" s="557">
        <v>315</v>
      </c>
      <c r="AA155" s="559">
        <v>51695.86</v>
      </c>
    </row>
    <row r="156" spans="1:27" s="430" customFormat="1" ht="17.45" hidden="1" customHeight="1" x14ac:dyDescent="0.25">
      <c r="A156" s="547" t="s">
        <v>4978</v>
      </c>
      <c r="B156" s="590">
        <v>70</v>
      </c>
      <c r="C156" s="590"/>
      <c r="D156" s="556" t="s">
        <v>13</v>
      </c>
      <c r="E156" s="556" t="s">
        <v>32</v>
      </c>
      <c r="F156" s="591">
        <v>45323</v>
      </c>
      <c r="G156" s="591"/>
      <c r="H156" s="556" t="s">
        <v>23</v>
      </c>
      <c r="I156" s="592"/>
      <c r="J156" s="592"/>
      <c r="K156" s="592"/>
      <c r="L156" s="593">
        <v>566</v>
      </c>
      <c r="M156" s="553">
        <f>Таблица4[[#This Row],[Количество хлыстов]]-Таблица4[[#This Row],[Готово, хл]]-Таблица4[[#This Row],[Вывезено, хл]]</f>
        <v>0</v>
      </c>
      <c r="N156" s="554"/>
      <c r="O156" s="556"/>
      <c r="P156" s="556"/>
      <c r="Q156" s="556" t="s">
        <v>4811</v>
      </c>
      <c r="R156" s="557">
        <v>2348.9</v>
      </c>
      <c r="S156" s="558">
        <v>566</v>
      </c>
      <c r="T156" s="557">
        <v>0.17649999999999999</v>
      </c>
      <c r="U156" s="557">
        <v>1.3280000000000001</v>
      </c>
      <c r="V156" s="557">
        <v>414.58089999999999</v>
      </c>
      <c r="W156" s="557">
        <v>3119.3391999999999</v>
      </c>
      <c r="X156" s="557">
        <v>53.9</v>
      </c>
      <c r="Y156" s="557">
        <v>55.6</v>
      </c>
      <c r="Z156" s="557">
        <v>315</v>
      </c>
      <c r="AA156" s="559">
        <v>130598.84</v>
      </c>
    </row>
    <row r="157" spans="1:27" s="339" customFormat="1" ht="17.45" hidden="1" customHeight="1" x14ac:dyDescent="0.25">
      <c r="A157" s="437" t="s">
        <v>4678</v>
      </c>
      <c r="B157" s="446" t="s">
        <v>4812</v>
      </c>
      <c r="C157" s="446"/>
      <c r="D157" s="445" t="s">
        <v>34</v>
      </c>
      <c r="E157" s="445" t="s">
        <v>16</v>
      </c>
      <c r="F157" s="594">
        <v>45323</v>
      </c>
      <c r="G157" s="594"/>
      <c r="H157" s="445" t="s">
        <v>23</v>
      </c>
      <c r="I157" s="449"/>
      <c r="J157" s="449"/>
      <c r="K157" s="449"/>
      <c r="L157" s="450">
        <v>126</v>
      </c>
      <c r="M157" s="443">
        <f>Таблица4[[#This Row],[Количество хлыстов]]-Таблица4[[#This Row],[Готово, хл]]-Таблица4[[#This Row],[Вывезено, хл]]</f>
        <v>126</v>
      </c>
      <c r="N157" s="444">
        <f>(Таблица4[[#This Row],[Осталось сделать, хлыст]]*Таблица4[[#This Row],[длина]]*Таблица4[[#This Row],[Периметр]])/28</f>
        <v>7.3601999999999999</v>
      </c>
      <c r="O157" s="445"/>
      <c r="P157" s="445">
        <v>6</v>
      </c>
      <c r="Q157" s="445" t="s">
        <v>2859</v>
      </c>
      <c r="R157" s="447">
        <v>1512</v>
      </c>
      <c r="S157" s="451">
        <v>252</v>
      </c>
      <c r="T157" s="447">
        <v>0.27260000000000001</v>
      </c>
      <c r="U157" s="447">
        <v>0.72899999999999998</v>
      </c>
      <c r="V157" s="447">
        <v>412.1712</v>
      </c>
      <c r="W157" s="447">
        <v>1102.248</v>
      </c>
      <c r="X157" s="447">
        <v>53.58</v>
      </c>
      <c r="Y157" s="447">
        <v>99.5</v>
      </c>
      <c r="Z157" s="447">
        <v>365</v>
      </c>
      <c r="AA157" s="448">
        <v>150442.49</v>
      </c>
    </row>
    <row r="158" spans="1:27" s="339" customFormat="1" ht="17.45" hidden="1" customHeight="1" x14ac:dyDescent="0.25">
      <c r="A158" s="437" t="s">
        <v>4678</v>
      </c>
      <c r="B158" s="446" t="s">
        <v>2602</v>
      </c>
      <c r="C158" s="446"/>
      <c r="D158" s="445" t="s">
        <v>34</v>
      </c>
      <c r="E158" s="445" t="s">
        <v>16</v>
      </c>
      <c r="F158" s="594">
        <v>45323</v>
      </c>
      <c r="G158" s="594"/>
      <c r="H158" s="445" t="s">
        <v>23</v>
      </c>
      <c r="I158" s="441"/>
      <c r="J158" s="441"/>
      <c r="K158" s="441"/>
      <c r="L158" s="442">
        <f>29+18</f>
        <v>47</v>
      </c>
      <c r="M158" s="443">
        <f>Таблица4[[#This Row],[Количество хлыстов]]-Таблица4[[#This Row],[Готово, хл]]-Таблица4[[#This Row],[Вывезено, хл]]</f>
        <v>1</v>
      </c>
      <c r="N158" s="444">
        <f>(Таблица4[[#This Row],[Осталось сделать, хлыст]]*Таблица4[[#This Row],[длина]]*Таблица4[[#This Row],[Периметр]])/28</f>
        <v>0.15175714285714287</v>
      </c>
      <c r="O158" s="445"/>
      <c r="P158" s="445">
        <v>6</v>
      </c>
      <c r="Q158" s="445" t="s">
        <v>2469</v>
      </c>
      <c r="R158" s="447">
        <v>288</v>
      </c>
      <c r="S158" s="451">
        <v>48</v>
      </c>
      <c r="T158" s="447">
        <v>0.70820000000000005</v>
      </c>
      <c r="U158" s="447">
        <v>3.4609999999999999</v>
      </c>
      <c r="V158" s="447">
        <v>203.9616</v>
      </c>
      <c r="W158" s="447">
        <v>996.76800000000003</v>
      </c>
      <c r="X158" s="447">
        <v>26.52</v>
      </c>
      <c r="Y158" s="447">
        <v>258.49</v>
      </c>
      <c r="Z158" s="447">
        <v>365</v>
      </c>
      <c r="AA158" s="448">
        <v>74445.98</v>
      </c>
    </row>
    <row r="159" spans="1:27" s="339" customFormat="1" ht="17.45" hidden="1" customHeight="1" x14ac:dyDescent="0.25">
      <c r="A159" s="437" t="s">
        <v>4678</v>
      </c>
      <c r="B159" s="446">
        <v>71</v>
      </c>
      <c r="C159" s="446"/>
      <c r="D159" s="445" t="s">
        <v>34</v>
      </c>
      <c r="E159" s="445" t="s">
        <v>328</v>
      </c>
      <c r="F159" s="594">
        <v>45323</v>
      </c>
      <c r="G159" s="594"/>
      <c r="H159" s="445" t="s">
        <v>23</v>
      </c>
      <c r="I159" s="449"/>
      <c r="J159" s="449"/>
      <c r="K159" s="449">
        <v>3</v>
      </c>
      <c r="L159" s="450">
        <f>57+5</f>
        <v>62</v>
      </c>
      <c r="M159" s="443">
        <f>Таблица4[[#This Row],[Количество хлыстов]]-Таблица4[[#This Row],[Готово, хл]]-Таблица4[[#This Row],[Вывезено, хл]]</f>
        <v>0</v>
      </c>
      <c r="N159" s="444">
        <f>(Таблица4[[#This Row],[Осталось сделать, хлыст]]*Таблица4[[#This Row],[длина]]*Таблица4[[#This Row],[Периметр]])/28</f>
        <v>0</v>
      </c>
      <c r="O159" s="445"/>
      <c r="P159" s="445">
        <v>6</v>
      </c>
      <c r="Q159" s="445" t="s">
        <v>4813</v>
      </c>
      <c r="R159" s="447">
        <v>390</v>
      </c>
      <c r="S159" s="451">
        <v>65</v>
      </c>
      <c r="T159" s="447">
        <v>0.30919999999999997</v>
      </c>
      <c r="U159" s="447">
        <v>1.101</v>
      </c>
      <c r="V159" s="447">
        <v>120.58799999999999</v>
      </c>
      <c r="W159" s="447">
        <v>429.39</v>
      </c>
      <c r="X159" s="447">
        <v>15.68</v>
      </c>
      <c r="Y159" s="447">
        <v>112.86</v>
      </c>
      <c r="Z159" s="447">
        <v>365</v>
      </c>
      <c r="AA159" s="448">
        <v>44014.62</v>
      </c>
    </row>
    <row r="160" spans="1:27" s="339" customFormat="1" ht="17.45" hidden="1" customHeight="1" x14ac:dyDescent="0.25">
      <c r="A160" s="437" t="s">
        <v>4678</v>
      </c>
      <c r="B160" s="446">
        <v>72</v>
      </c>
      <c r="C160" s="446"/>
      <c r="D160" s="445" t="s">
        <v>34</v>
      </c>
      <c r="E160" s="445" t="s">
        <v>3404</v>
      </c>
      <c r="F160" s="594">
        <v>45323</v>
      </c>
      <c r="G160" s="594"/>
      <c r="H160" s="445" t="s">
        <v>23</v>
      </c>
      <c r="I160" s="441"/>
      <c r="J160" s="441"/>
      <c r="K160" s="441">
        <v>486</v>
      </c>
      <c r="L160" s="442"/>
      <c r="M160" s="443">
        <f>Таблица4[[#This Row],[Количество хлыстов]]-Таблица4[[#This Row],[Готово, хл]]-Таблица4[[#This Row],[Вывезено, хл]]</f>
        <v>0</v>
      </c>
      <c r="N160" s="444">
        <f>(Таблица4[[#This Row],[Осталось сделать, хлыст]]*Таблица4[[#This Row],[длина]]*Таблица4[[#This Row],[Периметр]])/30</f>
        <v>0</v>
      </c>
      <c r="O160" s="445" t="s">
        <v>161</v>
      </c>
      <c r="P160" s="445">
        <v>6</v>
      </c>
      <c r="Q160" s="445" t="s">
        <v>4582</v>
      </c>
      <c r="R160" s="447">
        <v>2916</v>
      </c>
      <c r="S160" s="451">
        <v>486</v>
      </c>
      <c r="T160" s="447">
        <v>0.10100000000000001</v>
      </c>
      <c r="U160" s="447">
        <v>0.30599999999999999</v>
      </c>
      <c r="V160" s="447">
        <v>294.51600000000002</v>
      </c>
      <c r="W160" s="447">
        <v>892.29600000000005</v>
      </c>
      <c r="X160" s="447">
        <v>38.29</v>
      </c>
      <c r="Y160" s="447">
        <v>31.82</v>
      </c>
      <c r="Z160" s="447">
        <v>315</v>
      </c>
      <c r="AA160" s="448">
        <v>92772.54</v>
      </c>
    </row>
    <row r="161" spans="1:27" s="339" customFormat="1" ht="17.45" hidden="1" customHeight="1" x14ac:dyDescent="0.25">
      <c r="A161" s="437" t="s">
        <v>4678</v>
      </c>
      <c r="B161" s="446">
        <v>72</v>
      </c>
      <c r="C161" s="446"/>
      <c r="D161" s="445" t="s">
        <v>34</v>
      </c>
      <c r="E161" s="445" t="s">
        <v>3404</v>
      </c>
      <c r="F161" s="594">
        <v>45323</v>
      </c>
      <c r="G161" s="594"/>
      <c r="H161" s="445" t="s">
        <v>23</v>
      </c>
      <c r="I161" s="449"/>
      <c r="J161" s="449"/>
      <c r="K161" s="449">
        <v>42</v>
      </c>
      <c r="L161" s="450">
        <v>151</v>
      </c>
      <c r="M161" s="443">
        <f>Таблица4[[#This Row],[Количество хлыстов]]-Таблица4[[#This Row],[Готово, хл]]-Таблица4[[#This Row],[Вывезено, хл]]</f>
        <v>0</v>
      </c>
      <c r="N161" s="444">
        <f>(Таблица4[[#This Row],[Осталось сделать, хлыст]]*Таблица4[[#This Row],[длина]]*Таблица4[[#This Row],[Периметр]])/30</f>
        <v>0</v>
      </c>
      <c r="O161" s="445" t="s">
        <v>161</v>
      </c>
      <c r="P161" s="445">
        <v>6</v>
      </c>
      <c r="Q161" s="445" t="s">
        <v>4378</v>
      </c>
      <c r="R161" s="447">
        <v>1158</v>
      </c>
      <c r="S161" s="451">
        <v>193</v>
      </c>
      <c r="T161" s="447">
        <v>0.25169999999999998</v>
      </c>
      <c r="U161" s="447">
        <v>0.56699999999999995</v>
      </c>
      <c r="V161" s="447">
        <v>291.46859999999998</v>
      </c>
      <c r="W161" s="447">
        <v>656.58600000000001</v>
      </c>
      <c r="X161" s="447">
        <v>37.89</v>
      </c>
      <c r="Y161" s="447">
        <v>79.290000000000006</v>
      </c>
      <c r="Z161" s="447">
        <v>315</v>
      </c>
      <c r="AA161" s="448">
        <v>91812.61</v>
      </c>
    </row>
    <row r="162" spans="1:27" s="339" customFormat="1" ht="30.75" hidden="1" customHeight="1" x14ac:dyDescent="0.25">
      <c r="A162" s="147" t="s">
        <v>4678</v>
      </c>
      <c r="B162" s="521">
        <v>73</v>
      </c>
      <c r="C162" s="521"/>
      <c r="D162" s="142" t="s">
        <v>34</v>
      </c>
      <c r="E162" s="142" t="s">
        <v>19</v>
      </c>
      <c r="F162" s="143">
        <v>45324</v>
      </c>
      <c r="G162" s="143"/>
      <c r="H162" s="142" t="s">
        <v>23</v>
      </c>
      <c r="I162" s="522"/>
      <c r="J162" s="522"/>
      <c r="K162" s="522">
        <v>140</v>
      </c>
      <c r="L162" s="523">
        <f>329+11</f>
        <v>340</v>
      </c>
      <c r="M162" s="443">
        <f>Таблица4[[#This Row],[Количество хлыстов]]-Таблица4[[#This Row],[Готово, хл]]-Таблица4[[#This Row],[Вывезено, хл]]</f>
        <v>116</v>
      </c>
      <c r="N162" s="444">
        <f>(Таблица4[[#This Row],[Осталось сделать, хлыст]]*Таблица4[[#This Row],[длина]]*Таблица4[[#This Row],[Периметр]])/28</f>
        <v>4.1632400000000009</v>
      </c>
      <c r="O162" s="183" t="s">
        <v>4838</v>
      </c>
      <c r="P162" s="142">
        <v>3.7</v>
      </c>
      <c r="Q162" s="142" t="s">
        <v>3094</v>
      </c>
      <c r="R162" s="525">
        <v>2205.1999999999998</v>
      </c>
      <c r="S162" s="526">
        <v>596</v>
      </c>
      <c r="T162" s="525">
        <v>0.27160000000000001</v>
      </c>
      <c r="U162" s="525">
        <v>0.72799999999999998</v>
      </c>
      <c r="V162" s="525">
        <v>598.93230000000005</v>
      </c>
      <c r="W162" s="525">
        <v>1605.3856000000001</v>
      </c>
      <c r="X162" s="525">
        <v>77.86</v>
      </c>
      <c r="Y162" s="525">
        <v>89.63</v>
      </c>
      <c r="Z162" s="525">
        <v>330</v>
      </c>
      <c r="AA162" s="527">
        <v>197647.67</v>
      </c>
    </row>
    <row r="163" spans="1:27" s="430" customFormat="1" ht="17.45" hidden="1" customHeight="1" x14ac:dyDescent="0.25">
      <c r="A163" s="547" t="s">
        <v>4978</v>
      </c>
      <c r="B163" s="609">
        <v>74</v>
      </c>
      <c r="C163" s="609"/>
      <c r="D163" s="610" t="s">
        <v>13</v>
      </c>
      <c r="E163" s="610" t="s">
        <v>557</v>
      </c>
      <c r="F163" s="611">
        <v>45327</v>
      </c>
      <c r="G163" s="611"/>
      <c r="H163" s="610" t="s">
        <v>23</v>
      </c>
      <c r="I163" s="612"/>
      <c r="J163" s="612"/>
      <c r="K163" s="612"/>
      <c r="L163" s="612">
        <v>24</v>
      </c>
      <c r="M163" s="553">
        <f>Таблица4[[#This Row],[Количество хлыстов]]-Таблица4[[#This Row],[Готово, хл]]-Таблица4[[#This Row],[Вывезено, хл]]</f>
        <v>0</v>
      </c>
      <c r="N163" s="554"/>
      <c r="O163" s="610" t="s">
        <v>4826</v>
      </c>
      <c r="P163" s="610"/>
      <c r="Q163" s="610" t="s">
        <v>4824</v>
      </c>
      <c r="R163" s="614">
        <v>112.8</v>
      </c>
      <c r="S163" s="615">
        <v>24</v>
      </c>
      <c r="T163" s="614">
        <v>0.34789999999999999</v>
      </c>
      <c r="U163" s="614">
        <v>1.643</v>
      </c>
      <c r="V163" s="614">
        <v>39.243099999999998</v>
      </c>
      <c r="W163" s="614">
        <v>185.3304</v>
      </c>
      <c r="X163" s="614">
        <v>5.0999999999999996</v>
      </c>
      <c r="Y163" s="614">
        <v>109.59</v>
      </c>
      <c r="Z163" s="614">
        <v>315</v>
      </c>
      <c r="AA163" s="616">
        <v>12361.58</v>
      </c>
    </row>
    <row r="164" spans="1:27" s="430" customFormat="1" ht="17.45" hidden="1" customHeight="1" x14ac:dyDescent="0.25">
      <c r="A164" s="547" t="s">
        <v>4978</v>
      </c>
      <c r="B164" s="609">
        <v>74</v>
      </c>
      <c r="C164" s="609"/>
      <c r="D164" s="610" t="s">
        <v>13</v>
      </c>
      <c r="E164" s="610" t="s">
        <v>557</v>
      </c>
      <c r="F164" s="611">
        <v>45327</v>
      </c>
      <c r="G164" s="611"/>
      <c r="H164" s="610" t="s">
        <v>23</v>
      </c>
      <c r="I164" s="612"/>
      <c r="J164" s="612"/>
      <c r="K164" s="612"/>
      <c r="L164" s="612">
        <v>22</v>
      </c>
      <c r="M164" s="553">
        <f>Таблица4[[#This Row],[Количество хлыстов]]-Таблица4[[#This Row],[Готово, хл]]-Таблица4[[#This Row],[Вывезено, хл]]</f>
        <v>0</v>
      </c>
      <c r="N164" s="554"/>
      <c r="O164" s="610" t="s">
        <v>4827</v>
      </c>
      <c r="P164" s="610"/>
      <c r="Q164" s="610" t="s">
        <v>4825</v>
      </c>
      <c r="R164" s="614">
        <v>103.4</v>
      </c>
      <c r="S164" s="615">
        <v>22</v>
      </c>
      <c r="T164" s="614">
        <v>0.13400000000000001</v>
      </c>
      <c r="U164" s="614">
        <v>0.26600000000000001</v>
      </c>
      <c r="V164" s="614">
        <v>13.855600000000001</v>
      </c>
      <c r="W164" s="614">
        <v>27.5044</v>
      </c>
      <c r="X164" s="614">
        <v>1.8</v>
      </c>
      <c r="Y164" s="614">
        <v>40.200000000000003</v>
      </c>
      <c r="Z164" s="614">
        <v>300</v>
      </c>
      <c r="AA164" s="616">
        <v>4156.68</v>
      </c>
    </row>
    <row r="165" spans="1:27" s="430" customFormat="1" ht="17.45" hidden="1" customHeight="1" x14ac:dyDescent="0.25">
      <c r="A165" s="547" t="s">
        <v>4978</v>
      </c>
      <c r="B165" s="609">
        <v>75</v>
      </c>
      <c r="C165" s="609"/>
      <c r="D165" s="610" t="s">
        <v>13</v>
      </c>
      <c r="E165" s="610" t="s">
        <v>4828</v>
      </c>
      <c r="F165" s="611">
        <v>45327</v>
      </c>
      <c r="G165" s="611"/>
      <c r="H165" s="610" t="s">
        <v>23</v>
      </c>
      <c r="I165" s="612"/>
      <c r="J165" s="612"/>
      <c r="K165" s="612"/>
      <c r="L165" s="612">
        <v>348</v>
      </c>
      <c r="M165" s="553">
        <f>Таблица4[[#This Row],[Количество хлыстов]]-Таблица4[[#This Row],[Готово, хл]]-Таблица4[[#This Row],[Вывезено, хл]]</f>
        <v>4</v>
      </c>
      <c r="N165" s="554"/>
      <c r="O165" s="610" t="s">
        <v>4830</v>
      </c>
      <c r="P165" s="610"/>
      <c r="Q165" s="610" t="s">
        <v>4829</v>
      </c>
      <c r="R165" s="614">
        <v>1056</v>
      </c>
      <c r="S165" s="615">
        <v>352</v>
      </c>
      <c r="T165" s="614">
        <v>0.27600000000000002</v>
      </c>
      <c r="U165" s="614">
        <v>0.63900000000000001</v>
      </c>
      <c r="V165" s="614">
        <v>291.45600000000002</v>
      </c>
      <c r="W165" s="614">
        <v>674.78399999999999</v>
      </c>
      <c r="X165" s="614">
        <v>37.89</v>
      </c>
      <c r="Y165" s="614">
        <v>82.8</v>
      </c>
      <c r="Z165" s="614">
        <v>300</v>
      </c>
      <c r="AA165" s="616">
        <v>87436.800000000003</v>
      </c>
    </row>
    <row r="166" spans="1:27" s="418" customFormat="1" ht="17.45" hidden="1" customHeight="1" x14ac:dyDescent="0.25">
      <c r="A166" s="507" t="s">
        <v>4978</v>
      </c>
      <c r="B166" s="617">
        <v>76</v>
      </c>
      <c r="C166" s="617"/>
      <c r="D166" s="618" t="s">
        <v>13</v>
      </c>
      <c r="E166" s="618" t="s">
        <v>4725</v>
      </c>
      <c r="F166" s="619">
        <v>45328</v>
      </c>
      <c r="G166" s="619"/>
      <c r="H166" s="618" t="s">
        <v>23</v>
      </c>
      <c r="I166" s="620"/>
      <c r="J166" s="620"/>
      <c r="K166" s="620"/>
      <c r="L166" s="621"/>
      <c r="M166" s="443">
        <f>Таблица4[[#This Row],[Количество хлыстов]]-Таблица4[[#This Row],[Готово, хл]]-Таблица4[[#This Row],[Вывезено, хл]]</f>
        <v>57</v>
      </c>
      <c r="N166" s="513"/>
      <c r="O166" s="618" t="s">
        <v>4728</v>
      </c>
      <c r="P166" s="618"/>
      <c r="Q166" s="618" t="s">
        <v>4834</v>
      </c>
      <c r="R166" s="622">
        <v>342</v>
      </c>
      <c r="S166" s="623">
        <v>57</v>
      </c>
      <c r="T166" s="622">
        <v>0.42199999999999999</v>
      </c>
      <c r="U166" s="622">
        <v>1.389</v>
      </c>
      <c r="V166" s="622">
        <v>144.32400000000001</v>
      </c>
      <c r="W166" s="622">
        <v>475.03800000000001</v>
      </c>
      <c r="X166" s="622">
        <v>18.760000000000002</v>
      </c>
      <c r="Y166" s="622">
        <v>92.84</v>
      </c>
      <c r="Z166" s="622">
        <v>220</v>
      </c>
      <c r="AA166" s="624">
        <v>31751.279999999999</v>
      </c>
    </row>
    <row r="167" spans="1:27" s="430" customFormat="1" ht="17.45" hidden="1" customHeight="1" x14ac:dyDescent="0.25">
      <c r="A167" s="547" t="s">
        <v>4978</v>
      </c>
      <c r="B167" s="609">
        <v>78</v>
      </c>
      <c r="C167" s="609"/>
      <c r="D167" s="610" t="s">
        <v>13</v>
      </c>
      <c r="E167" s="610" t="s">
        <v>892</v>
      </c>
      <c r="F167" s="611">
        <v>45329</v>
      </c>
      <c r="G167" s="611"/>
      <c r="H167" s="610" t="s">
        <v>23</v>
      </c>
      <c r="I167" s="612"/>
      <c r="J167" s="612"/>
      <c r="K167" s="612"/>
      <c r="L167" s="612">
        <v>74</v>
      </c>
      <c r="M167" s="553">
        <f>Таблица4[[#This Row],[Количество хлыстов]]-Таблица4[[#This Row],[Готово, хл]]-Таблица4[[#This Row],[Вывезено, хл]]</f>
        <v>0</v>
      </c>
      <c r="N167" s="554"/>
      <c r="O167" s="610" t="s">
        <v>4840</v>
      </c>
      <c r="P167" s="610"/>
      <c r="Q167" s="610" t="s">
        <v>4839</v>
      </c>
      <c r="R167" s="614">
        <v>373.7</v>
      </c>
      <c r="S167" s="615">
        <v>74</v>
      </c>
      <c r="T167" s="614">
        <v>0.1469</v>
      </c>
      <c r="U167" s="614">
        <v>1.3859999999999999</v>
      </c>
      <c r="V167" s="614">
        <v>54.896500000000003</v>
      </c>
      <c r="W167" s="614">
        <v>517.94820000000004</v>
      </c>
      <c r="X167" s="614">
        <v>7.14</v>
      </c>
      <c r="Y167" s="614">
        <v>46.27</v>
      </c>
      <c r="Z167" s="614">
        <v>315</v>
      </c>
      <c r="AA167" s="616">
        <v>17292.41</v>
      </c>
    </row>
    <row r="168" spans="1:27" s="339" customFormat="1" ht="17.45" hidden="1" customHeight="1" x14ac:dyDescent="0.25">
      <c r="A168" s="171" t="s">
        <v>4678</v>
      </c>
      <c r="B168" s="625">
        <v>79</v>
      </c>
      <c r="C168" s="625"/>
      <c r="D168" s="162" t="s">
        <v>13</v>
      </c>
      <c r="E168" s="162" t="s">
        <v>657</v>
      </c>
      <c r="F168" s="168">
        <v>45329</v>
      </c>
      <c r="G168" s="143"/>
      <c r="H168" s="142" t="s">
        <v>23</v>
      </c>
      <c r="I168" s="522"/>
      <c r="J168" s="522"/>
      <c r="K168" s="522"/>
      <c r="L168" s="523">
        <v>346</v>
      </c>
      <c r="M168" s="443">
        <f>Таблица4[[#This Row],[Количество хлыстов]]-Таблица4[[#This Row],[Готово, хл]]-Таблица4[[#This Row],[Вывезено, хл]]</f>
        <v>0</v>
      </c>
      <c r="N168" s="444">
        <f>(Таблица4[[#This Row],[Осталось сделать, хлыст]]*Таблица4[[#This Row],[длина]]*Таблица4[[#This Row],[Периметр]])/28</f>
        <v>0</v>
      </c>
      <c r="O168" s="142"/>
      <c r="P168" s="142">
        <v>5.8</v>
      </c>
      <c r="Q168" s="142" t="s">
        <v>2963</v>
      </c>
      <c r="R168" s="525">
        <v>2006.8</v>
      </c>
      <c r="S168" s="526">
        <v>346</v>
      </c>
      <c r="T168" s="525">
        <v>0.1724</v>
      </c>
      <c r="U168" s="525">
        <v>0.41499999999999998</v>
      </c>
      <c r="V168" s="525">
        <v>345.97230000000002</v>
      </c>
      <c r="W168" s="525">
        <v>832.822</v>
      </c>
      <c r="X168" s="525">
        <v>44.98</v>
      </c>
      <c r="Y168" s="525">
        <v>62.93</v>
      </c>
      <c r="Z168" s="525">
        <v>365</v>
      </c>
      <c r="AA168" s="527">
        <v>126279.9</v>
      </c>
    </row>
    <row r="169" spans="1:27" s="339" customFormat="1" ht="17.45" hidden="1" customHeight="1" x14ac:dyDescent="0.25">
      <c r="A169" s="147" t="s">
        <v>4678</v>
      </c>
      <c r="B169" s="521">
        <v>80</v>
      </c>
      <c r="C169" s="521"/>
      <c r="D169" s="142" t="s">
        <v>13</v>
      </c>
      <c r="E169" s="142" t="s">
        <v>591</v>
      </c>
      <c r="F169" s="143">
        <v>45329</v>
      </c>
      <c r="G169" s="143"/>
      <c r="H169" s="142" t="s">
        <v>23</v>
      </c>
      <c r="I169" s="522"/>
      <c r="J169" s="522"/>
      <c r="K169" s="522"/>
      <c r="L169" s="523">
        <v>2140</v>
      </c>
      <c r="M169" s="443">
        <f>Таблица4[[#This Row],[Количество хлыстов]]-Таблица4[[#This Row],[Готово, хл]]-Таблица4[[#This Row],[Вывезено, хл]]</f>
        <v>0</v>
      </c>
      <c r="N169" s="444">
        <f>(Таблица4[[#This Row],[Осталось сделать, хлыст]]*Таблица4[[#This Row],[длина]]*Таблица4[[#This Row],[Периметр]])/28</f>
        <v>0</v>
      </c>
      <c r="O169" s="142"/>
      <c r="P169" s="142">
        <v>3</v>
      </c>
      <c r="Q169" s="142" t="s">
        <v>38</v>
      </c>
      <c r="R169" s="525">
        <v>6420</v>
      </c>
      <c r="S169" s="526">
        <v>2140</v>
      </c>
      <c r="T169" s="525">
        <v>6.4500000000000002E-2</v>
      </c>
      <c r="U169" s="525">
        <v>8.5000000000000006E-2</v>
      </c>
      <c r="V169" s="525">
        <v>414.09</v>
      </c>
      <c r="W169" s="525">
        <v>545.70000000000005</v>
      </c>
      <c r="X169" s="525">
        <v>53.83</v>
      </c>
      <c r="Y169" s="525">
        <v>21.61</v>
      </c>
      <c r="Z169" s="525">
        <v>335</v>
      </c>
      <c r="AA169" s="527">
        <v>138720.15</v>
      </c>
    </row>
    <row r="170" spans="1:27" s="339" customFormat="1" ht="17.45" hidden="1" customHeight="1" x14ac:dyDescent="0.25">
      <c r="A170" s="147" t="s">
        <v>4678</v>
      </c>
      <c r="B170" s="521">
        <v>55</v>
      </c>
      <c r="C170" s="521"/>
      <c r="D170" s="142" t="s">
        <v>34</v>
      </c>
      <c r="E170" s="142" t="s">
        <v>4554</v>
      </c>
      <c r="F170" s="143">
        <v>45329</v>
      </c>
      <c r="G170" s="143"/>
      <c r="H170" s="142" t="s">
        <v>23</v>
      </c>
      <c r="I170" s="522"/>
      <c r="J170" s="522"/>
      <c r="K170" s="522">
        <v>408</v>
      </c>
      <c r="L170" s="523">
        <v>196</v>
      </c>
      <c r="M170" s="443">
        <f>Таблица4[[#This Row],[Количество хлыстов]]-Таблица4[[#This Row],[Готово, хл]]-Таблица4[[#This Row],[Вывезено, хл]]</f>
        <v>0</v>
      </c>
      <c r="N170" s="444">
        <f>(Таблица4[[#This Row],[Осталось сделать, хлыст]]*Таблица4[[#This Row],[длина]]*Таблица4[[#This Row],[Периметр]])/28</f>
        <v>0</v>
      </c>
      <c r="O170" s="142"/>
      <c r="P170" s="142">
        <v>3.4</v>
      </c>
      <c r="Q170" s="142" t="s">
        <v>4555</v>
      </c>
      <c r="R170" s="525">
        <v>2053.6</v>
      </c>
      <c r="S170" s="526">
        <v>604</v>
      </c>
      <c r="T170" s="525">
        <v>0.18279999999999999</v>
      </c>
      <c r="U170" s="525">
        <v>0.59099999999999997</v>
      </c>
      <c r="V170" s="525">
        <v>375.3981</v>
      </c>
      <c r="W170" s="525">
        <v>1213.6776</v>
      </c>
      <c r="X170" s="525">
        <v>48.8</v>
      </c>
      <c r="Y170" s="525">
        <v>62.88</v>
      </c>
      <c r="Z170" s="525">
        <v>344</v>
      </c>
      <c r="AA170" s="527">
        <v>129130.37</v>
      </c>
    </row>
    <row r="171" spans="1:27" s="339" customFormat="1" ht="17.25" hidden="1" customHeight="1" x14ac:dyDescent="0.25">
      <c r="A171" s="147" t="s">
        <v>4678</v>
      </c>
      <c r="B171" s="521">
        <v>81</v>
      </c>
      <c r="C171" s="521"/>
      <c r="D171" s="142" t="s">
        <v>34</v>
      </c>
      <c r="E171" s="142" t="s">
        <v>3404</v>
      </c>
      <c r="F171" s="143">
        <v>45329</v>
      </c>
      <c r="G171" s="143"/>
      <c r="H171" s="142" t="s">
        <v>23</v>
      </c>
      <c r="I171" s="522"/>
      <c r="J171" s="522"/>
      <c r="K171" s="522">
        <v>104</v>
      </c>
      <c r="L171" s="523"/>
      <c r="M171" s="443">
        <f>Таблица4[[#This Row],[Количество хлыстов]]-Таблица4[[#This Row],[Готово, хл]]-Таблица4[[#This Row],[Вывезено, хл]]</f>
        <v>0</v>
      </c>
      <c r="N171" s="444">
        <f>(Таблица4[[#This Row],[Осталось сделать, хлыст]]*Таблица4[[#This Row],[длина]]*Таблица4[[#This Row],[Периметр]])/30</f>
        <v>0</v>
      </c>
      <c r="O171" s="142"/>
      <c r="P171" s="142">
        <v>6</v>
      </c>
      <c r="Q171" s="142" t="s">
        <v>4582</v>
      </c>
      <c r="R171" s="525">
        <v>624</v>
      </c>
      <c r="S171" s="526">
        <v>104</v>
      </c>
      <c r="T171" s="525">
        <v>0.10100000000000001</v>
      </c>
      <c r="U171" s="525">
        <v>0.30599999999999999</v>
      </c>
      <c r="V171" s="525">
        <v>63.024000000000001</v>
      </c>
      <c r="W171" s="525">
        <v>190.94399999999999</v>
      </c>
      <c r="X171" s="525">
        <v>8.19</v>
      </c>
      <c r="Y171" s="525">
        <v>31.82</v>
      </c>
      <c r="Z171" s="525">
        <v>315</v>
      </c>
      <c r="AA171" s="527">
        <v>19852.560000000001</v>
      </c>
    </row>
    <row r="172" spans="1:27" s="339" customFormat="1" ht="17.45" hidden="1" customHeight="1" x14ac:dyDescent="0.25">
      <c r="A172" s="147" t="s">
        <v>4678</v>
      </c>
      <c r="B172" s="521">
        <v>81</v>
      </c>
      <c r="C172" s="521"/>
      <c r="D172" s="142" t="s">
        <v>34</v>
      </c>
      <c r="E172" s="142" t="s">
        <v>3404</v>
      </c>
      <c r="F172" s="143">
        <v>45329</v>
      </c>
      <c r="G172" s="143"/>
      <c r="H172" s="142" t="s">
        <v>23</v>
      </c>
      <c r="I172" s="522"/>
      <c r="J172" s="522"/>
      <c r="K172" s="522"/>
      <c r="L172" s="523">
        <v>250</v>
      </c>
      <c r="M172" s="443">
        <f>Таблица4[[#This Row],[Количество хлыстов]]-Таблица4[[#This Row],[Готово, хл]]-Таблица4[[#This Row],[Вывезено, хл]]</f>
        <v>98</v>
      </c>
      <c r="N172" s="444">
        <f>(Таблица4[[#This Row],[Осталось сделать, хлыст]]*Таблица4[[#This Row],[длина]]*Таблица4[[#This Row],[Периметр]])/28</f>
        <v>4.6116000000000001</v>
      </c>
      <c r="O172" s="142"/>
      <c r="P172" s="142">
        <v>6</v>
      </c>
      <c r="Q172" s="142" t="s">
        <v>4657</v>
      </c>
      <c r="R172" s="525">
        <v>2088</v>
      </c>
      <c r="S172" s="526">
        <v>348</v>
      </c>
      <c r="T172" s="525">
        <v>0.21959999999999999</v>
      </c>
      <c r="U172" s="525">
        <v>0.35</v>
      </c>
      <c r="V172" s="525">
        <v>458.52480000000003</v>
      </c>
      <c r="W172" s="525">
        <v>730.8</v>
      </c>
      <c r="X172" s="525">
        <v>59.61</v>
      </c>
      <c r="Y172" s="525">
        <v>69.17</v>
      </c>
      <c r="Z172" s="525">
        <v>315</v>
      </c>
      <c r="AA172" s="527">
        <v>144435.31</v>
      </c>
    </row>
    <row r="173" spans="1:27" s="339" customFormat="1" ht="33" hidden="1" customHeight="1" x14ac:dyDescent="0.25">
      <c r="A173" s="147" t="s">
        <v>4678</v>
      </c>
      <c r="B173" s="521">
        <v>81</v>
      </c>
      <c r="C173" s="521"/>
      <c r="D173" s="142" t="s">
        <v>34</v>
      </c>
      <c r="E173" s="142" t="s">
        <v>3404</v>
      </c>
      <c r="F173" s="143">
        <v>45329</v>
      </c>
      <c r="G173" s="143"/>
      <c r="H173" s="142" t="s">
        <v>23</v>
      </c>
      <c r="I173" s="522"/>
      <c r="J173" s="522"/>
      <c r="K173" s="522">
        <v>190</v>
      </c>
      <c r="L173" s="523">
        <f>145+47+64+29</f>
        <v>285</v>
      </c>
      <c r="M173" s="443">
        <f>Таблица4[[#This Row],[Количество хлыстов]]-Таблица4[[#This Row],[Готово, хл]]-Таблица4[[#This Row],[Вывезено, хл]]</f>
        <v>0</v>
      </c>
      <c r="N173" s="486">
        <f>(Таблица4[[#This Row],[Осталось сделать, хлыст]]*Таблица4[[#This Row],[длина]]*Таблица4[[#This Row],[Периметр]])/28</f>
        <v>0</v>
      </c>
      <c r="O173" s="183" t="s">
        <v>5078</v>
      </c>
      <c r="P173" s="142">
        <v>6</v>
      </c>
      <c r="Q173" s="142" t="s">
        <v>4378</v>
      </c>
      <c r="R173" s="525">
        <v>2850</v>
      </c>
      <c r="S173" s="526">
        <v>475</v>
      </c>
      <c r="T173" s="525">
        <v>0.25169999999999998</v>
      </c>
      <c r="U173" s="525">
        <v>0.56699999999999995</v>
      </c>
      <c r="V173" s="525">
        <v>717.34500000000003</v>
      </c>
      <c r="W173" s="525">
        <v>1615.95</v>
      </c>
      <c r="X173" s="525">
        <v>93.25</v>
      </c>
      <c r="Y173" s="525">
        <v>79.290000000000006</v>
      </c>
      <c r="Z173" s="525">
        <v>315</v>
      </c>
      <c r="AA173" s="527">
        <v>225963.68</v>
      </c>
    </row>
    <row r="174" spans="1:27" s="339" customFormat="1" ht="17.45" hidden="1" customHeight="1" x14ac:dyDescent="0.25">
      <c r="A174" s="147" t="s">
        <v>4678</v>
      </c>
      <c r="B174" s="521" t="s">
        <v>4841</v>
      </c>
      <c r="C174" s="521"/>
      <c r="D174" s="142" t="s">
        <v>34</v>
      </c>
      <c r="E174" s="142" t="s">
        <v>16</v>
      </c>
      <c r="F174" s="143">
        <v>45329</v>
      </c>
      <c r="G174" s="143"/>
      <c r="H174" s="142" t="s">
        <v>23</v>
      </c>
      <c r="I174" s="522"/>
      <c r="J174" s="522"/>
      <c r="K174" s="522">
        <v>57</v>
      </c>
      <c r="L174" s="523"/>
      <c r="M174" s="443">
        <f>Таблица4[[#This Row],[Количество хлыстов]]-Таблица4[[#This Row],[Готово, хл]]-Таблица4[[#This Row],[Вывезено, хл]]</f>
        <v>0</v>
      </c>
      <c r="N174" s="444">
        <f>(Таблица4[[#This Row],[Осталось сделать, хлыст]]*Таблица4[[#This Row],[длина]]*Таблица4[[#This Row],[Периметр]])/28</f>
        <v>0</v>
      </c>
      <c r="O174" s="142"/>
      <c r="P174" s="142">
        <v>6</v>
      </c>
      <c r="Q174" s="142" t="s">
        <v>2859</v>
      </c>
      <c r="R174" s="525">
        <v>342</v>
      </c>
      <c r="S174" s="526">
        <v>57</v>
      </c>
      <c r="T174" s="525">
        <v>0.27260000000000001</v>
      </c>
      <c r="U174" s="525">
        <v>0.72899999999999998</v>
      </c>
      <c r="V174" s="525">
        <v>93.229200000000006</v>
      </c>
      <c r="W174" s="525">
        <v>249.31800000000001</v>
      </c>
      <c r="X174" s="525">
        <v>12.12</v>
      </c>
      <c r="Y174" s="525">
        <v>106.31</v>
      </c>
      <c r="Z174" s="525">
        <v>390</v>
      </c>
      <c r="AA174" s="527">
        <v>36359.39</v>
      </c>
    </row>
    <row r="175" spans="1:27" s="339" customFormat="1" ht="17.45" hidden="1" customHeight="1" x14ac:dyDescent="0.25">
      <c r="A175" s="147" t="s">
        <v>4678</v>
      </c>
      <c r="B175" s="521" t="s">
        <v>4842</v>
      </c>
      <c r="C175" s="521"/>
      <c r="D175" s="142" t="s">
        <v>34</v>
      </c>
      <c r="E175" s="142" t="s">
        <v>16</v>
      </c>
      <c r="F175" s="143">
        <v>45329</v>
      </c>
      <c r="G175" s="143"/>
      <c r="H175" s="142" t="s">
        <v>23</v>
      </c>
      <c r="I175" s="522"/>
      <c r="J175" s="522"/>
      <c r="K175" s="522"/>
      <c r="L175" s="523">
        <v>110</v>
      </c>
      <c r="M175" s="443">
        <f>Таблица4[[#This Row],[Количество хлыстов]]-Таблица4[[#This Row],[Готово, хл]]-Таблица4[[#This Row],[Вывезено, хл]]</f>
        <v>11</v>
      </c>
      <c r="N175" s="444">
        <f>(Таблица4[[#This Row],[Осталось сделать, хлыст]]*Таблица4[[#This Row],[длина]]*Таблица4[[#This Row],[Периметр]])/28</f>
        <v>0.82452857142857139</v>
      </c>
      <c r="O175" s="142"/>
      <c r="P175" s="142">
        <v>6</v>
      </c>
      <c r="Q175" s="142" t="s">
        <v>2730</v>
      </c>
      <c r="R175" s="525">
        <v>726</v>
      </c>
      <c r="S175" s="526">
        <v>121</v>
      </c>
      <c r="T175" s="525">
        <v>0.3498</v>
      </c>
      <c r="U175" s="525">
        <v>1.425</v>
      </c>
      <c r="V175" s="525">
        <v>253.95480000000001</v>
      </c>
      <c r="W175" s="525">
        <v>1034.55</v>
      </c>
      <c r="X175" s="525">
        <v>33.01</v>
      </c>
      <c r="Y175" s="525">
        <v>127.68</v>
      </c>
      <c r="Z175" s="525">
        <v>365</v>
      </c>
      <c r="AA175" s="527">
        <v>92695.679999999993</v>
      </c>
    </row>
    <row r="176" spans="1:27" s="339" customFormat="1" ht="17.45" hidden="1" customHeight="1" x14ac:dyDescent="0.25">
      <c r="A176" s="147" t="s">
        <v>4678</v>
      </c>
      <c r="B176" s="521" t="s">
        <v>4843</v>
      </c>
      <c r="C176" s="521"/>
      <c r="D176" s="142" t="s">
        <v>34</v>
      </c>
      <c r="E176" s="142" t="s">
        <v>16</v>
      </c>
      <c r="F176" s="143">
        <v>45329</v>
      </c>
      <c r="G176" s="143"/>
      <c r="H176" s="142" t="s">
        <v>23</v>
      </c>
      <c r="I176" s="522"/>
      <c r="J176" s="522"/>
      <c r="K176" s="522"/>
      <c r="L176" s="523">
        <f>49+15</f>
        <v>64</v>
      </c>
      <c r="M176" s="443">
        <f>Таблица4[[#This Row],[Количество хлыстов]]-Таблица4[[#This Row],[Готово, хл]]-Таблица4[[#This Row],[Вывезено, хл]]</f>
        <v>0</v>
      </c>
      <c r="N176" s="444">
        <f>(Таблица4[[#This Row],[Осталось сделать, хлыст]]*Таблица4[[#This Row],[длина]]*Таблица4[[#This Row],[Периметр]])/28</f>
        <v>0</v>
      </c>
      <c r="O176" s="142"/>
      <c r="P176" s="142">
        <v>6</v>
      </c>
      <c r="Q176" s="142" t="s">
        <v>2469</v>
      </c>
      <c r="R176" s="525">
        <v>384</v>
      </c>
      <c r="S176" s="526">
        <v>64</v>
      </c>
      <c r="T176" s="525">
        <v>0.70820000000000005</v>
      </c>
      <c r="U176" s="525">
        <v>3.4609999999999999</v>
      </c>
      <c r="V176" s="525">
        <v>271.94880000000001</v>
      </c>
      <c r="W176" s="525">
        <v>1329.0239999999999</v>
      </c>
      <c r="X176" s="525">
        <v>35.35</v>
      </c>
      <c r="Y176" s="525">
        <v>258.49</v>
      </c>
      <c r="Z176" s="525">
        <v>365</v>
      </c>
      <c r="AA176" s="527">
        <v>99261.31</v>
      </c>
    </row>
    <row r="177" spans="1:27" s="339" customFormat="1" ht="17.45" hidden="1" customHeight="1" x14ac:dyDescent="0.25">
      <c r="A177" s="147" t="s">
        <v>4678</v>
      </c>
      <c r="B177" s="521">
        <v>61</v>
      </c>
      <c r="C177" s="521" t="s">
        <v>4753</v>
      </c>
      <c r="D177" s="142" t="s">
        <v>34</v>
      </c>
      <c r="E177" s="142" t="s">
        <v>861</v>
      </c>
      <c r="F177" s="143">
        <v>45329</v>
      </c>
      <c r="G177" s="143"/>
      <c r="H177" s="439" t="s">
        <v>23</v>
      </c>
      <c r="I177" s="522"/>
      <c r="J177" s="522"/>
      <c r="K177" s="522"/>
      <c r="L177" s="523">
        <v>151</v>
      </c>
      <c r="M177" s="443">
        <f>Таблица4[[#This Row],[Количество хлыстов]]-Таблица4[[#This Row],[Готово, хл]]-Таблица4[[#This Row],[Вывезено, хл]]</f>
        <v>0</v>
      </c>
      <c r="N177" s="444">
        <v>4.5</v>
      </c>
      <c r="O177" s="142" t="s">
        <v>4846</v>
      </c>
      <c r="P177" s="142"/>
      <c r="Q177" s="183" t="s">
        <v>4844</v>
      </c>
      <c r="R177" s="525"/>
      <c r="S177" s="526">
        <v>151</v>
      </c>
      <c r="T177" s="525"/>
      <c r="U177" s="525"/>
      <c r="V177" s="525"/>
      <c r="W177" s="525"/>
      <c r="X177" s="525"/>
      <c r="Y177" s="525"/>
      <c r="Z177" s="525"/>
      <c r="AA177" s="527"/>
    </row>
    <row r="178" spans="1:27" s="339" customFormat="1" ht="17.45" hidden="1" customHeight="1" x14ac:dyDescent="0.25">
      <c r="A178" s="147" t="s">
        <v>4678</v>
      </c>
      <c r="B178" s="521">
        <v>61</v>
      </c>
      <c r="C178" s="521" t="s">
        <v>4753</v>
      </c>
      <c r="D178" s="142" t="s">
        <v>34</v>
      </c>
      <c r="E178" s="142" t="s">
        <v>861</v>
      </c>
      <c r="F178" s="143">
        <v>45329</v>
      </c>
      <c r="G178" s="143"/>
      <c r="H178" s="439" t="s">
        <v>23</v>
      </c>
      <c r="I178" s="522"/>
      <c r="J178" s="522"/>
      <c r="K178" s="522"/>
      <c r="L178" s="523">
        <v>83</v>
      </c>
      <c r="M178" s="443">
        <f>Таблица4[[#This Row],[Количество хлыстов]]-Таблица4[[#This Row],[Готово, хл]]-Таблица4[[#This Row],[Вывезено, хл]]</f>
        <v>0</v>
      </c>
      <c r="N178" s="444">
        <v>1.5</v>
      </c>
      <c r="O178" s="142" t="s">
        <v>4847</v>
      </c>
      <c r="P178" s="142"/>
      <c r="Q178" s="183" t="s">
        <v>4845</v>
      </c>
      <c r="R178" s="525"/>
      <c r="S178" s="526">
        <v>83</v>
      </c>
      <c r="T178" s="525"/>
      <c r="U178" s="525"/>
      <c r="V178" s="525"/>
      <c r="W178" s="525"/>
      <c r="X178" s="525"/>
      <c r="Y178" s="525"/>
      <c r="Z178" s="525"/>
      <c r="AA178" s="527"/>
    </row>
    <row r="179" spans="1:27" s="339" customFormat="1" ht="17.45" hidden="1" customHeight="1" x14ac:dyDescent="0.25">
      <c r="A179" s="147" t="s">
        <v>4678</v>
      </c>
      <c r="B179" s="521">
        <v>51</v>
      </c>
      <c r="C179" s="521" t="s">
        <v>4753</v>
      </c>
      <c r="D179" s="142" t="s">
        <v>34</v>
      </c>
      <c r="E179" s="142" t="s">
        <v>4467</v>
      </c>
      <c r="F179" s="143">
        <v>45329</v>
      </c>
      <c r="G179" s="143"/>
      <c r="H179" s="142" t="s">
        <v>23</v>
      </c>
      <c r="I179" s="522"/>
      <c r="J179" s="522"/>
      <c r="K179" s="522"/>
      <c r="L179" s="523"/>
      <c r="M179" s="443">
        <f>Таблица4[[#This Row],[Количество хлыстов]]-Таблица4[[#This Row],[Готово, хл]]-Таблица4[[#This Row],[Вывезено, хл]]</f>
        <v>0</v>
      </c>
      <c r="N179" s="444">
        <v>3</v>
      </c>
      <c r="O179" s="142" t="s">
        <v>3490</v>
      </c>
      <c r="P179" s="142"/>
      <c r="Q179" s="142" t="s">
        <v>4586</v>
      </c>
      <c r="R179" s="525">
        <v>163.35</v>
      </c>
      <c r="S179" s="526"/>
      <c r="T179" s="525"/>
      <c r="U179" s="525"/>
      <c r="V179" s="525"/>
      <c r="W179" s="525"/>
      <c r="X179" s="525"/>
      <c r="Y179" s="525"/>
      <c r="Z179" s="525"/>
      <c r="AA179" s="527"/>
    </row>
    <row r="180" spans="1:27" s="339" customFormat="1" ht="17.45" hidden="1" customHeight="1" x14ac:dyDescent="0.25">
      <c r="A180" s="147" t="s">
        <v>4678</v>
      </c>
      <c r="B180" s="521">
        <v>51</v>
      </c>
      <c r="C180" s="521" t="s">
        <v>4753</v>
      </c>
      <c r="D180" s="142" t="s">
        <v>34</v>
      </c>
      <c r="E180" s="142" t="s">
        <v>4467</v>
      </c>
      <c r="F180" s="143">
        <v>45329</v>
      </c>
      <c r="G180" s="143"/>
      <c r="H180" s="142" t="s">
        <v>23</v>
      </c>
      <c r="I180" s="522"/>
      <c r="J180" s="522"/>
      <c r="K180" s="522"/>
      <c r="L180" s="523"/>
      <c r="M180" s="443">
        <f>Таблица4[[#This Row],[Количество хлыстов]]-Таблица4[[#This Row],[Готово, хл]]-Таблица4[[#This Row],[Вывезено, хл]]</f>
        <v>0</v>
      </c>
      <c r="N180" s="444">
        <v>2</v>
      </c>
      <c r="O180" s="142" t="s">
        <v>4848</v>
      </c>
      <c r="P180" s="142"/>
      <c r="Q180" s="142" t="s">
        <v>3866</v>
      </c>
      <c r="R180" s="525">
        <v>145.19999999999999</v>
      </c>
      <c r="S180" s="526"/>
      <c r="T180" s="525"/>
      <c r="U180" s="525"/>
      <c r="V180" s="525"/>
      <c r="W180" s="525"/>
      <c r="X180" s="525"/>
      <c r="Y180" s="525"/>
      <c r="Z180" s="525"/>
      <c r="AA180" s="527"/>
    </row>
    <row r="181" spans="1:27" s="339" customFormat="1" ht="17.45" hidden="1" customHeight="1" x14ac:dyDescent="0.25">
      <c r="A181" s="147" t="s">
        <v>4678</v>
      </c>
      <c r="B181" s="521">
        <v>51</v>
      </c>
      <c r="C181" s="521" t="s">
        <v>4753</v>
      </c>
      <c r="D181" s="142" t="s">
        <v>34</v>
      </c>
      <c r="E181" s="142" t="s">
        <v>4467</v>
      </c>
      <c r="F181" s="143">
        <v>45329</v>
      </c>
      <c r="G181" s="143"/>
      <c r="H181" s="142" t="s">
        <v>23</v>
      </c>
      <c r="I181" s="522"/>
      <c r="J181" s="522"/>
      <c r="K181" s="522"/>
      <c r="L181" s="523"/>
      <c r="M181" s="443">
        <f>Таблица4[[#This Row],[Количество хлыстов]]-Таблица4[[#This Row],[Готово, хл]]-Таблица4[[#This Row],[Вывезено, хл]]</f>
        <v>0</v>
      </c>
      <c r="N181" s="444">
        <v>3</v>
      </c>
      <c r="O181" s="142" t="s">
        <v>3490</v>
      </c>
      <c r="P181" s="142"/>
      <c r="Q181" s="142" t="s">
        <v>4053</v>
      </c>
      <c r="R181" s="525">
        <v>399.3</v>
      </c>
      <c r="S181" s="526"/>
      <c r="T181" s="525"/>
      <c r="U181" s="525"/>
      <c r="V181" s="525"/>
      <c r="W181" s="525"/>
      <c r="X181" s="525"/>
      <c r="Y181" s="525"/>
      <c r="Z181" s="525"/>
      <c r="AA181" s="527"/>
    </row>
    <row r="182" spans="1:27" s="339" customFormat="1" ht="17.45" hidden="1" customHeight="1" x14ac:dyDescent="0.25">
      <c r="A182" s="147" t="s">
        <v>4678</v>
      </c>
      <c r="B182" s="521">
        <v>86</v>
      </c>
      <c r="C182" s="521"/>
      <c r="D182" s="142" t="s">
        <v>34</v>
      </c>
      <c r="E182" s="142" t="s">
        <v>328</v>
      </c>
      <c r="F182" s="143">
        <v>45334</v>
      </c>
      <c r="G182" s="143"/>
      <c r="H182" s="142" t="s">
        <v>23</v>
      </c>
      <c r="I182" s="522"/>
      <c r="J182" s="522"/>
      <c r="K182" s="522">
        <v>91</v>
      </c>
      <c r="L182" s="523">
        <f>78+6+19</f>
        <v>103</v>
      </c>
      <c r="M182" s="443">
        <f>Таблица4[[#This Row],[Количество хлыстов]]-Таблица4[[#This Row],[Готово, хл]]-Таблица4[[#This Row],[Вывезено, хл]]</f>
        <v>0</v>
      </c>
      <c r="N182" s="444">
        <f>(Таблица4[[#This Row],[Осталось сделать, хлыст]]*Таблица4[[#This Row],[длина]]*Таблица4[[#This Row],[Периметр]])/28</f>
        <v>0</v>
      </c>
      <c r="O182" s="142" t="s">
        <v>4960</v>
      </c>
      <c r="P182" s="142">
        <v>6</v>
      </c>
      <c r="Q182" s="142" t="s">
        <v>4813</v>
      </c>
      <c r="R182" s="525">
        <v>1164</v>
      </c>
      <c r="S182" s="526">
        <v>194</v>
      </c>
      <c r="T182" s="525">
        <v>0.30919999999999997</v>
      </c>
      <c r="U182" s="525">
        <v>1.101</v>
      </c>
      <c r="V182" s="525">
        <v>359.90879999999999</v>
      </c>
      <c r="W182" s="525">
        <v>1281.5640000000001</v>
      </c>
      <c r="X182" s="525">
        <v>46.79</v>
      </c>
      <c r="Y182" s="525">
        <v>112.86</v>
      </c>
      <c r="Z182" s="525">
        <v>365</v>
      </c>
      <c r="AA182" s="527">
        <v>131366.71</v>
      </c>
    </row>
    <row r="183" spans="1:27" s="339" customFormat="1" ht="17.45" hidden="1" customHeight="1" x14ac:dyDescent="0.25">
      <c r="A183" s="147" t="s">
        <v>4678</v>
      </c>
      <c r="B183" s="521">
        <v>87</v>
      </c>
      <c r="C183" s="521"/>
      <c r="D183" s="142" t="s">
        <v>34</v>
      </c>
      <c r="E183" s="142" t="s">
        <v>3404</v>
      </c>
      <c r="F183" s="143">
        <v>45334</v>
      </c>
      <c r="G183" s="143"/>
      <c r="H183" s="142" t="s">
        <v>23</v>
      </c>
      <c r="I183" s="522"/>
      <c r="J183" s="522"/>
      <c r="K183" s="522">
        <v>443</v>
      </c>
      <c r="L183" s="523"/>
      <c r="M183" s="443">
        <f>Таблица4[[#This Row],[Количество хлыстов]]-Таблица4[[#This Row],[Готово, хл]]-Таблица4[[#This Row],[Вывезено, хл]]</f>
        <v>0</v>
      </c>
      <c r="N183" s="444">
        <f>(Таблица4[[#This Row],[Осталось сделать, хлыст]]*Таблица4[[#This Row],[длина]]*Таблица4[[#This Row],[Периметр]])/30</f>
        <v>0</v>
      </c>
      <c r="O183" s="142"/>
      <c r="P183" s="142">
        <v>6</v>
      </c>
      <c r="Q183" s="142" t="s">
        <v>4582</v>
      </c>
      <c r="R183" s="525">
        <v>2658</v>
      </c>
      <c r="S183" s="526">
        <v>443</v>
      </c>
      <c r="T183" s="525">
        <v>0.10100000000000001</v>
      </c>
      <c r="U183" s="525">
        <v>0.30599999999999999</v>
      </c>
      <c r="V183" s="525">
        <v>268.45800000000003</v>
      </c>
      <c r="W183" s="525">
        <v>813.34799999999996</v>
      </c>
      <c r="X183" s="525">
        <v>34.9</v>
      </c>
      <c r="Y183" s="525">
        <v>31.82</v>
      </c>
      <c r="Z183" s="525">
        <v>315</v>
      </c>
      <c r="AA183" s="527">
        <v>84577.56</v>
      </c>
    </row>
    <row r="184" spans="1:27" s="418" customFormat="1" ht="17.45" hidden="1" customHeight="1" x14ac:dyDescent="0.25">
      <c r="A184" s="507" t="s">
        <v>4978</v>
      </c>
      <c r="B184" s="617">
        <v>88</v>
      </c>
      <c r="C184" s="617"/>
      <c r="D184" s="618" t="s">
        <v>13</v>
      </c>
      <c r="E184" s="618" t="s">
        <v>4725</v>
      </c>
      <c r="F184" s="619">
        <v>45334</v>
      </c>
      <c r="G184" s="619"/>
      <c r="H184" s="618" t="s">
        <v>23</v>
      </c>
      <c r="I184" s="620"/>
      <c r="J184" s="620"/>
      <c r="K184" s="620"/>
      <c r="L184" s="621"/>
      <c r="M184" s="443">
        <f>Таблица4[[#This Row],[Количество хлыстов]]-Таблица4[[#This Row],[Готово, хл]]-Таблица4[[#This Row],[Вывезено, хл]]</f>
        <v>71</v>
      </c>
      <c r="N184" s="513"/>
      <c r="O184" s="618" t="s">
        <v>4728</v>
      </c>
      <c r="P184" s="618">
        <v>6</v>
      </c>
      <c r="Q184" s="618" t="s">
        <v>4834</v>
      </c>
      <c r="R184" s="622">
        <v>426</v>
      </c>
      <c r="S184" s="623">
        <v>71</v>
      </c>
      <c r="T184" s="622">
        <v>0.42199999999999999</v>
      </c>
      <c r="U184" s="622">
        <v>1.389</v>
      </c>
      <c r="V184" s="622">
        <v>179.77199999999999</v>
      </c>
      <c r="W184" s="622">
        <v>591.71400000000006</v>
      </c>
      <c r="X184" s="622">
        <v>23.37</v>
      </c>
      <c r="Y184" s="622">
        <v>92.84</v>
      </c>
      <c r="Z184" s="622">
        <v>220</v>
      </c>
      <c r="AA184" s="624">
        <v>39549.839999999997</v>
      </c>
    </row>
    <row r="185" spans="1:27" s="418" customFormat="1" ht="17.45" hidden="1" customHeight="1" x14ac:dyDescent="0.25">
      <c r="A185" s="507" t="s">
        <v>4978</v>
      </c>
      <c r="B185" s="617">
        <v>91</v>
      </c>
      <c r="C185" s="617"/>
      <c r="D185" s="618" t="s">
        <v>13</v>
      </c>
      <c r="E185" s="618" t="s">
        <v>45</v>
      </c>
      <c r="F185" s="619">
        <v>45335</v>
      </c>
      <c r="G185" s="619"/>
      <c r="H185" s="618" t="s">
        <v>23</v>
      </c>
      <c r="I185" s="620"/>
      <c r="J185" s="620"/>
      <c r="K185" s="620"/>
      <c r="L185" s="621"/>
      <c r="M185" s="443">
        <f>Таблица4[[#This Row],[Количество хлыстов]]-Таблица4[[#This Row],[Готово, хл]]-Таблица4[[#This Row],[Вывезено, хл]]</f>
        <v>8</v>
      </c>
      <c r="N185" s="513"/>
      <c r="O185" s="618" t="s">
        <v>4854</v>
      </c>
      <c r="P185" s="618"/>
      <c r="Q185" s="618" t="s">
        <v>4786</v>
      </c>
      <c r="R185" s="622">
        <v>48</v>
      </c>
      <c r="S185" s="623">
        <v>8</v>
      </c>
      <c r="T185" s="622">
        <v>0.2893</v>
      </c>
      <c r="U185" s="622">
        <v>1.48</v>
      </c>
      <c r="V185" s="622">
        <v>13.8864</v>
      </c>
      <c r="W185" s="622">
        <v>71.040000000000006</v>
      </c>
      <c r="X185" s="622">
        <v>1.81</v>
      </c>
      <c r="Y185" s="622">
        <v>93.75</v>
      </c>
      <c r="Z185" s="622">
        <v>324.06</v>
      </c>
      <c r="AA185" s="624">
        <v>4500</v>
      </c>
    </row>
    <row r="186" spans="1:27" s="339" customFormat="1" ht="17.45" hidden="1" customHeight="1" x14ac:dyDescent="0.25">
      <c r="A186" s="147" t="s">
        <v>4678</v>
      </c>
      <c r="B186" s="625">
        <v>92</v>
      </c>
      <c r="C186" s="625"/>
      <c r="D186" s="162" t="s">
        <v>13</v>
      </c>
      <c r="E186" s="162" t="s">
        <v>45</v>
      </c>
      <c r="F186" s="168">
        <v>45335</v>
      </c>
      <c r="G186" s="143"/>
      <c r="H186" s="142" t="s">
        <v>23</v>
      </c>
      <c r="I186" s="522"/>
      <c r="J186" s="522"/>
      <c r="K186" s="522"/>
      <c r="L186" s="523"/>
      <c r="M186" s="443">
        <f>Таблица4[[#This Row],[Количество хлыстов]]-Таблица4[[#This Row],[Готово, хл]]-Таблица4[[#This Row],[Вывезено, хл]]</f>
        <v>1</v>
      </c>
      <c r="N186" s="444">
        <f>(Таблица4[[#This Row],[Осталось сделать, хлыст]]*Таблица4[[#This Row],[длина]]*Таблица4[[#This Row],[Периметр]])/28</f>
        <v>6.1992857142857141E-2</v>
      </c>
      <c r="O186" s="142" t="s">
        <v>680</v>
      </c>
      <c r="P186" s="142">
        <v>6</v>
      </c>
      <c r="Q186" s="142" t="s">
        <v>4786</v>
      </c>
      <c r="R186" s="525">
        <v>6</v>
      </c>
      <c r="S186" s="526">
        <v>1</v>
      </c>
      <c r="T186" s="525">
        <v>0.2893</v>
      </c>
      <c r="U186" s="525">
        <v>1.48</v>
      </c>
      <c r="V186" s="525">
        <v>1.7358</v>
      </c>
      <c r="W186" s="525">
        <v>8.8800000000000008</v>
      </c>
      <c r="X186" s="525">
        <v>0.23</v>
      </c>
      <c r="Y186" s="525">
        <v>114.27</v>
      </c>
      <c r="Z186" s="525">
        <v>395</v>
      </c>
      <c r="AA186" s="527">
        <v>685.64</v>
      </c>
    </row>
    <row r="187" spans="1:27" s="339" customFormat="1" ht="17.45" hidden="1" customHeight="1" x14ac:dyDescent="0.25">
      <c r="A187" s="147" t="s">
        <v>4678</v>
      </c>
      <c r="B187" s="521">
        <v>93</v>
      </c>
      <c r="C187" s="521"/>
      <c r="D187" s="142" t="s">
        <v>34</v>
      </c>
      <c r="E187" s="142" t="s">
        <v>45</v>
      </c>
      <c r="F187" s="143">
        <v>45335</v>
      </c>
      <c r="G187" s="143"/>
      <c r="H187" s="142" t="s">
        <v>23</v>
      </c>
      <c r="I187" s="522"/>
      <c r="J187" s="522"/>
      <c r="K187" s="522"/>
      <c r="L187" s="523"/>
      <c r="M187" s="443">
        <f>Таблица4[[#This Row],[Количество хлыстов]]-Таблица4[[#This Row],[Готово, хл]]-Таблица4[[#This Row],[Вывезено, хл]]</f>
        <v>55</v>
      </c>
      <c r="N187" s="444">
        <f>(Таблица4[[#This Row],[Осталось сделать, хлыст]]*Таблица4[[#This Row],[длина]]*Таблица4[[#This Row],[Периметр]])/28</f>
        <v>2.1650357142857142</v>
      </c>
      <c r="O187" s="142" t="s">
        <v>4857</v>
      </c>
      <c r="P187" s="142">
        <v>6</v>
      </c>
      <c r="Q187" s="142" t="s">
        <v>4856</v>
      </c>
      <c r="R187" s="525">
        <v>330</v>
      </c>
      <c r="S187" s="526">
        <v>55</v>
      </c>
      <c r="T187" s="525">
        <v>0.1837</v>
      </c>
      <c r="U187" s="525">
        <v>0.83599999999999997</v>
      </c>
      <c r="V187" s="525">
        <v>60.621000000000002</v>
      </c>
      <c r="W187" s="525">
        <v>275.88</v>
      </c>
      <c r="X187" s="525">
        <v>7.88</v>
      </c>
      <c r="Y187" s="525">
        <v>79.91</v>
      </c>
      <c r="Z187" s="525">
        <v>435</v>
      </c>
      <c r="AA187" s="527">
        <v>26370.3</v>
      </c>
    </row>
    <row r="188" spans="1:27" s="339" customFormat="1" ht="17.45" hidden="1" customHeight="1" x14ac:dyDescent="0.25">
      <c r="A188" s="147" t="s">
        <v>4678</v>
      </c>
      <c r="B188" s="521">
        <v>63</v>
      </c>
      <c r="C188" s="521" t="s">
        <v>4753</v>
      </c>
      <c r="D188" s="142" t="s">
        <v>34</v>
      </c>
      <c r="E188" s="142" t="s">
        <v>5169</v>
      </c>
      <c r="F188" s="143">
        <v>45331</v>
      </c>
      <c r="G188" s="143"/>
      <c r="H188" s="142" t="s">
        <v>23</v>
      </c>
      <c r="I188" s="522"/>
      <c r="J188" s="522"/>
      <c r="K188" s="522"/>
      <c r="L188" s="523"/>
      <c r="M188" s="443">
        <f>Таблица4[[#This Row],[Количество хлыстов]]-Таблица4[[#This Row],[Готово, хл]]-Таблица4[[#This Row],[Вывезено, хл]]</f>
        <v>60</v>
      </c>
      <c r="N188" s="444">
        <f>(Таблица4[[#This Row],[Осталось сделать, хлыст]]*Таблица4[[#This Row],[длина]]*Таблица4[[#This Row],[Периметр]])/28</f>
        <v>1.7755714285714286</v>
      </c>
      <c r="O188" s="142"/>
      <c r="P188" s="142">
        <v>6</v>
      </c>
      <c r="Q188" s="142" t="s">
        <v>4862</v>
      </c>
      <c r="R188" s="525">
        <v>360</v>
      </c>
      <c r="S188" s="526">
        <v>60</v>
      </c>
      <c r="T188" s="525">
        <v>0.1381</v>
      </c>
      <c r="U188" s="525"/>
      <c r="V188" s="525">
        <v>49</v>
      </c>
      <c r="W188" s="525"/>
      <c r="X188" s="525"/>
      <c r="Y188" s="525"/>
      <c r="Z188" s="525"/>
      <c r="AA188" s="527">
        <v>49280</v>
      </c>
    </row>
    <row r="189" spans="1:27" s="339" customFormat="1" ht="17.45" hidden="1" customHeight="1" x14ac:dyDescent="0.25">
      <c r="A189" s="147" t="s">
        <v>4678</v>
      </c>
      <c r="B189" s="521">
        <v>97</v>
      </c>
      <c r="C189" s="625"/>
      <c r="D189" s="162" t="s">
        <v>13</v>
      </c>
      <c r="E189" s="162" t="s">
        <v>4247</v>
      </c>
      <c r="F189" s="168">
        <v>45337</v>
      </c>
      <c r="G189" s="143"/>
      <c r="H189" s="142" t="s">
        <v>23</v>
      </c>
      <c r="I189" s="522"/>
      <c r="J189" s="522"/>
      <c r="K189" s="522">
        <v>120</v>
      </c>
      <c r="L189" s="523"/>
      <c r="M189" s="443">
        <f>Таблица4[[#This Row],[Количество хлыстов]]-Таблица4[[#This Row],[Готово, хл]]-Таблица4[[#This Row],[Вывезено, хл]]</f>
        <v>0</v>
      </c>
      <c r="N189" s="444">
        <f>(Таблица4[[#This Row],[Осталось сделать, хлыст]]*Таблица4[[#This Row],[длина]]*Таблица4[[#This Row],[Периметр]])/28</f>
        <v>0</v>
      </c>
      <c r="O189" s="142"/>
      <c r="P189" s="142">
        <v>3.2</v>
      </c>
      <c r="Q189" s="142" t="s">
        <v>4459</v>
      </c>
      <c r="R189" s="525">
        <v>384</v>
      </c>
      <c r="S189" s="526">
        <v>120</v>
      </c>
      <c r="T189" s="525">
        <v>0.31</v>
      </c>
      <c r="U189" s="525">
        <v>1.2010000000000001</v>
      </c>
      <c r="V189" s="525">
        <v>119.04</v>
      </c>
      <c r="W189" s="525">
        <v>461.18400000000003</v>
      </c>
      <c r="X189" s="525">
        <v>15.48</v>
      </c>
      <c r="Y189" s="525">
        <v>125.55</v>
      </c>
      <c r="Z189" s="525">
        <v>405</v>
      </c>
      <c r="AA189" s="527">
        <v>48211.199999999997</v>
      </c>
    </row>
    <row r="190" spans="1:27" s="420" customFormat="1" ht="17.45" hidden="1" customHeight="1" x14ac:dyDescent="0.25">
      <c r="A190" s="171" t="s">
        <v>4678</v>
      </c>
      <c r="B190" s="625">
        <v>97</v>
      </c>
      <c r="C190" s="625"/>
      <c r="D190" s="162" t="s">
        <v>13</v>
      </c>
      <c r="E190" s="162" t="s">
        <v>4637</v>
      </c>
      <c r="F190" s="168">
        <v>45337</v>
      </c>
      <c r="G190" s="600">
        <v>45384</v>
      </c>
      <c r="H190" s="162" t="s">
        <v>23</v>
      </c>
      <c r="I190" s="587"/>
      <c r="J190" s="587"/>
      <c r="K190" s="587"/>
      <c r="L190" s="588">
        <v>26</v>
      </c>
      <c r="M190" s="443">
        <f>Таблица4[[#This Row],[Количество хлыстов]]-Таблица4[[#This Row],[Готово, хл]]-Таблица4[[#This Row],[Вывезено, хл]]</f>
        <v>0</v>
      </c>
      <c r="N190" s="486">
        <f>(Таблица4[[#This Row],[Осталось сделать, хлыст]]*Таблица4[[#This Row],[длина]]*Таблица4[[#This Row],[Периметр]])/28</f>
        <v>0</v>
      </c>
      <c r="O190" s="162"/>
      <c r="P190" s="162">
        <v>6</v>
      </c>
      <c r="Q190" s="162" t="s">
        <v>4863</v>
      </c>
      <c r="R190" s="479">
        <v>156</v>
      </c>
      <c r="S190" s="480">
        <v>26</v>
      </c>
      <c r="T190" s="479">
        <v>0.59919999999999995</v>
      </c>
      <c r="U190" s="479">
        <v>2.5859999999999999</v>
      </c>
      <c r="V190" s="479">
        <v>93.475200000000001</v>
      </c>
      <c r="W190" s="479">
        <v>403.416</v>
      </c>
      <c r="X190" s="479">
        <v>12.15</v>
      </c>
      <c r="Y190" s="479">
        <v>242.68</v>
      </c>
      <c r="Z190" s="479">
        <v>405</v>
      </c>
      <c r="AA190" s="481">
        <v>37857.46</v>
      </c>
    </row>
    <row r="191" spans="1:27" s="420" customFormat="1" ht="17.45" hidden="1" customHeight="1" x14ac:dyDescent="0.25">
      <c r="A191" s="499" t="s">
        <v>4939</v>
      </c>
      <c r="B191" s="467">
        <v>85</v>
      </c>
      <c r="C191" s="467"/>
      <c r="D191" s="468" t="s">
        <v>13</v>
      </c>
      <c r="E191" s="468" t="s">
        <v>4734</v>
      </c>
      <c r="F191" s="469">
        <v>45331</v>
      </c>
      <c r="G191" s="469">
        <v>45390</v>
      </c>
      <c r="H191" s="468" t="s">
        <v>23</v>
      </c>
      <c r="I191" s="476"/>
      <c r="J191" s="476"/>
      <c r="K191" s="476">
        <v>5</v>
      </c>
      <c r="L191" s="476">
        <v>131</v>
      </c>
      <c r="M191" s="501">
        <f>Таблица4[[#This Row],[Количество хлыстов]]-Таблица4[[#This Row],[Готово, хл]]-Таблица4[[#This Row],[Вывезено, хл]]</f>
        <v>0</v>
      </c>
      <c r="N191" s="478">
        <f>Таблица4[[#This Row],[Площадь общая, м2]]/28</f>
        <v>8.6729142857142865</v>
      </c>
      <c r="O191" s="237"/>
      <c r="P191" s="470">
        <v>6</v>
      </c>
      <c r="Q191" s="237" t="s">
        <v>4567</v>
      </c>
      <c r="R191" s="470">
        <v>816</v>
      </c>
      <c r="S191" s="471">
        <v>136</v>
      </c>
      <c r="T191" s="470">
        <v>0.29759999999999998</v>
      </c>
      <c r="U191" s="470">
        <v>0.67600000000000005</v>
      </c>
      <c r="V191" s="470">
        <v>242.8416</v>
      </c>
      <c r="W191" s="470">
        <v>551.61599999999999</v>
      </c>
      <c r="X191" s="470">
        <v>31.57</v>
      </c>
      <c r="Y191" s="470">
        <v>108.62</v>
      </c>
      <c r="Z191" s="470">
        <v>365</v>
      </c>
      <c r="AA191" s="472">
        <v>88633.919999999998</v>
      </c>
    </row>
    <row r="192" spans="1:27" s="420" customFormat="1" ht="17.45" hidden="1" customHeight="1" x14ac:dyDescent="0.25">
      <c r="A192" s="171" t="s">
        <v>4939</v>
      </c>
      <c r="B192" s="625">
        <v>98</v>
      </c>
      <c r="C192" s="625"/>
      <c r="D192" s="162" t="s">
        <v>13</v>
      </c>
      <c r="E192" s="162" t="s">
        <v>4971</v>
      </c>
      <c r="F192" s="168">
        <v>45337</v>
      </c>
      <c r="G192" s="168">
        <v>45390</v>
      </c>
      <c r="H192" s="162" t="s">
        <v>23</v>
      </c>
      <c r="I192" s="587"/>
      <c r="J192" s="587"/>
      <c r="K192" s="587"/>
      <c r="L192" s="588">
        <v>62</v>
      </c>
      <c r="M192" s="477">
        <f>Таблица4[[#This Row],[Количество хлыстов]]-Таблица4[[#This Row],[Готово, хл]]-Таблица4[[#This Row],[Вывезено, хл]]</f>
        <v>1</v>
      </c>
      <c r="N192" s="478">
        <f>(Таблица4[[#This Row],[Осталось сделать, хлыст]]*Таблица4[[#This Row],[длина]]*Таблица4[[#This Row],[Периметр]])/28</f>
        <v>7.2128571428571431E-2</v>
      </c>
      <c r="O192" s="162"/>
      <c r="P192" s="162">
        <v>6</v>
      </c>
      <c r="Q192" s="162" t="s">
        <v>4748</v>
      </c>
      <c r="R192" s="479">
        <v>378</v>
      </c>
      <c r="S192" s="480">
        <v>63</v>
      </c>
      <c r="T192" s="479">
        <v>0.33660000000000001</v>
      </c>
      <c r="U192" s="479">
        <v>1.2350000000000001</v>
      </c>
      <c r="V192" s="479">
        <v>127.23480000000001</v>
      </c>
      <c r="W192" s="479">
        <v>466.83</v>
      </c>
      <c r="X192" s="479">
        <v>16.54</v>
      </c>
      <c r="Y192" s="479">
        <v>102.66</v>
      </c>
      <c r="Z192" s="479">
        <v>305</v>
      </c>
      <c r="AA192" s="481">
        <v>38806.61</v>
      </c>
    </row>
    <row r="193" spans="1:27" s="420" customFormat="1" ht="17.45" hidden="1" customHeight="1" x14ac:dyDescent="0.25">
      <c r="A193" s="171" t="s">
        <v>4939</v>
      </c>
      <c r="B193" s="625">
        <v>98</v>
      </c>
      <c r="C193" s="625"/>
      <c r="D193" s="162" t="s">
        <v>13</v>
      </c>
      <c r="E193" s="162" t="s">
        <v>4725</v>
      </c>
      <c r="F193" s="168">
        <v>45337</v>
      </c>
      <c r="G193" s="168">
        <v>45390</v>
      </c>
      <c r="H193" s="162" t="s">
        <v>23</v>
      </c>
      <c r="I193" s="587"/>
      <c r="J193" s="587"/>
      <c r="K193" s="587"/>
      <c r="L193" s="588">
        <v>38</v>
      </c>
      <c r="M193" s="501">
        <f>Таблица4[[#This Row],[Количество хлыстов]]-Таблица4[[#This Row],[Готово, хл]]-Таблица4[[#This Row],[Вывезено, хл]]</f>
        <v>0</v>
      </c>
      <c r="N193" s="478">
        <f>(Таблица4[[#This Row],[Осталось сделать, хлыст]]*Таблица4[[#This Row],[длина]]*Таблица4[[#This Row],[Периметр]])/28</f>
        <v>0</v>
      </c>
      <c r="O193" s="162"/>
      <c r="P193" s="162">
        <v>6</v>
      </c>
      <c r="Q193" s="162" t="s">
        <v>4863</v>
      </c>
      <c r="R193" s="479">
        <v>228</v>
      </c>
      <c r="S193" s="480">
        <v>38</v>
      </c>
      <c r="T193" s="479">
        <v>0.59919999999999995</v>
      </c>
      <c r="U193" s="479">
        <v>2.5859999999999999</v>
      </c>
      <c r="V193" s="479">
        <v>136.61760000000001</v>
      </c>
      <c r="W193" s="479">
        <v>589.60799999999995</v>
      </c>
      <c r="X193" s="479">
        <v>17.760000000000002</v>
      </c>
      <c r="Y193" s="479">
        <v>182.76</v>
      </c>
      <c r="Z193" s="479">
        <v>305</v>
      </c>
      <c r="AA193" s="481">
        <v>41668.370000000003</v>
      </c>
    </row>
    <row r="194" spans="1:27" s="420" customFormat="1" ht="17.45" hidden="1" customHeight="1" x14ac:dyDescent="0.25">
      <c r="A194" s="171" t="s">
        <v>4939</v>
      </c>
      <c r="B194" s="625">
        <v>99</v>
      </c>
      <c r="C194" s="625"/>
      <c r="D194" s="162" t="s">
        <v>13</v>
      </c>
      <c r="E194" s="162" t="s">
        <v>32</v>
      </c>
      <c r="F194" s="168">
        <v>45337</v>
      </c>
      <c r="G194" s="168">
        <v>45390</v>
      </c>
      <c r="H194" s="162" t="s">
        <v>23</v>
      </c>
      <c r="I194" s="587"/>
      <c r="J194" s="587"/>
      <c r="K194" s="587"/>
      <c r="L194" s="588">
        <v>40</v>
      </c>
      <c r="M194" s="501">
        <f>Таблица4[[#This Row],[Количество хлыстов]]-Таблица4[[#This Row],[Готово, хл]]-Таблица4[[#This Row],[Вывезено, хл]]</f>
        <v>0</v>
      </c>
      <c r="N194" s="478">
        <f>(Таблица4[[#This Row],[Осталось сделать, хлыст]]*Таблица4[[#This Row],[длина]]*Таблица4[[#This Row],[Периметр]])/28</f>
        <v>0</v>
      </c>
      <c r="O194" s="162" t="s">
        <v>4997</v>
      </c>
      <c r="P194" s="162">
        <v>5.05</v>
      </c>
      <c r="Q194" s="162" t="s">
        <v>5028</v>
      </c>
      <c r="R194" s="479">
        <v>202</v>
      </c>
      <c r="S194" s="480">
        <v>40</v>
      </c>
      <c r="T194" s="479">
        <v>0.2651</v>
      </c>
      <c r="U194" s="479">
        <v>0.82099999999999995</v>
      </c>
      <c r="V194" s="479">
        <v>53.550199999999997</v>
      </c>
      <c r="W194" s="479">
        <v>165.84200000000001</v>
      </c>
      <c r="X194" s="479">
        <v>6.96</v>
      </c>
      <c r="Y194" s="479">
        <v>160.38999999999999</v>
      </c>
      <c r="Z194" s="479">
        <v>605</v>
      </c>
      <c r="AA194" s="481">
        <v>32397.87</v>
      </c>
    </row>
    <row r="195" spans="1:27" s="420" customFormat="1" ht="17.45" hidden="1" customHeight="1" x14ac:dyDescent="0.25">
      <c r="A195" s="171" t="s">
        <v>4939</v>
      </c>
      <c r="B195" s="625">
        <v>99</v>
      </c>
      <c r="C195" s="625"/>
      <c r="D195" s="162" t="s">
        <v>13</v>
      </c>
      <c r="E195" s="162" t="s">
        <v>32</v>
      </c>
      <c r="F195" s="168">
        <v>45337</v>
      </c>
      <c r="G195" s="168">
        <v>45390</v>
      </c>
      <c r="H195" s="162" t="s">
        <v>23</v>
      </c>
      <c r="I195" s="587"/>
      <c r="J195" s="587"/>
      <c r="K195" s="587"/>
      <c r="L195" s="588">
        <v>79</v>
      </c>
      <c r="M195" s="477">
        <f>Таблица4[[#This Row],[Количество хлыстов]]-Таблица4[[#This Row],[Готово, хл]]-Таблица4[[#This Row],[Вывезено, хл]]</f>
        <v>1</v>
      </c>
      <c r="N195" s="478">
        <f>(Таблица4[[#This Row],[Осталось сделать, хлыст]]*Таблица4[[#This Row],[длина]]*Таблица4[[#This Row],[Периметр]])/28</f>
        <v>1.6559285714285714E-2</v>
      </c>
      <c r="O195" s="162" t="s">
        <v>4997</v>
      </c>
      <c r="P195" s="162">
        <v>4.8499999999999996</v>
      </c>
      <c r="Q195" s="162" t="s">
        <v>5027</v>
      </c>
      <c r="R195" s="479">
        <v>388</v>
      </c>
      <c r="S195" s="480">
        <v>80</v>
      </c>
      <c r="T195" s="479">
        <v>9.5600000000000004E-2</v>
      </c>
      <c r="U195" s="479">
        <v>0.16</v>
      </c>
      <c r="V195" s="479">
        <v>37.092799999999997</v>
      </c>
      <c r="W195" s="479">
        <v>62.08</v>
      </c>
      <c r="X195" s="479">
        <v>4.82</v>
      </c>
      <c r="Y195" s="479">
        <v>57.84</v>
      </c>
      <c r="Z195" s="479">
        <v>605</v>
      </c>
      <c r="AA195" s="481">
        <v>22441.14</v>
      </c>
    </row>
    <row r="196" spans="1:27" s="415" customFormat="1" ht="17.45" hidden="1" customHeight="1" x14ac:dyDescent="0.25">
      <c r="A196" s="147" t="s">
        <v>4678</v>
      </c>
      <c r="B196" s="521">
        <v>94</v>
      </c>
      <c r="C196" s="521" t="s">
        <v>4753</v>
      </c>
      <c r="D196" s="142" t="s">
        <v>13</v>
      </c>
      <c r="E196" s="142" t="s">
        <v>27</v>
      </c>
      <c r="F196" s="143">
        <v>45337</v>
      </c>
      <c r="G196" s="594">
        <v>45386</v>
      </c>
      <c r="H196" s="142" t="s">
        <v>23</v>
      </c>
      <c r="I196" s="522"/>
      <c r="J196" s="522"/>
      <c r="K196" s="522"/>
      <c r="L196" s="523">
        <f>210+178</f>
        <v>388</v>
      </c>
      <c r="M196" s="443">
        <f>Таблица4[[#This Row],[Количество хлыстов]]-Таблица4[[#This Row],[Готово, хл]]-Таблица4[[#This Row],[Вывезено, хл]]</f>
        <v>100</v>
      </c>
      <c r="N196" s="626">
        <f>Таблица4[[#This Row],[Площадь общая, м2]]/28</f>
        <v>9.4550000000000001</v>
      </c>
      <c r="O196" s="142" t="s">
        <v>4999</v>
      </c>
      <c r="P196" s="145">
        <v>3.1</v>
      </c>
      <c r="Q196" s="142" t="s">
        <v>4865</v>
      </c>
      <c r="R196" s="525">
        <v>1512.8</v>
      </c>
      <c r="S196" s="526">
        <v>488</v>
      </c>
      <c r="T196" s="525">
        <v>0.17499999999999999</v>
      </c>
      <c r="U196" s="525">
        <v>0.33200000000000002</v>
      </c>
      <c r="V196" s="525">
        <v>264.74</v>
      </c>
      <c r="W196" s="525">
        <v>502.24959999999999</v>
      </c>
      <c r="X196" s="525">
        <v>34.42</v>
      </c>
      <c r="Y196" s="525">
        <v>152.43</v>
      </c>
      <c r="Z196" s="525">
        <v>871</v>
      </c>
      <c r="AA196" s="527">
        <v>230588.54</v>
      </c>
    </row>
    <row r="197" spans="1:27" s="420" customFormat="1" ht="17.45" hidden="1" customHeight="1" x14ac:dyDescent="0.25">
      <c r="A197" s="171" t="s">
        <v>4678</v>
      </c>
      <c r="B197" s="625">
        <v>95</v>
      </c>
      <c r="C197" s="625" t="s">
        <v>4753</v>
      </c>
      <c r="D197" s="162" t="s">
        <v>13</v>
      </c>
      <c r="E197" s="162" t="s">
        <v>37</v>
      </c>
      <c r="F197" s="168">
        <v>45337</v>
      </c>
      <c r="G197" s="600">
        <v>45392</v>
      </c>
      <c r="H197" s="162" t="s">
        <v>23</v>
      </c>
      <c r="I197" s="587"/>
      <c r="J197" s="587"/>
      <c r="K197" s="587"/>
      <c r="L197" s="588">
        <v>466</v>
      </c>
      <c r="M197" s="501">
        <f>Таблица4[[#This Row],[Количество хлыстов]]-Таблица4[[#This Row],[Готово, хл]]-Таблица4[[#This Row],[Вывезено, хл]]</f>
        <v>2</v>
      </c>
      <c r="N197" s="478">
        <f>(Таблица4[[#This Row],[Осталось сделать, хлыст]]*Таблица4[[#This Row],[длина]]*Таблица4[[#This Row],[Периметр]])/28</f>
        <v>3.5785714285714289E-2</v>
      </c>
      <c r="O197" s="162" t="s">
        <v>4809</v>
      </c>
      <c r="P197" s="162">
        <v>3</v>
      </c>
      <c r="Q197" s="162" t="s">
        <v>4864</v>
      </c>
      <c r="R197" s="479">
        <v>1404</v>
      </c>
      <c r="S197" s="480">
        <v>468</v>
      </c>
      <c r="T197" s="479">
        <v>0.16700000000000001</v>
      </c>
      <c r="U197" s="479">
        <v>0.40600000000000003</v>
      </c>
      <c r="V197" s="479">
        <v>234.46799999999999</v>
      </c>
      <c r="W197" s="479">
        <v>570.024</v>
      </c>
      <c r="X197" s="479">
        <v>30.48</v>
      </c>
      <c r="Y197" s="479">
        <v>65.13</v>
      </c>
      <c r="Z197" s="479">
        <v>390</v>
      </c>
      <c r="AA197" s="481">
        <v>91442.52</v>
      </c>
    </row>
    <row r="198" spans="1:27" s="339" customFormat="1" ht="17.45" hidden="1" customHeight="1" x14ac:dyDescent="0.25">
      <c r="A198" s="147" t="s">
        <v>4678</v>
      </c>
      <c r="B198" s="625">
        <v>102</v>
      </c>
      <c r="C198" s="625" t="s">
        <v>4753</v>
      </c>
      <c r="D198" s="162" t="s">
        <v>13</v>
      </c>
      <c r="E198" s="162" t="s">
        <v>3762</v>
      </c>
      <c r="F198" s="168">
        <v>45337</v>
      </c>
      <c r="G198" s="594"/>
      <c r="H198" s="142" t="s">
        <v>23</v>
      </c>
      <c r="I198" s="522"/>
      <c r="J198" s="522"/>
      <c r="K198" s="522"/>
      <c r="L198" s="522">
        <v>900</v>
      </c>
      <c r="M198" s="443">
        <f>Таблица4[[#This Row],[Количество хлыстов]]-Таблица4[[#This Row],[Готово, хл]]-Таблица4[[#This Row],[Вывезено, хл]]</f>
        <v>0</v>
      </c>
      <c r="N198" s="444">
        <v>6</v>
      </c>
      <c r="O198" s="142"/>
      <c r="P198" s="142"/>
      <c r="Q198" s="142" t="s">
        <v>4866</v>
      </c>
      <c r="R198" s="525"/>
      <c r="S198" s="526">
        <v>900</v>
      </c>
      <c r="T198" s="525">
        <v>7.0000000000000007E-2</v>
      </c>
      <c r="U198" s="525">
        <v>0.11</v>
      </c>
      <c r="V198" s="525">
        <v>63</v>
      </c>
      <c r="W198" s="525">
        <v>99</v>
      </c>
      <c r="X198" s="525">
        <v>8.19</v>
      </c>
      <c r="Y198" s="525">
        <v>40.46</v>
      </c>
      <c r="Z198" s="525">
        <v>578.03</v>
      </c>
      <c r="AA198" s="527">
        <v>36416</v>
      </c>
    </row>
    <row r="199" spans="1:27" s="339" customFormat="1" ht="17.45" hidden="1" customHeight="1" x14ac:dyDescent="0.25">
      <c r="A199" s="147" t="s">
        <v>4678</v>
      </c>
      <c r="B199" s="625">
        <v>103</v>
      </c>
      <c r="C199" s="625" t="s">
        <v>4753</v>
      </c>
      <c r="D199" s="162" t="s">
        <v>13</v>
      </c>
      <c r="E199" s="162" t="s">
        <v>3762</v>
      </c>
      <c r="F199" s="168">
        <v>45337</v>
      </c>
      <c r="G199" s="594"/>
      <c r="H199" s="142" t="s">
        <v>23</v>
      </c>
      <c r="I199" s="522"/>
      <c r="J199" s="522"/>
      <c r="K199" s="522"/>
      <c r="L199" s="522">
        <v>100</v>
      </c>
      <c r="M199" s="443">
        <f>Таблица4[[#This Row],[Количество хлыстов]]-Таблица4[[#This Row],[Готово, хл]]-Таблица4[[#This Row],[Вывезено, хл]]</f>
        <v>0</v>
      </c>
      <c r="N199" s="444">
        <v>1</v>
      </c>
      <c r="O199" s="142"/>
      <c r="P199" s="142"/>
      <c r="Q199" s="142" t="s">
        <v>4867</v>
      </c>
      <c r="R199" s="525"/>
      <c r="S199" s="526">
        <v>100</v>
      </c>
      <c r="T199" s="525">
        <v>0.05</v>
      </c>
      <c r="U199" s="525">
        <v>0.19</v>
      </c>
      <c r="V199" s="525">
        <v>5</v>
      </c>
      <c r="W199" s="525">
        <v>19</v>
      </c>
      <c r="X199" s="525">
        <v>0.65</v>
      </c>
      <c r="Y199" s="525">
        <v>50.75</v>
      </c>
      <c r="Z199" s="525">
        <v>1015</v>
      </c>
      <c r="AA199" s="527">
        <v>5075</v>
      </c>
    </row>
    <row r="200" spans="1:27" s="339" customFormat="1" ht="17.45" hidden="1" customHeight="1" x14ac:dyDescent="0.25">
      <c r="A200" s="147" t="s">
        <v>4678</v>
      </c>
      <c r="B200" s="521">
        <v>103</v>
      </c>
      <c r="C200" s="521" t="s">
        <v>4753</v>
      </c>
      <c r="D200" s="142" t="s">
        <v>13</v>
      </c>
      <c r="E200" s="142" t="s">
        <v>3762</v>
      </c>
      <c r="F200" s="143">
        <v>45337</v>
      </c>
      <c r="G200" s="594" t="s">
        <v>4972</v>
      </c>
      <c r="H200" s="142" t="s">
        <v>23</v>
      </c>
      <c r="I200" s="522"/>
      <c r="J200" s="522"/>
      <c r="K200" s="522"/>
      <c r="L200" s="522"/>
      <c r="M200" s="443">
        <f>Таблица4[[#This Row],[Количество хлыстов]]-Таблица4[[#This Row],[Готово, хл]]-Таблица4[[#This Row],[Вывезено, хл]]</f>
        <v>249</v>
      </c>
      <c r="N200" s="444">
        <v>1</v>
      </c>
      <c r="O200" s="142"/>
      <c r="P200" s="142"/>
      <c r="Q200" s="142" t="s">
        <v>4868</v>
      </c>
      <c r="R200" s="525"/>
      <c r="S200" s="526">
        <v>249</v>
      </c>
      <c r="T200" s="525">
        <v>8.7999999999999995E-2</v>
      </c>
      <c r="U200" s="525">
        <v>0.15</v>
      </c>
      <c r="V200" s="525">
        <v>21.911999999999999</v>
      </c>
      <c r="W200" s="525">
        <v>37.35</v>
      </c>
      <c r="X200" s="525">
        <v>2.85</v>
      </c>
      <c r="Y200" s="525">
        <v>74.37</v>
      </c>
      <c r="Z200" s="525">
        <v>845.11</v>
      </c>
      <c r="AA200" s="527">
        <v>18518</v>
      </c>
    </row>
    <row r="201" spans="1:27" s="339" customFormat="1" ht="17.45" hidden="1" customHeight="1" x14ac:dyDescent="0.25">
      <c r="A201" s="147" t="s">
        <v>4678</v>
      </c>
      <c r="B201" s="521">
        <v>104</v>
      </c>
      <c r="C201" s="521" t="s">
        <v>4753</v>
      </c>
      <c r="D201" s="142" t="s">
        <v>13</v>
      </c>
      <c r="E201" s="142" t="s">
        <v>289</v>
      </c>
      <c r="F201" s="143">
        <v>45341</v>
      </c>
      <c r="G201" s="594">
        <v>45384</v>
      </c>
      <c r="H201" s="142" t="s">
        <v>23</v>
      </c>
      <c r="I201" s="522"/>
      <c r="J201" s="522"/>
      <c r="K201" s="522">
        <v>34</v>
      </c>
      <c r="L201" s="627"/>
      <c r="M201" s="578"/>
      <c r="N201" s="564">
        <v>2</v>
      </c>
      <c r="O201" s="142"/>
      <c r="P201" s="145"/>
      <c r="Q201" s="142" t="s">
        <v>4903</v>
      </c>
      <c r="R201" s="525">
        <v>34</v>
      </c>
      <c r="S201" s="526">
        <v>34</v>
      </c>
      <c r="T201" s="525">
        <v>0.55000000000000004</v>
      </c>
      <c r="U201" s="525">
        <v>2.5499999999999998</v>
      </c>
      <c r="V201" s="525">
        <v>18.7</v>
      </c>
      <c r="W201" s="525">
        <v>86.7</v>
      </c>
      <c r="X201" s="525">
        <v>2.4300000000000002</v>
      </c>
      <c r="Y201" s="525"/>
      <c r="Z201" s="525"/>
      <c r="AA201" s="527"/>
    </row>
    <row r="202" spans="1:27" s="339" customFormat="1" ht="17.45" hidden="1" customHeight="1" x14ac:dyDescent="0.25">
      <c r="A202" s="147" t="s">
        <v>4678</v>
      </c>
      <c r="B202" s="521">
        <v>104</v>
      </c>
      <c r="C202" s="521" t="s">
        <v>4753</v>
      </c>
      <c r="D202" s="142" t="s">
        <v>13</v>
      </c>
      <c r="E202" s="142" t="s">
        <v>289</v>
      </c>
      <c r="F202" s="143">
        <v>45341</v>
      </c>
      <c r="G202" s="594">
        <v>45384</v>
      </c>
      <c r="H202" s="142" t="s">
        <v>23</v>
      </c>
      <c r="I202" s="522"/>
      <c r="J202" s="522"/>
      <c r="K202" s="522">
        <v>14</v>
      </c>
      <c r="L202" s="627"/>
      <c r="M202" s="578"/>
      <c r="N202" s="564">
        <v>1</v>
      </c>
      <c r="O202" s="142"/>
      <c r="P202" s="145"/>
      <c r="Q202" s="142" t="s">
        <v>4904</v>
      </c>
      <c r="R202" s="525">
        <v>14</v>
      </c>
      <c r="S202" s="526">
        <v>14</v>
      </c>
      <c r="T202" s="525">
        <v>0.35</v>
      </c>
      <c r="U202" s="525">
        <v>1.7</v>
      </c>
      <c r="V202" s="525">
        <v>4.9000000000000004</v>
      </c>
      <c r="W202" s="525">
        <v>23.8</v>
      </c>
      <c r="X202" s="525">
        <v>0.64</v>
      </c>
      <c r="Y202" s="525"/>
      <c r="Z202" s="525"/>
      <c r="AA202" s="527"/>
    </row>
    <row r="203" spans="1:27" s="430" customFormat="1" ht="17.25" hidden="1" customHeight="1" x14ac:dyDescent="0.25">
      <c r="A203" s="547" t="s">
        <v>4978</v>
      </c>
      <c r="B203" s="609">
        <v>90</v>
      </c>
      <c r="C203" s="609"/>
      <c r="D203" s="610" t="s">
        <v>13</v>
      </c>
      <c r="E203" s="628" t="s">
        <v>32</v>
      </c>
      <c r="F203" s="611">
        <v>45342</v>
      </c>
      <c r="G203" s="629"/>
      <c r="H203" s="628" t="s">
        <v>23</v>
      </c>
      <c r="I203" s="630"/>
      <c r="J203" s="630"/>
      <c r="K203" s="630"/>
      <c r="L203" s="630"/>
      <c r="M203" s="553">
        <f>Таблица4[[#This Row],[Количество хлыстов]]-Таблица4[[#This Row],[Готово, хл]]-Таблица4[[#This Row],[Вывезено, хл]]</f>
        <v>259</v>
      </c>
      <c r="N203" s="554" t="s">
        <v>4934</v>
      </c>
      <c r="O203" s="628" t="s">
        <v>4731</v>
      </c>
      <c r="P203" s="628">
        <v>4.45</v>
      </c>
      <c r="Q203" s="628" t="s">
        <v>4772</v>
      </c>
      <c r="R203" s="631">
        <v>1152.55</v>
      </c>
      <c r="S203" s="632">
        <v>259</v>
      </c>
      <c r="T203" s="631">
        <v>0.2651</v>
      </c>
      <c r="U203" s="631">
        <v>0.82099999999999995</v>
      </c>
      <c r="V203" s="631">
        <v>305.541</v>
      </c>
      <c r="W203" s="631">
        <v>946.24360000000001</v>
      </c>
      <c r="X203" s="631">
        <v>39.72</v>
      </c>
      <c r="Y203" s="631">
        <v>83.51</v>
      </c>
      <c r="Z203" s="631">
        <v>315</v>
      </c>
      <c r="AA203" s="633">
        <v>96245.42</v>
      </c>
    </row>
    <row r="204" spans="1:27" s="430" customFormat="1" ht="17.45" hidden="1" customHeight="1" x14ac:dyDescent="0.25">
      <c r="A204" s="547" t="s">
        <v>4978</v>
      </c>
      <c r="B204" s="609">
        <v>90</v>
      </c>
      <c r="C204" s="609"/>
      <c r="D204" s="610" t="s">
        <v>13</v>
      </c>
      <c r="E204" s="628" t="s">
        <v>32</v>
      </c>
      <c r="F204" s="611">
        <v>45342</v>
      </c>
      <c r="G204" s="611"/>
      <c r="H204" s="610" t="s">
        <v>23</v>
      </c>
      <c r="I204" s="612"/>
      <c r="J204" s="612"/>
      <c r="K204" s="612"/>
      <c r="L204" s="634"/>
      <c r="M204" s="553">
        <f>Таблица4[[#This Row],[Количество хлыстов]]-Таблица4[[#This Row],[Готово, хл]]-Таблица4[[#This Row],[Вывезено, хл]]</f>
        <v>168</v>
      </c>
      <c r="N204" s="554"/>
      <c r="O204" s="610" t="s">
        <v>4731</v>
      </c>
      <c r="P204" s="628">
        <v>5.05</v>
      </c>
      <c r="Q204" s="610" t="s">
        <v>4855</v>
      </c>
      <c r="R204" s="614">
        <v>848.4</v>
      </c>
      <c r="S204" s="615">
        <v>168</v>
      </c>
      <c r="T204" s="614">
        <v>0.2651</v>
      </c>
      <c r="U204" s="614">
        <v>0.82099999999999995</v>
      </c>
      <c r="V204" s="614">
        <v>224.91079999999999</v>
      </c>
      <c r="W204" s="614">
        <v>696.53639999999996</v>
      </c>
      <c r="X204" s="614">
        <v>29.24</v>
      </c>
      <c r="Y204" s="614">
        <v>83.51</v>
      </c>
      <c r="Z204" s="614">
        <v>315</v>
      </c>
      <c r="AA204" s="616">
        <v>70846.91</v>
      </c>
    </row>
    <row r="205" spans="1:27" s="430" customFormat="1" ht="17.45" hidden="1" customHeight="1" x14ac:dyDescent="0.25">
      <c r="A205" s="547" t="s">
        <v>4978</v>
      </c>
      <c r="B205" s="609">
        <v>90</v>
      </c>
      <c r="C205" s="609"/>
      <c r="D205" s="610" t="s">
        <v>13</v>
      </c>
      <c r="E205" s="628" t="s">
        <v>32</v>
      </c>
      <c r="F205" s="611">
        <v>45342</v>
      </c>
      <c r="G205" s="629"/>
      <c r="H205" s="628" t="s">
        <v>23</v>
      </c>
      <c r="I205" s="630"/>
      <c r="J205" s="630"/>
      <c r="K205" s="630"/>
      <c r="L205" s="630">
        <v>322</v>
      </c>
      <c r="M205" s="553">
        <f>Таблица4[[#This Row],[Количество хлыстов]]-Таблица4[[#This Row],[Готово, хл]]-Таблица4[[#This Row],[Вывезено, хл]]</f>
        <v>0</v>
      </c>
      <c r="N205" s="554"/>
      <c r="O205" s="628" t="s">
        <v>4731</v>
      </c>
      <c r="P205" s="628">
        <v>4.8499999999999996</v>
      </c>
      <c r="Q205" s="628" t="s">
        <v>4774</v>
      </c>
      <c r="R205" s="631">
        <v>1561.7</v>
      </c>
      <c r="S205" s="632">
        <v>322</v>
      </c>
      <c r="T205" s="631">
        <v>9.5600000000000004E-2</v>
      </c>
      <c r="U205" s="631">
        <v>0.16</v>
      </c>
      <c r="V205" s="631">
        <v>149.29849999999999</v>
      </c>
      <c r="W205" s="631">
        <v>249.87200000000001</v>
      </c>
      <c r="X205" s="631">
        <v>19.41</v>
      </c>
      <c r="Y205" s="631">
        <v>30.11</v>
      </c>
      <c r="Z205" s="631">
        <v>315</v>
      </c>
      <c r="AA205" s="633">
        <v>47029.03</v>
      </c>
    </row>
    <row r="206" spans="1:27" s="430" customFormat="1" ht="17.45" hidden="1" customHeight="1" x14ac:dyDescent="0.25">
      <c r="A206" s="547" t="s">
        <v>4978</v>
      </c>
      <c r="B206" s="609">
        <v>105</v>
      </c>
      <c r="C206" s="609"/>
      <c r="D206" s="610" t="s">
        <v>13</v>
      </c>
      <c r="E206" s="610" t="s">
        <v>4870</v>
      </c>
      <c r="F206" s="611">
        <v>45342</v>
      </c>
      <c r="G206" s="611"/>
      <c r="H206" s="610" t="s">
        <v>23</v>
      </c>
      <c r="I206" s="612"/>
      <c r="J206" s="612"/>
      <c r="K206" s="612"/>
      <c r="L206" s="613"/>
      <c r="M206" s="553">
        <f>Таблица4[[#This Row],[Количество хлыстов]]-Таблица4[[#This Row],[Готово, хл]]-Таблица4[[#This Row],[Вывезено, хл]]</f>
        <v>800</v>
      </c>
      <c r="N206" s="554"/>
      <c r="O206" s="610" t="s">
        <v>4871</v>
      </c>
      <c r="P206" s="610">
        <v>2.7</v>
      </c>
      <c r="Q206" s="610" t="s">
        <v>4869</v>
      </c>
      <c r="R206" s="614">
        <v>2160</v>
      </c>
      <c r="S206" s="615">
        <v>800</v>
      </c>
      <c r="T206" s="614">
        <v>7.2999999999999995E-2</v>
      </c>
      <c r="U206" s="614">
        <v>0.121</v>
      </c>
      <c r="V206" s="614">
        <v>157.68</v>
      </c>
      <c r="W206" s="614">
        <v>261.36</v>
      </c>
      <c r="X206" s="614">
        <v>20.5</v>
      </c>
      <c r="Y206" s="614">
        <v>21.9</v>
      </c>
      <c r="Z206" s="614">
        <v>300</v>
      </c>
      <c r="AA206" s="616">
        <v>47304</v>
      </c>
    </row>
    <row r="207" spans="1:27" s="430" customFormat="1" ht="17.45" hidden="1" customHeight="1" x14ac:dyDescent="0.25">
      <c r="A207" s="547" t="s">
        <v>4978</v>
      </c>
      <c r="B207" s="609">
        <v>106</v>
      </c>
      <c r="C207" s="609"/>
      <c r="D207" s="610" t="s">
        <v>13</v>
      </c>
      <c r="E207" s="610" t="s">
        <v>32</v>
      </c>
      <c r="F207" s="611">
        <v>45342</v>
      </c>
      <c r="G207" s="611"/>
      <c r="H207" s="610" t="s">
        <v>23</v>
      </c>
      <c r="I207" s="612"/>
      <c r="J207" s="612"/>
      <c r="K207" s="612"/>
      <c r="L207" s="612">
        <v>63</v>
      </c>
      <c r="M207" s="553">
        <f>Таблица4[[#This Row],[Количество хлыстов]]-Таблица4[[#This Row],[Готово, хл]]-Таблица4[[#This Row],[Вывезено, хл]]</f>
        <v>0</v>
      </c>
      <c r="N207" s="554"/>
      <c r="O207" s="610" t="s">
        <v>4731</v>
      </c>
      <c r="P207" s="610">
        <v>5.05</v>
      </c>
      <c r="Q207" s="610" t="s">
        <v>4403</v>
      </c>
      <c r="R207" s="614">
        <v>318.14999999999998</v>
      </c>
      <c r="S207" s="615">
        <v>63</v>
      </c>
      <c r="T207" s="614">
        <v>0.1469</v>
      </c>
      <c r="U207" s="614">
        <v>1.3859999999999999</v>
      </c>
      <c r="V207" s="614">
        <v>46.736199999999997</v>
      </c>
      <c r="W207" s="614">
        <v>440.95589999999999</v>
      </c>
      <c r="X207" s="614">
        <v>6.08</v>
      </c>
      <c r="Y207" s="614">
        <v>46.27</v>
      </c>
      <c r="Z207" s="614">
        <v>315</v>
      </c>
      <c r="AA207" s="616">
        <v>14721.91</v>
      </c>
    </row>
    <row r="208" spans="1:27" s="339" customFormat="1" ht="17.45" hidden="1" customHeight="1" x14ac:dyDescent="0.25">
      <c r="A208" s="147" t="s">
        <v>4678</v>
      </c>
      <c r="B208" s="521">
        <v>109</v>
      </c>
      <c r="C208" s="521"/>
      <c r="D208" s="142" t="s">
        <v>13</v>
      </c>
      <c r="E208" s="142" t="s">
        <v>1768</v>
      </c>
      <c r="F208" s="143">
        <v>45342</v>
      </c>
      <c r="G208" s="143"/>
      <c r="H208" s="142" t="s">
        <v>23</v>
      </c>
      <c r="I208" s="522"/>
      <c r="J208" s="522"/>
      <c r="K208" s="522">
        <f>162+148</f>
        <v>310</v>
      </c>
      <c r="L208" s="523"/>
      <c r="M208" s="443">
        <f>Таблица4[[#This Row],[Количество хлыстов]]-Таблица4[[#This Row],[Готово, хл]]-Таблица4[[#This Row],[Вывезено, хл]]</f>
        <v>0</v>
      </c>
      <c r="N208" s="564">
        <f>Таблица4[[#This Row],[Площадь общая, м2]]/28</f>
        <v>4.3134285714285712</v>
      </c>
      <c r="O208" s="142"/>
      <c r="P208" s="145">
        <v>4</v>
      </c>
      <c r="Q208" s="142" t="s">
        <v>1767</v>
      </c>
      <c r="R208" s="525">
        <v>1240</v>
      </c>
      <c r="S208" s="526">
        <v>310</v>
      </c>
      <c r="T208" s="525">
        <v>9.74E-2</v>
      </c>
      <c r="U208" s="525">
        <v>0.37</v>
      </c>
      <c r="V208" s="525">
        <v>120.776</v>
      </c>
      <c r="W208" s="525">
        <v>458.8</v>
      </c>
      <c r="X208" s="525">
        <v>15.7</v>
      </c>
      <c r="Y208" s="525">
        <v>40.42</v>
      </c>
      <c r="Z208" s="525">
        <v>415</v>
      </c>
      <c r="AA208" s="527">
        <v>50122.04</v>
      </c>
    </row>
    <row r="209" spans="1:27" s="339" customFormat="1" ht="17.45" hidden="1" customHeight="1" x14ac:dyDescent="0.25">
      <c r="A209" s="147" t="s">
        <v>4678</v>
      </c>
      <c r="B209" s="521">
        <v>110</v>
      </c>
      <c r="C209" s="521"/>
      <c r="D209" s="142" t="s">
        <v>13</v>
      </c>
      <c r="E209" s="142" t="s">
        <v>2973</v>
      </c>
      <c r="F209" s="143">
        <v>45342</v>
      </c>
      <c r="G209" s="594">
        <v>45384</v>
      </c>
      <c r="H209" s="142" t="s">
        <v>23</v>
      </c>
      <c r="I209" s="522"/>
      <c r="J209" s="522"/>
      <c r="K209" s="522">
        <v>160</v>
      </c>
      <c r="L209" s="523"/>
      <c r="M209" s="443">
        <f>Таблица4[[#This Row],[Количество хлыстов]]-Таблица4[[#This Row],[Готово, хл]]-Таблица4[[#This Row],[Вывезено, хл]]</f>
        <v>0</v>
      </c>
      <c r="N209" s="626">
        <f>Таблица4[[#This Row],[Площадь общая, м2]]/22</f>
        <v>8.8021818181818183</v>
      </c>
      <c r="O209" s="142"/>
      <c r="P209" s="145">
        <v>4.9000000000000004</v>
      </c>
      <c r="Q209" s="142" t="s">
        <v>1753</v>
      </c>
      <c r="R209" s="525">
        <v>784</v>
      </c>
      <c r="S209" s="526">
        <v>160</v>
      </c>
      <c r="T209" s="525">
        <v>0.247</v>
      </c>
      <c r="U209" s="525">
        <v>0.498</v>
      </c>
      <c r="V209" s="525">
        <v>193.648</v>
      </c>
      <c r="W209" s="525">
        <v>390.43200000000002</v>
      </c>
      <c r="X209" s="525">
        <v>25.17</v>
      </c>
      <c r="Y209" s="525">
        <v>107.45</v>
      </c>
      <c r="Z209" s="525">
        <v>435</v>
      </c>
      <c r="AA209" s="527">
        <v>84236.88</v>
      </c>
    </row>
    <row r="210" spans="1:27" s="339" customFormat="1" ht="17.45" hidden="1" customHeight="1" x14ac:dyDescent="0.25">
      <c r="A210" s="147" t="s">
        <v>4678</v>
      </c>
      <c r="B210" s="625">
        <v>111</v>
      </c>
      <c r="C210" s="625"/>
      <c r="D210" s="162" t="s">
        <v>13</v>
      </c>
      <c r="E210" s="162" t="s">
        <v>32</v>
      </c>
      <c r="F210" s="168">
        <v>45342</v>
      </c>
      <c r="G210" s="143"/>
      <c r="H210" s="142" t="s">
        <v>23</v>
      </c>
      <c r="I210" s="522"/>
      <c r="J210" s="522"/>
      <c r="K210" s="522"/>
      <c r="L210" s="523">
        <v>153</v>
      </c>
      <c r="M210" s="443">
        <f>Таблица4[[#This Row],[Количество хлыстов]]-Таблица4[[#This Row],[Готово, хл]]-Таблица4[[#This Row],[Вывезено, хл]]</f>
        <v>7</v>
      </c>
      <c r="N210" s="564">
        <f>(Таблица4[[#This Row],[Осталось сделать, хлыст]]*Таблица4[[#This Row],[длина]]*Таблица4[[#This Row],[Периметр]])/28</f>
        <v>0.33468875000000003</v>
      </c>
      <c r="O210" s="142" t="s">
        <v>4975</v>
      </c>
      <c r="P210" s="145">
        <v>5.05</v>
      </c>
      <c r="Q210" s="142" t="s">
        <v>4275</v>
      </c>
      <c r="R210" s="525">
        <v>808</v>
      </c>
      <c r="S210" s="526">
        <v>160</v>
      </c>
      <c r="T210" s="525">
        <v>0.2651</v>
      </c>
      <c r="U210" s="525">
        <v>0.82099999999999995</v>
      </c>
      <c r="V210" s="525">
        <v>214.20079999999999</v>
      </c>
      <c r="W210" s="525">
        <v>663.36800000000005</v>
      </c>
      <c r="X210" s="525">
        <v>27.85</v>
      </c>
      <c r="Y210" s="525">
        <v>135.19999999999999</v>
      </c>
      <c r="Z210" s="525">
        <v>510</v>
      </c>
      <c r="AA210" s="527">
        <v>109242.41</v>
      </c>
    </row>
    <row r="211" spans="1:27" s="339" customFormat="1" ht="17.45" hidden="1" customHeight="1" x14ac:dyDescent="0.25">
      <c r="A211" s="147" t="s">
        <v>4678</v>
      </c>
      <c r="B211" s="625">
        <v>114</v>
      </c>
      <c r="C211" s="625"/>
      <c r="D211" s="162" t="s">
        <v>13</v>
      </c>
      <c r="E211" s="162" t="s">
        <v>32</v>
      </c>
      <c r="F211" s="168">
        <v>45342</v>
      </c>
      <c r="G211" s="143"/>
      <c r="H211" s="142" t="s">
        <v>23</v>
      </c>
      <c r="I211" s="522"/>
      <c r="J211" s="522"/>
      <c r="K211" s="522"/>
      <c r="L211" s="523">
        <v>130</v>
      </c>
      <c r="M211" s="443">
        <f>Таблица4[[#This Row],[Количество хлыстов]]-Таблица4[[#This Row],[Готово, хл]]-Таблица4[[#This Row],[Вывезено, хл]]</f>
        <v>0</v>
      </c>
      <c r="N211" s="564">
        <f>Таблица4[[#This Row],[Площадь общая, м2]]/28</f>
        <v>6.2156499999999992</v>
      </c>
      <c r="O211" s="142"/>
      <c r="P211" s="145">
        <v>5.05</v>
      </c>
      <c r="Q211" s="142" t="s">
        <v>4275</v>
      </c>
      <c r="R211" s="525">
        <v>656.5</v>
      </c>
      <c r="S211" s="526">
        <v>130</v>
      </c>
      <c r="T211" s="525">
        <v>0.2651</v>
      </c>
      <c r="U211" s="525">
        <v>0.82099999999999995</v>
      </c>
      <c r="V211" s="525">
        <v>174.03819999999999</v>
      </c>
      <c r="W211" s="525">
        <v>538.98649999999998</v>
      </c>
      <c r="X211" s="525">
        <v>22.63</v>
      </c>
      <c r="Y211" s="525">
        <v>135.19999999999999</v>
      </c>
      <c r="Z211" s="525">
        <v>510</v>
      </c>
      <c r="AA211" s="527">
        <v>88759.46</v>
      </c>
    </row>
    <row r="212" spans="1:27" s="339" customFormat="1" ht="17.45" hidden="1" customHeight="1" x14ac:dyDescent="0.25">
      <c r="A212" s="147" t="s">
        <v>4678</v>
      </c>
      <c r="B212" s="521">
        <v>112</v>
      </c>
      <c r="C212" s="521"/>
      <c r="D212" s="142" t="s">
        <v>34</v>
      </c>
      <c r="E212" s="142" t="s">
        <v>328</v>
      </c>
      <c r="F212" s="143">
        <v>45342</v>
      </c>
      <c r="G212" s="143"/>
      <c r="H212" s="142" t="s">
        <v>23</v>
      </c>
      <c r="I212" s="522"/>
      <c r="J212" s="522"/>
      <c r="K212" s="522">
        <v>39</v>
      </c>
      <c r="L212" s="523">
        <v>9</v>
      </c>
      <c r="M212" s="443">
        <f>Таблица4[[#This Row],[Количество хлыстов]]-Таблица4[[#This Row],[Готово, хл]]-Таблица4[[#This Row],[Вывезено, хл]]</f>
        <v>0</v>
      </c>
      <c r="N212" s="564">
        <f>Таблица4[[#This Row],[Площадь общая, м2]]/28</f>
        <v>3.1803428571428571</v>
      </c>
      <c r="O212" s="142" t="s">
        <v>4886</v>
      </c>
      <c r="P212" s="145">
        <v>6</v>
      </c>
      <c r="Q212" s="142" t="s">
        <v>4813</v>
      </c>
      <c r="R212" s="525">
        <v>288</v>
      </c>
      <c r="S212" s="526">
        <v>48</v>
      </c>
      <c r="T212" s="525">
        <v>0.30919999999999997</v>
      </c>
      <c r="U212" s="525">
        <v>1.101</v>
      </c>
      <c r="V212" s="525">
        <v>89.049599999999998</v>
      </c>
      <c r="W212" s="525">
        <v>317.08800000000002</v>
      </c>
      <c r="X212" s="525">
        <v>11.58</v>
      </c>
      <c r="Y212" s="525">
        <v>112.86</v>
      </c>
      <c r="Z212" s="525">
        <v>365</v>
      </c>
      <c r="AA212" s="527">
        <v>32503.68</v>
      </c>
    </row>
    <row r="213" spans="1:27" s="339" customFormat="1" ht="17.45" hidden="1" customHeight="1" x14ac:dyDescent="0.25">
      <c r="A213" s="147" t="s">
        <v>4678</v>
      </c>
      <c r="B213" s="521" t="s">
        <v>4873</v>
      </c>
      <c r="C213" s="521"/>
      <c r="D213" s="142" t="s">
        <v>34</v>
      </c>
      <c r="E213" s="142" t="s">
        <v>16</v>
      </c>
      <c r="F213" s="143">
        <v>45342</v>
      </c>
      <c r="G213" s="143"/>
      <c r="H213" s="142" t="s">
        <v>23</v>
      </c>
      <c r="I213" s="522"/>
      <c r="J213" s="522"/>
      <c r="K213" s="522"/>
      <c r="L213" s="523">
        <v>32</v>
      </c>
      <c r="M213" s="443">
        <f>Таблица4[[#This Row],[Количество хлыстов]]-Таблица4[[#This Row],[Готово, хл]]-Таблица4[[#This Row],[Вывезено, хл]]</f>
        <v>0</v>
      </c>
      <c r="N213" s="564">
        <f>Таблица4[[#This Row],[Площадь общая, м2]]/28</f>
        <v>3.9078857142857144</v>
      </c>
      <c r="O213" s="142"/>
      <c r="P213" s="145">
        <v>6</v>
      </c>
      <c r="Q213" s="142" t="s">
        <v>2581</v>
      </c>
      <c r="R213" s="525">
        <v>192</v>
      </c>
      <c r="S213" s="526">
        <v>32</v>
      </c>
      <c r="T213" s="525">
        <v>0.56989999999999996</v>
      </c>
      <c r="U213" s="525">
        <v>1.304</v>
      </c>
      <c r="V213" s="525">
        <v>109.4208</v>
      </c>
      <c r="W213" s="525">
        <v>250.36799999999999</v>
      </c>
      <c r="X213" s="525">
        <v>14.22</v>
      </c>
      <c r="Y213" s="525">
        <v>267.85000000000002</v>
      </c>
      <c r="Z213" s="525">
        <v>470</v>
      </c>
      <c r="AA213" s="527">
        <v>51427.78</v>
      </c>
    </row>
    <row r="214" spans="1:27" s="936" customFormat="1" ht="66" hidden="1" customHeight="1" x14ac:dyDescent="0.25">
      <c r="A214" s="949" t="s">
        <v>4678</v>
      </c>
      <c r="B214" s="901" t="s">
        <v>4874</v>
      </c>
      <c r="C214" s="901"/>
      <c r="D214" s="524" t="s">
        <v>34</v>
      </c>
      <c r="E214" s="524" t="s">
        <v>16</v>
      </c>
      <c r="F214" s="943">
        <v>45342</v>
      </c>
      <c r="G214" s="927"/>
      <c r="H214" s="926" t="s">
        <v>23</v>
      </c>
      <c r="I214" s="928"/>
      <c r="J214" s="928"/>
      <c r="K214" s="928"/>
      <c r="L214" s="929">
        <f>94+34+104+88+2</f>
        <v>322</v>
      </c>
      <c r="M214" s="930">
        <f>Таблица4[[#This Row],[Количество хлыстов]]-Таблица4[[#This Row],[Готово, хл]]-Таблица4[[#This Row],[Вывезено, хл]]</f>
        <v>0</v>
      </c>
      <c r="N214" s="931">
        <f>(Таблица4[[#This Row],[Осталось сделать, хлыст]]*Таблица4[[#This Row],[длина]]*Таблица4[[#This Row],[Периметр]])/28</f>
        <v>0</v>
      </c>
      <c r="O214" s="956" t="s">
        <v>5335</v>
      </c>
      <c r="P214" s="932">
        <v>6</v>
      </c>
      <c r="Q214" s="926" t="s">
        <v>2859</v>
      </c>
      <c r="R214" s="933">
        <v>1932</v>
      </c>
      <c r="S214" s="934">
        <v>322</v>
      </c>
      <c r="T214" s="933">
        <v>0.27260000000000001</v>
      </c>
      <c r="U214" s="933">
        <v>0.72899999999999998</v>
      </c>
      <c r="V214" s="933">
        <v>526.66319999999996</v>
      </c>
      <c r="W214" s="933">
        <v>1408.4280000000001</v>
      </c>
      <c r="X214" s="933">
        <v>68.47</v>
      </c>
      <c r="Y214" s="933">
        <v>106.31</v>
      </c>
      <c r="Z214" s="933">
        <v>390</v>
      </c>
      <c r="AA214" s="935">
        <v>205398.65</v>
      </c>
    </row>
    <row r="215" spans="1:27" s="339" customFormat="1" ht="17.45" hidden="1" customHeight="1" x14ac:dyDescent="0.25">
      <c r="A215" s="147" t="s">
        <v>4678</v>
      </c>
      <c r="B215" s="521" t="s">
        <v>4875</v>
      </c>
      <c r="C215" s="521"/>
      <c r="D215" s="142" t="s">
        <v>34</v>
      </c>
      <c r="E215" s="142" t="s">
        <v>16</v>
      </c>
      <c r="F215" s="143">
        <v>45342</v>
      </c>
      <c r="G215" s="143"/>
      <c r="H215" s="142" t="s">
        <v>23</v>
      </c>
      <c r="I215" s="522"/>
      <c r="J215" s="522"/>
      <c r="K215" s="522"/>
      <c r="L215" s="523">
        <f>574+4+5</f>
        <v>583</v>
      </c>
      <c r="M215" s="443">
        <f>Таблица4[[#This Row],[Количество хлыстов]]-Таблица4[[#This Row],[Готово, хл]]-Таблица4[[#This Row],[Вывезено, хл]]</f>
        <v>0</v>
      </c>
      <c r="N215" s="444">
        <f>(Таблица4[[#This Row],[Осталось сделать, хлыст]]*Таблица4[[#This Row],[длина]]*Таблица4[[#This Row],[Периметр]])/28</f>
        <v>0</v>
      </c>
      <c r="O215" s="142" t="s">
        <v>5203</v>
      </c>
      <c r="P215" s="145">
        <v>6</v>
      </c>
      <c r="Q215" s="142" t="s">
        <v>2845</v>
      </c>
      <c r="R215" s="525">
        <v>3498</v>
      </c>
      <c r="S215" s="526">
        <v>583</v>
      </c>
      <c r="T215" s="525">
        <v>0.15909999999999999</v>
      </c>
      <c r="U215" s="525">
        <v>0.26</v>
      </c>
      <c r="V215" s="525">
        <v>556.53179999999998</v>
      </c>
      <c r="W215" s="525">
        <v>909.48</v>
      </c>
      <c r="X215" s="525">
        <v>72.349999999999994</v>
      </c>
      <c r="Y215" s="525">
        <v>81.14</v>
      </c>
      <c r="Z215" s="525">
        <v>510</v>
      </c>
      <c r="AA215" s="527">
        <v>283831.21999999997</v>
      </c>
    </row>
    <row r="216" spans="1:27" s="428" customFormat="1" ht="17.45" hidden="1" customHeight="1" x14ac:dyDescent="0.25">
      <c r="A216" s="427" t="s">
        <v>4678</v>
      </c>
      <c r="B216" s="309" t="s">
        <v>4953</v>
      </c>
      <c r="C216" s="309"/>
      <c r="D216" s="303" t="s">
        <v>34</v>
      </c>
      <c r="E216" s="303" t="s">
        <v>16</v>
      </c>
      <c r="F216" s="528">
        <v>45342</v>
      </c>
      <c r="G216" s="528"/>
      <c r="H216" s="303" t="s">
        <v>23</v>
      </c>
      <c r="I216" s="635"/>
      <c r="J216" s="635"/>
      <c r="K216" s="635"/>
      <c r="L216" s="636"/>
      <c r="M216" s="637">
        <f>Таблица4[[#This Row],[Количество хлыстов]]-Таблица4[[#This Row],[Готово, хл]]-Таблица4[[#This Row],[Вывезено, хл]]</f>
        <v>140</v>
      </c>
      <c r="N216" s="638">
        <f>Таблица4[[#This Row],[Площадь общая, м2]]/28</f>
        <v>8.9909999999999997</v>
      </c>
      <c r="O216" s="303"/>
      <c r="P216" s="304">
        <v>6</v>
      </c>
      <c r="Q216" s="303" t="s">
        <v>2423</v>
      </c>
      <c r="R216" s="639">
        <v>840</v>
      </c>
      <c r="S216" s="640">
        <v>140</v>
      </c>
      <c r="T216" s="639">
        <v>0.29970000000000002</v>
      </c>
      <c r="U216" s="639">
        <v>1.6739999999999999</v>
      </c>
      <c r="V216" s="639">
        <v>251.74799999999999</v>
      </c>
      <c r="W216" s="639">
        <v>1406.16</v>
      </c>
      <c r="X216" s="639">
        <v>32.729999999999997</v>
      </c>
      <c r="Y216" s="639">
        <v>109.39</v>
      </c>
      <c r="Z216" s="639">
        <v>365</v>
      </c>
      <c r="AA216" s="641">
        <v>91888.02</v>
      </c>
    </row>
    <row r="217" spans="1:27" s="339" customFormat="1" ht="17.45" hidden="1" customHeight="1" x14ac:dyDescent="0.25">
      <c r="A217" s="147" t="s">
        <v>4678</v>
      </c>
      <c r="B217" s="521" t="s">
        <v>4877</v>
      </c>
      <c r="C217" s="521"/>
      <c r="D217" s="142" t="s">
        <v>34</v>
      </c>
      <c r="E217" s="142" t="s">
        <v>16</v>
      </c>
      <c r="F217" s="143">
        <v>45342</v>
      </c>
      <c r="G217" s="143"/>
      <c r="H217" s="142" t="s">
        <v>23</v>
      </c>
      <c r="I217" s="522"/>
      <c r="J217" s="522"/>
      <c r="K217" s="522">
        <v>99</v>
      </c>
      <c r="L217" s="523">
        <v>48</v>
      </c>
      <c r="M217" s="443">
        <f>Таблица4[[#This Row],[Количество хлыстов]]-Таблица4[[#This Row],[Готово, хл]]-Таблица4[[#This Row],[Вывезено, хл]]</f>
        <v>0</v>
      </c>
      <c r="N217" s="444">
        <f>(Таблица4[[#This Row],[Осталось сделать, хлыст]]*Таблица4[[#This Row],[длина]]*Таблица4[[#This Row],[Периметр]])/28</f>
        <v>0</v>
      </c>
      <c r="O217" s="142"/>
      <c r="P217" s="145">
        <v>6</v>
      </c>
      <c r="Q217" s="142" t="s">
        <v>2730</v>
      </c>
      <c r="R217" s="525">
        <v>882</v>
      </c>
      <c r="S217" s="526">
        <v>147</v>
      </c>
      <c r="T217" s="525">
        <v>0.3498</v>
      </c>
      <c r="U217" s="525">
        <v>1.425</v>
      </c>
      <c r="V217" s="525">
        <v>308.52359999999999</v>
      </c>
      <c r="W217" s="525">
        <v>1256.8499999999999</v>
      </c>
      <c r="X217" s="525">
        <v>40.11</v>
      </c>
      <c r="Y217" s="525">
        <v>136.41999999999999</v>
      </c>
      <c r="Z217" s="525">
        <v>390</v>
      </c>
      <c r="AA217" s="527">
        <v>120324.2</v>
      </c>
    </row>
    <row r="218" spans="1:27" s="339" customFormat="1" ht="17.45" hidden="1" customHeight="1" x14ac:dyDescent="0.25">
      <c r="A218" s="147" t="s">
        <v>4678</v>
      </c>
      <c r="B218" s="521" t="s">
        <v>4878</v>
      </c>
      <c r="C218" s="521"/>
      <c r="D218" s="142" t="s">
        <v>34</v>
      </c>
      <c r="E218" s="142" t="s">
        <v>16</v>
      </c>
      <c r="F218" s="143">
        <v>45342</v>
      </c>
      <c r="G218" s="143"/>
      <c r="H218" s="142" t="s">
        <v>23</v>
      </c>
      <c r="I218" s="522"/>
      <c r="J218" s="522"/>
      <c r="K218" s="522">
        <f>24+6</f>
        <v>30</v>
      </c>
      <c r="L218" s="523">
        <v>84</v>
      </c>
      <c r="M218" s="443">
        <f>Таблица4[[#This Row],[Количество хлыстов]]-Таблица4[[#This Row],[Готово, хл]]-Таблица4[[#This Row],[Вывезено, хл]]</f>
        <v>0</v>
      </c>
      <c r="N218" s="444">
        <f>(Таблица4[[#This Row],[Осталось сделать, хлыст]]*Таблица4[[#This Row],[длина]]*Таблица4[[#This Row],[Периметр]])/28</f>
        <v>0</v>
      </c>
      <c r="O218" s="142"/>
      <c r="P218" s="145">
        <v>6</v>
      </c>
      <c r="Q218" s="142" t="s">
        <v>2469</v>
      </c>
      <c r="R218" s="525">
        <v>684</v>
      </c>
      <c r="S218" s="526">
        <v>114</v>
      </c>
      <c r="T218" s="525">
        <v>0.70820000000000005</v>
      </c>
      <c r="U218" s="525">
        <v>3.4609999999999999</v>
      </c>
      <c r="V218" s="525">
        <v>484.40879999999999</v>
      </c>
      <c r="W218" s="525">
        <v>2367.3240000000001</v>
      </c>
      <c r="X218" s="525">
        <v>62.97</v>
      </c>
      <c r="Y218" s="525">
        <v>127.68</v>
      </c>
      <c r="Z218" s="525">
        <v>365</v>
      </c>
      <c r="AA218" s="527">
        <v>87331.07</v>
      </c>
    </row>
    <row r="219" spans="1:27" s="339" customFormat="1" ht="17.45" hidden="1" customHeight="1" x14ac:dyDescent="0.25">
      <c r="A219" s="147" t="s">
        <v>4678</v>
      </c>
      <c r="B219" s="521" t="s">
        <v>4876</v>
      </c>
      <c r="C219" s="521"/>
      <c r="D219" s="142" t="s">
        <v>34</v>
      </c>
      <c r="E219" s="142" t="s">
        <v>16</v>
      </c>
      <c r="F219" s="143">
        <v>45342</v>
      </c>
      <c r="G219" s="143"/>
      <c r="H219" s="142" t="s">
        <v>23</v>
      </c>
      <c r="I219" s="522"/>
      <c r="J219" s="522"/>
      <c r="K219" s="522">
        <f>20+24+24+18</f>
        <v>86</v>
      </c>
      <c r="L219" s="523"/>
      <c r="M219" s="443">
        <f>Таблица4[[#This Row],[Количество хлыстов]]-Таблица4[[#This Row],[Готово, хл]]-Таблица4[[#This Row],[Вывезено, хл]]</f>
        <v>0</v>
      </c>
      <c r="N219" s="444">
        <f>(Таблица4[[#This Row],[Осталось сделать, хлыст]]*Таблица4[[#This Row],[длина]]*Таблица4[[#This Row],[Периметр]])/28</f>
        <v>0</v>
      </c>
      <c r="O219" s="142"/>
      <c r="P219" s="145">
        <v>6</v>
      </c>
      <c r="Q219" s="132" t="s">
        <v>2469</v>
      </c>
      <c r="R219" s="642">
        <v>516</v>
      </c>
      <c r="S219" s="643">
        <v>86</v>
      </c>
      <c r="T219" s="642">
        <v>0.70820000000000005</v>
      </c>
      <c r="U219" s="642">
        <v>3.4609999999999999</v>
      </c>
      <c r="V219" s="642">
        <v>365.43119999999999</v>
      </c>
      <c r="W219" s="642">
        <v>1785.876</v>
      </c>
      <c r="X219" s="642">
        <v>47.51</v>
      </c>
      <c r="Y219" s="642">
        <v>276.2</v>
      </c>
      <c r="Z219" s="642">
        <v>390</v>
      </c>
      <c r="AA219" s="644">
        <v>142518.17000000001</v>
      </c>
    </row>
    <row r="220" spans="1:27" s="339" customFormat="1" ht="17.45" hidden="1" customHeight="1" x14ac:dyDescent="0.25">
      <c r="A220" s="147" t="s">
        <v>4678</v>
      </c>
      <c r="B220" s="625">
        <v>108</v>
      </c>
      <c r="C220" s="625" t="s">
        <v>4753</v>
      </c>
      <c r="D220" s="162" t="s">
        <v>13</v>
      </c>
      <c r="E220" s="162" t="s">
        <v>4884</v>
      </c>
      <c r="F220" s="168">
        <v>45343</v>
      </c>
      <c r="G220" s="143"/>
      <c r="H220" s="142" t="s">
        <v>23</v>
      </c>
      <c r="I220" s="522"/>
      <c r="J220" s="522"/>
      <c r="K220" s="522">
        <f>240+240+220</f>
        <v>700</v>
      </c>
      <c r="L220" s="523"/>
      <c r="M220" s="443">
        <f>Таблица4[[#This Row],[Количество хлыстов]]-Таблица4[[#This Row],[Готово, хл]]-Таблица4[[#This Row],[Вывезено, хл]]</f>
        <v>0</v>
      </c>
      <c r="N220" s="564">
        <f>Таблица4[[#This Row],[Площадь общая, м2]]/28</f>
        <v>22.5</v>
      </c>
      <c r="O220" s="142"/>
      <c r="P220" s="145">
        <v>6</v>
      </c>
      <c r="Q220" s="142" t="s">
        <v>4885</v>
      </c>
      <c r="R220" s="525">
        <v>4200</v>
      </c>
      <c r="S220" s="526">
        <v>700</v>
      </c>
      <c r="T220" s="525">
        <v>0.15</v>
      </c>
      <c r="U220" s="525">
        <v>0.38500000000000001</v>
      </c>
      <c r="V220" s="525">
        <v>630</v>
      </c>
      <c r="W220" s="525">
        <v>1617</v>
      </c>
      <c r="X220" s="525">
        <v>81.900000000000006</v>
      </c>
      <c r="Y220" s="525">
        <v>97.81</v>
      </c>
      <c r="Z220" s="525">
        <v>652.09</v>
      </c>
      <c r="AA220" s="527">
        <v>410816</v>
      </c>
    </row>
    <row r="221" spans="1:27" ht="17.45" hidden="1" customHeight="1" x14ac:dyDescent="0.25">
      <c r="A221" s="147" t="s">
        <v>4678</v>
      </c>
      <c r="B221" s="521">
        <v>55</v>
      </c>
      <c r="C221" s="521" t="s">
        <v>4753</v>
      </c>
      <c r="D221" s="145" t="s">
        <v>4858</v>
      </c>
      <c r="E221" s="145" t="s">
        <v>4859</v>
      </c>
      <c r="F221" s="148">
        <v>45324</v>
      </c>
      <c r="G221" s="148"/>
      <c r="H221" s="145" t="s">
        <v>23</v>
      </c>
      <c r="I221" s="645"/>
      <c r="J221" s="645"/>
      <c r="K221" s="645">
        <f>92+92</f>
        <v>184</v>
      </c>
      <c r="L221" s="646"/>
      <c r="M221" s="443">
        <f>Таблица4[[#This Row],[Количество хлыстов]]-Таблица4[[#This Row],[Готово, хл]]-Таблица4[[#This Row],[Вывезено, хл]]</f>
        <v>91</v>
      </c>
      <c r="N221" s="486">
        <f>(Таблица4[[#This Row],[Осталось сделать, хлыст]]*Таблица4[[#This Row],[длина]]*Таблица4[[#This Row],[Периметр]])/28</f>
        <v>5.7908499999999998</v>
      </c>
      <c r="O221" s="145" t="s">
        <v>4860</v>
      </c>
      <c r="P221" s="647">
        <v>5.9</v>
      </c>
      <c r="Q221" s="145" t="s">
        <v>4861</v>
      </c>
      <c r="R221" s="280">
        <v>1622.5</v>
      </c>
      <c r="S221" s="322">
        <v>275</v>
      </c>
      <c r="T221" s="648">
        <v>0.30199999999999999</v>
      </c>
      <c r="U221" s="648">
        <v>0.67300000000000004</v>
      </c>
      <c r="V221" s="648">
        <f>Таблица4[[#This Row],[Периметр]]*Таблица4[[#This Row],[Коли-
чество м.п.]]</f>
        <v>489.995</v>
      </c>
      <c r="W221" s="280">
        <f>Таблица4[[#This Row],[Вес п.м., кг]]*Таблица4[[#This Row],[Коли-
чество м.п.]]</f>
        <v>1091.9425000000001</v>
      </c>
      <c r="X221" s="280"/>
      <c r="Y221" s="280">
        <f>Таблица4[[#This Row],[Сумма, руб]]/Таблица4[[#This Row],[Коли-
чество м.п.]]</f>
        <v>130.78582434514638</v>
      </c>
      <c r="Z221" s="280">
        <f>Таблица4[[#This Row],[Сумма, руб]]/Таблица4[[#This Row],[Площадь общая, м2]]</f>
        <v>433.06564352697478</v>
      </c>
      <c r="AA221" s="397">
        <v>212200</v>
      </c>
    </row>
    <row r="222" spans="1:27" s="431" customFormat="1" ht="17.45" hidden="1" customHeight="1" x14ac:dyDescent="0.25">
      <c r="A222" s="547" t="s">
        <v>4979</v>
      </c>
      <c r="B222" s="609">
        <v>113</v>
      </c>
      <c r="C222" s="609" t="s">
        <v>4753</v>
      </c>
      <c r="D222" s="610" t="s">
        <v>13</v>
      </c>
      <c r="E222" s="610" t="s">
        <v>892</v>
      </c>
      <c r="F222" s="611">
        <v>45342</v>
      </c>
      <c r="G222" s="611"/>
      <c r="H222" s="610" t="s">
        <v>677</v>
      </c>
      <c r="I222" s="612"/>
      <c r="J222" s="612"/>
      <c r="K222" s="612"/>
      <c r="L222" s="613"/>
      <c r="M222" s="553">
        <f>Таблица4[[#This Row],[Количество хлыстов]]-Таблица4[[#This Row],[Готово, хл]]-Таблица4[[#This Row],[Вывезено, хл]]</f>
        <v>64</v>
      </c>
      <c r="N222" s="649"/>
      <c r="O222" s="610"/>
      <c r="P222" s="650">
        <v>6.8</v>
      </c>
      <c r="Q222" s="610" t="s">
        <v>4890</v>
      </c>
      <c r="R222" s="614">
        <v>435.2</v>
      </c>
      <c r="S222" s="615">
        <v>64</v>
      </c>
      <c r="T222" s="651">
        <v>0.255</v>
      </c>
      <c r="U222" s="651">
        <v>0.80400000000000005</v>
      </c>
      <c r="V222" s="651">
        <v>110.976</v>
      </c>
      <c r="W222" s="614">
        <v>349.9008</v>
      </c>
      <c r="X222" s="614">
        <v>14.43</v>
      </c>
      <c r="Y222" s="614">
        <v>80.33</v>
      </c>
      <c r="Z222" s="614">
        <v>315</v>
      </c>
      <c r="AA222" s="616">
        <v>34957.440000000002</v>
      </c>
    </row>
    <row r="223" spans="1:27" s="431" customFormat="1" ht="17.45" hidden="1" customHeight="1" x14ac:dyDescent="0.25">
      <c r="A223" s="547" t="s">
        <v>4979</v>
      </c>
      <c r="B223" s="609">
        <v>113</v>
      </c>
      <c r="C223" s="609" t="s">
        <v>4753</v>
      </c>
      <c r="D223" s="610" t="s">
        <v>13</v>
      </c>
      <c r="E223" s="610" t="s">
        <v>892</v>
      </c>
      <c r="F223" s="611">
        <v>45342</v>
      </c>
      <c r="G223" s="611"/>
      <c r="H223" s="610" t="s">
        <v>677</v>
      </c>
      <c r="I223" s="612"/>
      <c r="J223" s="612"/>
      <c r="K223" s="612"/>
      <c r="L223" s="613"/>
      <c r="M223" s="553">
        <f>Таблица4[[#This Row],[Количество хлыстов]]-Таблица4[[#This Row],[Готово, хл]]-Таблица4[[#This Row],[Вывезено, хл]]</f>
        <v>348</v>
      </c>
      <c r="N223" s="649"/>
      <c r="O223" s="610"/>
      <c r="P223" s="650">
        <v>4.1500000000000004</v>
      </c>
      <c r="Q223" s="610" t="s">
        <v>4891</v>
      </c>
      <c r="R223" s="614">
        <v>1444.2</v>
      </c>
      <c r="S223" s="615">
        <v>348</v>
      </c>
      <c r="T223" s="651">
        <v>0.15790000000000001</v>
      </c>
      <c r="U223" s="651">
        <v>0.309</v>
      </c>
      <c r="V223" s="651">
        <v>228.03919999999999</v>
      </c>
      <c r="W223" s="614">
        <v>446.25779999999997</v>
      </c>
      <c r="X223" s="614">
        <v>29.65</v>
      </c>
      <c r="Y223" s="614">
        <v>49.74</v>
      </c>
      <c r="Z223" s="614">
        <v>315</v>
      </c>
      <c r="AA223" s="616">
        <v>71832.34</v>
      </c>
    </row>
    <row r="224" spans="1:27" s="431" customFormat="1" ht="17.45" hidden="1" customHeight="1" x14ac:dyDescent="0.25">
      <c r="A224" s="547" t="s">
        <v>4979</v>
      </c>
      <c r="B224" s="609">
        <v>113</v>
      </c>
      <c r="C224" s="609" t="s">
        <v>4753</v>
      </c>
      <c r="D224" s="610" t="s">
        <v>13</v>
      </c>
      <c r="E224" s="610" t="s">
        <v>892</v>
      </c>
      <c r="F224" s="611">
        <v>45342</v>
      </c>
      <c r="G224" s="611"/>
      <c r="H224" s="610" t="s">
        <v>677</v>
      </c>
      <c r="I224" s="612"/>
      <c r="J224" s="612"/>
      <c r="K224" s="612"/>
      <c r="L224" s="613"/>
      <c r="M224" s="553">
        <f>Таблица4[[#This Row],[Количество хлыстов]]-Таблица4[[#This Row],[Готово, хл]]-Таблица4[[#This Row],[Вывезено, хл]]</f>
        <v>529</v>
      </c>
      <c r="N224" s="649"/>
      <c r="O224" s="610"/>
      <c r="P224" s="650">
        <v>4.1500000000000004</v>
      </c>
      <c r="Q224" s="610" t="s">
        <v>4892</v>
      </c>
      <c r="R224" s="614">
        <v>2195.35</v>
      </c>
      <c r="S224" s="615">
        <v>529</v>
      </c>
      <c r="T224" s="651">
        <v>0.1</v>
      </c>
      <c r="U224" s="651">
        <v>0.16</v>
      </c>
      <c r="V224" s="651">
        <v>219.535</v>
      </c>
      <c r="W224" s="614">
        <v>351.25599999999997</v>
      </c>
      <c r="X224" s="614">
        <v>28.54</v>
      </c>
      <c r="Y224" s="614">
        <v>31.5</v>
      </c>
      <c r="Z224" s="614">
        <v>315</v>
      </c>
      <c r="AA224" s="616">
        <v>69153.53</v>
      </c>
    </row>
    <row r="225" spans="1:27" s="431" customFormat="1" ht="17.45" hidden="1" customHeight="1" x14ac:dyDescent="0.25">
      <c r="A225" s="547" t="s">
        <v>4979</v>
      </c>
      <c r="B225" s="609">
        <v>113</v>
      </c>
      <c r="C225" s="609" t="s">
        <v>4753</v>
      </c>
      <c r="D225" s="610" t="s">
        <v>13</v>
      </c>
      <c r="E225" s="610" t="s">
        <v>892</v>
      </c>
      <c r="F225" s="611">
        <v>45342</v>
      </c>
      <c r="G225" s="611"/>
      <c r="H225" s="610" t="s">
        <v>677</v>
      </c>
      <c r="I225" s="612"/>
      <c r="J225" s="612"/>
      <c r="K225" s="612"/>
      <c r="L225" s="613"/>
      <c r="M225" s="553">
        <f>Таблица4[[#This Row],[Количество хлыстов]]-Таблица4[[#This Row],[Готово, хл]]-Таблица4[[#This Row],[Вывезено, хл]]</f>
        <v>278</v>
      </c>
      <c r="N225" s="649"/>
      <c r="O225" s="610"/>
      <c r="P225" s="650">
        <v>4.1500000000000004</v>
      </c>
      <c r="Q225" s="610" t="s">
        <v>4893</v>
      </c>
      <c r="R225" s="614">
        <v>1153.7</v>
      </c>
      <c r="S225" s="615">
        <v>278</v>
      </c>
      <c r="T225" s="651">
        <v>0.1</v>
      </c>
      <c r="U225" s="651">
        <v>0.16</v>
      </c>
      <c r="V225" s="651">
        <v>115.37</v>
      </c>
      <c r="W225" s="614">
        <v>184.59200000000001</v>
      </c>
      <c r="X225" s="614">
        <v>15</v>
      </c>
      <c r="Y225" s="614">
        <v>31.5</v>
      </c>
      <c r="Z225" s="614">
        <v>315</v>
      </c>
      <c r="AA225" s="616">
        <v>36341.550000000003</v>
      </c>
    </row>
    <row r="226" spans="1:27" s="431" customFormat="1" ht="17.45" hidden="1" customHeight="1" x14ac:dyDescent="0.25">
      <c r="A226" s="547" t="s">
        <v>4979</v>
      </c>
      <c r="B226" s="609">
        <v>113</v>
      </c>
      <c r="C226" s="609" t="s">
        <v>4753</v>
      </c>
      <c r="D226" s="610" t="s">
        <v>13</v>
      </c>
      <c r="E226" s="610" t="s">
        <v>892</v>
      </c>
      <c r="F226" s="611">
        <v>45342</v>
      </c>
      <c r="G226" s="611"/>
      <c r="H226" s="610" t="s">
        <v>677</v>
      </c>
      <c r="I226" s="612"/>
      <c r="J226" s="612"/>
      <c r="K226" s="612"/>
      <c r="L226" s="613"/>
      <c r="M226" s="553">
        <f>Таблица4[[#This Row],[Количество хлыстов]]-Таблица4[[#This Row],[Готово, хл]]-Таблица4[[#This Row],[Вывезено, хл]]</f>
        <v>132</v>
      </c>
      <c r="N226" s="649"/>
      <c r="O226" s="610"/>
      <c r="P226" s="650">
        <v>4.1500000000000004</v>
      </c>
      <c r="Q226" s="610" t="s">
        <v>4894</v>
      </c>
      <c r="R226" s="614">
        <v>547.79999999999995</v>
      </c>
      <c r="S226" s="615">
        <v>132</v>
      </c>
      <c r="T226" s="651">
        <v>0.15790000000000001</v>
      </c>
      <c r="U226" s="651">
        <v>0.309</v>
      </c>
      <c r="V226" s="651">
        <v>86.497600000000006</v>
      </c>
      <c r="W226" s="614">
        <v>169.27019999999999</v>
      </c>
      <c r="X226" s="614">
        <v>11.24</v>
      </c>
      <c r="Y226" s="614">
        <v>49.74</v>
      </c>
      <c r="Z226" s="614">
        <v>315</v>
      </c>
      <c r="AA226" s="616">
        <v>27246.75</v>
      </c>
    </row>
    <row r="227" spans="1:27" s="436" customFormat="1" ht="17.45" hidden="1" customHeight="1" x14ac:dyDescent="0.25">
      <c r="A227" s="171" t="s">
        <v>4678</v>
      </c>
      <c r="B227" s="625">
        <v>115</v>
      </c>
      <c r="C227" s="625" t="s">
        <v>4753</v>
      </c>
      <c r="D227" s="162" t="s">
        <v>13</v>
      </c>
      <c r="E227" s="162" t="s">
        <v>4879</v>
      </c>
      <c r="F227" s="168">
        <v>45343</v>
      </c>
      <c r="G227" s="168">
        <v>45392</v>
      </c>
      <c r="H227" s="162" t="s">
        <v>23</v>
      </c>
      <c r="I227" s="587"/>
      <c r="J227" s="587"/>
      <c r="K227" s="587"/>
      <c r="L227" s="588">
        <v>209</v>
      </c>
      <c r="M227" s="501">
        <f>Таблица4[[#This Row],[Количество хлыстов]]-Таблица4[[#This Row],[Готово, хл]]-Таблица4[[#This Row],[Вывезено, хл]]</f>
        <v>1</v>
      </c>
      <c r="N227" s="444">
        <f>(Таблица4[[#This Row],[Осталось сделать, хлыст]]*Таблица4[[#This Row],[длина]]*Таблица4[[#This Row],[Периметр]])/28</f>
        <v>5.2242857142857146E-2</v>
      </c>
      <c r="O227" s="162" t="s">
        <v>721</v>
      </c>
      <c r="P227" s="652">
        <v>6.36</v>
      </c>
      <c r="Q227" s="162" t="s">
        <v>4935</v>
      </c>
      <c r="R227" s="479">
        <v>1335.6</v>
      </c>
      <c r="S227" s="480">
        <v>210</v>
      </c>
      <c r="T227" s="653">
        <v>0.23</v>
      </c>
      <c r="U227" s="653">
        <v>2.9</v>
      </c>
      <c r="V227" s="653">
        <v>307.18799999999999</v>
      </c>
      <c r="W227" s="479">
        <v>3873.24</v>
      </c>
      <c r="X227" s="479">
        <v>39.93</v>
      </c>
      <c r="Y227" s="479">
        <v>100.05</v>
      </c>
      <c r="Z227" s="479">
        <v>435</v>
      </c>
      <c r="AA227" s="481">
        <v>133626.78</v>
      </c>
    </row>
    <row r="228" spans="1:27" s="436" customFormat="1" ht="17.45" hidden="1" customHeight="1" x14ac:dyDescent="0.25">
      <c r="A228" s="171" t="s">
        <v>4678</v>
      </c>
      <c r="B228" s="625">
        <v>115</v>
      </c>
      <c r="C228" s="625" t="s">
        <v>4753</v>
      </c>
      <c r="D228" s="162" t="s">
        <v>13</v>
      </c>
      <c r="E228" s="162" t="s">
        <v>4879</v>
      </c>
      <c r="F228" s="168">
        <v>45343</v>
      </c>
      <c r="G228" s="168">
        <v>45392</v>
      </c>
      <c r="H228" s="162" t="s">
        <v>23</v>
      </c>
      <c r="I228" s="587"/>
      <c r="J228" s="587"/>
      <c r="K228" s="587"/>
      <c r="L228" s="588">
        <v>244</v>
      </c>
      <c r="M228" s="501">
        <f>Таблица4[[#This Row],[Количество хлыстов]]-Таблица4[[#This Row],[Готово, хл]]-Таблица4[[#This Row],[Вывезено, хл]]</f>
        <v>0</v>
      </c>
      <c r="N228" s="444">
        <f>(Таблица4[[#This Row],[Осталось сделать, хлыст]]*Таблица4[[#This Row],[длина]]*Таблица4[[#This Row],[Периметр]])/28</f>
        <v>0</v>
      </c>
      <c r="O228" s="162"/>
      <c r="P228" s="652">
        <v>3.75</v>
      </c>
      <c r="Q228" s="162" t="s">
        <v>4919</v>
      </c>
      <c r="R228" s="479">
        <v>915</v>
      </c>
      <c r="S228" s="480">
        <v>244</v>
      </c>
      <c r="T228" s="653">
        <v>0.77500000000000002</v>
      </c>
      <c r="U228" s="653">
        <v>1.5409999999999999</v>
      </c>
      <c r="V228" s="653">
        <v>709.125</v>
      </c>
      <c r="W228" s="479">
        <v>1410.0150000000001</v>
      </c>
      <c r="X228" s="479">
        <v>92.19</v>
      </c>
      <c r="Y228" s="479">
        <v>337.13</v>
      </c>
      <c r="Z228" s="479">
        <v>435</v>
      </c>
      <c r="AA228" s="481">
        <v>308473.95</v>
      </c>
    </row>
    <row r="229" spans="1:27" s="339" customFormat="1" ht="17.25" hidden="1" customHeight="1" x14ac:dyDescent="0.25">
      <c r="A229" s="147" t="s">
        <v>4678</v>
      </c>
      <c r="B229" s="521">
        <v>116</v>
      </c>
      <c r="C229" s="521"/>
      <c r="D229" s="142" t="s">
        <v>34</v>
      </c>
      <c r="E229" s="142" t="s">
        <v>328</v>
      </c>
      <c r="F229" s="143">
        <v>45344</v>
      </c>
      <c r="G229" s="143">
        <v>45376</v>
      </c>
      <c r="H229" s="142" t="s">
        <v>23</v>
      </c>
      <c r="I229" s="522"/>
      <c r="J229" s="522"/>
      <c r="K229" s="522">
        <v>14</v>
      </c>
      <c r="L229" s="523">
        <v>3</v>
      </c>
      <c r="M229" s="443">
        <f>Таблица4[[#This Row],[Количество хлыстов]]-Таблица4[[#This Row],[Готово, хл]]-Таблица4[[#This Row],[Вывезено, хл]]</f>
        <v>0</v>
      </c>
      <c r="N229" s="564">
        <f>Таблица4[[#This Row],[Площадь общая, м2]]/28</f>
        <v>1.1263714285714286</v>
      </c>
      <c r="O229" s="142" t="s">
        <v>4992</v>
      </c>
      <c r="P229" s="145">
        <v>6</v>
      </c>
      <c r="Q229" s="142" t="s">
        <v>4813</v>
      </c>
      <c r="R229" s="525">
        <v>102</v>
      </c>
      <c r="S229" s="526">
        <v>17</v>
      </c>
      <c r="T229" s="525">
        <v>0.30919999999999997</v>
      </c>
      <c r="U229" s="525">
        <v>1.101</v>
      </c>
      <c r="V229" s="525">
        <v>31.538399999999999</v>
      </c>
      <c r="W229" s="525">
        <v>112.30200000000001</v>
      </c>
      <c r="X229" s="525">
        <v>4.0999999999999996</v>
      </c>
      <c r="Y229" s="525">
        <v>112.86</v>
      </c>
      <c r="Z229" s="525">
        <v>365</v>
      </c>
      <c r="AA229" s="527">
        <v>11511.72</v>
      </c>
    </row>
    <row r="230" spans="1:27" s="339" customFormat="1" ht="17.45" hidden="1" customHeight="1" x14ac:dyDescent="0.25">
      <c r="A230" s="147" t="s">
        <v>4678</v>
      </c>
      <c r="B230" s="521">
        <v>117</v>
      </c>
      <c r="C230" s="521"/>
      <c r="D230" s="142" t="s">
        <v>34</v>
      </c>
      <c r="E230" s="142" t="s">
        <v>328</v>
      </c>
      <c r="F230" s="143">
        <v>45344</v>
      </c>
      <c r="G230" s="143">
        <v>45376</v>
      </c>
      <c r="H230" s="142" t="s">
        <v>23</v>
      </c>
      <c r="I230" s="522"/>
      <c r="J230" s="522"/>
      <c r="K230" s="522">
        <v>80</v>
      </c>
      <c r="L230" s="523">
        <f>3+2</f>
        <v>5</v>
      </c>
      <c r="M230" s="443">
        <f>Таблица4[[#This Row],[Количество хлыстов]]-Таблица4[[#This Row],[Готово, хл]]-Таблица4[[#This Row],[Вывезено, хл]]</f>
        <v>0</v>
      </c>
      <c r="N230" s="564">
        <f>Таблица4[[#This Row],[Площадь общая, м2]]/28</f>
        <v>5.6318571428571431</v>
      </c>
      <c r="O230" s="142" t="s">
        <v>4991</v>
      </c>
      <c r="P230" s="145">
        <v>6</v>
      </c>
      <c r="Q230" s="142" t="s">
        <v>4813</v>
      </c>
      <c r="R230" s="525">
        <v>510</v>
      </c>
      <c r="S230" s="526">
        <v>85</v>
      </c>
      <c r="T230" s="525">
        <v>0.30919999999999997</v>
      </c>
      <c r="U230" s="525">
        <v>1.101</v>
      </c>
      <c r="V230" s="525">
        <v>157.69200000000001</v>
      </c>
      <c r="W230" s="525">
        <v>561.51</v>
      </c>
      <c r="X230" s="525">
        <v>20.5</v>
      </c>
      <c r="Y230" s="525">
        <v>112.86</v>
      </c>
      <c r="Z230" s="525">
        <v>365</v>
      </c>
      <c r="AA230" s="527">
        <v>57558.6</v>
      </c>
    </row>
    <row r="231" spans="1:27" s="430" customFormat="1" ht="17.45" hidden="1" customHeight="1" x14ac:dyDescent="0.25">
      <c r="A231" s="547" t="s">
        <v>4978</v>
      </c>
      <c r="B231" s="609">
        <v>67</v>
      </c>
      <c r="C231" s="609"/>
      <c r="D231" s="610" t="s">
        <v>13</v>
      </c>
      <c r="E231" s="610" t="s">
        <v>4881</v>
      </c>
      <c r="F231" s="611">
        <v>45348</v>
      </c>
      <c r="G231" s="611"/>
      <c r="H231" s="610" t="s">
        <v>23</v>
      </c>
      <c r="I231" s="612"/>
      <c r="J231" s="612"/>
      <c r="K231" s="612"/>
      <c r="L231" s="613">
        <v>1060</v>
      </c>
      <c r="M231" s="553">
        <f>Таблица4[[#This Row],[Количество хлыстов]]-Таблица4[[#This Row],[Готово, хл]]-Таблица4[[#This Row],[Вывезено, хл]]</f>
        <v>0</v>
      </c>
      <c r="N231" s="554"/>
      <c r="O231" s="610" t="s">
        <v>4728</v>
      </c>
      <c r="P231" s="610">
        <v>2</v>
      </c>
      <c r="Q231" s="610" t="s">
        <v>4882</v>
      </c>
      <c r="R231" s="614">
        <v>2120</v>
      </c>
      <c r="S231" s="615">
        <v>1060</v>
      </c>
      <c r="T231" s="614">
        <v>0.10979999999999999</v>
      </c>
      <c r="U231" s="614">
        <v>0.20899999999999999</v>
      </c>
      <c r="V231" s="614">
        <v>232.77600000000001</v>
      </c>
      <c r="W231" s="614">
        <v>443.08</v>
      </c>
      <c r="X231" s="614">
        <v>30.26</v>
      </c>
      <c r="Y231" s="614">
        <v>26.9</v>
      </c>
      <c r="Z231" s="614">
        <v>245</v>
      </c>
      <c r="AA231" s="616">
        <v>57028</v>
      </c>
    </row>
    <row r="232" spans="1:27" s="430" customFormat="1" ht="17.45" hidden="1" customHeight="1" x14ac:dyDescent="0.25">
      <c r="A232" s="547" t="s">
        <v>4978</v>
      </c>
      <c r="B232" s="609">
        <v>119</v>
      </c>
      <c r="C232" s="609"/>
      <c r="D232" s="610" t="s">
        <v>13</v>
      </c>
      <c r="E232" s="610" t="s">
        <v>4881</v>
      </c>
      <c r="F232" s="611">
        <v>45348</v>
      </c>
      <c r="G232" s="611"/>
      <c r="H232" s="610" t="s">
        <v>23</v>
      </c>
      <c r="I232" s="612"/>
      <c r="J232" s="612"/>
      <c r="K232" s="612"/>
      <c r="L232" s="613">
        <v>1078</v>
      </c>
      <c r="M232" s="553">
        <f>Таблица4[[#This Row],[Количество хлыстов]]-Таблица4[[#This Row],[Готово, хл]]-Таблица4[[#This Row],[Вывезено, хл]]</f>
        <v>0</v>
      </c>
      <c r="N232" s="554"/>
      <c r="O232" s="610" t="s">
        <v>4728</v>
      </c>
      <c r="P232" s="610">
        <v>3</v>
      </c>
      <c r="Q232" s="610" t="s">
        <v>4883</v>
      </c>
      <c r="R232" s="614">
        <v>3234</v>
      </c>
      <c r="S232" s="615">
        <v>1078</v>
      </c>
      <c r="T232" s="614">
        <v>0.10979999999999999</v>
      </c>
      <c r="U232" s="614">
        <v>0.20899999999999999</v>
      </c>
      <c r="V232" s="614">
        <v>355.09320000000002</v>
      </c>
      <c r="W232" s="614">
        <v>675.90599999999995</v>
      </c>
      <c r="X232" s="614">
        <v>46.16</v>
      </c>
      <c r="Y232" s="614">
        <v>26.9</v>
      </c>
      <c r="Z232" s="614">
        <v>245</v>
      </c>
      <c r="AA232" s="616">
        <v>86997.83</v>
      </c>
    </row>
    <row r="233" spans="1:27" s="339" customFormat="1" ht="17.45" hidden="1" customHeight="1" x14ac:dyDescent="0.25">
      <c r="A233" s="147" t="s">
        <v>4678</v>
      </c>
      <c r="B233" s="521" t="s">
        <v>4887</v>
      </c>
      <c r="C233" s="521"/>
      <c r="D233" s="142" t="s">
        <v>34</v>
      </c>
      <c r="E233" s="142" t="s">
        <v>16</v>
      </c>
      <c r="F233" s="143">
        <v>45348</v>
      </c>
      <c r="G233" s="143"/>
      <c r="H233" s="142" t="s">
        <v>23</v>
      </c>
      <c r="I233" s="522"/>
      <c r="J233" s="522"/>
      <c r="K233" s="522"/>
      <c r="L233" s="523">
        <v>97</v>
      </c>
      <c r="M233" s="443">
        <f>Таблица4[[#This Row],[Количество хлыстов]]-Таблица4[[#This Row],[Готово, хл]]-Таблица4[[#This Row],[Вывезено, хл]]</f>
        <v>0</v>
      </c>
      <c r="N233" s="444">
        <f>(Таблица4[[#This Row],[Осталось сделать, хлыст]]*Таблица4[[#This Row],[длина]]*Таблица4[[#This Row],[Периметр]])/28</f>
        <v>0</v>
      </c>
      <c r="O233" s="142"/>
      <c r="P233" s="352">
        <v>6</v>
      </c>
      <c r="Q233" s="142" t="s">
        <v>2581</v>
      </c>
      <c r="R233" s="525">
        <v>582</v>
      </c>
      <c r="S233" s="526">
        <v>97</v>
      </c>
      <c r="T233" s="525">
        <v>0.56989999999999996</v>
      </c>
      <c r="U233" s="525">
        <v>1.304</v>
      </c>
      <c r="V233" s="525">
        <v>331.68180000000001</v>
      </c>
      <c r="W233" s="525">
        <v>758.928</v>
      </c>
      <c r="X233" s="525">
        <v>43.12</v>
      </c>
      <c r="Y233" s="525">
        <v>267.85000000000002</v>
      </c>
      <c r="Z233" s="525">
        <v>470</v>
      </c>
      <c r="AA233" s="527">
        <v>155888.70000000001</v>
      </c>
    </row>
    <row r="234" spans="1:27" s="339" customFormat="1" ht="17.45" hidden="1" customHeight="1" x14ac:dyDescent="0.25">
      <c r="A234" s="147" t="s">
        <v>4678</v>
      </c>
      <c r="B234" s="521" t="s">
        <v>4888</v>
      </c>
      <c r="C234" s="521"/>
      <c r="D234" s="142" t="s">
        <v>34</v>
      </c>
      <c r="E234" s="142" t="s">
        <v>16</v>
      </c>
      <c r="F234" s="143">
        <v>45348</v>
      </c>
      <c r="G234" s="143"/>
      <c r="H234" s="142" t="s">
        <v>23</v>
      </c>
      <c r="I234" s="522"/>
      <c r="J234" s="522"/>
      <c r="K234" s="522">
        <v>24</v>
      </c>
      <c r="L234" s="523"/>
      <c r="M234" s="443">
        <f>Таблица4[[#This Row],[Количество хлыстов]]-Таблица4[[#This Row],[Готово, хл]]-Таблица4[[#This Row],[Вывезено, хл]]</f>
        <v>0</v>
      </c>
      <c r="N234" s="444">
        <f>(Таблица4[[#This Row],[Осталось сделать, хлыст]]*Таблица4[[#This Row],[длина]]*Таблица4[[#This Row],[Периметр]])/28</f>
        <v>0</v>
      </c>
      <c r="O234" s="142"/>
      <c r="P234" s="352">
        <v>6</v>
      </c>
      <c r="Q234" s="142" t="s">
        <v>2859</v>
      </c>
      <c r="R234" s="525">
        <v>144</v>
      </c>
      <c r="S234" s="526">
        <v>24</v>
      </c>
      <c r="T234" s="525">
        <v>0.27260000000000001</v>
      </c>
      <c r="U234" s="525">
        <v>0.72899999999999998</v>
      </c>
      <c r="V234" s="525">
        <v>39.254399999999997</v>
      </c>
      <c r="W234" s="525">
        <v>104.976</v>
      </c>
      <c r="X234" s="525">
        <v>5.0999999999999996</v>
      </c>
      <c r="Y234" s="525">
        <v>106.31</v>
      </c>
      <c r="Z234" s="525">
        <v>390</v>
      </c>
      <c r="AA234" s="527">
        <v>15308.64</v>
      </c>
    </row>
    <row r="235" spans="1:27" s="339" customFormat="1" ht="17.45" hidden="1" customHeight="1" x14ac:dyDescent="0.25">
      <c r="A235" s="147" t="s">
        <v>4678</v>
      </c>
      <c r="B235" s="521" t="s">
        <v>4889</v>
      </c>
      <c r="C235" s="521"/>
      <c r="D235" s="142" t="s">
        <v>34</v>
      </c>
      <c r="E235" s="142" t="s">
        <v>16</v>
      </c>
      <c r="F235" s="143">
        <v>45348</v>
      </c>
      <c r="G235" s="143"/>
      <c r="H235" s="142" t="s">
        <v>23</v>
      </c>
      <c r="I235" s="522"/>
      <c r="J235" s="522"/>
      <c r="K235" s="522"/>
      <c r="L235" s="523"/>
      <c r="M235" s="443">
        <f>Таблица4[[#This Row],[Количество хлыстов]]-Таблица4[[#This Row],[Готово, хл]]-Таблица4[[#This Row],[Вывезено, хл]]</f>
        <v>11</v>
      </c>
      <c r="N235" s="564">
        <f>Таблица4[[#This Row],[Площадь общая, м2]]/28</f>
        <v>0.70643571428571428</v>
      </c>
      <c r="O235" s="142"/>
      <c r="P235" s="352">
        <v>6</v>
      </c>
      <c r="Q235" s="142" t="s">
        <v>2423</v>
      </c>
      <c r="R235" s="525">
        <v>66</v>
      </c>
      <c r="S235" s="526">
        <v>11</v>
      </c>
      <c r="T235" s="525">
        <v>0.29970000000000002</v>
      </c>
      <c r="U235" s="525">
        <v>1.6739999999999999</v>
      </c>
      <c r="V235" s="525">
        <v>19.780200000000001</v>
      </c>
      <c r="W235" s="525">
        <v>110.48399999999999</v>
      </c>
      <c r="X235" s="525">
        <v>2.57</v>
      </c>
      <c r="Y235" s="525">
        <v>109.39</v>
      </c>
      <c r="Z235" s="525">
        <v>365</v>
      </c>
      <c r="AA235" s="527">
        <v>7219.74</v>
      </c>
    </row>
    <row r="236" spans="1:27" s="421" customFormat="1" ht="17.45" hidden="1" customHeight="1" x14ac:dyDescent="0.25">
      <c r="A236" s="507" t="s">
        <v>4978</v>
      </c>
      <c r="B236" s="617">
        <v>121</v>
      </c>
      <c r="C236" s="617"/>
      <c r="D236" s="618" t="s">
        <v>34</v>
      </c>
      <c r="E236" s="618" t="s">
        <v>4807</v>
      </c>
      <c r="F236" s="619">
        <v>45349</v>
      </c>
      <c r="G236" s="619"/>
      <c r="H236" s="142" t="s">
        <v>23</v>
      </c>
      <c r="I236" s="522"/>
      <c r="J236" s="522"/>
      <c r="K236" s="522"/>
      <c r="L236" s="620">
        <f>175+2</f>
        <v>177</v>
      </c>
      <c r="M236" s="443">
        <f>Таблица4[[#This Row],[Количество хлыстов]]-Таблица4[[#This Row],[Готово, хл]]-Таблица4[[#This Row],[Вывезено, хл]]</f>
        <v>0</v>
      </c>
      <c r="N236" s="654"/>
      <c r="O236" s="618" t="s">
        <v>4809</v>
      </c>
      <c r="P236" s="655"/>
      <c r="Q236" s="622" t="s">
        <v>4804</v>
      </c>
      <c r="R236" s="622">
        <v>1062</v>
      </c>
      <c r="S236" s="623">
        <v>177</v>
      </c>
      <c r="T236" s="622">
        <v>0.27610000000000001</v>
      </c>
      <c r="U236" s="622">
        <v>0.93400000000000005</v>
      </c>
      <c r="V236" s="622">
        <v>293.21820000000002</v>
      </c>
      <c r="W236" s="622">
        <v>991.90800000000002</v>
      </c>
      <c r="X236" s="622">
        <v>38.119999999999997</v>
      </c>
      <c r="Y236" s="622">
        <v>82.83</v>
      </c>
      <c r="Z236" s="622">
        <v>300</v>
      </c>
      <c r="AA236" s="624">
        <v>87965.46</v>
      </c>
    </row>
    <row r="237" spans="1:27" s="421" customFormat="1" ht="17.45" hidden="1" customHeight="1" x14ac:dyDescent="0.25">
      <c r="A237" s="507" t="s">
        <v>4978</v>
      </c>
      <c r="B237" s="617">
        <v>121</v>
      </c>
      <c r="C237" s="617"/>
      <c r="D237" s="618" t="s">
        <v>34</v>
      </c>
      <c r="E237" s="618" t="s">
        <v>4807</v>
      </c>
      <c r="F237" s="619">
        <v>45349</v>
      </c>
      <c r="G237" s="619"/>
      <c r="H237" s="142" t="s">
        <v>23</v>
      </c>
      <c r="I237" s="522"/>
      <c r="J237" s="522"/>
      <c r="K237" s="522"/>
      <c r="L237" s="620">
        <f>497+8</f>
        <v>505</v>
      </c>
      <c r="M237" s="443">
        <f>Таблица4[[#This Row],[Количество хлыстов]]-Таблица4[[#This Row],[Готово, хл]]-Таблица4[[#This Row],[Вывезено, хл]]</f>
        <v>11</v>
      </c>
      <c r="N237" s="654"/>
      <c r="O237" s="618" t="s">
        <v>4969</v>
      </c>
      <c r="P237" s="655"/>
      <c r="Q237" s="622" t="s">
        <v>4806</v>
      </c>
      <c r="R237" s="622">
        <v>2734.8</v>
      </c>
      <c r="S237" s="623">
        <v>516</v>
      </c>
      <c r="T237" s="622">
        <v>0.22270000000000001</v>
      </c>
      <c r="U237" s="622">
        <v>0.52700000000000002</v>
      </c>
      <c r="V237" s="622">
        <v>609.04</v>
      </c>
      <c r="W237" s="622">
        <v>1441.2396000000001</v>
      </c>
      <c r="X237" s="622">
        <v>79.180000000000007</v>
      </c>
      <c r="Y237" s="622">
        <v>66.81</v>
      </c>
      <c r="Z237" s="622">
        <v>300</v>
      </c>
      <c r="AA237" s="624">
        <v>182711.99</v>
      </c>
    </row>
    <row r="238" spans="1:27" s="421" customFormat="1" ht="17.45" hidden="1" customHeight="1" x14ac:dyDescent="0.25">
      <c r="A238" s="507" t="s">
        <v>4978</v>
      </c>
      <c r="B238" s="617">
        <v>121</v>
      </c>
      <c r="C238" s="617"/>
      <c r="D238" s="656" t="s">
        <v>34</v>
      </c>
      <c r="E238" s="656" t="s">
        <v>4807</v>
      </c>
      <c r="F238" s="619">
        <v>45349</v>
      </c>
      <c r="G238" s="619"/>
      <c r="H238" s="142" t="s">
        <v>23</v>
      </c>
      <c r="I238" s="522"/>
      <c r="J238" s="522"/>
      <c r="K238" s="522"/>
      <c r="L238" s="620">
        <f>401+2</f>
        <v>403</v>
      </c>
      <c r="M238" s="443">
        <f>Таблица4[[#This Row],[Количество хлыстов]]-Таблица4[[#This Row],[Готово, хл]]-Таблица4[[#This Row],[Вывезено, хл]]</f>
        <v>0</v>
      </c>
      <c r="N238" s="654"/>
      <c r="O238" s="618" t="s">
        <v>4809</v>
      </c>
      <c r="P238" s="655"/>
      <c r="Q238" s="622" t="s">
        <v>4897</v>
      </c>
      <c r="R238" s="622">
        <v>1974.7</v>
      </c>
      <c r="S238" s="623">
        <v>403</v>
      </c>
      <c r="T238" s="622">
        <v>0.14419999999999999</v>
      </c>
      <c r="U238" s="622">
        <v>0.33200000000000002</v>
      </c>
      <c r="V238" s="622">
        <v>284.75170000000003</v>
      </c>
      <c r="W238" s="622">
        <v>655.60040000000004</v>
      </c>
      <c r="X238" s="622">
        <v>37.020000000000003</v>
      </c>
      <c r="Y238" s="622">
        <v>43.26</v>
      </c>
      <c r="Z238" s="622">
        <v>300</v>
      </c>
      <c r="AA238" s="624">
        <v>85425.52</v>
      </c>
    </row>
    <row r="239" spans="1:27" s="421" customFormat="1" ht="17.45" hidden="1" customHeight="1" x14ac:dyDescent="0.25">
      <c r="A239" s="507" t="s">
        <v>4978</v>
      </c>
      <c r="B239" s="657">
        <v>121</v>
      </c>
      <c r="C239" s="657"/>
      <c r="D239" s="618" t="s">
        <v>34</v>
      </c>
      <c r="E239" s="618" t="s">
        <v>4807</v>
      </c>
      <c r="F239" s="619">
        <v>45349</v>
      </c>
      <c r="G239" s="619"/>
      <c r="H239" s="142" t="s">
        <v>23</v>
      </c>
      <c r="I239" s="522"/>
      <c r="J239" s="522"/>
      <c r="K239" s="522"/>
      <c r="L239" s="620">
        <f>191+7</f>
        <v>198</v>
      </c>
      <c r="M239" s="443">
        <f>Таблица4[[#This Row],[Количество хлыстов]]-Таблица4[[#This Row],[Готово, хл]]-Таблица4[[#This Row],[Вывезено, хл]]</f>
        <v>0</v>
      </c>
      <c r="N239" s="654"/>
      <c r="O239" s="618" t="s">
        <v>4970</v>
      </c>
      <c r="P239" s="655"/>
      <c r="Q239" s="622" t="s">
        <v>4898</v>
      </c>
      <c r="R239" s="622">
        <v>1108.8</v>
      </c>
      <c r="S239" s="623">
        <v>198</v>
      </c>
      <c r="T239" s="622">
        <v>0.1734</v>
      </c>
      <c r="U239" s="622">
        <v>0.38200000000000001</v>
      </c>
      <c r="V239" s="622">
        <v>192.26589999999999</v>
      </c>
      <c r="W239" s="622">
        <v>423.5616</v>
      </c>
      <c r="X239" s="622">
        <v>24.99</v>
      </c>
      <c r="Y239" s="622">
        <v>52.02</v>
      </c>
      <c r="Z239" s="622">
        <v>300</v>
      </c>
      <c r="AA239" s="624">
        <v>57679.78</v>
      </c>
    </row>
    <row r="240" spans="1:27" ht="17.45" hidden="1" customHeight="1" x14ac:dyDescent="0.25">
      <c r="A240" s="426" t="s">
        <v>4678</v>
      </c>
      <c r="B240" s="602">
        <v>122</v>
      </c>
      <c r="C240" s="602"/>
      <c r="D240" s="352" t="s">
        <v>34</v>
      </c>
      <c r="E240" s="352" t="s">
        <v>19</v>
      </c>
      <c r="F240" s="143">
        <v>45349</v>
      </c>
      <c r="G240" s="148"/>
      <c r="H240" s="142" t="s">
        <v>23</v>
      </c>
      <c r="I240" s="645"/>
      <c r="J240" s="645"/>
      <c r="K240" s="645"/>
      <c r="L240" s="394">
        <v>545</v>
      </c>
      <c r="M240" s="443">
        <f>Таблица4[[#This Row],[Количество хлыстов]]-Таблица4[[#This Row],[Готово, хл]]-Таблица4[[#This Row],[Вывезено, хл]]</f>
        <v>82</v>
      </c>
      <c r="N240" s="444">
        <f>(Таблица4[[#This Row],[Осталось сделать, хлыст]]*Таблица4[[#This Row],[длина]]*Таблица4[[#This Row],[Периметр]])/28</f>
        <v>1.9320078571428572</v>
      </c>
      <c r="O240" s="219" t="s">
        <v>5034</v>
      </c>
      <c r="P240" s="658">
        <v>3.7</v>
      </c>
      <c r="Q240" s="280" t="s">
        <v>1455</v>
      </c>
      <c r="R240" s="280">
        <v>2319.9</v>
      </c>
      <c r="S240" s="322">
        <v>627</v>
      </c>
      <c r="T240" s="280">
        <v>0.17829999999999999</v>
      </c>
      <c r="U240" s="280">
        <v>0.47499999999999998</v>
      </c>
      <c r="V240" s="280">
        <v>413.63819999999998</v>
      </c>
      <c r="W240" s="280">
        <v>1101.9525000000001</v>
      </c>
      <c r="X240" s="280">
        <v>53.77</v>
      </c>
      <c r="Y240" s="280">
        <v>69.540000000000006</v>
      </c>
      <c r="Z240" s="280">
        <v>390</v>
      </c>
      <c r="AA240" s="397">
        <v>161318.89000000001</v>
      </c>
    </row>
    <row r="241" spans="1:27" ht="17.45" hidden="1" customHeight="1" x14ac:dyDescent="0.25">
      <c r="A241" s="659" t="s">
        <v>4678</v>
      </c>
      <c r="B241" s="309">
        <v>123</v>
      </c>
      <c r="C241" s="660"/>
      <c r="D241" s="660" t="s">
        <v>13</v>
      </c>
      <c r="E241" s="660" t="s">
        <v>32</v>
      </c>
      <c r="F241" s="528">
        <v>45349</v>
      </c>
      <c r="G241" s="660"/>
      <c r="H241" s="142" t="s">
        <v>677</v>
      </c>
      <c r="I241" s="661"/>
      <c r="J241" s="661"/>
      <c r="K241" s="661"/>
      <c r="L241" s="662"/>
      <c r="M241" s="443">
        <f>Таблица4[[#This Row],[Количество хлыстов]]-Таблица4[[#This Row],[Готово, хл]]-Таблица4[[#This Row],[Вывезено, хл]]</f>
        <v>148</v>
      </c>
      <c r="N241" s="626">
        <f>(Таблица4[[#This Row],[Осталось сделать, хлыст]]*Таблица4[[#This Row],[длина]]*Таблица4[[#This Row],[Периметр]])/29</f>
        <v>6.0205124137931039</v>
      </c>
      <c r="O241" s="663" t="s">
        <v>2522</v>
      </c>
      <c r="P241" s="664">
        <v>4.45</v>
      </c>
      <c r="Q241" s="664" t="s">
        <v>5039</v>
      </c>
      <c r="R241" s="664">
        <v>658.6</v>
      </c>
      <c r="S241" s="665">
        <v>148</v>
      </c>
      <c r="T241" s="664">
        <v>0.2651</v>
      </c>
      <c r="U241" s="664">
        <v>0.82099999999999995</v>
      </c>
      <c r="V241" s="664">
        <v>174.5949</v>
      </c>
      <c r="W241" s="664">
        <v>540.7106</v>
      </c>
      <c r="X241" s="664">
        <v>22.7</v>
      </c>
      <c r="Y241" s="664">
        <v>90.93</v>
      </c>
      <c r="Z241" s="664">
        <v>343</v>
      </c>
      <c r="AA241" s="666">
        <v>59886.04</v>
      </c>
    </row>
    <row r="242" spans="1:27" ht="17.45" hidden="1" customHeight="1" x14ac:dyDescent="0.25">
      <c r="A242" s="659" t="s">
        <v>4678</v>
      </c>
      <c r="B242" s="521">
        <v>124</v>
      </c>
      <c r="C242" s="660"/>
      <c r="D242" s="660" t="s">
        <v>13</v>
      </c>
      <c r="E242" s="660" t="s">
        <v>32</v>
      </c>
      <c r="F242" s="143">
        <v>45350</v>
      </c>
      <c r="G242" s="660"/>
      <c r="H242" s="142" t="s">
        <v>23</v>
      </c>
      <c r="I242" s="661"/>
      <c r="J242" s="661"/>
      <c r="K242" s="661"/>
      <c r="L242" s="662">
        <f>440+201</f>
        <v>641</v>
      </c>
      <c r="M242" s="443">
        <f>Таблица4[[#This Row],[Количество хлыстов]]-Таблица4[[#This Row],[Готово, хл]]-Таблица4[[#This Row],[Вывезено, хл]]</f>
        <v>3</v>
      </c>
      <c r="N242" s="667">
        <f>11+7</f>
        <v>18</v>
      </c>
      <c r="O242" s="663" t="s">
        <v>4934</v>
      </c>
      <c r="P242" s="664">
        <v>4.8499999999999996</v>
      </c>
      <c r="Q242" s="664" t="s">
        <v>2841</v>
      </c>
      <c r="R242" s="664">
        <v>3123.4</v>
      </c>
      <c r="S242" s="665">
        <v>644</v>
      </c>
      <c r="T242" s="664">
        <v>9.5600000000000004E-2</v>
      </c>
      <c r="U242" s="664">
        <v>0.16</v>
      </c>
      <c r="V242" s="664">
        <v>298.59699999999998</v>
      </c>
      <c r="W242" s="664">
        <v>499.74400000000003</v>
      </c>
      <c r="X242" s="664">
        <v>38.82</v>
      </c>
      <c r="Y242" s="664">
        <v>48.76</v>
      </c>
      <c r="Z242" s="664">
        <v>510</v>
      </c>
      <c r="AA242" s="666">
        <v>152296.98000000001</v>
      </c>
    </row>
    <row r="243" spans="1:27" s="431" customFormat="1" ht="17.45" hidden="1" customHeight="1" x14ac:dyDescent="0.25">
      <c r="A243" s="547" t="s">
        <v>4978</v>
      </c>
      <c r="B243" s="668">
        <v>126</v>
      </c>
      <c r="C243" s="549"/>
      <c r="D243" s="549" t="s">
        <v>13</v>
      </c>
      <c r="E243" s="549" t="s">
        <v>32</v>
      </c>
      <c r="F243" s="611">
        <v>45350</v>
      </c>
      <c r="G243" s="611"/>
      <c r="H243" s="610" t="s">
        <v>23</v>
      </c>
      <c r="I243" s="612"/>
      <c r="J243" s="612"/>
      <c r="K243" s="612"/>
      <c r="L243" s="612">
        <v>431</v>
      </c>
      <c r="M243" s="553">
        <f>Таблица4[[#This Row],[Количество хлыстов]]-Таблица4[[#This Row],[Готово, хл]]-Таблица4[[#This Row],[Вывезено, хл]]</f>
        <v>2</v>
      </c>
      <c r="N243" s="649" t="s">
        <v>4809</v>
      </c>
      <c r="O243" s="610" t="s">
        <v>4731</v>
      </c>
      <c r="P243" s="650">
        <v>4.45</v>
      </c>
      <c r="Q243" s="610" t="s">
        <v>4772</v>
      </c>
      <c r="R243" s="614">
        <v>1926.85</v>
      </c>
      <c r="S243" s="615">
        <v>433</v>
      </c>
      <c r="T243" s="651">
        <v>0.2651</v>
      </c>
      <c r="U243" s="651">
        <v>0.82099999999999995</v>
      </c>
      <c r="V243" s="651">
        <v>510.80790000000002</v>
      </c>
      <c r="W243" s="614">
        <v>1581.9439</v>
      </c>
      <c r="X243" s="614">
        <v>66.41</v>
      </c>
      <c r="Y243" s="614">
        <v>83.51</v>
      </c>
      <c r="Z243" s="614">
        <v>315</v>
      </c>
      <c r="AA243" s="616">
        <v>160904.5</v>
      </c>
    </row>
    <row r="244" spans="1:27" ht="17.45" hidden="1" customHeight="1" x14ac:dyDescent="0.25">
      <c r="A244" s="426" t="s">
        <v>4678</v>
      </c>
      <c r="B244" s="602">
        <v>127</v>
      </c>
      <c r="C244" s="602"/>
      <c r="D244" s="660" t="s">
        <v>13</v>
      </c>
      <c r="E244" s="305" t="s">
        <v>2217</v>
      </c>
      <c r="F244" s="143">
        <v>45351</v>
      </c>
      <c r="G244" s="143"/>
      <c r="H244" s="142" t="s">
        <v>23</v>
      </c>
      <c r="I244" s="522"/>
      <c r="J244" s="522"/>
      <c r="K244" s="522">
        <v>8</v>
      </c>
      <c r="L244" s="523"/>
      <c r="M244" s="443">
        <f>Таблица4[[#This Row],[Количество хлыстов]]-Таблица4[[#This Row],[Готово, хл]]-Таблица4[[#This Row],[Вывезено, хл]]</f>
        <v>0</v>
      </c>
      <c r="N244" s="564">
        <f>Таблица4[[#This Row],[Площадь общая, м2]]/28</f>
        <v>0.51649642857142852</v>
      </c>
      <c r="O244" s="142" t="s">
        <v>4913</v>
      </c>
      <c r="P244" s="647">
        <v>6.05</v>
      </c>
      <c r="Q244" s="142" t="s">
        <v>4912</v>
      </c>
      <c r="R244" s="525">
        <v>48.4</v>
      </c>
      <c r="S244" s="526">
        <v>8</v>
      </c>
      <c r="T244" s="669">
        <v>0.29880000000000001</v>
      </c>
      <c r="U244" s="669">
        <v>0.81</v>
      </c>
      <c r="V244" s="669">
        <v>14.4619</v>
      </c>
      <c r="W244" s="525">
        <v>39.204000000000001</v>
      </c>
      <c r="X244" s="525">
        <v>1.88</v>
      </c>
      <c r="Y244" s="525">
        <v>140.44</v>
      </c>
      <c r="Z244" s="525">
        <v>470</v>
      </c>
      <c r="AA244" s="527">
        <v>6797.1</v>
      </c>
    </row>
    <row r="245" spans="1:27" ht="17.45" hidden="1" customHeight="1" x14ac:dyDescent="0.25">
      <c r="A245" s="147" t="s">
        <v>4678</v>
      </c>
      <c r="B245" s="521">
        <v>128</v>
      </c>
      <c r="C245" s="521"/>
      <c r="D245" s="142" t="s">
        <v>34</v>
      </c>
      <c r="E245" s="142" t="s">
        <v>201</v>
      </c>
      <c r="F245" s="143">
        <v>45351</v>
      </c>
      <c r="G245" s="143"/>
      <c r="H245" s="439" t="s">
        <v>23</v>
      </c>
      <c r="I245" s="522"/>
      <c r="J245" s="522"/>
      <c r="K245" s="522">
        <v>42</v>
      </c>
      <c r="L245" s="523"/>
      <c r="M245" s="443">
        <f>Таблица4[[#This Row],[Количество хлыстов]]-Таблица4[[#This Row],[Готово, хл]]-Таблица4[[#This Row],[Вывезено, хл]]</f>
        <v>0</v>
      </c>
      <c r="N245" s="444">
        <f>(Таблица4[[#This Row],[Осталось сделать, хлыст]]*Таблица4[[#This Row],[длина]]*Таблица4[[#This Row],[Периметр]])/28</f>
        <v>0</v>
      </c>
      <c r="O245" s="142"/>
      <c r="P245" s="647">
        <v>6</v>
      </c>
      <c r="Q245" s="142" t="s">
        <v>2561</v>
      </c>
      <c r="R245" s="525">
        <v>252</v>
      </c>
      <c r="S245" s="526">
        <v>42</v>
      </c>
      <c r="T245" s="669">
        <v>0.31109999999999999</v>
      </c>
      <c r="U245" s="669">
        <v>1.7769999999999999</v>
      </c>
      <c r="V245" s="669">
        <v>78.397199999999998</v>
      </c>
      <c r="W245" s="525">
        <v>447.80399999999997</v>
      </c>
      <c r="X245" s="525">
        <v>10.19</v>
      </c>
      <c r="Y245" s="525">
        <v>113.55</v>
      </c>
      <c r="Z245" s="525">
        <v>365</v>
      </c>
      <c r="AA245" s="527">
        <v>28614.98</v>
      </c>
    </row>
    <row r="246" spans="1:27" ht="17.45" hidden="1" customHeight="1" x14ac:dyDescent="0.25">
      <c r="A246" s="147" t="s">
        <v>4678</v>
      </c>
      <c r="B246" s="521">
        <v>129</v>
      </c>
      <c r="C246" s="521"/>
      <c r="D246" s="142" t="s">
        <v>34</v>
      </c>
      <c r="E246" s="142" t="s">
        <v>4554</v>
      </c>
      <c r="F246" s="143">
        <v>45351</v>
      </c>
      <c r="G246" s="143"/>
      <c r="H246" s="142" t="s">
        <v>23</v>
      </c>
      <c r="I246" s="522"/>
      <c r="J246" s="522"/>
      <c r="K246" s="522">
        <v>356</v>
      </c>
      <c r="L246" s="523">
        <v>4</v>
      </c>
      <c r="M246" s="443">
        <f>Таблица4[[#This Row],[Количество хлыстов]]-Таблица4[[#This Row],[Готово, хл]]-Таблица4[[#This Row],[Вывезено, хл]]</f>
        <v>0</v>
      </c>
      <c r="N246" s="444">
        <f>(Таблица4[[#This Row],[Осталось сделать, хлыст]]*Таблица4[[#This Row],[длина]]*Таблица4[[#This Row],[Периметр]])/28</f>
        <v>0</v>
      </c>
      <c r="O246" s="524" t="s">
        <v>3080</v>
      </c>
      <c r="P246" s="647">
        <v>3.4</v>
      </c>
      <c r="Q246" s="142" t="s">
        <v>4555</v>
      </c>
      <c r="R246" s="525">
        <v>1224</v>
      </c>
      <c r="S246" s="526">
        <v>360</v>
      </c>
      <c r="T246" s="669">
        <v>0.18279999999999999</v>
      </c>
      <c r="U246" s="669">
        <v>0.59099999999999997</v>
      </c>
      <c r="V246" s="669">
        <v>223.74719999999999</v>
      </c>
      <c r="W246" s="525">
        <v>723.38400000000001</v>
      </c>
      <c r="X246" s="525">
        <v>29.09</v>
      </c>
      <c r="Y246" s="525">
        <v>74.03</v>
      </c>
      <c r="Z246" s="525">
        <v>405</v>
      </c>
      <c r="AA246" s="527">
        <v>90617.62</v>
      </c>
    </row>
    <row r="247" spans="1:27" ht="17.45" hidden="1" customHeight="1" x14ac:dyDescent="0.25">
      <c r="A247" s="147" t="s">
        <v>4678</v>
      </c>
      <c r="B247" s="521" t="s">
        <v>4915</v>
      </c>
      <c r="C247" s="521"/>
      <c r="D247" s="142" t="s">
        <v>34</v>
      </c>
      <c r="E247" s="142" t="s">
        <v>16</v>
      </c>
      <c r="F247" s="143">
        <v>45351</v>
      </c>
      <c r="G247" s="143"/>
      <c r="H247" s="142" t="s">
        <v>23</v>
      </c>
      <c r="I247" s="522"/>
      <c r="J247" s="522"/>
      <c r="K247" s="522"/>
      <c r="L247" s="523">
        <f>12+6+14</f>
        <v>32</v>
      </c>
      <c r="M247" s="443">
        <f>Таблица4[[#This Row],[Количество хлыстов]]-Таблица4[[#This Row],[Готово, хл]]-Таблица4[[#This Row],[Вывезено, хл]]</f>
        <v>0</v>
      </c>
      <c r="N247" s="444">
        <f>(Таблица4[[#This Row],[Осталось сделать, хлыст]]*Таблица4[[#This Row],[длина]]*Таблица4[[#This Row],[Периметр]])/28</f>
        <v>0</v>
      </c>
      <c r="O247" s="524" t="s">
        <v>4401</v>
      </c>
      <c r="P247" s="647">
        <v>6</v>
      </c>
      <c r="Q247" s="142" t="s">
        <v>2581</v>
      </c>
      <c r="R247" s="525">
        <v>192</v>
      </c>
      <c r="S247" s="526">
        <v>32</v>
      </c>
      <c r="T247" s="669">
        <v>0.56989999999999996</v>
      </c>
      <c r="U247" s="669">
        <v>1.304</v>
      </c>
      <c r="V247" s="669">
        <v>109.4208</v>
      </c>
      <c r="W247" s="525">
        <v>250.36799999999999</v>
      </c>
      <c r="X247" s="525">
        <v>14.22</v>
      </c>
      <c r="Y247" s="525">
        <v>290.64999999999998</v>
      </c>
      <c r="Z247" s="525">
        <v>510</v>
      </c>
      <c r="AA247" s="527">
        <v>55804.61</v>
      </c>
    </row>
    <row r="248" spans="1:27" ht="17.45" hidden="1" customHeight="1" x14ac:dyDescent="0.25">
      <c r="A248" s="147" t="s">
        <v>4678</v>
      </c>
      <c r="B248" s="521" t="s">
        <v>4916</v>
      </c>
      <c r="C248" s="521"/>
      <c r="D248" s="142" t="s">
        <v>34</v>
      </c>
      <c r="E248" s="142" t="s">
        <v>16</v>
      </c>
      <c r="F248" s="143">
        <v>45351</v>
      </c>
      <c r="G248" s="143"/>
      <c r="H248" s="142" t="s">
        <v>23</v>
      </c>
      <c r="I248" s="522"/>
      <c r="J248" s="522"/>
      <c r="K248" s="522"/>
      <c r="L248" s="523">
        <f>50+49</f>
        <v>99</v>
      </c>
      <c r="M248" s="443">
        <f>Таблица4[[#This Row],[Количество хлыстов]]-Таблица4[[#This Row],[Готово, хл]]-Таблица4[[#This Row],[Вывезено, хл]]</f>
        <v>0</v>
      </c>
      <c r="N248" s="444">
        <f>(Таблица4[[#This Row],[Осталось сделать, хлыст]]*Таблица4[[#This Row],[длина]]*Таблица4[[#This Row],[Периметр]])/28</f>
        <v>0</v>
      </c>
      <c r="O248" s="142"/>
      <c r="P248" s="647">
        <v>6</v>
      </c>
      <c r="Q248" s="142" t="s">
        <v>2730</v>
      </c>
      <c r="R248" s="525">
        <v>594</v>
      </c>
      <c r="S248" s="526">
        <v>99</v>
      </c>
      <c r="T248" s="669">
        <v>0.3498</v>
      </c>
      <c r="U248" s="669">
        <v>1.425</v>
      </c>
      <c r="V248" s="669">
        <v>207.78120000000001</v>
      </c>
      <c r="W248" s="525">
        <v>846.45</v>
      </c>
      <c r="X248" s="525">
        <v>27.01</v>
      </c>
      <c r="Y248" s="525">
        <v>136.41999999999999</v>
      </c>
      <c r="Z248" s="525">
        <v>390</v>
      </c>
      <c r="AA248" s="527">
        <v>81034.67</v>
      </c>
    </row>
    <row r="249" spans="1:27" ht="17.25" hidden="1" customHeight="1" x14ac:dyDescent="0.25">
      <c r="A249" s="147" t="s">
        <v>4678</v>
      </c>
      <c r="B249" s="521" t="s">
        <v>4917</v>
      </c>
      <c r="C249" s="521"/>
      <c r="D249" s="142" t="s">
        <v>34</v>
      </c>
      <c r="E249" s="142" t="s">
        <v>16</v>
      </c>
      <c r="F249" s="143">
        <v>45351</v>
      </c>
      <c r="G249" s="143"/>
      <c r="H249" s="142" t="s">
        <v>23</v>
      </c>
      <c r="I249" s="522"/>
      <c r="J249" s="522"/>
      <c r="K249" s="522">
        <f>21+3</f>
        <v>24</v>
      </c>
      <c r="L249" s="523">
        <f>21+1</f>
        <v>22</v>
      </c>
      <c r="M249" s="443">
        <f>Таблица4[[#This Row],[Количество хлыстов]]-Таблица4[[#This Row],[Готово, хл]]-Таблица4[[#This Row],[Вывезено, хл]]</f>
        <v>0</v>
      </c>
      <c r="N249" s="444">
        <f>(Таблица4[[#This Row],[Осталось сделать, хлыст]]*Таблица4[[#This Row],[длина]]*Таблица4[[#This Row],[Периметр]])/28</f>
        <v>0</v>
      </c>
      <c r="O249" s="142" t="s">
        <v>5106</v>
      </c>
      <c r="P249" s="647">
        <v>6</v>
      </c>
      <c r="Q249" s="142" t="s">
        <v>2469</v>
      </c>
      <c r="R249" s="525">
        <v>276</v>
      </c>
      <c r="S249" s="526">
        <v>46</v>
      </c>
      <c r="T249" s="669">
        <v>0.70820000000000005</v>
      </c>
      <c r="U249" s="669">
        <v>3.4609999999999999</v>
      </c>
      <c r="V249" s="669">
        <v>195.4632</v>
      </c>
      <c r="W249" s="525">
        <v>955.23599999999999</v>
      </c>
      <c r="X249" s="525">
        <v>25.41</v>
      </c>
      <c r="Y249" s="525">
        <v>276.2</v>
      </c>
      <c r="Z249" s="525">
        <v>390</v>
      </c>
      <c r="AA249" s="527">
        <v>76231.199999999997</v>
      </c>
    </row>
    <row r="250" spans="1:27" ht="17.45" hidden="1" customHeight="1" x14ac:dyDescent="0.25">
      <c r="A250" s="147" t="s">
        <v>4678</v>
      </c>
      <c r="B250" s="521">
        <v>130</v>
      </c>
      <c r="C250" s="521"/>
      <c r="D250" s="142" t="s">
        <v>13</v>
      </c>
      <c r="E250" s="142" t="s">
        <v>4870</v>
      </c>
      <c r="F250" s="143">
        <v>45351</v>
      </c>
      <c r="G250" s="143"/>
      <c r="H250" s="142" t="s">
        <v>23</v>
      </c>
      <c r="I250" s="522"/>
      <c r="J250" s="522"/>
      <c r="K250" s="522"/>
      <c r="L250" s="523"/>
      <c r="M250" s="443">
        <f>Таблица4[[#This Row],[Количество хлыстов]]-Таблица4[[#This Row],[Готово, хл]]-Таблица4[[#This Row],[Вывезено, хл]]</f>
        <v>384</v>
      </c>
      <c r="N250" s="564">
        <f>Таблица4[[#This Row],[Площадь общая, м2]]/28</f>
        <v>5.4562285714285723</v>
      </c>
      <c r="O250" s="142"/>
      <c r="P250" s="647">
        <v>5.45</v>
      </c>
      <c r="Q250" s="142" t="s">
        <v>4918</v>
      </c>
      <c r="R250" s="525">
        <v>2092.8000000000002</v>
      </c>
      <c r="S250" s="526">
        <v>384</v>
      </c>
      <c r="T250" s="669">
        <v>7.2999999999999995E-2</v>
      </c>
      <c r="U250" s="669">
        <v>0.121</v>
      </c>
      <c r="V250" s="669">
        <v>152.77440000000001</v>
      </c>
      <c r="W250" s="525">
        <v>253.22880000000001</v>
      </c>
      <c r="X250" s="525">
        <v>19.86</v>
      </c>
      <c r="Y250" s="525">
        <v>37.6</v>
      </c>
      <c r="Z250" s="525">
        <v>515</v>
      </c>
      <c r="AA250" s="527">
        <v>78678.820000000007</v>
      </c>
    </row>
    <row r="251" spans="1:27" ht="17.45" hidden="1" customHeight="1" x14ac:dyDescent="0.25">
      <c r="A251" s="147" t="s">
        <v>4678</v>
      </c>
      <c r="B251" s="521">
        <v>82</v>
      </c>
      <c r="C251" s="521" t="s">
        <v>4753</v>
      </c>
      <c r="D251" s="142" t="s">
        <v>34</v>
      </c>
      <c r="E251" s="142" t="s">
        <v>4933</v>
      </c>
      <c r="F251" s="143">
        <v>45348</v>
      </c>
      <c r="G251" s="143"/>
      <c r="H251" s="142" t="s">
        <v>23</v>
      </c>
      <c r="I251" s="522"/>
      <c r="J251" s="522"/>
      <c r="K251" s="522"/>
      <c r="L251" s="523"/>
      <c r="M251" s="443">
        <f>Таблица4[[#This Row],[Количество хлыстов]]-Таблица4[[#This Row],[Готово, хл]]-Таблица4[[#This Row],[Вывезено, хл]]</f>
        <v>6</v>
      </c>
      <c r="N251" s="670">
        <v>0.5</v>
      </c>
      <c r="O251" s="142"/>
      <c r="P251" s="647">
        <v>6</v>
      </c>
      <c r="Q251" s="142" t="s">
        <v>4920</v>
      </c>
      <c r="R251" s="525">
        <v>36</v>
      </c>
      <c r="S251" s="526">
        <v>6</v>
      </c>
      <c r="T251" s="669"/>
      <c r="U251" s="669"/>
      <c r="V251" s="669"/>
      <c r="W251" s="525"/>
      <c r="X251" s="525" t="s">
        <v>4927</v>
      </c>
      <c r="Y251" s="525"/>
      <c r="Z251" s="525"/>
      <c r="AA251" s="527"/>
    </row>
    <row r="252" spans="1:27" ht="17.45" hidden="1" customHeight="1" x14ac:dyDescent="0.25">
      <c r="A252" s="147" t="s">
        <v>4678</v>
      </c>
      <c r="B252" s="521">
        <v>82</v>
      </c>
      <c r="C252" s="521" t="s">
        <v>4753</v>
      </c>
      <c r="D252" s="142" t="s">
        <v>34</v>
      </c>
      <c r="E252" s="142" t="s">
        <v>4933</v>
      </c>
      <c r="F252" s="143">
        <v>45348</v>
      </c>
      <c r="G252" s="143"/>
      <c r="H252" s="142" t="s">
        <v>23</v>
      </c>
      <c r="I252" s="522"/>
      <c r="J252" s="522"/>
      <c r="K252" s="522"/>
      <c r="L252" s="523"/>
      <c r="M252" s="443">
        <f>Таблица4[[#This Row],[Количество хлыстов]]-Таблица4[[#This Row],[Готово, хл]]-Таблица4[[#This Row],[Вывезено, хл]]</f>
        <v>8</v>
      </c>
      <c r="N252" s="670">
        <v>0.1</v>
      </c>
      <c r="O252" s="142"/>
      <c r="P252" s="647">
        <v>7</v>
      </c>
      <c r="Q252" s="142" t="s">
        <v>4921</v>
      </c>
      <c r="R252" s="525">
        <v>48</v>
      </c>
      <c r="S252" s="526">
        <v>8</v>
      </c>
      <c r="T252" s="669"/>
      <c r="U252" s="669"/>
      <c r="V252" s="669"/>
      <c r="W252" s="525"/>
      <c r="X252" s="525" t="s">
        <v>4928</v>
      </c>
      <c r="Y252" s="525"/>
      <c r="Z252" s="525"/>
      <c r="AA252" s="527"/>
    </row>
    <row r="253" spans="1:27" ht="17.45" hidden="1" customHeight="1" x14ac:dyDescent="0.25">
      <c r="A253" s="147" t="s">
        <v>4678</v>
      </c>
      <c r="B253" s="521">
        <v>82</v>
      </c>
      <c r="C253" s="521" t="s">
        <v>4753</v>
      </c>
      <c r="D253" s="142" t="s">
        <v>34</v>
      </c>
      <c r="E253" s="142" t="s">
        <v>4933</v>
      </c>
      <c r="F253" s="143">
        <v>45348</v>
      </c>
      <c r="G253" s="143"/>
      <c r="H253" s="142" t="s">
        <v>23</v>
      </c>
      <c r="I253" s="522"/>
      <c r="J253" s="522"/>
      <c r="K253" s="522"/>
      <c r="L253" s="523"/>
      <c r="M253" s="443">
        <f>Таблица4[[#This Row],[Количество хлыстов]]-Таблица4[[#This Row],[Готово, хл]]-Таблица4[[#This Row],[Вывезено, хл]]</f>
        <v>9</v>
      </c>
      <c r="N253" s="670">
        <v>1</v>
      </c>
      <c r="O253" s="142"/>
      <c r="P253" s="647">
        <v>8</v>
      </c>
      <c r="Q253" s="142" t="s">
        <v>4922</v>
      </c>
      <c r="R253" s="525">
        <v>54</v>
      </c>
      <c r="S253" s="526">
        <v>9</v>
      </c>
      <c r="T253" s="669"/>
      <c r="U253" s="669"/>
      <c r="V253" s="669"/>
      <c r="W253" s="525"/>
      <c r="X253" s="525" t="s">
        <v>4929</v>
      </c>
      <c r="Y253" s="525"/>
      <c r="Z253" s="525"/>
      <c r="AA253" s="527"/>
    </row>
    <row r="254" spans="1:27" ht="17.45" hidden="1" customHeight="1" x14ac:dyDescent="0.25">
      <c r="A254" s="147" t="s">
        <v>4678</v>
      </c>
      <c r="B254" s="521">
        <v>82</v>
      </c>
      <c r="C254" s="521" t="s">
        <v>4753</v>
      </c>
      <c r="D254" s="142" t="s">
        <v>34</v>
      </c>
      <c r="E254" s="142" t="s">
        <v>4933</v>
      </c>
      <c r="F254" s="143">
        <v>45348</v>
      </c>
      <c r="G254" s="143"/>
      <c r="H254" s="142" t="s">
        <v>23</v>
      </c>
      <c r="I254" s="522"/>
      <c r="J254" s="522"/>
      <c r="K254" s="522"/>
      <c r="L254" s="393"/>
      <c r="M254" s="443">
        <f>Таблица4[[#This Row],[Количество хлыстов]]-Таблица4[[#This Row],[Готово, хл]]-Таблица4[[#This Row],[Вывезено, хл]]</f>
        <v>6</v>
      </c>
      <c r="N254" s="670">
        <v>0.5</v>
      </c>
      <c r="O254" s="142"/>
      <c r="P254" s="647">
        <v>9</v>
      </c>
      <c r="Q254" s="525" t="s">
        <v>4923</v>
      </c>
      <c r="R254" s="525">
        <v>36</v>
      </c>
      <c r="S254" s="526">
        <v>6</v>
      </c>
      <c r="T254" s="525"/>
      <c r="U254" s="525"/>
      <c r="V254" s="525"/>
      <c r="W254" s="525"/>
      <c r="X254" s="525" t="s">
        <v>4927</v>
      </c>
      <c r="Y254" s="525"/>
      <c r="Z254" s="525"/>
      <c r="AA254" s="527"/>
    </row>
    <row r="255" spans="1:27" ht="17.45" hidden="1" customHeight="1" x14ac:dyDescent="0.25">
      <c r="A255" s="147" t="s">
        <v>4678</v>
      </c>
      <c r="B255" s="521">
        <v>82</v>
      </c>
      <c r="C255" s="521" t="s">
        <v>4753</v>
      </c>
      <c r="D255" s="142" t="s">
        <v>34</v>
      </c>
      <c r="E255" s="142" t="s">
        <v>4933</v>
      </c>
      <c r="F255" s="143">
        <v>45348</v>
      </c>
      <c r="G255" s="143"/>
      <c r="H255" s="142" t="s">
        <v>23</v>
      </c>
      <c r="I255" s="522"/>
      <c r="J255" s="522"/>
      <c r="K255" s="522"/>
      <c r="L255" s="393"/>
      <c r="M255" s="443">
        <f>Таблица4[[#This Row],[Количество хлыстов]]-Таблица4[[#This Row],[Готово, хл]]-Таблица4[[#This Row],[Вывезено, хл]]</f>
        <v>7</v>
      </c>
      <c r="N255" s="670">
        <v>0.4</v>
      </c>
      <c r="O255" s="142"/>
      <c r="P255" s="647">
        <v>10</v>
      </c>
      <c r="Q255" s="525" t="s">
        <v>4924</v>
      </c>
      <c r="R255" s="525">
        <v>42</v>
      </c>
      <c r="S255" s="526">
        <v>7</v>
      </c>
      <c r="T255" s="525"/>
      <c r="U255" s="525"/>
      <c r="V255" s="525"/>
      <c r="W255" s="525"/>
      <c r="X255" s="525" t="s">
        <v>4930</v>
      </c>
      <c r="Y255" s="525"/>
      <c r="Z255" s="525"/>
      <c r="AA255" s="527"/>
    </row>
    <row r="256" spans="1:27" ht="17.45" hidden="1" customHeight="1" x14ac:dyDescent="0.25">
      <c r="A256" s="147" t="s">
        <v>4678</v>
      </c>
      <c r="B256" s="521">
        <v>82</v>
      </c>
      <c r="C256" s="521" t="s">
        <v>4753</v>
      </c>
      <c r="D256" s="142" t="s">
        <v>34</v>
      </c>
      <c r="E256" s="142" t="s">
        <v>4933</v>
      </c>
      <c r="F256" s="143">
        <v>45348</v>
      </c>
      <c r="G256" s="143"/>
      <c r="H256" s="142" t="s">
        <v>23</v>
      </c>
      <c r="I256" s="522"/>
      <c r="J256" s="522"/>
      <c r="K256" s="522"/>
      <c r="L256" s="393"/>
      <c r="M256" s="443">
        <f>Таблица4[[#This Row],[Количество хлыстов]]-Таблица4[[#This Row],[Готово, хл]]-Таблица4[[#This Row],[Вывезено, хл]]</f>
        <v>12</v>
      </c>
      <c r="N256" s="670">
        <v>0.3</v>
      </c>
      <c r="O256" s="142"/>
      <c r="P256" s="647">
        <v>11</v>
      </c>
      <c r="Q256" s="525" t="s">
        <v>4925</v>
      </c>
      <c r="R256" s="525">
        <v>72</v>
      </c>
      <c r="S256" s="526">
        <v>12</v>
      </c>
      <c r="T256" s="525"/>
      <c r="U256" s="525"/>
      <c r="V256" s="525"/>
      <c r="W256" s="525"/>
      <c r="X256" s="525" t="s">
        <v>4931</v>
      </c>
      <c r="Y256" s="525"/>
      <c r="Z256" s="525"/>
      <c r="AA256" s="527"/>
    </row>
    <row r="257" spans="1:27" ht="17.45" hidden="1" customHeight="1" x14ac:dyDescent="0.25">
      <c r="A257" s="147" t="s">
        <v>4678</v>
      </c>
      <c r="B257" s="521">
        <v>82</v>
      </c>
      <c r="C257" s="521" t="s">
        <v>4753</v>
      </c>
      <c r="D257" s="142" t="s">
        <v>34</v>
      </c>
      <c r="E257" s="142" t="s">
        <v>4933</v>
      </c>
      <c r="F257" s="143">
        <v>45348</v>
      </c>
      <c r="G257" s="148"/>
      <c r="H257" s="142" t="s">
        <v>23</v>
      </c>
      <c r="I257" s="645"/>
      <c r="J257" s="645"/>
      <c r="K257" s="645"/>
      <c r="L257" s="394"/>
      <c r="M257" s="443">
        <f>Таблица4[[#This Row],[Количество хлыстов]]-Таблица4[[#This Row],[Готово, хл]]-Таблица4[[#This Row],[Вывезено, хл]]</f>
        <v>4</v>
      </c>
      <c r="N257" s="670">
        <v>0.2</v>
      </c>
      <c r="O257" s="145"/>
      <c r="P257" s="647">
        <v>12</v>
      </c>
      <c r="Q257" s="280" t="s">
        <v>4926</v>
      </c>
      <c r="R257" s="280">
        <v>24</v>
      </c>
      <c r="S257" s="322">
        <v>4</v>
      </c>
      <c r="T257" s="280"/>
      <c r="U257" s="280"/>
      <c r="V257" s="280"/>
      <c r="W257" s="280"/>
      <c r="X257" s="280" t="s">
        <v>4932</v>
      </c>
      <c r="Y257" s="280"/>
      <c r="Z257" s="280"/>
      <c r="AA257" s="397"/>
    </row>
    <row r="258" spans="1:27" ht="17.45" hidden="1" customHeight="1" x14ac:dyDescent="0.25">
      <c r="A258" s="147" t="s">
        <v>4678</v>
      </c>
      <c r="B258" s="521">
        <v>134</v>
      </c>
      <c r="C258" s="521"/>
      <c r="D258" s="145" t="s">
        <v>34</v>
      </c>
      <c r="E258" s="145" t="s">
        <v>3404</v>
      </c>
      <c r="F258" s="143">
        <v>45356</v>
      </c>
      <c r="G258" s="143"/>
      <c r="H258" s="142" t="s">
        <v>23</v>
      </c>
      <c r="I258" s="522"/>
      <c r="J258" s="522"/>
      <c r="K258" s="522">
        <v>6</v>
      </c>
      <c r="L258" s="393"/>
      <c r="M258" s="443">
        <f>Таблица4[[#This Row],[Количество хлыстов]]-Таблица4[[#This Row],[Готово, хл]]-Таблица4[[#This Row],[Вывезено, хл]]</f>
        <v>0</v>
      </c>
      <c r="N258" s="564">
        <f>Таблица4[[#This Row],[Площадь общая, м2]]/28</f>
        <v>0.39535714285714285</v>
      </c>
      <c r="O258" s="142"/>
      <c r="P258" s="647">
        <v>6</v>
      </c>
      <c r="Q258" s="525" t="s">
        <v>4940</v>
      </c>
      <c r="R258" s="525">
        <v>36</v>
      </c>
      <c r="S258" s="526">
        <v>6</v>
      </c>
      <c r="T258" s="525">
        <v>0.3075</v>
      </c>
      <c r="U258" s="525">
        <v>0.85</v>
      </c>
      <c r="V258" s="525">
        <v>11.07</v>
      </c>
      <c r="W258" s="525">
        <v>30.6</v>
      </c>
      <c r="X258" s="525">
        <v>1.44</v>
      </c>
      <c r="Y258" s="525">
        <v>113.78</v>
      </c>
      <c r="Z258" s="525">
        <v>370</v>
      </c>
      <c r="AA258" s="527">
        <v>4096.08</v>
      </c>
    </row>
    <row r="259" spans="1:27" s="421" customFormat="1" ht="17.45" hidden="1" customHeight="1" x14ac:dyDescent="0.25">
      <c r="A259" s="507" t="s">
        <v>4978</v>
      </c>
      <c r="B259" s="657">
        <v>135</v>
      </c>
      <c r="C259" s="509"/>
      <c r="D259" s="509" t="s">
        <v>34</v>
      </c>
      <c r="E259" s="509" t="s">
        <v>4718</v>
      </c>
      <c r="F259" s="619">
        <v>45356</v>
      </c>
      <c r="G259" s="619"/>
      <c r="H259" s="142" t="s">
        <v>23</v>
      </c>
      <c r="I259" s="620"/>
      <c r="J259" s="620"/>
      <c r="K259" s="620"/>
      <c r="L259" s="621">
        <v>2</v>
      </c>
      <c r="M259" s="443">
        <f>Таблица4[[#This Row],[Количество хлыстов]]-Таблица4[[#This Row],[Готово, хл]]-Таблица4[[#This Row],[Вывезено, хл]]</f>
        <v>36</v>
      </c>
      <c r="N259" s="654">
        <f>Таблица4[[#This Row],[Площадь общая, м2]]/28</f>
        <v>7.2040142857142859</v>
      </c>
      <c r="O259" s="618" t="s">
        <v>4944</v>
      </c>
      <c r="P259" s="671"/>
      <c r="Q259" s="618" t="s">
        <v>4941</v>
      </c>
      <c r="R259" s="622">
        <v>231.8</v>
      </c>
      <c r="S259" s="623">
        <v>38</v>
      </c>
      <c r="T259" s="672">
        <v>0.87019999999999997</v>
      </c>
      <c r="U259" s="672">
        <v>3.4220000000000002</v>
      </c>
      <c r="V259" s="672">
        <v>201.7124</v>
      </c>
      <c r="W259" s="622">
        <v>793.21960000000001</v>
      </c>
      <c r="X259" s="622">
        <v>26.22</v>
      </c>
      <c r="Y259" s="622">
        <v>302.61</v>
      </c>
      <c r="Z259" s="622">
        <v>347.75</v>
      </c>
      <c r="AA259" s="624">
        <v>70145.47</v>
      </c>
    </row>
    <row r="260" spans="1:27" s="421" customFormat="1" ht="17.45" hidden="1" customHeight="1" x14ac:dyDescent="0.25">
      <c r="A260" s="507" t="s">
        <v>4978</v>
      </c>
      <c r="B260" s="657">
        <v>135</v>
      </c>
      <c r="C260" s="509"/>
      <c r="D260" s="509" t="s">
        <v>34</v>
      </c>
      <c r="E260" s="509" t="s">
        <v>4718</v>
      </c>
      <c r="F260" s="619">
        <v>45356</v>
      </c>
      <c r="G260" s="619"/>
      <c r="H260" s="142" t="s">
        <v>23</v>
      </c>
      <c r="I260" s="620"/>
      <c r="J260" s="620"/>
      <c r="K260" s="620"/>
      <c r="L260" s="621"/>
      <c r="M260" s="443">
        <f>Таблица4[[#This Row],[Количество хлыстов]]-Таблица4[[#This Row],[Готово, хл]]-Таблица4[[#This Row],[Вывезено, хл]]</f>
        <v>44</v>
      </c>
      <c r="N260" s="654">
        <f>Таблица4[[#This Row],[Площадь общая, м2]]/28</f>
        <v>0.9806178571428571</v>
      </c>
      <c r="O260" s="618" t="s">
        <v>4944</v>
      </c>
      <c r="P260" s="671"/>
      <c r="Q260" s="618" t="s">
        <v>4942</v>
      </c>
      <c r="R260" s="622">
        <v>268.39999999999998</v>
      </c>
      <c r="S260" s="623">
        <v>44</v>
      </c>
      <c r="T260" s="672">
        <v>0.1023</v>
      </c>
      <c r="U260" s="672">
        <v>0.28599999999999998</v>
      </c>
      <c r="V260" s="672">
        <v>27.4573</v>
      </c>
      <c r="W260" s="622">
        <v>76.7624</v>
      </c>
      <c r="X260" s="622">
        <v>3.57</v>
      </c>
      <c r="Y260" s="622">
        <v>31.28</v>
      </c>
      <c r="Z260" s="622">
        <v>305.75</v>
      </c>
      <c r="AA260" s="624">
        <v>8395.08</v>
      </c>
    </row>
    <row r="261" spans="1:27" s="421" customFormat="1" ht="17.45" hidden="1" customHeight="1" x14ac:dyDescent="0.25">
      <c r="A261" s="507" t="s">
        <v>4978</v>
      </c>
      <c r="B261" s="657">
        <v>136</v>
      </c>
      <c r="C261" s="509"/>
      <c r="D261" s="509" t="s">
        <v>34</v>
      </c>
      <c r="E261" s="509" t="s">
        <v>4718</v>
      </c>
      <c r="F261" s="619">
        <v>45356</v>
      </c>
      <c r="G261" s="619"/>
      <c r="H261" s="142" t="s">
        <v>23</v>
      </c>
      <c r="I261" s="620"/>
      <c r="J261" s="620"/>
      <c r="K261" s="620"/>
      <c r="L261" s="621">
        <v>10</v>
      </c>
      <c r="M261" s="443">
        <f>Таблица4[[#This Row],[Количество хлыстов]]-Таблица4[[#This Row],[Готово, хл]]-Таблица4[[#This Row],[Вывезено, хл]]</f>
        <v>0</v>
      </c>
      <c r="N261" s="654">
        <f>Таблица4[[#This Row],[Площадь общая, м2]]/28</f>
        <v>1.8957928571428571</v>
      </c>
      <c r="O261" s="618" t="s">
        <v>4943</v>
      </c>
      <c r="P261" s="671"/>
      <c r="Q261" s="618" t="s">
        <v>4941</v>
      </c>
      <c r="R261" s="622">
        <v>61</v>
      </c>
      <c r="S261" s="623">
        <v>10</v>
      </c>
      <c r="T261" s="672">
        <v>0.87019999999999997</v>
      </c>
      <c r="U261" s="672">
        <v>3.4220000000000002</v>
      </c>
      <c r="V261" s="672">
        <v>53.0822</v>
      </c>
      <c r="W261" s="622">
        <v>208.74199999999999</v>
      </c>
      <c r="X261" s="622">
        <v>6.9</v>
      </c>
      <c r="Y261" s="622">
        <v>302.61</v>
      </c>
      <c r="Z261" s="622">
        <v>347.75</v>
      </c>
      <c r="AA261" s="624">
        <v>18459.21</v>
      </c>
    </row>
    <row r="262" spans="1:27" s="421" customFormat="1" ht="17.45" hidden="1" customHeight="1" x14ac:dyDescent="0.25">
      <c r="A262" s="507" t="s">
        <v>4978</v>
      </c>
      <c r="B262" s="657">
        <v>136</v>
      </c>
      <c r="C262" s="509"/>
      <c r="D262" s="509" t="s">
        <v>34</v>
      </c>
      <c r="E262" s="509" t="s">
        <v>4718</v>
      </c>
      <c r="F262" s="619">
        <v>45356</v>
      </c>
      <c r="G262" s="619"/>
      <c r="H262" s="142" t="s">
        <v>23</v>
      </c>
      <c r="I262" s="620"/>
      <c r="J262" s="620"/>
      <c r="K262" s="620"/>
      <c r="L262" s="621">
        <v>11</v>
      </c>
      <c r="M262" s="443">
        <f>Таблица4[[#This Row],[Количество хлыстов]]-Таблица4[[#This Row],[Готово, хл]]-Таблица4[[#This Row],[Вывезено, хл]]</f>
        <v>0</v>
      </c>
      <c r="N262" s="654">
        <f>Таблица4[[#This Row],[Площадь общая, м2]]/28</f>
        <v>0.24515357142857144</v>
      </c>
      <c r="O262" s="618" t="s">
        <v>4943</v>
      </c>
      <c r="P262" s="671"/>
      <c r="Q262" s="618" t="s">
        <v>4942</v>
      </c>
      <c r="R262" s="622">
        <v>67.099999999999994</v>
      </c>
      <c r="S262" s="623">
        <v>11</v>
      </c>
      <c r="T262" s="672">
        <v>0.1023</v>
      </c>
      <c r="U262" s="672">
        <v>0.28599999999999998</v>
      </c>
      <c r="V262" s="672">
        <v>6.8643000000000001</v>
      </c>
      <c r="W262" s="622">
        <v>19.1906</v>
      </c>
      <c r="X262" s="622">
        <v>0.89</v>
      </c>
      <c r="Y262" s="622">
        <v>31.28</v>
      </c>
      <c r="Z262" s="622">
        <v>305.75</v>
      </c>
      <c r="AA262" s="624">
        <v>2098.89</v>
      </c>
    </row>
    <row r="263" spans="1:27" s="436" customFormat="1" ht="17.45" hidden="1" customHeight="1" x14ac:dyDescent="0.25">
      <c r="A263" s="423" t="s">
        <v>4678</v>
      </c>
      <c r="B263" s="602">
        <v>139</v>
      </c>
      <c r="C263" s="602" t="s">
        <v>4753</v>
      </c>
      <c r="D263" s="305" t="s">
        <v>13</v>
      </c>
      <c r="E263" s="305" t="s">
        <v>799</v>
      </c>
      <c r="F263" s="143">
        <v>45357</v>
      </c>
      <c r="G263" s="143"/>
      <c r="H263" s="162" t="s">
        <v>23</v>
      </c>
      <c r="I263" s="587"/>
      <c r="J263" s="587"/>
      <c r="K263" s="587">
        <v>15</v>
      </c>
      <c r="L263" s="689"/>
      <c r="M263" s="443">
        <f>Таблица4[[#This Row],[Количество хлыстов]]-Таблица4[[#This Row],[Готово, хл]]-Таблица4[[#This Row],[Вывезено, хл]]</f>
        <v>0</v>
      </c>
      <c r="N263" s="486">
        <f>(Таблица4[[#This Row],[Осталось сделать, хлыст]]*Таблица4[[#This Row],[длина]]*Таблица4[[#This Row],[Периметр]])/28</f>
        <v>0</v>
      </c>
      <c r="O263" s="25"/>
      <c r="P263" s="652">
        <v>6</v>
      </c>
      <c r="Q263" s="479" t="s">
        <v>4948</v>
      </c>
      <c r="R263" s="479">
        <v>90</v>
      </c>
      <c r="S263" s="480">
        <v>15</v>
      </c>
      <c r="T263" s="479">
        <v>0.31719999999999998</v>
      </c>
      <c r="U263" s="479">
        <v>1.405</v>
      </c>
      <c r="V263" s="479">
        <v>28.547999999999998</v>
      </c>
      <c r="W263" s="479">
        <v>126.45</v>
      </c>
      <c r="X263" s="479">
        <v>3.71</v>
      </c>
      <c r="Y263" s="479">
        <v>180</v>
      </c>
      <c r="Z263" s="479">
        <v>567.47</v>
      </c>
      <c r="AA263" s="481">
        <v>16200</v>
      </c>
    </row>
    <row r="264" spans="1:27" ht="17.45" hidden="1" customHeight="1" x14ac:dyDescent="0.25">
      <c r="A264" s="147" t="s">
        <v>4678</v>
      </c>
      <c r="B264" s="521">
        <v>144</v>
      </c>
      <c r="C264" s="521"/>
      <c r="D264" s="305" t="s">
        <v>13</v>
      </c>
      <c r="E264" s="142" t="s">
        <v>2973</v>
      </c>
      <c r="F264" s="143">
        <v>45362</v>
      </c>
      <c r="G264" s="143">
        <v>45384</v>
      </c>
      <c r="H264" s="142" t="s">
        <v>23</v>
      </c>
      <c r="I264" s="522"/>
      <c r="J264" s="522"/>
      <c r="K264" s="522">
        <v>52</v>
      </c>
      <c r="L264" s="393"/>
      <c r="M264" s="443">
        <f>Таблица4[[#This Row],[Количество хлыстов]]-Таблица4[[#This Row],[Готово, хл]]-Таблица4[[#This Row],[Вывезено, хл]]</f>
        <v>1</v>
      </c>
      <c r="N264" s="626">
        <f>Таблица4[[#This Row],[Площадь общая, м2]]/22</f>
        <v>2.9157227272727271</v>
      </c>
      <c r="O264" s="142" t="s">
        <v>559</v>
      </c>
      <c r="P264" s="647">
        <v>4.9000000000000004</v>
      </c>
      <c r="Q264" s="525" t="s">
        <v>1753</v>
      </c>
      <c r="R264" s="525">
        <v>259.7</v>
      </c>
      <c r="S264" s="526">
        <v>53</v>
      </c>
      <c r="T264" s="525">
        <v>0.247</v>
      </c>
      <c r="U264" s="525">
        <v>0.498</v>
      </c>
      <c r="V264" s="525">
        <v>64.145899999999997</v>
      </c>
      <c r="W264" s="525">
        <v>129.3306</v>
      </c>
      <c r="X264" s="525">
        <v>8.34</v>
      </c>
      <c r="Y264" s="525">
        <v>127.21</v>
      </c>
      <c r="Z264" s="525">
        <v>515</v>
      </c>
      <c r="AA264" s="527">
        <v>33035.14</v>
      </c>
    </row>
    <row r="265" spans="1:27" s="436" customFormat="1" ht="17.45" hidden="1" customHeight="1" x14ac:dyDescent="0.25">
      <c r="A265" s="171" t="s">
        <v>4678</v>
      </c>
      <c r="B265" s="625">
        <v>145</v>
      </c>
      <c r="C265" s="625"/>
      <c r="D265" s="697" t="s">
        <v>13</v>
      </c>
      <c r="E265" s="162" t="s">
        <v>37</v>
      </c>
      <c r="F265" s="168">
        <v>45362</v>
      </c>
      <c r="G265" s="168">
        <v>45398</v>
      </c>
      <c r="H265" s="162" t="s">
        <v>23</v>
      </c>
      <c r="I265" s="587"/>
      <c r="J265" s="587"/>
      <c r="K265" s="587"/>
      <c r="L265" s="689">
        <v>176</v>
      </c>
      <c r="M265" s="501">
        <f>Таблица4[[#This Row],[Количество хлыстов]]-Таблица4[[#This Row],[Готово, хл]]-Таблица4[[#This Row],[Вывезено, хл]]</f>
        <v>0</v>
      </c>
      <c r="N265" s="586">
        <f>5+15</f>
        <v>20</v>
      </c>
      <c r="O265" s="162" t="s">
        <v>4995</v>
      </c>
      <c r="P265" s="652">
        <v>3</v>
      </c>
      <c r="Q265" s="479" t="s">
        <v>3645</v>
      </c>
      <c r="R265" s="479">
        <v>528</v>
      </c>
      <c r="S265" s="480">
        <v>176</v>
      </c>
      <c r="T265" s="479">
        <v>0.27829999999999999</v>
      </c>
      <c r="U265" s="479">
        <v>0.98499999999999999</v>
      </c>
      <c r="V265" s="479">
        <v>146.94239999999999</v>
      </c>
      <c r="W265" s="479">
        <v>520.08000000000004</v>
      </c>
      <c r="X265" s="479">
        <v>19.100000000000001</v>
      </c>
      <c r="Y265" s="479" t="s">
        <v>17</v>
      </c>
      <c r="Z265" s="479" t="s">
        <v>17</v>
      </c>
      <c r="AA265" s="481" t="s">
        <v>17</v>
      </c>
    </row>
    <row r="266" spans="1:27" s="436" customFormat="1" ht="17.45" hidden="1" customHeight="1" x14ac:dyDescent="0.25">
      <c r="A266" s="171" t="s">
        <v>4678</v>
      </c>
      <c r="B266" s="625">
        <v>146</v>
      </c>
      <c r="C266" s="625"/>
      <c r="D266" s="697" t="s">
        <v>13</v>
      </c>
      <c r="E266" s="162" t="s">
        <v>37</v>
      </c>
      <c r="F266" s="168">
        <v>45362</v>
      </c>
      <c r="G266" s="168">
        <v>45414</v>
      </c>
      <c r="H266" s="162" t="s">
        <v>23</v>
      </c>
      <c r="I266" s="587"/>
      <c r="J266" s="587"/>
      <c r="K266" s="587"/>
      <c r="L266" s="689">
        <f>305+305+301</f>
        <v>911</v>
      </c>
      <c r="M266" s="501">
        <f>Таблица4[[#This Row],[Количество хлыстов]]-Таблица4[[#This Row],[Готово, хл]]-Таблица4[[#This Row],[Вывезено, хл]]</f>
        <v>0</v>
      </c>
      <c r="N266" s="478">
        <f>(Таблица4[[#This Row],[Осталось сделать, хлыст]]*Таблица4[[#This Row],[длина]]*Таблица4[[#This Row],[Периметр]])/28</f>
        <v>0</v>
      </c>
      <c r="O266" s="162"/>
      <c r="P266" s="652">
        <v>3</v>
      </c>
      <c r="Q266" s="479" t="s">
        <v>3949</v>
      </c>
      <c r="R266" s="479">
        <v>2733</v>
      </c>
      <c r="S266" s="480">
        <v>911</v>
      </c>
      <c r="T266" s="479">
        <v>0.12659999999999999</v>
      </c>
      <c r="U266" s="479">
        <v>0.30499999999999999</v>
      </c>
      <c r="V266" s="479">
        <v>345.99779999999998</v>
      </c>
      <c r="W266" s="479">
        <v>833.56500000000005</v>
      </c>
      <c r="X266" s="479">
        <v>44.98</v>
      </c>
      <c r="Y266" s="479">
        <v>51.91</v>
      </c>
      <c r="Z266" s="479">
        <v>410</v>
      </c>
      <c r="AA266" s="481">
        <v>141859.1</v>
      </c>
    </row>
    <row r="267" spans="1:27" ht="17.45" hidden="1" customHeight="1" x14ac:dyDescent="0.25">
      <c r="A267" s="147" t="s">
        <v>4678</v>
      </c>
      <c r="B267" s="521">
        <v>147</v>
      </c>
      <c r="C267" s="521"/>
      <c r="D267" s="305" t="s">
        <v>13</v>
      </c>
      <c r="E267" s="142" t="s">
        <v>37</v>
      </c>
      <c r="F267" s="143">
        <v>45362</v>
      </c>
      <c r="G267" s="143">
        <v>45414</v>
      </c>
      <c r="H267" s="142" t="s">
        <v>23</v>
      </c>
      <c r="I267" s="522"/>
      <c r="J267" s="522"/>
      <c r="K267" s="522"/>
      <c r="L267" s="393">
        <v>650</v>
      </c>
      <c r="M267" s="443">
        <f>Таблица4[[#This Row],[Количество хлыстов]]-Таблица4[[#This Row],[Готово, хл]]-Таблица4[[#This Row],[Вывезено, хл]]</f>
        <v>0</v>
      </c>
      <c r="N267" s="478">
        <f>(Таблица4[[#This Row],[Осталось сделать, хлыст]]*Таблица4[[#This Row],[длина]]*Таблица4[[#This Row],[Периметр]])/28</f>
        <v>0</v>
      </c>
      <c r="O267" s="142"/>
      <c r="P267" s="647">
        <v>3</v>
      </c>
      <c r="Q267" s="525" t="s">
        <v>4298</v>
      </c>
      <c r="R267" s="525">
        <v>1950</v>
      </c>
      <c r="S267" s="526">
        <v>650</v>
      </c>
      <c r="T267" s="525">
        <v>0.15190000000000001</v>
      </c>
      <c r="U267" s="525">
        <v>0.377</v>
      </c>
      <c r="V267" s="525">
        <v>296.20499999999998</v>
      </c>
      <c r="W267" s="525">
        <v>735.15</v>
      </c>
      <c r="X267" s="525">
        <v>38.51</v>
      </c>
      <c r="Y267" s="525">
        <v>62.28</v>
      </c>
      <c r="Z267" s="525">
        <v>410</v>
      </c>
      <c r="AA267" s="527">
        <v>121444.05</v>
      </c>
    </row>
    <row r="268" spans="1:27" s="431" customFormat="1" ht="17.45" hidden="1" customHeight="1" x14ac:dyDescent="0.25">
      <c r="A268" s="547" t="s">
        <v>4978</v>
      </c>
      <c r="B268" s="609">
        <v>148</v>
      </c>
      <c r="C268" s="609"/>
      <c r="D268" s="674" t="s">
        <v>13</v>
      </c>
      <c r="E268" s="610" t="s">
        <v>32</v>
      </c>
      <c r="F268" s="611">
        <v>45362</v>
      </c>
      <c r="G268" s="611"/>
      <c r="H268" s="610" t="s">
        <v>23</v>
      </c>
      <c r="I268" s="612"/>
      <c r="J268" s="612"/>
      <c r="K268" s="612"/>
      <c r="L268" s="612">
        <v>663</v>
      </c>
      <c r="M268" s="553">
        <f>Таблица4[[#This Row],[Количество хлыстов]]-Таблица4[[#This Row],[Готово, хл]]-Таблица4[[#This Row],[Вывезено, хл]]</f>
        <v>0</v>
      </c>
      <c r="N268" s="649">
        <f>Таблица4[[#This Row],[Площадь общая, м2]]/28</f>
        <v>12.262896428571429</v>
      </c>
      <c r="O268" s="610" t="s">
        <v>4731</v>
      </c>
      <c r="P268" s="650"/>
      <c r="Q268" s="614" t="s">
        <v>2964</v>
      </c>
      <c r="R268" s="614">
        <v>4044.3</v>
      </c>
      <c r="S268" s="615">
        <v>663</v>
      </c>
      <c r="T268" s="614">
        <v>8.4900000000000003E-2</v>
      </c>
      <c r="U268" s="614">
        <v>0.13700000000000001</v>
      </c>
      <c r="V268" s="614">
        <v>343.36110000000002</v>
      </c>
      <c r="W268" s="614">
        <v>554.06910000000005</v>
      </c>
      <c r="X268" s="614">
        <v>44.64</v>
      </c>
      <c r="Y268" s="614">
        <v>25.98</v>
      </c>
      <c r="Z268" s="614">
        <v>306</v>
      </c>
      <c r="AA268" s="616">
        <v>105068.49</v>
      </c>
    </row>
    <row r="269" spans="1:27" s="421" customFormat="1" ht="17.45" hidden="1" customHeight="1" x14ac:dyDescent="0.25">
      <c r="A269" s="419" t="s">
        <v>4979</v>
      </c>
      <c r="B269" s="617">
        <v>149</v>
      </c>
      <c r="C269" s="617"/>
      <c r="D269" s="676" t="s">
        <v>13</v>
      </c>
      <c r="E269" s="618" t="s">
        <v>32</v>
      </c>
      <c r="F269" s="619">
        <v>45362</v>
      </c>
      <c r="G269" s="619"/>
      <c r="H269" s="618" t="s">
        <v>23</v>
      </c>
      <c r="I269" s="620"/>
      <c r="J269" s="620"/>
      <c r="K269" s="620"/>
      <c r="L269" s="677">
        <v>451</v>
      </c>
      <c r="M269" s="443">
        <f>Таблица4[[#This Row],[Количество хлыстов]]-Таблица4[[#This Row],[Готово, хл]]-Таблица4[[#This Row],[Вывезено, хл]]</f>
        <v>0</v>
      </c>
      <c r="N269" s="654">
        <f>Таблица4[[#This Row],[Площадь общая, м2]]/28</f>
        <v>21.563517857142859</v>
      </c>
      <c r="O269" s="618"/>
      <c r="P269" s="671"/>
      <c r="Q269" s="622" t="s">
        <v>4855</v>
      </c>
      <c r="R269" s="622">
        <v>2277.5500000000002</v>
      </c>
      <c r="S269" s="623">
        <v>451</v>
      </c>
      <c r="T269" s="622">
        <v>0.2651</v>
      </c>
      <c r="U269" s="622">
        <v>0.82099999999999995</v>
      </c>
      <c r="V269" s="622">
        <v>603.77850000000001</v>
      </c>
      <c r="W269" s="622">
        <v>1869.8686</v>
      </c>
      <c r="X269" s="622">
        <v>78.489999999999995</v>
      </c>
      <c r="Y269" s="622">
        <v>85.36</v>
      </c>
      <c r="Z269" s="622">
        <v>322</v>
      </c>
      <c r="AA269" s="624">
        <v>194416.68</v>
      </c>
    </row>
    <row r="270" spans="1:27" s="421" customFormat="1" ht="17.45" hidden="1" customHeight="1" x14ac:dyDescent="0.25">
      <c r="A270" s="419" t="s">
        <v>4979</v>
      </c>
      <c r="B270" s="617">
        <v>149</v>
      </c>
      <c r="C270" s="617"/>
      <c r="D270" s="676" t="s">
        <v>13</v>
      </c>
      <c r="E270" s="618" t="s">
        <v>32</v>
      </c>
      <c r="F270" s="619">
        <v>45362</v>
      </c>
      <c r="G270" s="619"/>
      <c r="H270" s="618" t="s">
        <v>23</v>
      </c>
      <c r="I270" s="620"/>
      <c r="J270" s="620"/>
      <c r="K270" s="620"/>
      <c r="L270" s="677">
        <v>890</v>
      </c>
      <c r="M270" s="443">
        <f>Таблица4[[#This Row],[Количество хлыстов]]-Таблица4[[#This Row],[Готово, хл]]-Таблица4[[#This Row],[Вывезено, хл]]</f>
        <v>1</v>
      </c>
      <c r="N270" s="654">
        <f>Таблица4[[#This Row],[Площадь общая, м2]]/28</f>
        <v>14.754325</v>
      </c>
      <c r="O270" s="618" t="s">
        <v>559</v>
      </c>
      <c r="P270" s="671"/>
      <c r="Q270" s="622" t="s">
        <v>4774</v>
      </c>
      <c r="R270" s="622">
        <v>4321.3500000000004</v>
      </c>
      <c r="S270" s="623">
        <v>891</v>
      </c>
      <c r="T270" s="622">
        <v>9.5600000000000004E-2</v>
      </c>
      <c r="U270" s="622">
        <v>0.16</v>
      </c>
      <c r="V270" s="622">
        <v>413.12110000000001</v>
      </c>
      <c r="W270" s="622">
        <v>691.41600000000005</v>
      </c>
      <c r="X270" s="622">
        <v>53.71</v>
      </c>
      <c r="Y270" s="622">
        <v>29.25</v>
      </c>
      <c r="Z270" s="622">
        <v>306</v>
      </c>
      <c r="AA270" s="624">
        <v>126415.03999999999</v>
      </c>
    </row>
    <row r="271" spans="1:27" ht="17.45" hidden="1" customHeight="1" x14ac:dyDescent="0.25">
      <c r="A271" s="147" t="s">
        <v>4678</v>
      </c>
      <c r="B271" s="708">
        <v>151</v>
      </c>
      <c r="C271" s="708"/>
      <c r="D271" s="709" t="s">
        <v>13</v>
      </c>
      <c r="E271" s="709" t="s">
        <v>295</v>
      </c>
      <c r="F271" s="710">
        <v>45362</v>
      </c>
      <c r="G271" s="710">
        <v>45397</v>
      </c>
      <c r="H271" s="142" t="s">
        <v>23</v>
      </c>
      <c r="I271" s="522"/>
      <c r="J271" s="522"/>
      <c r="K271" s="522"/>
      <c r="L271" s="393"/>
      <c r="M271" s="443">
        <f>Таблица4[[#This Row],[Количество хлыстов]]-Таблица4[[#This Row],[Готово, хл]]-Таблица4[[#This Row],[Вывезено, хл]]</f>
        <v>240</v>
      </c>
      <c r="N271" s="444">
        <f>(Таблица4[[#This Row],[Осталось сделать, хлыст]]*Таблица4[[#This Row],[длина]]*Таблица4[[#This Row],[Периметр]])/28</f>
        <v>0.72</v>
      </c>
      <c r="O271" s="142"/>
      <c r="P271" s="647">
        <v>3</v>
      </c>
      <c r="Q271" s="525" t="s">
        <v>4955</v>
      </c>
      <c r="R271" s="525">
        <v>720</v>
      </c>
      <c r="S271" s="526">
        <v>240</v>
      </c>
      <c r="T271" s="525">
        <v>2.8000000000000001E-2</v>
      </c>
      <c r="U271" s="525">
        <v>7.0000000000000007E-2</v>
      </c>
      <c r="V271" s="525">
        <v>20.16</v>
      </c>
      <c r="W271" s="525">
        <v>50.4</v>
      </c>
      <c r="X271" s="525">
        <v>2.62</v>
      </c>
      <c r="Y271" s="525">
        <v>30.36</v>
      </c>
      <c r="Z271" s="525">
        <v>1084.33</v>
      </c>
      <c r="AA271" s="527">
        <v>21860</v>
      </c>
    </row>
    <row r="272" spans="1:27" ht="17.45" hidden="1" customHeight="1" x14ac:dyDescent="0.25">
      <c r="A272" s="147" t="s">
        <v>4678</v>
      </c>
      <c r="B272" s="521">
        <v>152</v>
      </c>
      <c r="C272" s="521" t="s">
        <v>4753</v>
      </c>
      <c r="D272" s="142" t="s">
        <v>13</v>
      </c>
      <c r="E272" s="142" t="s">
        <v>799</v>
      </c>
      <c r="F272" s="143">
        <v>45362</v>
      </c>
      <c r="G272" s="143">
        <v>45421</v>
      </c>
      <c r="H272" s="149" t="s">
        <v>23</v>
      </c>
      <c r="I272" s="522"/>
      <c r="J272" s="522"/>
      <c r="K272" s="522">
        <f>168+160</f>
        <v>328</v>
      </c>
      <c r="L272" s="393"/>
      <c r="M272" s="443">
        <f>Таблица4[[#This Row],[Количество хлыстов]]-Таблица4[[#This Row],[Готово, хл]]-Таблица4[[#This Row],[Вывезено, хл]]</f>
        <v>23</v>
      </c>
      <c r="N272" s="486">
        <f>(Таблица4[[#This Row],[Осталось сделать, хлыст]]*Таблица4[[#This Row],[длина]]*Таблица4[[#This Row],[Периметр]])/28</f>
        <v>0.49433571428571421</v>
      </c>
      <c r="O272" s="142" t="s">
        <v>5088</v>
      </c>
      <c r="P272" s="647">
        <v>5.0999999999999996</v>
      </c>
      <c r="Q272" s="525" t="s">
        <v>4956</v>
      </c>
      <c r="R272" s="525">
        <v>1677.9</v>
      </c>
      <c r="S272" s="526">
        <v>351</v>
      </c>
      <c r="T272" s="525">
        <v>0.11799999999999999</v>
      </c>
      <c r="U272" s="525">
        <v>0.308</v>
      </c>
      <c r="V272" s="525">
        <v>197.9922</v>
      </c>
      <c r="W272" s="525">
        <v>516.79319999999996</v>
      </c>
      <c r="X272" s="525">
        <v>25.74</v>
      </c>
      <c r="Y272" s="525">
        <v>71.02</v>
      </c>
      <c r="Z272" s="525">
        <v>601.87</v>
      </c>
      <c r="AA272" s="527">
        <v>119166</v>
      </c>
    </row>
    <row r="273" spans="1:27" ht="17.45" hidden="1" customHeight="1" x14ac:dyDescent="0.25">
      <c r="A273" s="147" t="s">
        <v>4678</v>
      </c>
      <c r="B273" s="521">
        <v>138</v>
      </c>
      <c r="C273" s="521" t="s">
        <v>4753</v>
      </c>
      <c r="D273" s="145" t="s">
        <v>4858</v>
      </c>
      <c r="E273" s="145" t="s">
        <v>4946</v>
      </c>
      <c r="F273" s="148">
        <v>45357</v>
      </c>
      <c r="G273" s="148"/>
      <c r="H273" s="145" t="s">
        <v>23</v>
      </c>
      <c r="I273" s="645"/>
      <c r="J273" s="645"/>
      <c r="K273" s="645"/>
      <c r="L273" s="394"/>
      <c r="M273" s="443">
        <v>150</v>
      </c>
      <c r="N273" s="486">
        <f>(Таблица4[[#This Row],[Осталось сделать, хлыст]]*Таблица4[[#This Row],[длина]]*Таблица4[[#This Row],[Периметр]])/28</f>
        <v>0</v>
      </c>
      <c r="O273" s="145"/>
      <c r="P273" s="280"/>
      <c r="Q273" s="678" t="s">
        <v>4947</v>
      </c>
      <c r="R273" s="280">
        <v>256</v>
      </c>
      <c r="S273" s="322">
        <v>150</v>
      </c>
      <c r="T273" s="280">
        <v>4.1000000000000002E-2</v>
      </c>
      <c r="U273" s="280">
        <v>9.5000000000000001E-2</v>
      </c>
      <c r="V273" s="280">
        <v>11</v>
      </c>
      <c r="W273" s="280"/>
      <c r="X273" s="280"/>
      <c r="Y273" s="280"/>
      <c r="Z273" s="280"/>
      <c r="AA273" s="397">
        <v>24600</v>
      </c>
    </row>
    <row r="274" spans="1:27" ht="17.45" hidden="1" customHeight="1" x14ac:dyDescent="0.25">
      <c r="A274" s="147" t="s">
        <v>4678</v>
      </c>
      <c r="B274" s="521">
        <v>143</v>
      </c>
      <c r="C274" s="521" t="s">
        <v>4753</v>
      </c>
      <c r="D274" s="145" t="s">
        <v>4858</v>
      </c>
      <c r="E274" s="145" t="s">
        <v>4951</v>
      </c>
      <c r="F274" s="148">
        <v>45358</v>
      </c>
      <c r="G274" s="148"/>
      <c r="H274" s="145" t="s">
        <v>23</v>
      </c>
      <c r="I274" s="645"/>
      <c r="J274" s="645"/>
      <c r="K274" s="645"/>
      <c r="L274" s="394">
        <v>15</v>
      </c>
      <c r="M274" s="443">
        <v>0</v>
      </c>
      <c r="N274" s="486">
        <f>(Таблица4[[#This Row],[Осталось сделать, хлыст]]*Таблица4[[#This Row],[длина]]*Таблица4[[#This Row],[Периметр]])/28</f>
        <v>0</v>
      </c>
      <c r="O274" s="145"/>
      <c r="P274" s="280"/>
      <c r="Q274" s="280" t="s">
        <v>4952</v>
      </c>
      <c r="R274" s="280">
        <v>60</v>
      </c>
      <c r="S274" s="322"/>
      <c r="T274" s="280"/>
      <c r="U274" s="280"/>
      <c r="V274" s="280"/>
      <c r="W274" s="280"/>
      <c r="X274" s="280"/>
      <c r="Y274" s="280"/>
      <c r="Z274" s="280"/>
      <c r="AA274" s="397">
        <v>26100</v>
      </c>
    </row>
    <row r="275" spans="1:27" ht="17.45" hidden="1" customHeight="1" x14ac:dyDescent="0.25">
      <c r="A275" s="147" t="s">
        <v>4678</v>
      </c>
      <c r="B275" s="521">
        <v>153</v>
      </c>
      <c r="C275" s="521"/>
      <c r="D275" s="142" t="s">
        <v>34</v>
      </c>
      <c r="E275" s="142" t="s">
        <v>3404</v>
      </c>
      <c r="F275" s="143">
        <v>45362</v>
      </c>
      <c r="G275" s="143"/>
      <c r="H275" s="142" t="s">
        <v>23</v>
      </c>
      <c r="I275" s="522"/>
      <c r="J275" s="522"/>
      <c r="K275" s="522"/>
      <c r="L275" s="393"/>
      <c r="M275" s="443">
        <f>Таблица4[[#This Row],[Количество хлыстов]]-Таблица4[[#This Row],[Готово, хл]]-Таблица4[[#This Row],[Вывезено, хл]]</f>
        <v>4</v>
      </c>
      <c r="N275" s="564">
        <f>Таблица4[[#This Row],[Площадь общая, м2]]/28</f>
        <v>0.26357142857142857</v>
      </c>
      <c r="O275" s="142"/>
      <c r="P275" s="280">
        <v>6</v>
      </c>
      <c r="Q275" s="525" t="s">
        <v>4940</v>
      </c>
      <c r="R275" s="525">
        <v>24</v>
      </c>
      <c r="S275" s="526">
        <v>4</v>
      </c>
      <c r="T275" s="525">
        <v>0.3075</v>
      </c>
      <c r="U275" s="525">
        <v>0.85</v>
      </c>
      <c r="V275" s="525">
        <v>7.38</v>
      </c>
      <c r="W275" s="525">
        <v>20.399999999999999</v>
      </c>
      <c r="X275" s="525">
        <v>0.96</v>
      </c>
      <c r="Y275" s="525">
        <v>113.78</v>
      </c>
      <c r="Z275" s="525">
        <v>370</v>
      </c>
      <c r="AA275" s="527">
        <v>2730.6</v>
      </c>
    </row>
    <row r="276" spans="1:27" ht="17.45" hidden="1" customHeight="1" x14ac:dyDescent="0.25">
      <c r="A276" s="147" t="s">
        <v>4678</v>
      </c>
      <c r="B276" s="521">
        <v>153</v>
      </c>
      <c r="C276" s="521"/>
      <c r="D276" s="145" t="s">
        <v>34</v>
      </c>
      <c r="E276" s="145" t="s">
        <v>3404</v>
      </c>
      <c r="F276" s="148">
        <v>45362</v>
      </c>
      <c r="G276" s="148"/>
      <c r="H276" s="145" t="s">
        <v>23</v>
      </c>
      <c r="I276" s="645"/>
      <c r="J276" s="645"/>
      <c r="K276" s="645"/>
      <c r="L276" s="394"/>
      <c r="M276" s="443">
        <f>Таблица4[[#This Row],[Количество хлыстов]]-Таблица4[[#This Row],[Готово, хл]]-Таблица4[[#This Row],[Вывезено, хл]]</f>
        <v>10</v>
      </c>
      <c r="N276" s="564">
        <f>Таблица4[[#This Row],[Площадь общая, м2]]/28</f>
        <v>0.40350000000000003</v>
      </c>
      <c r="O276" s="145"/>
      <c r="P276" s="280">
        <v>6</v>
      </c>
      <c r="Q276" s="280" t="s">
        <v>4957</v>
      </c>
      <c r="R276" s="280">
        <v>60</v>
      </c>
      <c r="S276" s="322">
        <v>10</v>
      </c>
      <c r="T276" s="280">
        <v>0.1883</v>
      </c>
      <c r="U276" s="280">
        <v>0.318</v>
      </c>
      <c r="V276" s="280">
        <v>11.298</v>
      </c>
      <c r="W276" s="280">
        <v>19.079999999999998</v>
      </c>
      <c r="X276" s="280">
        <v>1.47</v>
      </c>
      <c r="Y276" s="280">
        <v>113.78</v>
      </c>
      <c r="Z276" s="280">
        <v>370</v>
      </c>
      <c r="AA276" s="397">
        <v>6826.5</v>
      </c>
    </row>
    <row r="277" spans="1:27" ht="17.45" hidden="1" customHeight="1" x14ac:dyDescent="0.25">
      <c r="A277" s="147" t="s">
        <v>4678</v>
      </c>
      <c r="B277" s="521">
        <v>155</v>
      </c>
      <c r="C277" s="521"/>
      <c r="D277" s="142" t="s">
        <v>34</v>
      </c>
      <c r="E277" s="142" t="s">
        <v>201</v>
      </c>
      <c r="F277" s="143">
        <v>45363</v>
      </c>
      <c r="G277" s="143"/>
      <c r="H277" s="439" t="s">
        <v>23</v>
      </c>
      <c r="I277" s="522"/>
      <c r="J277" s="522"/>
      <c r="K277" s="522">
        <v>142</v>
      </c>
      <c r="L277" s="393">
        <v>7</v>
      </c>
      <c r="M277" s="443">
        <f>Таблица4[[#This Row],[Количество хлыстов]]-Таблица4[[#This Row],[Готово, хл]]-Таблица4[[#This Row],[Вывезено, хл]]</f>
        <v>0</v>
      </c>
      <c r="N277" s="444">
        <f>(Таблица4[[#This Row],[Осталось сделать, хлыст]]*Таблица4[[#This Row],[длина]]*Таблица4[[#This Row],[Периметр]])/28</f>
        <v>0</v>
      </c>
      <c r="O277" s="142" t="s">
        <v>4970</v>
      </c>
      <c r="P277" s="280">
        <v>6</v>
      </c>
      <c r="Q277" s="525" t="s">
        <v>2561</v>
      </c>
      <c r="R277" s="525">
        <v>894</v>
      </c>
      <c r="S277" s="526">
        <v>149</v>
      </c>
      <c r="T277" s="525">
        <v>0.31109999999999999</v>
      </c>
      <c r="U277" s="525">
        <v>1.7769999999999999</v>
      </c>
      <c r="V277" s="525">
        <v>278.1234</v>
      </c>
      <c r="W277" s="525">
        <v>1588.6379999999999</v>
      </c>
      <c r="X277" s="525">
        <v>36.159999999999997</v>
      </c>
      <c r="Y277" s="525">
        <v>135.33000000000001</v>
      </c>
      <c r="Z277" s="525">
        <v>435</v>
      </c>
      <c r="AA277" s="527">
        <v>120983.67999999999</v>
      </c>
    </row>
    <row r="278" spans="1:27" ht="17.45" hidden="1" customHeight="1" x14ac:dyDescent="0.25">
      <c r="A278" s="147" t="s">
        <v>4678</v>
      </c>
      <c r="B278" s="521" t="s">
        <v>4958</v>
      </c>
      <c r="C278" s="521"/>
      <c r="D278" s="142" t="s">
        <v>34</v>
      </c>
      <c r="E278" s="142" t="s">
        <v>16</v>
      </c>
      <c r="F278" s="143">
        <v>45363</v>
      </c>
      <c r="G278" s="143"/>
      <c r="H278" s="142" t="s">
        <v>23</v>
      </c>
      <c r="I278" s="522"/>
      <c r="J278" s="522"/>
      <c r="K278" s="522"/>
      <c r="L278" s="393">
        <v>84</v>
      </c>
      <c r="M278" s="443">
        <f>Таблица4[[#This Row],[Количество хлыстов]]-Таблица4[[#This Row],[Готово, хл]]-Таблица4[[#This Row],[Вывезено, хл]]</f>
        <v>104</v>
      </c>
      <c r="N278" s="486">
        <f>(Таблица4[[#This Row],[Осталось сделать, хлыст]]*Таблица4[[#This Row],[длина]]*Таблица4[[#This Row],[Периметр]])/28</f>
        <v>12.70062857142857</v>
      </c>
      <c r="O278" s="142" t="s">
        <v>3116</v>
      </c>
      <c r="P278" s="280">
        <v>6</v>
      </c>
      <c r="Q278" s="525" t="s">
        <v>2581</v>
      </c>
      <c r="R278" s="525">
        <v>1128</v>
      </c>
      <c r="S278" s="526">
        <v>188</v>
      </c>
      <c r="T278" s="525">
        <v>0.56989999999999996</v>
      </c>
      <c r="U278" s="525">
        <v>1.304</v>
      </c>
      <c r="V278" s="525">
        <v>642.84720000000004</v>
      </c>
      <c r="W278" s="525">
        <v>1470.912</v>
      </c>
      <c r="X278" s="525">
        <v>83.57</v>
      </c>
      <c r="Y278" s="525">
        <v>324.83999999999997</v>
      </c>
      <c r="Z278" s="525">
        <v>570</v>
      </c>
      <c r="AA278" s="527">
        <v>366422.9</v>
      </c>
    </row>
    <row r="279" spans="1:27" ht="17.45" hidden="1" customHeight="1" x14ac:dyDescent="0.25">
      <c r="A279" s="147" t="s">
        <v>4678</v>
      </c>
      <c r="B279" s="521" t="s">
        <v>4959</v>
      </c>
      <c r="C279" s="521"/>
      <c r="D279" s="142" t="s">
        <v>34</v>
      </c>
      <c r="E279" s="142" t="s">
        <v>16</v>
      </c>
      <c r="F279" s="143">
        <v>45363</v>
      </c>
      <c r="G279" s="143"/>
      <c r="H279" s="142" t="s">
        <v>23</v>
      </c>
      <c r="I279" s="522"/>
      <c r="J279" s="522"/>
      <c r="K279" s="522">
        <v>2</v>
      </c>
      <c r="L279" s="393">
        <v>30</v>
      </c>
      <c r="M279" s="443">
        <f>Таблица4[[#This Row],[Количество хлыстов]]-Таблица4[[#This Row],[Готово, хл]]-Таблица4[[#This Row],[Вывезено, хл]]</f>
        <v>0</v>
      </c>
      <c r="N279" s="564">
        <f>Таблица4[[#This Row],[Площадь общая, м2]]/28</f>
        <v>2.0550857142857142</v>
      </c>
      <c r="O279" s="524"/>
      <c r="P279" s="280">
        <v>6</v>
      </c>
      <c r="Q279" s="525" t="s">
        <v>2423</v>
      </c>
      <c r="R279" s="525">
        <v>192</v>
      </c>
      <c r="S279" s="526">
        <v>32</v>
      </c>
      <c r="T279" s="525">
        <v>0.29970000000000002</v>
      </c>
      <c r="U279" s="525">
        <v>1.6739999999999999</v>
      </c>
      <c r="V279" s="525">
        <v>57.542400000000001</v>
      </c>
      <c r="W279" s="525">
        <v>321.40800000000002</v>
      </c>
      <c r="X279" s="525">
        <v>7.48</v>
      </c>
      <c r="Y279" s="525">
        <v>130.37</v>
      </c>
      <c r="Z279" s="525">
        <v>435</v>
      </c>
      <c r="AA279" s="527">
        <v>25030.94</v>
      </c>
    </row>
    <row r="280" spans="1:27" s="421" customFormat="1" ht="17.45" hidden="1" customHeight="1" x14ac:dyDescent="0.25">
      <c r="A280" s="507" t="s">
        <v>4978</v>
      </c>
      <c r="B280" s="617">
        <v>157</v>
      </c>
      <c r="C280" s="617"/>
      <c r="D280" s="676" t="s">
        <v>34</v>
      </c>
      <c r="E280" s="618" t="s">
        <v>643</v>
      </c>
      <c r="F280" s="619">
        <v>45363</v>
      </c>
      <c r="G280" s="619"/>
      <c r="H280" s="618" t="s">
        <v>23</v>
      </c>
      <c r="I280" s="620"/>
      <c r="J280" s="620"/>
      <c r="K280" s="620"/>
      <c r="L280" s="677"/>
      <c r="M280" s="443">
        <f>Таблица4[[#This Row],[Количество хлыстов]]-Таблица4[[#This Row],[Готово, хл]]-Таблица4[[#This Row],[Вывезено, хл]]</f>
        <v>60</v>
      </c>
      <c r="N280" s="654">
        <f>Таблица4[[#This Row],[Площадь общая, м2]]/28</f>
        <v>2.3297142857142856</v>
      </c>
      <c r="O280" s="618"/>
      <c r="P280" s="671"/>
      <c r="Q280" s="622" t="s">
        <v>4763</v>
      </c>
      <c r="R280" s="622">
        <v>288</v>
      </c>
      <c r="S280" s="623">
        <v>60</v>
      </c>
      <c r="T280" s="622">
        <v>0.22650000000000001</v>
      </c>
      <c r="U280" s="622">
        <v>0.52700000000000002</v>
      </c>
      <c r="V280" s="622">
        <v>65.231999999999999</v>
      </c>
      <c r="W280" s="622">
        <v>151.77600000000001</v>
      </c>
      <c r="X280" s="622">
        <v>8.48</v>
      </c>
      <c r="Y280" s="622">
        <v>74.459999999999994</v>
      </c>
      <c r="Z280" s="622">
        <v>328.75</v>
      </c>
      <c r="AA280" s="624">
        <v>21445.02</v>
      </c>
    </row>
    <row r="281" spans="1:27" s="421" customFormat="1" ht="17.45" hidden="1" customHeight="1" x14ac:dyDescent="0.25">
      <c r="A281" s="507" t="s">
        <v>4978</v>
      </c>
      <c r="B281" s="617">
        <v>157</v>
      </c>
      <c r="C281" s="617"/>
      <c r="D281" s="676" t="s">
        <v>34</v>
      </c>
      <c r="E281" s="618" t="s">
        <v>643</v>
      </c>
      <c r="F281" s="619">
        <v>45363</v>
      </c>
      <c r="G281" s="619"/>
      <c r="H281" s="618" t="s">
        <v>23</v>
      </c>
      <c r="I281" s="620"/>
      <c r="J281" s="620"/>
      <c r="K281" s="620"/>
      <c r="L281" s="677"/>
      <c r="M281" s="443">
        <f>Таблица4[[#This Row],[Количество хлыстов]]-Таблица4[[#This Row],[Готово, хл]]-Таблица4[[#This Row],[Вывезено, хл]]</f>
        <v>97</v>
      </c>
      <c r="N281" s="654">
        <f>Таблица4[[#This Row],[Площадь общая, м2]]/28</f>
        <v>3.2955749999999999</v>
      </c>
      <c r="O281" s="618"/>
      <c r="P281" s="671"/>
      <c r="Q281" s="622" t="s">
        <v>4764</v>
      </c>
      <c r="R281" s="622">
        <v>407.4</v>
      </c>
      <c r="S281" s="623">
        <v>97</v>
      </c>
      <c r="T281" s="622">
        <v>0.22650000000000001</v>
      </c>
      <c r="U281" s="622">
        <v>0.52700000000000002</v>
      </c>
      <c r="V281" s="622">
        <v>92.2761</v>
      </c>
      <c r="W281" s="622">
        <v>214.69980000000001</v>
      </c>
      <c r="X281" s="622">
        <v>12</v>
      </c>
      <c r="Y281" s="622">
        <v>74.459999999999994</v>
      </c>
      <c r="Z281" s="622">
        <v>328.75</v>
      </c>
      <c r="AA281" s="624">
        <v>30335.77</v>
      </c>
    </row>
    <row r="282" spans="1:27" s="436" customFormat="1" ht="17.45" hidden="1" customHeight="1" x14ac:dyDescent="0.25">
      <c r="A282" s="171" t="s">
        <v>4678</v>
      </c>
      <c r="B282" s="625">
        <v>159</v>
      </c>
      <c r="C282" s="625" t="s">
        <v>4753</v>
      </c>
      <c r="D282" s="162" t="s">
        <v>13</v>
      </c>
      <c r="E282" s="162" t="s">
        <v>292</v>
      </c>
      <c r="F282" s="168">
        <v>45365</v>
      </c>
      <c r="G282" s="168">
        <v>45414</v>
      </c>
      <c r="H282" s="162" t="s">
        <v>23</v>
      </c>
      <c r="I282" s="587"/>
      <c r="J282" s="587"/>
      <c r="K282" s="587">
        <v>412</v>
      </c>
      <c r="L282" s="689">
        <v>588</v>
      </c>
      <c r="M282" s="501">
        <f>Таблица4[[#This Row],[Количество хлыстов]]-Таблица4[[#This Row],[Готово, хл]]-Таблица4[[#This Row],[Вывезено, хл]]</f>
        <v>0</v>
      </c>
      <c r="N282" s="478">
        <f>(Таблица4[[#This Row],[Осталось сделать, хлыст]]*Таблица4[[#This Row],[длина]]*Таблица4[[#This Row],[Периметр]])/28</f>
        <v>0</v>
      </c>
      <c r="O282" s="162"/>
      <c r="P282" s="690">
        <v>5</v>
      </c>
      <c r="Q282" s="479" t="s">
        <v>4973</v>
      </c>
      <c r="R282" s="479">
        <v>5000</v>
      </c>
      <c r="S282" s="480">
        <v>1000</v>
      </c>
      <c r="T282" s="479">
        <v>5.3999999999999999E-2</v>
      </c>
      <c r="U282" s="479">
        <v>1.2999999999999999E-2</v>
      </c>
      <c r="V282" s="479">
        <v>270</v>
      </c>
      <c r="W282" s="479">
        <v>65</v>
      </c>
      <c r="X282" s="479">
        <v>35.1</v>
      </c>
      <c r="Y282" s="479">
        <v>55.36</v>
      </c>
      <c r="Z282" s="479">
        <v>1025.19</v>
      </c>
      <c r="AA282" s="481">
        <v>276800</v>
      </c>
    </row>
    <row r="283" spans="1:27" ht="17.45" hidden="1" customHeight="1" x14ac:dyDescent="0.25">
      <c r="A283" s="147" t="s">
        <v>4678</v>
      </c>
      <c r="B283" s="521">
        <v>160</v>
      </c>
      <c r="C283" s="521" t="s">
        <v>4753</v>
      </c>
      <c r="D283" s="142" t="s">
        <v>13</v>
      </c>
      <c r="E283" s="142" t="s">
        <v>5093</v>
      </c>
      <c r="F283" s="143">
        <v>45406</v>
      </c>
      <c r="G283" s="143">
        <v>45453</v>
      </c>
      <c r="H283" s="142" t="s">
        <v>23</v>
      </c>
      <c r="I283" s="522"/>
      <c r="J283" s="522"/>
      <c r="K283" s="522"/>
      <c r="L283" s="393">
        <v>340</v>
      </c>
      <c r="M283" s="443">
        <f>Таблица4[[#This Row],[Количество хлыстов]]-Таблица4[[#This Row],[Готово, хл]]-Таблица4[[#This Row],[Вывезено, хл]]</f>
        <v>2</v>
      </c>
      <c r="N283" s="564">
        <f>Таблица4[[#This Row],[Площадь общая, м2]]/28</f>
        <v>10.553142857142857</v>
      </c>
      <c r="O283" s="142" t="s">
        <v>4809</v>
      </c>
      <c r="P283" s="280">
        <v>3.75</v>
      </c>
      <c r="Q283" s="525" t="s">
        <v>5092</v>
      </c>
      <c r="R283" s="525">
        <v>1282.5</v>
      </c>
      <c r="S283" s="526">
        <v>342</v>
      </c>
      <c r="T283" s="525">
        <v>0.23039999999999999</v>
      </c>
      <c r="U283" s="525">
        <v>0.77900000000000003</v>
      </c>
      <c r="V283" s="525">
        <v>295.488</v>
      </c>
      <c r="W283" s="525">
        <v>999.0675</v>
      </c>
      <c r="X283" s="525">
        <v>38.409999999999997</v>
      </c>
      <c r="Y283" s="525">
        <v>193.57</v>
      </c>
      <c r="Z283" s="525">
        <v>840.15</v>
      </c>
      <c r="AA283" s="527">
        <v>248254</v>
      </c>
    </row>
    <row r="284" spans="1:27" s="432" customFormat="1" ht="17.45" hidden="1" customHeight="1" x14ac:dyDescent="0.25">
      <c r="A284" s="679" t="s">
        <v>4978</v>
      </c>
      <c r="B284" s="680">
        <v>163</v>
      </c>
      <c r="C284" s="680"/>
      <c r="D284" s="549" t="s">
        <v>34</v>
      </c>
      <c r="E284" s="549" t="s">
        <v>4807</v>
      </c>
      <c r="F284" s="550">
        <v>45376</v>
      </c>
      <c r="G284" s="550"/>
      <c r="H284" s="680" t="s">
        <v>23</v>
      </c>
      <c r="I284" s="681"/>
      <c r="J284" s="681"/>
      <c r="K284" s="681">
        <v>634</v>
      </c>
      <c r="L284" s="682"/>
      <c r="M284" s="683">
        <f>Таблица4[[#This Row],[Количество хлыстов]]-Таблица4[[#This Row],[Готово, хл]]-Таблица4[[#This Row],[Вывезено, хл]]</f>
        <v>0</v>
      </c>
      <c r="N284" s="684">
        <f>Таблица4[[#This Row],[Площадь общая, м2]]/28</f>
        <v>26.725589285714285</v>
      </c>
      <c r="O284" s="685"/>
      <c r="P284" s="685">
        <v>5.3</v>
      </c>
      <c r="Q284" s="549" t="s">
        <v>4806</v>
      </c>
      <c r="R284" s="686">
        <v>3360.2</v>
      </c>
      <c r="S284" s="687">
        <v>634</v>
      </c>
      <c r="T284" s="686">
        <v>0.22270000000000001</v>
      </c>
      <c r="U284" s="686">
        <v>0.52700000000000002</v>
      </c>
      <c r="V284" s="686">
        <v>748.31650000000002</v>
      </c>
      <c r="W284" s="686">
        <v>1770.8253999999999</v>
      </c>
      <c r="X284" s="686">
        <v>97.28</v>
      </c>
      <c r="Y284" s="686">
        <v>73.209999999999994</v>
      </c>
      <c r="Z284" s="686">
        <v>328.75</v>
      </c>
      <c r="AA284" s="688">
        <v>246009.06</v>
      </c>
    </row>
    <row r="285" spans="1:27" s="436" customFormat="1" ht="17.45" hidden="1" customHeight="1" x14ac:dyDescent="0.25">
      <c r="A285" s="171" t="s">
        <v>4939</v>
      </c>
      <c r="B285" s="625">
        <v>165</v>
      </c>
      <c r="C285" s="625"/>
      <c r="D285" s="162" t="s">
        <v>13</v>
      </c>
      <c r="E285" s="162" t="s">
        <v>32</v>
      </c>
      <c r="F285" s="168">
        <v>45370</v>
      </c>
      <c r="G285" s="168">
        <v>45390</v>
      </c>
      <c r="H285" s="162" t="s">
        <v>23</v>
      </c>
      <c r="I285" s="587"/>
      <c r="J285" s="587"/>
      <c r="K285" s="587"/>
      <c r="L285" s="689">
        <v>31</v>
      </c>
      <c r="M285" s="501">
        <f>Таблица4[[#This Row],[Количество хлыстов]]-Таблица4[[#This Row],[Готово, хл]]-Таблица4[[#This Row],[Вывезено, хл]]</f>
        <v>0</v>
      </c>
      <c r="N285" s="586">
        <f>Таблица4[[#This Row],[Площадь общая, м2]]/28</f>
        <v>0.9003107142857143</v>
      </c>
      <c r="O285" s="162" t="s">
        <v>4997</v>
      </c>
      <c r="P285" s="690">
        <v>5.15</v>
      </c>
      <c r="Q285" s="479" t="s">
        <v>5026</v>
      </c>
      <c r="R285" s="479">
        <v>159.65</v>
      </c>
      <c r="S285" s="480">
        <v>31</v>
      </c>
      <c r="T285" s="479">
        <v>0.15790000000000001</v>
      </c>
      <c r="U285" s="479">
        <v>0.309</v>
      </c>
      <c r="V285" s="479">
        <v>25.2087</v>
      </c>
      <c r="W285" s="479">
        <v>49.331899999999997</v>
      </c>
      <c r="X285" s="479">
        <v>3.28</v>
      </c>
      <c r="Y285" s="479">
        <v>102.64</v>
      </c>
      <c r="Z285" s="479">
        <v>650</v>
      </c>
      <c r="AA285" s="481">
        <v>16385.68</v>
      </c>
    </row>
    <row r="286" spans="1:27" s="339" customFormat="1" ht="17.25" hidden="1" customHeight="1" x14ac:dyDescent="0.25">
      <c r="A286" s="147" t="s">
        <v>4678</v>
      </c>
      <c r="B286" s="521" t="s">
        <v>4977</v>
      </c>
      <c r="C286" s="521"/>
      <c r="D286" s="142" t="s">
        <v>34</v>
      </c>
      <c r="E286" s="142" t="s">
        <v>16</v>
      </c>
      <c r="F286" s="143">
        <v>45376</v>
      </c>
      <c r="G286" s="143"/>
      <c r="H286" s="142" t="s">
        <v>23</v>
      </c>
      <c r="I286" s="522"/>
      <c r="J286" s="522"/>
      <c r="K286" s="522"/>
      <c r="L286" s="523">
        <f>70+86</f>
        <v>156</v>
      </c>
      <c r="M286" s="443">
        <f>Таблица4[[#This Row],[Количество хлыстов]]-Таблица4[[#This Row],[Готово, хл]]-Таблица4[[#This Row],[Вывезено, хл]]</f>
        <v>0</v>
      </c>
      <c r="N286" s="444">
        <f>(Таблица4[[#This Row],[Осталось сделать, хлыст]]*Таблица4[[#This Row],[длина]]*Таблица4[[#This Row],[Периметр]])/28</f>
        <v>0</v>
      </c>
      <c r="O286" s="142"/>
      <c r="P286" s="142">
        <v>6</v>
      </c>
      <c r="Q286" s="142" t="s">
        <v>2730</v>
      </c>
      <c r="R286" s="525">
        <v>936</v>
      </c>
      <c r="S286" s="526">
        <v>156</v>
      </c>
      <c r="T286" s="525">
        <v>0.3498</v>
      </c>
      <c r="U286" s="525">
        <v>1.425</v>
      </c>
      <c r="V286" s="525">
        <v>327.4128</v>
      </c>
      <c r="W286" s="525">
        <v>1333.8</v>
      </c>
      <c r="X286" s="525">
        <v>42.56</v>
      </c>
      <c r="Y286" s="525">
        <v>152.16</v>
      </c>
      <c r="Z286" s="525">
        <v>435</v>
      </c>
      <c r="AA286" s="527">
        <v>142424.57</v>
      </c>
    </row>
    <row r="287" spans="1:27" s="339" customFormat="1" ht="17.25" hidden="1" customHeight="1" x14ac:dyDescent="0.25">
      <c r="A287" s="147" t="s">
        <v>4678</v>
      </c>
      <c r="B287" s="521" t="s">
        <v>4976</v>
      </c>
      <c r="C287" s="521"/>
      <c r="D287" s="142" t="s">
        <v>34</v>
      </c>
      <c r="E287" s="142" t="s">
        <v>16</v>
      </c>
      <c r="F287" s="143">
        <v>45376</v>
      </c>
      <c r="G287" s="143"/>
      <c r="H287" s="142" t="s">
        <v>23</v>
      </c>
      <c r="I287" s="522"/>
      <c r="J287" s="522"/>
      <c r="K287" s="522"/>
      <c r="L287" s="523">
        <f>28+2+26+28+28</f>
        <v>112</v>
      </c>
      <c r="M287" s="443">
        <f>Таблица4[[#This Row],[Количество хлыстов]]-Таблица4[[#This Row],[Готово, хл]]-Таблица4[[#This Row],[Вывезено, хл]]</f>
        <v>0</v>
      </c>
      <c r="N287" s="444">
        <f>(Таблица4[[#This Row],[Осталось сделать, хлыст]]*Таблица4[[#This Row],[длина]]*Таблица4[[#This Row],[Периметр]])/28</f>
        <v>0</v>
      </c>
      <c r="O287" s="142"/>
      <c r="P287" s="142">
        <v>6</v>
      </c>
      <c r="Q287" s="142" t="s">
        <v>2469</v>
      </c>
      <c r="R287" s="525">
        <v>672</v>
      </c>
      <c r="S287" s="526">
        <v>112</v>
      </c>
      <c r="T287" s="525">
        <v>0.70820000000000005</v>
      </c>
      <c r="U287" s="525">
        <v>3.4609999999999999</v>
      </c>
      <c r="V287" s="525">
        <v>475.91039999999998</v>
      </c>
      <c r="W287" s="525">
        <v>2325.7919999999999</v>
      </c>
      <c r="X287" s="525">
        <v>61.87</v>
      </c>
      <c r="Y287" s="525">
        <v>308.07</v>
      </c>
      <c r="Z287" s="525">
        <v>435</v>
      </c>
      <c r="AA287" s="527">
        <v>207021.02</v>
      </c>
    </row>
    <row r="288" spans="1:27" s="431" customFormat="1" ht="17.45" hidden="1" customHeight="1" x14ac:dyDescent="0.25">
      <c r="A288" s="433" t="s">
        <v>4979</v>
      </c>
      <c r="B288" s="609">
        <v>167</v>
      </c>
      <c r="C288" s="609"/>
      <c r="D288" s="674" t="s">
        <v>34</v>
      </c>
      <c r="E288" s="610" t="s">
        <v>4981</v>
      </c>
      <c r="F288" s="611">
        <v>45370</v>
      </c>
      <c r="G288" s="611"/>
      <c r="H288" s="610" t="s">
        <v>23</v>
      </c>
      <c r="I288" s="612"/>
      <c r="J288" s="612"/>
      <c r="K288" s="612"/>
      <c r="L288" s="675"/>
      <c r="M288" s="553"/>
      <c r="N288" s="649">
        <f>Таблица4[[#This Row],[Площадь общая, м2]]/28</f>
        <v>1.6913571428571428</v>
      </c>
      <c r="O288" s="610"/>
      <c r="P288" s="650"/>
      <c r="Q288" s="614" t="s">
        <v>4980</v>
      </c>
      <c r="R288" s="614">
        <v>180</v>
      </c>
      <c r="S288" s="615">
        <v>30</v>
      </c>
      <c r="T288" s="614">
        <v>0.2631</v>
      </c>
      <c r="U288" s="614">
        <v>0.48099999999999998</v>
      </c>
      <c r="V288" s="614">
        <v>47.357999999999997</v>
      </c>
      <c r="W288" s="614">
        <v>86.58</v>
      </c>
      <c r="X288" s="614">
        <v>6.16</v>
      </c>
      <c r="Y288" s="614" t="s">
        <v>17</v>
      </c>
      <c r="Z288" s="614" t="s">
        <v>17</v>
      </c>
      <c r="AA288" s="616" t="s">
        <v>17</v>
      </c>
    </row>
    <row r="289" spans="1:27" s="431" customFormat="1" ht="17.45" hidden="1" customHeight="1" x14ac:dyDescent="0.25">
      <c r="A289" s="433" t="s">
        <v>4979</v>
      </c>
      <c r="B289" s="609">
        <v>167</v>
      </c>
      <c r="C289" s="609"/>
      <c r="D289" s="674" t="s">
        <v>34</v>
      </c>
      <c r="E289" s="610" t="s">
        <v>4981</v>
      </c>
      <c r="F289" s="611">
        <v>45370</v>
      </c>
      <c r="G289" s="611"/>
      <c r="H289" s="610" t="s">
        <v>23</v>
      </c>
      <c r="I289" s="612"/>
      <c r="J289" s="612"/>
      <c r="K289" s="612"/>
      <c r="L289" s="675"/>
      <c r="M289" s="553"/>
      <c r="N289" s="649">
        <f>Таблица4[[#This Row],[Площадь общая, м2]]/28</f>
        <v>1.2857142857142858</v>
      </c>
      <c r="O289" s="610"/>
      <c r="P289" s="650"/>
      <c r="Q289" s="614" t="s">
        <v>4982</v>
      </c>
      <c r="R289" s="614">
        <v>360</v>
      </c>
      <c r="S289" s="615">
        <v>60</v>
      </c>
      <c r="T289" s="614">
        <v>0.1</v>
      </c>
      <c r="U289" s="614">
        <v>0.13</v>
      </c>
      <c r="V289" s="614">
        <v>36</v>
      </c>
      <c r="W289" s="614">
        <v>46.8</v>
      </c>
      <c r="X289" s="614">
        <v>4.68</v>
      </c>
      <c r="Y289" s="614" t="s">
        <v>17</v>
      </c>
      <c r="Z289" s="614" t="s">
        <v>17</v>
      </c>
      <c r="AA289" s="616" t="s">
        <v>17</v>
      </c>
    </row>
    <row r="290" spans="1:27" s="431" customFormat="1" ht="17.45" hidden="1" customHeight="1" x14ac:dyDescent="0.25">
      <c r="A290" s="433" t="s">
        <v>4979</v>
      </c>
      <c r="B290" s="609">
        <v>168</v>
      </c>
      <c r="C290" s="609"/>
      <c r="D290" s="674" t="s">
        <v>34</v>
      </c>
      <c r="E290" s="610" t="s">
        <v>4981</v>
      </c>
      <c r="F290" s="611">
        <v>45370</v>
      </c>
      <c r="G290" s="611"/>
      <c r="H290" s="610" t="s">
        <v>23</v>
      </c>
      <c r="I290" s="612"/>
      <c r="J290" s="612"/>
      <c r="K290" s="612"/>
      <c r="L290" s="675"/>
      <c r="M290" s="553"/>
      <c r="N290" s="649">
        <f>Таблица4[[#This Row],[Площадь общая, м2]]/28</f>
        <v>1.6913571428571428</v>
      </c>
      <c r="O290" s="610"/>
      <c r="P290" s="650"/>
      <c r="Q290" s="614" t="s">
        <v>4980</v>
      </c>
      <c r="R290" s="614">
        <v>180</v>
      </c>
      <c r="S290" s="615">
        <v>30</v>
      </c>
      <c r="T290" s="614">
        <v>0.2631</v>
      </c>
      <c r="U290" s="614">
        <v>0.48099999999999998</v>
      </c>
      <c r="V290" s="614">
        <v>47.357999999999997</v>
      </c>
      <c r="W290" s="614">
        <v>86.58</v>
      </c>
      <c r="X290" s="614">
        <v>6.16</v>
      </c>
      <c r="Y290" s="614" t="s">
        <v>17</v>
      </c>
      <c r="Z290" s="614" t="s">
        <v>17</v>
      </c>
      <c r="AA290" s="616" t="s">
        <v>17</v>
      </c>
    </row>
    <row r="291" spans="1:27" s="431" customFormat="1" ht="17.45" hidden="1" customHeight="1" x14ac:dyDescent="0.25">
      <c r="A291" s="433" t="s">
        <v>4979</v>
      </c>
      <c r="B291" s="609">
        <v>168</v>
      </c>
      <c r="C291" s="609"/>
      <c r="D291" s="674" t="s">
        <v>34</v>
      </c>
      <c r="E291" s="610" t="s">
        <v>4981</v>
      </c>
      <c r="F291" s="611">
        <v>45370</v>
      </c>
      <c r="G291" s="611"/>
      <c r="H291" s="610" t="s">
        <v>23</v>
      </c>
      <c r="I291" s="612"/>
      <c r="J291" s="612"/>
      <c r="K291" s="612"/>
      <c r="L291" s="675"/>
      <c r="M291" s="553"/>
      <c r="N291" s="649">
        <f>Таблица4[[#This Row],[Площадь общая, м2]]/28</f>
        <v>1.2857142857142858</v>
      </c>
      <c r="O291" s="610"/>
      <c r="P291" s="650"/>
      <c r="Q291" s="614" t="s">
        <v>4982</v>
      </c>
      <c r="R291" s="614">
        <v>360</v>
      </c>
      <c r="S291" s="615">
        <v>60</v>
      </c>
      <c r="T291" s="614">
        <v>0.1</v>
      </c>
      <c r="U291" s="614">
        <v>0.13</v>
      </c>
      <c r="V291" s="614">
        <v>36</v>
      </c>
      <c r="W291" s="614">
        <v>46.8</v>
      </c>
      <c r="X291" s="614">
        <v>4.68</v>
      </c>
      <c r="Y291" s="614" t="s">
        <v>17</v>
      </c>
      <c r="Z291" s="614" t="s">
        <v>17</v>
      </c>
      <c r="AA291" s="616" t="s">
        <v>17</v>
      </c>
    </row>
    <row r="292" spans="1:27" s="431" customFormat="1" ht="17.45" hidden="1" customHeight="1" x14ac:dyDescent="0.25">
      <c r="A292" s="433" t="s">
        <v>4979</v>
      </c>
      <c r="B292" s="609">
        <v>169</v>
      </c>
      <c r="C292" s="609"/>
      <c r="D292" s="674" t="s">
        <v>34</v>
      </c>
      <c r="E292" s="610" t="s">
        <v>4981</v>
      </c>
      <c r="F292" s="611">
        <v>45370</v>
      </c>
      <c r="G292" s="611"/>
      <c r="H292" s="610" t="s">
        <v>23</v>
      </c>
      <c r="I292" s="612"/>
      <c r="J292" s="612"/>
      <c r="K292" s="612"/>
      <c r="L292" s="675"/>
      <c r="M292" s="553"/>
      <c r="N292" s="649">
        <f>Таблица4[[#This Row],[Площадь общая, м2]]/28</f>
        <v>1.1275714285714284</v>
      </c>
      <c r="O292" s="610"/>
      <c r="P292" s="650"/>
      <c r="Q292" s="614" t="s">
        <v>4980</v>
      </c>
      <c r="R292" s="614">
        <v>120</v>
      </c>
      <c r="S292" s="615">
        <v>20</v>
      </c>
      <c r="T292" s="614">
        <v>0.2631</v>
      </c>
      <c r="U292" s="614">
        <v>0.48099999999999998</v>
      </c>
      <c r="V292" s="614">
        <v>31.571999999999999</v>
      </c>
      <c r="W292" s="614">
        <v>57.72</v>
      </c>
      <c r="X292" s="614">
        <v>4.0999999999999996</v>
      </c>
      <c r="Y292" s="614" t="s">
        <v>17</v>
      </c>
      <c r="Z292" s="614" t="s">
        <v>17</v>
      </c>
      <c r="AA292" s="616" t="s">
        <v>17</v>
      </c>
    </row>
    <row r="293" spans="1:27" s="431" customFormat="1" ht="17.45" hidden="1" customHeight="1" x14ac:dyDescent="0.25">
      <c r="A293" s="433" t="s">
        <v>4979</v>
      </c>
      <c r="B293" s="609">
        <v>169</v>
      </c>
      <c r="C293" s="609"/>
      <c r="D293" s="674" t="s">
        <v>34</v>
      </c>
      <c r="E293" s="610" t="s">
        <v>4981</v>
      </c>
      <c r="F293" s="611">
        <v>45370</v>
      </c>
      <c r="G293" s="611"/>
      <c r="H293" s="610" t="s">
        <v>23</v>
      </c>
      <c r="I293" s="612"/>
      <c r="J293" s="612"/>
      <c r="K293" s="612"/>
      <c r="L293" s="675"/>
      <c r="M293" s="553"/>
      <c r="N293" s="649">
        <f>Таблица4[[#This Row],[Площадь общая, м2]]/28</f>
        <v>1.9285714285714286</v>
      </c>
      <c r="O293" s="610"/>
      <c r="P293" s="650"/>
      <c r="Q293" s="614" t="s">
        <v>4982</v>
      </c>
      <c r="R293" s="614">
        <v>540</v>
      </c>
      <c r="S293" s="615">
        <v>90</v>
      </c>
      <c r="T293" s="614">
        <v>0.1</v>
      </c>
      <c r="U293" s="614">
        <v>0.13</v>
      </c>
      <c r="V293" s="614">
        <v>54</v>
      </c>
      <c r="W293" s="614">
        <v>70.2</v>
      </c>
      <c r="X293" s="614">
        <v>7.02</v>
      </c>
      <c r="Y293" s="614" t="s">
        <v>17</v>
      </c>
      <c r="Z293" s="614" t="s">
        <v>17</v>
      </c>
      <c r="AA293" s="616" t="s">
        <v>17</v>
      </c>
    </row>
    <row r="294" spans="1:27" s="421" customFormat="1" ht="17.25" hidden="1" customHeight="1" x14ac:dyDescent="0.25">
      <c r="A294" s="147" t="s">
        <v>4678</v>
      </c>
      <c r="B294" s="521" t="s">
        <v>5001</v>
      </c>
      <c r="C294" s="521"/>
      <c r="D294" s="142" t="s">
        <v>34</v>
      </c>
      <c r="E294" s="142" t="s">
        <v>16</v>
      </c>
      <c r="F294" s="143">
        <v>45370</v>
      </c>
      <c r="G294" s="143"/>
      <c r="H294" s="142" t="s">
        <v>23</v>
      </c>
      <c r="I294" s="522"/>
      <c r="J294" s="522"/>
      <c r="K294" s="522">
        <v>39</v>
      </c>
      <c r="L294" s="393">
        <v>97</v>
      </c>
      <c r="M294" s="443">
        <f>Таблица4[[#This Row],[Количество хлыстов]]-Таблица4[[#This Row],[Готово, хл]]-Таблица4[[#This Row],[Вывезено, хл]]</f>
        <v>0</v>
      </c>
      <c r="N294" s="564">
        <f>Таблица4[[#This Row],[Площадь общая, м2]]/28</f>
        <v>8.7341142857142859</v>
      </c>
      <c r="O294" s="142" t="s">
        <v>5002</v>
      </c>
      <c r="P294" s="647">
        <v>6</v>
      </c>
      <c r="Q294" s="525" t="s">
        <v>2423</v>
      </c>
      <c r="R294" s="525">
        <v>816</v>
      </c>
      <c r="S294" s="526">
        <v>136</v>
      </c>
      <c r="T294" s="525">
        <v>0.29970000000000002</v>
      </c>
      <c r="U294" s="525">
        <v>1.6739999999999999</v>
      </c>
      <c r="V294" s="525">
        <v>244.55520000000001</v>
      </c>
      <c r="W294" s="525">
        <v>1365.9839999999999</v>
      </c>
      <c r="X294" s="525">
        <v>31.79</v>
      </c>
      <c r="Y294" s="525">
        <v>170.83</v>
      </c>
      <c r="Z294" s="525">
        <v>570</v>
      </c>
      <c r="AA294" s="527">
        <v>139396.46</v>
      </c>
    </row>
    <row r="295" spans="1:27" ht="17.45" hidden="1" customHeight="1" x14ac:dyDescent="0.25">
      <c r="A295" s="147" t="s">
        <v>4678</v>
      </c>
      <c r="B295" s="521" t="s">
        <v>4985</v>
      </c>
      <c r="C295" s="521"/>
      <c r="D295" s="142" t="s">
        <v>34</v>
      </c>
      <c r="E295" s="142" t="s">
        <v>4672</v>
      </c>
      <c r="F295" s="143">
        <v>45371</v>
      </c>
      <c r="G295" s="143"/>
      <c r="H295" s="142" t="s">
        <v>23</v>
      </c>
      <c r="I295" s="522"/>
      <c r="J295" s="522"/>
      <c r="K295" s="522">
        <v>140</v>
      </c>
      <c r="L295" s="393"/>
      <c r="M295" s="443">
        <f>Таблица4[[#This Row],[Количество хлыстов]]-Таблица4[[#This Row],[Готово, хл]]-Таблица4[[#This Row],[Вывезено, хл]]</f>
        <v>1</v>
      </c>
      <c r="N295" s="444">
        <f>(Таблица4[[#This Row],[Осталось сделать, хлыст]]*Таблица4[[#This Row],[длина]]*Таблица4[[#This Row],[Периметр]])/28</f>
        <v>3.238392857142857E-2</v>
      </c>
      <c r="O295" s="524" t="s">
        <v>5071</v>
      </c>
      <c r="P295" s="280">
        <v>6.5</v>
      </c>
      <c r="Q295" s="525" t="s">
        <v>4512</v>
      </c>
      <c r="R295" s="525">
        <v>916.5</v>
      </c>
      <c r="S295" s="526">
        <v>141</v>
      </c>
      <c r="T295" s="525">
        <v>0.13950000000000001</v>
      </c>
      <c r="U295" s="525">
        <v>0.47399999999999998</v>
      </c>
      <c r="V295" s="525">
        <v>127.8518</v>
      </c>
      <c r="W295" s="525">
        <v>434.42099999999999</v>
      </c>
      <c r="X295" s="525">
        <v>16.62</v>
      </c>
      <c r="Y295" s="525">
        <v>201.76</v>
      </c>
      <c r="Z295" s="525">
        <v>1446.29</v>
      </c>
      <c r="AA295" s="527">
        <v>184910.28</v>
      </c>
    </row>
    <row r="296" spans="1:27" ht="17.45" hidden="1" customHeight="1" x14ac:dyDescent="0.25">
      <c r="A296" s="147" t="s">
        <v>4678</v>
      </c>
      <c r="B296" s="521" t="s">
        <v>4985</v>
      </c>
      <c r="C296" s="521"/>
      <c r="D296" s="142" t="s">
        <v>34</v>
      </c>
      <c r="E296" s="142" t="s">
        <v>4672</v>
      </c>
      <c r="F296" s="143">
        <v>45371</v>
      </c>
      <c r="G296" s="143"/>
      <c r="H296" s="142" t="s">
        <v>23</v>
      </c>
      <c r="I296" s="522"/>
      <c r="J296" s="522"/>
      <c r="K296" s="522">
        <v>224</v>
      </c>
      <c r="L296" s="393"/>
      <c r="M296" s="443">
        <f>Таблица4[[#This Row],[Количество хлыстов]]-Таблица4[[#This Row],[Готово, хл]]-Таблица4[[#This Row],[Вывезено, хл]]</f>
        <v>0</v>
      </c>
      <c r="N296" s="444">
        <f>(Таблица4[[#This Row],[Осталось сделать, хлыст]]*Таблица4[[#This Row],[длина]]*Таблица4[[#This Row],[Периметр]])/28</f>
        <v>0</v>
      </c>
      <c r="O296" s="142"/>
      <c r="P296" s="280">
        <v>6.5</v>
      </c>
      <c r="Q296" s="525" t="s">
        <v>4513</v>
      </c>
      <c r="R296" s="525">
        <v>1456</v>
      </c>
      <c r="S296" s="526">
        <v>224</v>
      </c>
      <c r="T296" s="525">
        <v>0.1454</v>
      </c>
      <c r="U296" s="525">
        <v>0.65100000000000002</v>
      </c>
      <c r="V296" s="525">
        <v>211.70240000000001</v>
      </c>
      <c r="W296" s="525">
        <v>947.85599999999999</v>
      </c>
      <c r="X296" s="525">
        <v>27.52</v>
      </c>
      <c r="Y296" s="525">
        <v>192.4</v>
      </c>
      <c r="Z296" s="525">
        <v>1323.27</v>
      </c>
      <c r="AA296" s="527">
        <v>280140.12</v>
      </c>
    </row>
    <row r="297" spans="1:27" ht="17.45" hidden="1" customHeight="1" x14ac:dyDescent="0.25">
      <c r="A297" s="147" t="s">
        <v>4678</v>
      </c>
      <c r="B297" s="625">
        <v>172</v>
      </c>
      <c r="C297" s="625" t="s">
        <v>4753</v>
      </c>
      <c r="D297" s="162" t="s">
        <v>13</v>
      </c>
      <c r="E297" s="162" t="s">
        <v>4021</v>
      </c>
      <c r="F297" s="168">
        <v>45372</v>
      </c>
      <c r="G297" s="168">
        <v>45404</v>
      </c>
      <c r="H297" s="142" t="s">
        <v>23</v>
      </c>
      <c r="I297" s="522"/>
      <c r="J297" s="522"/>
      <c r="K297" s="522">
        <v>40</v>
      </c>
      <c r="L297" s="393"/>
      <c r="M297" s="443">
        <f>Таблица4[[#This Row],[Количество хлыстов]]-Таблица4[[#This Row],[Готово, хл]]-Таблица4[[#This Row],[Вывезено, хл]]</f>
        <v>0</v>
      </c>
      <c r="N297" s="444">
        <f>(Таблица4[[#This Row],[Осталось сделать, хлыст]]*Таблица4[[#This Row],[длина]]*Таблица4[[#This Row],[Периметр]])/28</f>
        <v>0</v>
      </c>
      <c r="O297" s="142"/>
      <c r="P297" s="280">
        <v>6</v>
      </c>
      <c r="Q297" s="525" t="s">
        <v>4984</v>
      </c>
      <c r="R297" s="525">
        <v>240</v>
      </c>
      <c r="S297" s="526">
        <v>40</v>
      </c>
      <c r="T297" s="525">
        <v>7.9000000000000001E-2</v>
      </c>
      <c r="U297" s="525">
        <v>0.20300000000000001</v>
      </c>
      <c r="V297" s="525">
        <v>18.96</v>
      </c>
      <c r="W297" s="525">
        <v>48.72</v>
      </c>
      <c r="X297" s="525">
        <v>2.46</v>
      </c>
      <c r="Y297" s="525">
        <v>90</v>
      </c>
      <c r="Z297" s="525">
        <v>1139.24</v>
      </c>
      <c r="AA297" s="527">
        <v>21600</v>
      </c>
    </row>
    <row r="298" spans="1:27" ht="17.45" hidden="1" customHeight="1" x14ac:dyDescent="0.25">
      <c r="A298" s="147" t="s">
        <v>4678</v>
      </c>
      <c r="B298" s="521">
        <v>174</v>
      </c>
      <c r="C298" s="521"/>
      <c r="D298" s="142" t="s">
        <v>13</v>
      </c>
      <c r="E298" s="142" t="s">
        <v>4986</v>
      </c>
      <c r="F298" s="143">
        <v>45372</v>
      </c>
      <c r="G298" s="143"/>
      <c r="H298" s="142" t="s">
        <v>23</v>
      </c>
      <c r="I298" s="522"/>
      <c r="J298" s="522"/>
      <c r="K298" s="522">
        <v>5</v>
      </c>
      <c r="L298" s="393"/>
      <c r="M298" s="691">
        <f>Таблица4[[#This Row],[Количество хлыстов]]-Таблица4[[#This Row],[Готово, хл]]-Таблица4[[#This Row],[Вывезено, хл]]</f>
        <v>0</v>
      </c>
      <c r="N298" s="564">
        <f>Таблица4[[#This Row],[Площадь общая, м2]]/28</f>
        <v>0.25820714285714286</v>
      </c>
      <c r="O298" s="142"/>
      <c r="P298" s="280">
        <v>6.05</v>
      </c>
      <c r="Q298" s="525" t="s">
        <v>4987</v>
      </c>
      <c r="R298" s="525">
        <v>30.25</v>
      </c>
      <c r="S298" s="526">
        <v>5</v>
      </c>
      <c r="T298" s="525">
        <v>0.23899999999999999</v>
      </c>
      <c r="U298" s="525">
        <v>0.65400000000000003</v>
      </c>
      <c r="V298" s="525">
        <v>7.2298</v>
      </c>
      <c r="W298" s="525">
        <v>19.7835</v>
      </c>
      <c r="X298" s="525">
        <v>0.94</v>
      </c>
      <c r="Y298" s="525">
        <v>97.99</v>
      </c>
      <c r="Z298" s="525">
        <v>410</v>
      </c>
      <c r="AA298" s="527">
        <v>2964.2</v>
      </c>
    </row>
    <row r="299" spans="1:27" s="431" customFormat="1" ht="17.45" hidden="1" customHeight="1" x14ac:dyDescent="0.25">
      <c r="A299" s="547" t="s">
        <v>4978</v>
      </c>
      <c r="B299" s="609">
        <v>176</v>
      </c>
      <c r="C299" s="609"/>
      <c r="D299" s="610" t="s">
        <v>34</v>
      </c>
      <c r="E299" s="610" t="s">
        <v>4807</v>
      </c>
      <c r="F299" s="611">
        <v>45397</v>
      </c>
      <c r="G299" s="611"/>
      <c r="H299" s="610" t="s">
        <v>23</v>
      </c>
      <c r="I299" s="612"/>
      <c r="J299" s="612"/>
      <c r="K299" s="612"/>
      <c r="L299" s="675"/>
      <c r="M299" s="553"/>
      <c r="N299" s="649">
        <f>Таблица4[[#This Row],[Площадь общая, м2]]/28</f>
        <v>8.442971428571429</v>
      </c>
      <c r="O299" s="610" t="s">
        <v>559</v>
      </c>
      <c r="P299" s="631"/>
      <c r="Q299" s="614" t="s">
        <v>4989</v>
      </c>
      <c r="R299" s="614">
        <v>736</v>
      </c>
      <c r="S299" s="615">
        <v>128</v>
      </c>
      <c r="T299" s="614">
        <v>0.32119999999999999</v>
      </c>
      <c r="U299" s="614">
        <v>0.622</v>
      </c>
      <c r="V299" s="614">
        <v>236.4032</v>
      </c>
      <c r="W299" s="614">
        <v>457.79199999999997</v>
      </c>
      <c r="X299" s="614">
        <v>30.73</v>
      </c>
      <c r="Y299" s="614">
        <v>105.59</v>
      </c>
      <c r="Z299" s="614">
        <v>328.75</v>
      </c>
      <c r="AA299" s="616">
        <v>77717.55</v>
      </c>
    </row>
    <row r="300" spans="1:27" s="431" customFormat="1" ht="17.45" hidden="1" customHeight="1" x14ac:dyDescent="0.25">
      <c r="A300" s="547" t="s">
        <v>4978</v>
      </c>
      <c r="B300" s="609">
        <v>176</v>
      </c>
      <c r="C300" s="609"/>
      <c r="D300" s="610" t="s">
        <v>34</v>
      </c>
      <c r="E300" s="610" t="s">
        <v>4807</v>
      </c>
      <c r="F300" s="611">
        <v>45397</v>
      </c>
      <c r="G300" s="611"/>
      <c r="H300" s="610" t="s">
        <v>23</v>
      </c>
      <c r="I300" s="612"/>
      <c r="J300" s="612"/>
      <c r="K300" s="612"/>
      <c r="L300" s="675"/>
      <c r="M300" s="553"/>
      <c r="N300" s="649">
        <f>Таблица4[[#This Row],[Площадь общая, м2]]/28</f>
        <v>9.3479571428571422</v>
      </c>
      <c r="O300" s="610"/>
      <c r="P300" s="631"/>
      <c r="Q300" s="614" t="s">
        <v>4804</v>
      </c>
      <c r="R300" s="614">
        <v>948</v>
      </c>
      <c r="S300" s="615">
        <v>158</v>
      </c>
      <c r="T300" s="614">
        <v>0.27610000000000001</v>
      </c>
      <c r="U300" s="614">
        <v>0.93400000000000005</v>
      </c>
      <c r="V300" s="614">
        <v>261.74279999999999</v>
      </c>
      <c r="W300" s="614">
        <v>885.43200000000002</v>
      </c>
      <c r="X300" s="614">
        <v>34.03</v>
      </c>
      <c r="Y300" s="614">
        <v>90.77</v>
      </c>
      <c r="Z300" s="614">
        <v>328.75</v>
      </c>
      <c r="AA300" s="616">
        <v>86047.95</v>
      </c>
    </row>
    <row r="301" spans="1:27" s="431" customFormat="1" ht="17.45" hidden="1" customHeight="1" x14ac:dyDescent="0.25">
      <c r="A301" s="547" t="s">
        <v>4978</v>
      </c>
      <c r="B301" s="609">
        <v>176</v>
      </c>
      <c r="C301" s="609"/>
      <c r="D301" s="610" t="s">
        <v>34</v>
      </c>
      <c r="E301" s="610" t="s">
        <v>4807</v>
      </c>
      <c r="F301" s="611">
        <v>45397</v>
      </c>
      <c r="G301" s="611"/>
      <c r="H301" s="610" t="s">
        <v>23</v>
      </c>
      <c r="I301" s="612"/>
      <c r="J301" s="612"/>
      <c r="K301" s="612"/>
      <c r="L301" s="675"/>
      <c r="M301" s="553"/>
      <c r="N301" s="649">
        <f>Таблица4[[#This Row],[Площадь общая, м2]]/28</f>
        <v>7.3975500000000007</v>
      </c>
      <c r="O301" s="610"/>
      <c r="P301" s="631"/>
      <c r="Q301" s="614" t="s">
        <v>4805</v>
      </c>
      <c r="R301" s="614">
        <v>357</v>
      </c>
      <c r="S301" s="615">
        <v>60</v>
      </c>
      <c r="T301" s="614">
        <v>0.58020000000000005</v>
      </c>
      <c r="U301" s="614">
        <v>1.306</v>
      </c>
      <c r="V301" s="614">
        <v>207.13140000000001</v>
      </c>
      <c r="W301" s="614">
        <v>466.24200000000002</v>
      </c>
      <c r="X301" s="614">
        <v>26.93</v>
      </c>
      <c r="Y301" s="614">
        <v>190.74</v>
      </c>
      <c r="Z301" s="614">
        <v>328.75</v>
      </c>
      <c r="AA301" s="616">
        <v>68094.45</v>
      </c>
    </row>
    <row r="302" spans="1:27" s="431" customFormat="1" ht="17.45" hidden="1" customHeight="1" x14ac:dyDescent="0.25">
      <c r="A302" s="547" t="s">
        <v>4978</v>
      </c>
      <c r="B302" s="609">
        <v>176</v>
      </c>
      <c r="C302" s="609"/>
      <c r="D302" s="610" t="s">
        <v>34</v>
      </c>
      <c r="E302" s="610" t="s">
        <v>4807</v>
      </c>
      <c r="F302" s="611">
        <v>45397</v>
      </c>
      <c r="G302" s="611"/>
      <c r="H302" s="610" t="s">
        <v>23</v>
      </c>
      <c r="I302" s="612"/>
      <c r="J302" s="612"/>
      <c r="K302" s="612"/>
      <c r="L302" s="675"/>
      <c r="M302" s="553"/>
      <c r="N302" s="649">
        <f>Таблица4[[#This Row],[Площадь общая, м2]]/28</f>
        <v>8.9127607142857137</v>
      </c>
      <c r="O302" s="610"/>
      <c r="P302" s="631"/>
      <c r="Q302" s="614" t="s">
        <v>4898</v>
      </c>
      <c r="R302" s="614">
        <v>1439.2</v>
      </c>
      <c r="S302" s="615">
        <v>257</v>
      </c>
      <c r="T302" s="614">
        <v>0.1734</v>
      </c>
      <c r="U302" s="614">
        <v>0.38200000000000001</v>
      </c>
      <c r="V302" s="614">
        <v>249.5573</v>
      </c>
      <c r="W302" s="614">
        <v>549.77440000000001</v>
      </c>
      <c r="X302" s="614">
        <v>32.44</v>
      </c>
      <c r="Y302" s="614">
        <v>57.01</v>
      </c>
      <c r="Z302" s="614">
        <v>328.75</v>
      </c>
      <c r="AA302" s="616">
        <v>82041.960000000006</v>
      </c>
    </row>
    <row r="303" spans="1:27" ht="17.45" hidden="1" customHeight="1" x14ac:dyDescent="0.25">
      <c r="A303" s="147" t="s">
        <v>4678</v>
      </c>
      <c r="B303" s="521">
        <v>177</v>
      </c>
      <c r="C303" s="521"/>
      <c r="D303" s="142" t="s">
        <v>13</v>
      </c>
      <c r="E303" s="142" t="s">
        <v>4990</v>
      </c>
      <c r="F303" s="143">
        <v>45373</v>
      </c>
      <c r="G303" s="143">
        <v>45414</v>
      </c>
      <c r="H303" s="610" t="s">
        <v>23</v>
      </c>
      <c r="I303" s="522"/>
      <c r="J303" s="522"/>
      <c r="K303" s="522"/>
      <c r="L303" s="393">
        <v>322</v>
      </c>
      <c r="M303" s="443">
        <f>Таблица4[[#This Row],[Количество хлыстов]]-Таблица4[[#This Row],[Готово, хл]]-Таблица4[[#This Row],[Вывезено, хл]]</f>
        <v>1</v>
      </c>
      <c r="N303" s="478">
        <f>(Таблица4[[#This Row],[Осталось сделать, хлыст]]*Таблица4[[#This Row],[длина]]*Таблица4[[#This Row],[Периметр]])/27</f>
        <v>1.4066666666666665E-2</v>
      </c>
      <c r="O303" s="142" t="s">
        <v>4937</v>
      </c>
      <c r="P303" s="280">
        <v>3</v>
      </c>
      <c r="Q303" s="525" t="s">
        <v>3949</v>
      </c>
      <c r="R303" s="525">
        <v>969</v>
      </c>
      <c r="S303" s="526">
        <v>323</v>
      </c>
      <c r="T303" s="525">
        <v>0.12659999999999999</v>
      </c>
      <c r="U303" s="525">
        <v>0.30499999999999999</v>
      </c>
      <c r="V303" s="525">
        <v>122.6754</v>
      </c>
      <c r="W303" s="525">
        <v>295.54500000000002</v>
      </c>
      <c r="X303" s="525">
        <v>15.95</v>
      </c>
      <c r="Y303" s="525">
        <v>51.91</v>
      </c>
      <c r="Z303" s="525">
        <v>390</v>
      </c>
      <c r="AA303" s="527">
        <f>Таблица4[[#This Row],[Цена м2
руб]]*Таблица4[[#This Row],[Площадь общая, м2]]</f>
        <v>47843.405999999995</v>
      </c>
    </row>
    <row r="304" spans="1:27" ht="17.45" hidden="1" customHeight="1" x14ac:dyDescent="0.25">
      <c r="A304" s="147" t="s">
        <v>4678</v>
      </c>
      <c r="B304" s="521">
        <v>178</v>
      </c>
      <c r="C304" s="521"/>
      <c r="D304" s="142" t="s">
        <v>13</v>
      </c>
      <c r="E304" s="142" t="s">
        <v>4990</v>
      </c>
      <c r="F304" s="143">
        <v>45373</v>
      </c>
      <c r="G304" s="143">
        <v>45414</v>
      </c>
      <c r="H304" s="142" t="s">
        <v>23</v>
      </c>
      <c r="I304" s="522"/>
      <c r="J304" s="522"/>
      <c r="K304" s="522"/>
      <c r="L304" s="393">
        <v>311</v>
      </c>
      <c r="M304" s="443">
        <f>Таблица4[[#This Row],[Количество хлыстов]]-Таблица4[[#This Row],[Готово, хл]]-Таблица4[[#This Row],[Вывезено, хл]]</f>
        <v>1</v>
      </c>
      <c r="N304" s="478">
        <f>(Таблица4[[#This Row],[Осталось сделать, хлыст]]*Таблица4[[#This Row],[длина]]*Таблица4[[#This Row],[Периметр]])/28</f>
        <v>1.6275000000000001E-2</v>
      </c>
      <c r="O304" s="142" t="s">
        <v>4937</v>
      </c>
      <c r="P304" s="280">
        <v>3</v>
      </c>
      <c r="Q304" s="525" t="s">
        <v>4298</v>
      </c>
      <c r="R304" s="525">
        <v>936</v>
      </c>
      <c r="S304" s="526">
        <v>312</v>
      </c>
      <c r="T304" s="525">
        <v>0.15190000000000001</v>
      </c>
      <c r="U304" s="525">
        <v>0.377</v>
      </c>
      <c r="V304" s="525">
        <v>142.17840000000001</v>
      </c>
      <c r="W304" s="525">
        <v>352.87200000000001</v>
      </c>
      <c r="X304" s="525">
        <v>18.48</v>
      </c>
      <c r="Y304" s="525">
        <v>62.28</v>
      </c>
      <c r="Z304" s="525">
        <v>390</v>
      </c>
      <c r="AA304" s="527">
        <f>Таблица4[[#This Row],[Цена м2
руб]]*Таблица4[[#This Row],[Площадь общая, м2]]</f>
        <v>55449.576000000001</v>
      </c>
    </row>
    <row r="305" spans="1:27" ht="17.45" hidden="1" customHeight="1" x14ac:dyDescent="0.25">
      <c r="A305" s="147" t="s">
        <v>4678</v>
      </c>
      <c r="B305" s="521">
        <v>179</v>
      </c>
      <c r="C305" s="521"/>
      <c r="D305" s="142" t="s">
        <v>13</v>
      </c>
      <c r="E305" s="142" t="s">
        <v>657</v>
      </c>
      <c r="F305" s="143">
        <v>45373</v>
      </c>
      <c r="G305" s="143">
        <v>45386</v>
      </c>
      <c r="H305" s="142" t="s">
        <v>23</v>
      </c>
      <c r="I305" s="522"/>
      <c r="J305" s="522"/>
      <c r="K305" s="522"/>
      <c r="L305" s="393">
        <v>333</v>
      </c>
      <c r="M305" s="443">
        <f>Таблица4[[#This Row],[Количество хлыстов]]-Таблица4[[#This Row],[Готово, хл]]-Таблица4[[#This Row],[Вывезено, хл]]</f>
        <v>0</v>
      </c>
      <c r="N305" s="626">
        <f>Таблица4[[#This Row],[Площадь общая, м2]]/29</f>
        <v>11.481841379310346</v>
      </c>
      <c r="O305" s="142"/>
      <c r="P305" s="280">
        <v>5.8</v>
      </c>
      <c r="Q305" s="525" t="s">
        <v>2963</v>
      </c>
      <c r="R305" s="525">
        <v>1931.4</v>
      </c>
      <c r="S305" s="526">
        <v>333</v>
      </c>
      <c r="T305" s="525">
        <v>0.1724</v>
      </c>
      <c r="U305" s="525">
        <v>0.41499999999999998</v>
      </c>
      <c r="V305" s="525">
        <v>332.97340000000003</v>
      </c>
      <c r="W305" s="525">
        <v>801.53099999999995</v>
      </c>
      <c r="X305" s="525">
        <v>43.29</v>
      </c>
      <c r="Y305" s="525">
        <v>74.989999999999995</v>
      </c>
      <c r="Z305" s="525">
        <v>435</v>
      </c>
      <c r="AA305" s="527">
        <v>144835.69</v>
      </c>
    </row>
    <row r="306" spans="1:27" ht="17.45" hidden="1" customHeight="1" x14ac:dyDescent="0.25">
      <c r="A306" s="147" t="s">
        <v>4678</v>
      </c>
      <c r="B306" s="521">
        <v>180</v>
      </c>
      <c r="C306" s="521"/>
      <c r="D306" s="142" t="s">
        <v>13</v>
      </c>
      <c r="E306" s="142" t="s">
        <v>489</v>
      </c>
      <c r="F306" s="143">
        <v>45373</v>
      </c>
      <c r="G306" s="143">
        <v>45384</v>
      </c>
      <c r="H306" s="142" t="s">
        <v>23</v>
      </c>
      <c r="I306" s="522"/>
      <c r="J306" s="522"/>
      <c r="K306" s="522">
        <v>176</v>
      </c>
      <c r="L306" s="393"/>
      <c r="M306" s="443">
        <f>Таблица4[[#This Row],[Количество хлыстов]]-Таблица4[[#This Row],[Готово, хл]]-Таблица4[[#This Row],[Вывезено, хл]]</f>
        <v>0</v>
      </c>
      <c r="N306" s="626">
        <f>Таблица4[[#This Row],[Площадь общая, м2]]/28</f>
        <v>2.8870285714285715</v>
      </c>
      <c r="O306" s="142"/>
      <c r="P306" s="280">
        <v>3</v>
      </c>
      <c r="Q306" s="525" t="s">
        <v>783</v>
      </c>
      <c r="R306" s="525">
        <v>528</v>
      </c>
      <c r="S306" s="526">
        <v>176</v>
      </c>
      <c r="T306" s="525">
        <v>0.15310000000000001</v>
      </c>
      <c r="U306" s="525">
        <v>1.1000000000000001</v>
      </c>
      <c r="V306" s="525">
        <v>80.836799999999997</v>
      </c>
      <c r="W306" s="525">
        <v>580.79999999999995</v>
      </c>
      <c r="X306" s="525">
        <v>10.51</v>
      </c>
      <c r="Y306" s="525">
        <v>61.24</v>
      </c>
      <c r="Z306" s="525">
        <v>400</v>
      </c>
      <c r="AA306" s="527">
        <v>32334.720000000001</v>
      </c>
    </row>
    <row r="307" spans="1:27" ht="17.25" hidden="1" customHeight="1" x14ac:dyDescent="0.25">
      <c r="A307" s="147" t="s">
        <v>4678</v>
      </c>
      <c r="B307" s="625">
        <v>181</v>
      </c>
      <c r="C307" s="625"/>
      <c r="D307" s="162" t="s">
        <v>13</v>
      </c>
      <c r="E307" s="162" t="s">
        <v>37</v>
      </c>
      <c r="F307" s="168">
        <v>45376</v>
      </c>
      <c r="G307" s="168">
        <v>45434</v>
      </c>
      <c r="H307" s="142" t="s">
        <v>23</v>
      </c>
      <c r="I307" s="522"/>
      <c r="J307" s="522"/>
      <c r="K307" s="522"/>
      <c r="L307" s="393">
        <v>982</v>
      </c>
      <c r="M307" s="443">
        <f>Таблица4[[#This Row],[Количество хлыстов]]-Таблица4[[#This Row],[Готово, хл]]-Таблица4[[#This Row],[Вывезено, хл]]</f>
        <v>0</v>
      </c>
      <c r="N307" s="478">
        <f>(Таблица4[[#This Row],[Осталось сделать, хлыст]]*Таблица4[[#This Row],[длина]]*Таблица4[[#This Row],[Периметр]])/27</f>
        <v>0</v>
      </c>
      <c r="O307" s="142"/>
      <c r="P307" s="280">
        <v>3</v>
      </c>
      <c r="Q307" s="525" t="s">
        <v>4297</v>
      </c>
      <c r="R307" s="525">
        <v>2946</v>
      </c>
      <c r="S307" s="526">
        <v>982</v>
      </c>
      <c r="T307" s="525">
        <v>0.1439</v>
      </c>
      <c r="U307" s="525">
        <v>0.33900000000000002</v>
      </c>
      <c r="V307" s="525">
        <v>423.92939999999999</v>
      </c>
      <c r="W307" s="525">
        <v>998.69399999999996</v>
      </c>
      <c r="X307" s="525">
        <v>55.11</v>
      </c>
      <c r="Y307" s="525">
        <v>56.12</v>
      </c>
      <c r="Z307" s="525">
        <v>390</v>
      </c>
      <c r="AA307" s="527">
        <v>165332.47</v>
      </c>
    </row>
    <row r="308" spans="1:27" s="431" customFormat="1" ht="17.45" hidden="1" customHeight="1" x14ac:dyDescent="0.25">
      <c r="A308" s="433" t="s">
        <v>4979</v>
      </c>
      <c r="B308" s="521">
        <v>182</v>
      </c>
      <c r="C308" s="521"/>
      <c r="D308" s="142" t="s">
        <v>13</v>
      </c>
      <c r="E308" s="142" t="s">
        <v>892</v>
      </c>
      <c r="F308" s="143">
        <v>45376</v>
      </c>
      <c r="G308" s="143"/>
      <c r="H308" s="610" t="s">
        <v>23</v>
      </c>
      <c r="I308" s="612"/>
      <c r="J308" s="612"/>
      <c r="K308" s="612"/>
      <c r="L308" s="675">
        <f>88+339</f>
        <v>427</v>
      </c>
      <c r="M308" s="553">
        <f>Таблица4[[#This Row],[Количество хлыстов]]-Таблица4[[#This Row],[Готово, хл]]-Таблица4[[#This Row],[Вывезено, хл]]</f>
        <v>3</v>
      </c>
      <c r="N308" s="649"/>
      <c r="O308" s="610" t="s">
        <v>4731</v>
      </c>
      <c r="P308" s="631">
        <v>5.15</v>
      </c>
      <c r="Q308" s="614" t="s">
        <v>4773</v>
      </c>
      <c r="R308" s="614">
        <v>2214.5</v>
      </c>
      <c r="S308" s="615">
        <v>430</v>
      </c>
      <c r="T308" s="614">
        <v>0.15790000000000001</v>
      </c>
      <c r="U308" s="614">
        <v>0.309</v>
      </c>
      <c r="V308" s="614">
        <v>349.6696</v>
      </c>
      <c r="W308" s="614">
        <v>684.28049999999996</v>
      </c>
      <c r="X308" s="614">
        <v>45.46</v>
      </c>
      <c r="Y308" s="614" t="s">
        <v>17</v>
      </c>
      <c r="Z308" s="614" t="s">
        <v>17</v>
      </c>
      <c r="AA308" s="616" t="s">
        <v>17</v>
      </c>
    </row>
    <row r="309" spans="1:27" ht="17.45" hidden="1" customHeight="1" x14ac:dyDescent="0.25">
      <c r="A309" s="147" t="s">
        <v>4678</v>
      </c>
      <c r="B309" s="521">
        <v>183</v>
      </c>
      <c r="C309" s="521"/>
      <c r="D309" s="142" t="s">
        <v>13</v>
      </c>
      <c r="E309" s="142" t="s">
        <v>32</v>
      </c>
      <c r="F309" s="143">
        <v>45376</v>
      </c>
      <c r="G309" s="143">
        <v>45420</v>
      </c>
      <c r="H309" s="142" t="s">
        <v>23</v>
      </c>
      <c r="I309" s="522"/>
      <c r="J309" s="522"/>
      <c r="K309" s="522"/>
      <c r="L309" s="393">
        <v>801</v>
      </c>
      <c r="M309" s="443">
        <f>Таблица4[[#This Row],[Количество хлыстов]]-Таблица4[[#This Row],[Готово, хл]]-Таблица4[[#This Row],[Вывезено, хл]]</f>
        <v>7</v>
      </c>
      <c r="N309" s="486">
        <f>(Таблица4[[#This Row],[Осталось сделать, хлыст]]*Таблица4[[#This Row],[длина]]*Таблица4[[#This Row],[Периметр]])/31</f>
        <v>0.26638274193548389</v>
      </c>
      <c r="O309" s="142" t="s">
        <v>5105</v>
      </c>
      <c r="P309" s="280">
        <v>4.45</v>
      </c>
      <c r="Q309" s="525" t="s">
        <v>4276</v>
      </c>
      <c r="R309" s="525">
        <v>3595.6</v>
      </c>
      <c r="S309" s="526">
        <v>808</v>
      </c>
      <c r="T309" s="525">
        <v>0.2651</v>
      </c>
      <c r="U309" s="525">
        <v>0.82099999999999995</v>
      </c>
      <c r="V309" s="525">
        <v>953.19359999999995</v>
      </c>
      <c r="W309" s="525">
        <v>2951.9875999999999</v>
      </c>
      <c r="X309" s="525">
        <v>123.92</v>
      </c>
      <c r="Y309" s="525">
        <v>107.37</v>
      </c>
      <c r="Z309" s="525">
        <v>405</v>
      </c>
      <c r="AA309" s="527">
        <v>386043.39</v>
      </c>
    </row>
    <row r="310" spans="1:27" ht="17.25" hidden="1" customHeight="1" x14ac:dyDescent="0.25">
      <c r="A310" s="147" t="s">
        <v>4678</v>
      </c>
      <c r="B310" s="521">
        <v>183</v>
      </c>
      <c r="C310" s="521"/>
      <c r="D310" s="142" t="s">
        <v>13</v>
      </c>
      <c r="E310" s="142" t="s">
        <v>32</v>
      </c>
      <c r="F310" s="143">
        <v>45376</v>
      </c>
      <c r="G310" s="143">
        <v>45409</v>
      </c>
      <c r="H310" s="610" t="s">
        <v>23</v>
      </c>
      <c r="I310" s="522"/>
      <c r="J310" s="522"/>
      <c r="K310" s="522"/>
      <c r="L310" s="393">
        <v>167</v>
      </c>
      <c r="M310" s="443">
        <f>Таблица4[[#This Row],[Количество хлыстов]]-Таблица4[[#This Row],[Готово, хл]]-Таблица4[[#This Row],[Вывезено, хл]]</f>
        <v>15</v>
      </c>
      <c r="N310" s="444">
        <f>(Таблица4[[#This Row],[Осталось сделать, хлыст]]*Таблица4[[#This Row],[длина]]*Таблица4[[#This Row],[Периметр]])/28</f>
        <v>0.71719017857142853</v>
      </c>
      <c r="O310" s="142" t="s">
        <v>5087</v>
      </c>
      <c r="P310" s="280">
        <v>5.05</v>
      </c>
      <c r="Q310" s="525" t="s">
        <v>4275</v>
      </c>
      <c r="R310" s="525">
        <v>919.1</v>
      </c>
      <c r="S310" s="526">
        <v>182</v>
      </c>
      <c r="T310" s="525">
        <v>0.2651</v>
      </c>
      <c r="U310" s="525">
        <v>0.82099999999999995</v>
      </c>
      <c r="V310" s="525">
        <v>243.6534</v>
      </c>
      <c r="W310" s="525">
        <v>754.58109999999999</v>
      </c>
      <c r="X310" s="525">
        <v>31.67</v>
      </c>
      <c r="Y310" s="525">
        <v>107.37</v>
      </c>
      <c r="Z310" s="525">
        <v>405</v>
      </c>
      <c r="AA310" s="527">
        <v>98679.63</v>
      </c>
    </row>
    <row r="311" spans="1:27" s="431" customFormat="1" ht="17.45" hidden="1" customHeight="1" x14ac:dyDescent="0.25">
      <c r="A311" s="433" t="s">
        <v>4979</v>
      </c>
      <c r="B311" s="609">
        <v>184</v>
      </c>
      <c r="C311" s="609"/>
      <c r="D311" s="610" t="s">
        <v>13</v>
      </c>
      <c r="E311" s="610" t="s">
        <v>32</v>
      </c>
      <c r="F311" s="611">
        <v>45376</v>
      </c>
      <c r="G311" s="611"/>
      <c r="H311" s="610" t="s">
        <v>23</v>
      </c>
      <c r="I311" s="612"/>
      <c r="J311" s="612"/>
      <c r="K311" s="612"/>
      <c r="L311" s="612">
        <v>223</v>
      </c>
      <c r="M311" s="553">
        <f>Таблица4[[#This Row],[Количество хлыстов]]-Таблица4[[#This Row],[Готово, хл]]-Таблица4[[#This Row],[Вывезено, хл]]</f>
        <v>1</v>
      </c>
      <c r="N311" s="649"/>
      <c r="O311" s="610"/>
      <c r="P311" s="631">
        <v>4.45</v>
      </c>
      <c r="Q311" s="614" t="s">
        <v>4772</v>
      </c>
      <c r="R311" s="614">
        <v>996.8</v>
      </c>
      <c r="S311" s="615">
        <v>224</v>
      </c>
      <c r="T311" s="614">
        <v>0.2651</v>
      </c>
      <c r="U311" s="614">
        <v>0.82099999999999995</v>
      </c>
      <c r="V311" s="614">
        <v>264.25170000000003</v>
      </c>
      <c r="W311" s="614">
        <v>818.37279999999998</v>
      </c>
      <c r="X311" s="614">
        <v>34.35</v>
      </c>
      <c r="Y311" s="614">
        <v>100.74</v>
      </c>
      <c r="Z311" s="614">
        <v>380</v>
      </c>
      <c r="AA311" s="616">
        <v>100415.64</v>
      </c>
    </row>
    <row r="312" spans="1:27" s="431" customFormat="1" ht="17.45" hidden="1" customHeight="1" x14ac:dyDescent="0.25">
      <c r="A312" s="433" t="s">
        <v>4979</v>
      </c>
      <c r="B312" s="609">
        <v>184</v>
      </c>
      <c r="C312" s="609"/>
      <c r="D312" s="610" t="s">
        <v>13</v>
      </c>
      <c r="E312" s="610" t="s">
        <v>32</v>
      </c>
      <c r="F312" s="611">
        <v>45376</v>
      </c>
      <c r="G312" s="611"/>
      <c r="H312" s="610" t="s">
        <v>23</v>
      </c>
      <c r="I312" s="612"/>
      <c r="J312" s="612"/>
      <c r="K312" s="612"/>
      <c r="L312" s="612">
        <v>96</v>
      </c>
      <c r="M312" s="553">
        <f>Таблица4[[#This Row],[Количество хлыстов]]-Таблица4[[#This Row],[Готово, хл]]-Таблица4[[#This Row],[Вывезено, хл]]</f>
        <v>0</v>
      </c>
      <c r="N312" s="649"/>
      <c r="O312" s="610"/>
      <c r="P312" s="631">
        <v>5.05</v>
      </c>
      <c r="Q312" s="614" t="s">
        <v>4855</v>
      </c>
      <c r="R312" s="614">
        <v>484.8</v>
      </c>
      <c r="S312" s="615">
        <v>96</v>
      </c>
      <c r="T312" s="614">
        <v>0.2651</v>
      </c>
      <c r="U312" s="614">
        <v>0.82099999999999995</v>
      </c>
      <c r="V312" s="614">
        <v>128.5205</v>
      </c>
      <c r="W312" s="614">
        <v>398.02080000000001</v>
      </c>
      <c r="X312" s="614">
        <v>16.71</v>
      </c>
      <c r="Y312" s="614">
        <v>100.74</v>
      </c>
      <c r="Z312" s="614">
        <v>380</v>
      </c>
      <c r="AA312" s="616">
        <v>48837.78</v>
      </c>
    </row>
    <row r="313" spans="1:27" ht="17.45" hidden="1" customHeight="1" x14ac:dyDescent="0.25">
      <c r="A313" s="147" t="s">
        <v>4678</v>
      </c>
      <c r="B313" s="521" t="s">
        <v>4993</v>
      </c>
      <c r="C313" s="521"/>
      <c r="D313" s="142" t="s">
        <v>34</v>
      </c>
      <c r="E313" s="142" t="s">
        <v>16</v>
      </c>
      <c r="F313" s="143">
        <v>45376</v>
      </c>
      <c r="G313" s="143"/>
      <c r="H313" s="142" t="s">
        <v>23</v>
      </c>
      <c r="I313" s="522"/>
      <c r="J313" s="522"/>
      <c r="K313" s="522"/>
      <c r="L313" s="393">
        <f>250+10</f>
        <v>260</v>
      </c>
      <c r="M313" s="691">
        <f>Таблица4[[#This Row],[Количество хлыстов]]-Таблица4[[#This Row],[Готово, хл]]-Таблица4[[#This Row],[Вывезено, хл]]</f>
        <v>0</v>
      </c>
      <c r="N313" s="564">
        <f>Таблица4[[#This Row],[Площадь общая, м2]]/28</f>
        <v>16.697571428571429</v>
      </c>
      <c r="O313" s="142" t="s">
        <v>5008</v>
      </c>
      <c r="P313" s="280">
        <v>6</v>
      </c>
      <c r="Q313" s="525" t="s">
        <v>2423</v>
      </c>
      <c r="R313" s="525">
        <v>1560</v>
      </c>
      <c r="S313" s="526">
        <v>260</v>
      </c>
      <c r="T313" s="525">
        <v>0.29970000000000002</v>
      </c>
      <c r="U313" s="525">
        <v>1.6739999999999999</v>
      </c>
      <c r="V313" s="525">
        <v>467.53199999999998</v>
      </c>
      <c r="W313" s="525">
        <v>2611.44</v>
      </c>
      <c r="X313" s="525">
        <v>60.78</v>
      </c>
      <c r="Y313" s="525">
        <v>130.37</v>
      </c>
      <c r="Z313" s="525">
        <v>435</v>
      </c>
      <c r="AA313" s="527">
        <v>203377.2</v>
      </c>
    </row>
    <row r="314" spans="1:27" ht="17.45" hidden="1" customHeight="1" x14ac:dyDescent="0.25">
      <c r="A314" s="147" t="s">
        <v>4678</v>
      </c>
      <c r="B314" s="521">
        <v>185</v>
      </c>
      <c r="C314" s="521"/>
      <c r="D314" s="142" t="s">
        <v>34</v>
      </c>
      <c r="E314" s="142" t="s">
        <v>3404</v>
      </c>
      <c r="F314" s="143">
        <v>45376</v>
      </c>
      <c r="G314" s="143"/>
      <c r="H314" s="142" t="s">
        <v>23</v>
      </c>
      <c r="I314" s="522"/>
      <c r="J314" s="522"/>
      <c r="K314" s="522">
        <v>239</v>
      </c>
      <c r="L314" s="393"/>
      <c r="M314" s="691">
        <f>Таблица4[[#This Row],[Количество хлыстов]]-Таблица4[[#This Row],[Готово, хл]]-Таблица4[[#This Row],[Вывезено, хл]]</f>
        <v>0</v>
      </c>
      <c r="N314" s="444">
        <f>(Таблица4[[#This Row],[Осталось сделать, хлыст]]*Таблица4[[#This Row],[длина]]*Таблица4[[#This Row],[Периметр]])/30</f>
        <v>0</v>
      </c>
      <c r="O314" s="142"/>
      <c r="P314" s="280">
        <v>6</v>
      </c>
      <c r="Q314" s="525" t="s">
        <v>4994</v>
      </c>
      <c r="R314" s="525">
        <v>1434</v>
      </c>
      <c r="S314" s="526">
        <v>239</v>
      </c>
      <c r="T314" s="525">
        <v>0.21959999999999999</v>
      </c>
      <c r="U314" s="525">
        <v>0.35</v>
      </c>
      <c r="V314" s="525">
        <v>314.90640000000002</v>
      </c>
      <c r="W314" s="525">
        <v>501.9</v>
      </c>
      <c r="X314" s="525">
        <v>40.94</v>
      </c>
      <c r="Y314" s="525">
        <v>81.25</v>
      </c>
      <c r="Z314" s="525">
        <v>370</v>
      </c>
      <c r="AA314" s="527">
        <v>116515.37</v>
      </c>
    </row>
    <row r="315" spans="1:27" ht="17.45" hidden="1" customHeight="1" x14ac:dyDescent="0.25">
      <c r="A315" s="147" t="s">
        <v>4678</v>
      </c>
      <c r="B315" s="521">
        <v>186</v>
      </c>
      <c r="C315" s="521"/>
      <c r="D315" s="142" t="s">
        <v>34</v>
      </c>
      <c r="E315" s="142" t="s">
        <v>3404</v>
      </c>
      <c r="F315" s="143">
        <v>45377</v>
      </c>
      <c r="G315" s="143"/>
      <c r="H315" s="142" t="s">
        <v>23</v>
      </c>
      <c r="I315" s="522"/>
      <c r="J315" s="522"/>
      <c r="K315" s="522"/>
      <c r="L315" s="393">
        <v>18</v>
      </c>
      <c r="M315" s="443">
        <f>Таблица4[[#This Row],[Количество хлыстов]]-Таблица4[[#This Row],[Готово, хл]]-Таблица4[[#This Row],[Вывезено, хл]]</f>
        <v>0</v>
      </c>
      <c r="N315" s="444">
        <f>(Таблица4[[#This Row],[Осталось сделать, хлыст]]*Таблица4[[#This Row],[длина]]*Таблица4[[#This Row],[Периметр]])/28</f>
        <v>0</v>
      </c>
      <c r="O315" s="142"/>
      <c r="P315" s="280">
        <v>6</v>
      </c>
      <c r="Q315" s="525" t="s">
        <v>4998</v>
      </c>
      <c r="R315" s="525">
        <v>108</v>
      </c>
      <c r="S315" s="526">
        <v>18</v>
      </c>
      <c r="T315" s="525">
        <v>0.3075</v>
      </c>
      <c r="U315" s="525">
        <v>0.85</v>
      </c>
      <c r="V315" s="525">
        <v>33.21</v>
      </c>
      <c r="W315" s="525">
        <v>91.8</v>
      </c>
      <c r="X315" s="525">
        <v>4.32</v>
      </c>
      <c r="Y315" s="525">
        <v>113.78</v>
      </c>
      <c r="Z315" s="525">
        <v>370</v>
      </c>
      <c r="AA315" s="527">
        <v>12287.7</v>
      </c>
    </row>
    <row r="316" spans="1:27" ht="17.45" hidden="1" customHeight="1" x14ac:dyDescent="0.25">
      <c r="A316" s="147" t="s">
        <v>4678</v>
      </c>
      <c r="B316" s="521">
        <v>186</v>
      </c>
      <c r="C316" s="521"/>
      <c r="D316" s="142" t="s">
        <v>34</v>
      </c>
      <c r="E316" s="142" t="s">
        <v>3404</v>
      </c>
      <c r="F316" s="143">
        <v>45377</v>
      </c>
      <c r="G316" s="143"/>
      <c r="H316" s="142" t="s">
        <v>23</v>
      </c>
      <c r="I316" s="522"/>
      <c r="J316" s="522"/>
      <c r="K316" s="522"/>
      <c r="L316" s="393">
        <v>10</v>
      </c>
      <c r="M316" s="443">
        <f>Таблица4[[#This Row],[Количество хлыстов]]-Таблица4[[#This Row],[Готово, хл]]-Таблица4[[#This Row],[Вывезено, хл]]</f>
        <v>0</v>
      </c>
      <c r="N316" s="444">
        <f>(Таблица4[[#This Row],[Осталось сделать, хлыст]]*Таблица4[[#This Row],[длина]]*Таблица4[[#This Row],[Периметр]])/28</f>
        <v>0</v>
      </c>
      <c r="O316" s="524" t="s">
        <v>5015</v>
      </c>
      <c r="P316" s="280">
        <v>6</v>
      </c>
      <c r="Q316" s="525" t="s">
        <v>5040</v>
      </c>
      <c r="R316" s="525">
        <v>60</v>
      </c>
      <c r="S316" s="526">
        <v>10</v>
      </c>
      <c r="T316" s="525">
        <v>0.1883</v>
      </c>
      <c r="U316" s="525">
        <v>0.318</v>
      </c>
      <c r="V316" s="525">
        <v>11.298</v>
      </c>
      <c r="W316" s="525">
        <v>19.079999999999998</v>
      </c>
      <c r="X316" s="525">
        <v>1.47</v>
      </c>
      <c r="Y316" s="525">
        <v>69.67</v>
      </c>
      <c r="Z316" s="525">
        <v>370</v>
      </c>
      <c r="AA316" s="527">
        <v>4180.26</v>
      </c>
    </row>
    <row r="317" spans="1:27" ht="17.45" hidden="1" customHeight="1" x14ac:dyDescent="0.25">
      <c r="A317" s="147" t="s">
        <v>4678</v>
      </c>
      <c r="B317" s="521">
        <v>187</v>
      </c>
      <c r="C317" s="521"/>
      <c r="D317" s="142" t="s">
        <v>13</v>
      </c>
      <c r="E317" s="142" t="s">
        <v>4734</v>
      </c>
      <c r="F317" s="143">
        <v>45377</v>
      </c>
      <c r="G317" s="143"/>
      <c r="H317" s="142" t="s">
        <v>23</v>
      </c>
      <c r="I317" s="522"/>
      <c r="J317" s="522"/>
      <c r="K317" s="522"/>
      <c r="L317" s="393">
        <v>16</v>
      </c>
      <c r="M317" s="443">
        <f>Таблица4[[#This Row],[Количество хлыстов]]-Таблица4[[#This Row],[Готово, хл]]-Таблица4[[#This Row],[Вывезено, хл]]</f>
        <v>0</v>
      </c>
      <c r="N317" s="444">
        <f>(Таблица4[[#This Row],[Осталось сделать, хлыст]]*Таблица4[[#This Row],[длина]]*Таблица4[[#This Row],[Периметр]])/28</f>
        <v>0</v>
      </c>
      <c r="O317" s="142"/>
      <c r="P317" s="280">
        <v>6</v>
      </c>
      <c r="Q317" s="525" t="s">
        <v>4567</v>
      </c>
      <c r="R317" s="525">
        <v>96</v>
      </c>
      <c r="S317" s="526">
        <v>16</v>
      </c>
      <c r="T317" s="525">
        <v>0.29759999999999998</v>
      </c>
      <c r="U317" s="525">
        <v>0.67600000000000005</v>
      </c>
      <c r="V317" s="525">
        <v>28.569600000000001</v>
      </c>
      <c r="W317" s="525">
        <v>64.896000000000001</v>
      </c>
      <c r="X317" s="525">
        <v>3.71</v>
      </c>
      <c r="Y317" s="525">
        <v>120.53</v>
      </c>
      <c r="Z317" s="525">
        <v>405</v>
      </c>
      <c r="AA317" s="527">
        <v>11570.88</v>
      </c>
    </row>
    <row r="318" spans="1:27" ht="17.45" hidden="1" customHeight="1" x14ac:dyDescent="0.25">
      <c r="A318" s="147" t="s">
        <v>4979</v>
      </c>
      <c r="B318" s="521">
        <v>193</v>
      </c>
      <c r="C318" s="521" t="s">
        <v>4753</v>
      </c>
      <c r="D318" s="142" t="s">
        <v>13</v>
      </c>
      <c r="E318" s="142" t="s">
        <v>32</v>
      </c>
      <c r="F318" s="143">
        <v>45379</v>
      </c>
      <c r="G318" s="143"/>
      <c r="H318" s="142" t="s">
        <v>23</v>
      </c>
      <c r="I318" s="522"/>
      <c r="J318" s="522"/>
      <c r="K318" s="522"/>
      <c r="L318" s="393">
        <v>1088</v>
      </c>
      <c r="M318" s="443">
        <f>Таблица4[[#This Row],[Количество хлыстов]]-Таблица4[[#This Row],[Готово, хл]]-Таблица4[[#This Row],[Вывезено, хл]]</f>
        <v>0</v>
      </c>
      <c r="N318" s="564"/>
      <c r="O318" s="142"/>
      <c r="P318" s="280">
        <v>5.3</v>
      </c>
      <c r="Q318" s="525" t="s">
        <v>4988</v>
      </c>
      <c r="R318" s="525">
        <v>5766.4</v>
      </c>
      <c r="S318" s="526">
        <v>1088</v>
      </c>
      <c r="T318" s="525">
        <v>0.255</v>
      </c>
      <c r="U318" s="525">
        <v>0.80400000000000005</v>
      </c>
      <c r="V318" s="525">
        <v>1470.432</v>
      </c>
      <c r="W318" s="525">
        <v>4636.1855999999998</v>
      </c>
      <c r="X318" s="525">
        <v>191.16</v>
      </c>
      <c r="Y318" s="525">
        <v>91.8</v>
      </c>
      <c r="Z318" s="525">
        <v>360</v>
      </c>
      <c r="AA318" s="527">
        <v>529355.52000000002</v>
      </c>
    </row>
    <row r="319" spans="1:27" ht="17.45" hidden="1" customHeight="1" x14ac:dyDescent="0.25">
      <c r="A319" s="147" t="s">
        <v>4678</v>
      </c>
      <c r="B319" s="521">
        <v>199</v>
      </c>
      <c r="C319" s="521"/>
      <c r="D319" s="142" t="s">
        <v>34</v>
      </c>
      <c r="E319" s="142" t="s">
        <v>3404</v>
      </c>
      <c r="F319" s="143">
        <v>45383</v>
      </c>
      <c r="G319" s="143"/>
      <c r="H319" s="142" t="s">
        <v>23</v>
      </c>
      <c r="I319" s="522"/>
      <c r="J319" s="522"/>
      <c r="K319" s="522">
        <v>8</v>
      </c>
      <c r="L319" s="393"/>
      <c r="M319" s="691">
        <f>Таблица4[[#This Row],[Количество хлыстов]]-Таблица4[[#This Row],[Готово, хл]]-Таблица4[[#This Row],[Вывезено, хл]]</f>
        <v>0</v>
      </c>
      <c r="N319" s="444">
        <f>(Таблица4[[#This Row],[Осталось сделать, хлыст]]*Таблица4[[#This Row],[длина]]*Таблица4[[#This Row],[Периметр]])/30</f>
        <v>0</v>
      </c>
      <c r="O319" s="142"/>
      <c r="P319" s="280">
        <v>6</v>
      </c>
      <c r="Q319" s="525" t="s">
        <v>5003</v>
      </c>
      <c r="R319" s="525">
        <v>48</v>
      </c>
      <c r="S319" s="526">
        <v>8</v>
      </c>
      <c r="T319" s="525">
        <v>0.27439999999999998</v>
      </c>
      <c r="U319" s="525">
        <v>0.56100000000000005</v>
      </c>
      <c r="V319" s="525">
        <v>13.171200000000001</v>
      </c>
      <c r="W319" s="525">
        <v>26.928000000000001</v>
      </c>
      <c r="X319" s="525">
        <v>1.71</v>
      </c>
      <c r="Y319" s="525">
        <v>113.78</v>
      </c>
      <c r="Z319" s="525">
        <v>370</v>
      </c>
      <c r="AA319" s="527">
        <v>5461.44</v>
      </c>
    </row>
    <row r="320" spans="1:27" ht="17.45" hidden="1" customHeight="1" x14ac:dyDescent="0.25">
      <c r="A320" s="147" t="s">
        <v>4678</v>
      </c>
      <c r="B320" s="521">
        <v>199</v>
      </c>
      <c r="C320" s="521"/>
      <c r="D320" s="142" t="s">
        <v>34</v>
      </c>
      <c r="E320" s="142" t="s">
        <v>3404</v>
      </c>
      <c r="F320" s="143">
        <v>45383</v>
      </c>
      <c r="G320" s="143"/>
      <c r="H320" s="142" t="s">
        <v>23</v>
      </c>
      <c r="I320" s="522"/>
      <c r="J320" s="522"/>
      <c r="K320" s="522">
        <v>10</v>
      </c>
      <c r="L320" s="393"/>
      <c r="M320" s="691">
        <f>Таблица4[[#This Row],[Количество хлыстов]]-Таблица4[[#This Row],[Готово, хл]]-Таблица4[[#This Row],[Вывезено, хл]]</f>
        <v>0</v>
      </c>
      <c r="N320" s="444">
        <f>(Таблица4[[#This Row],[Осталось сделать, хлыст]]*Таблица4[[#This Row],[длина]]*Таблица4[[#This Row],[Периметр]])/30</f>
        <v>0</v>
      </c>
      <c r="O320" s="142"/>
      <c r="P320" s="280">
        <v>6</v>
      </c>
      <c r="Q320" s="525" t="s">
        <v>5041</v>
      </c>
      <c r="R320" s="525">
        <v>60</v>
      </c>
      <c r="S320" s="526">
        <v>10</v>
      </c>
      <c r="T320" s="525">
        <v>0.1883</v>
      </c>
      <c r="U320" s="525">
        <v>0.318</v>
      </c>
      <c r="V320" s="525">
        <v>11.298</v>
      </c>
      <c r="W320" s="525">
        <v>19.079999999999998</v>
      </c>
      <c r="X320" s="525">
        <v>1.47</v>
      </c>
      <c r="Y320" s="525">
        <v>69.67</v>
      </c>
      <c r="Z320" s="525">
        <v>370</v>
      </c>
      <c r="AA320" s="527">
        <v>4180.26</v>
      </c>
    </row>
    <row r="321" spans="1:27" ht="17.45" hidden="1" customHeight="1" x14ac:dyDescent="0.25">
      <c r="A321" s="147" t="s">
        <v>4678</v>
      </c>
      <c r="B321" s="521">
        <v>200</v>
      </c>
      <c r="C321" s="521"/>
      <c r="D321" s="142" t="s">
        <v>34</v>
      </c>
      <c r="E321" s="142" t="s">
        <v>328</v>
      </c>
      <c r="F321" s="143">
        <v>45383</v>
      </c>
      <c r="G321" s="143"/>
      <c r="H321" s="142" t="s">
        <v>23</v>
      </c>
      <c r="I321" s="522"/>
      <c r="J321" s="522"/>
      <c r="K321" s="522"/>
      <c r="L321" s="393"/>
      <c r="M321" s="443">
        <f>Таблица4[[#This Row],[Количество хлыстов]]-Таблица4[[#This Row],[Готово, хл]]-Таблица4[[#This Row],[Вывезено, хл]]</f>
        <v>20</v>
      </c>
      <c r="N321" s="444">
        <f>(Таблица4[[#This Row],[Осталось сделать, хлыст]]*Таблица4[[#This Row],[длина]]*Таблица4[[#This Row],[Периметр]])/28</f>
        <v>1.3251428571428572</v>
      </c>
      <c r="O321" s="142"/>
      <c r="P321" s="280">
        <v>6</v>
      </c>
      <c r="Q321" s="525" t="s">
        <v>4813</v>
      </c>
      <c r="R321" s="525">
        <v>120</v>
      </c>
      <c r="S321" s="526">
        <v>20</v>
      </c>
      <c r="T321" s="525">
        <v>0.30919999999999997</v>
      </c>
      <c r="U321" s="525">
        <v>1.101</v>
      </c>
      <c r="V321" s="525">
        <v>37.103999999999999</v>
      </c>
      <c r="W321" s="525">
        <v>132.12</v>
      </c>
      <c r="X321" s="525">
        <v>4.82</v>
      </c>
      <c r="Y321" s="525">
        <v>134.5</v>
      </c>
      <c r="Z321" s="525">
        <v>435</v>
      </c>
      <c r="AA321" s="527">
        <v>16140.24</v>
      </c>
    </row>
    <row r="322" spans="1:27" ht="17.25" hidden="1" customHeight="1" x14ac:dyDescent="0.25">
      <c r="A322" s="147" t="s">
        <v>4678</v>
      </c>
      <c r="B322" s="521">
        <v>202</v>
      </c>
      <c r="C322" s="521"/>
      <c r="D322" s="142" t="s">
        <v>34</v>
      </c>
      <c r="E322" s="142" t="s">
        <v>3404</v>
      </c>
      <c r="F322" s="143">
        <v>45383</v>
      </c>
      <c r="G322" s="143"/>
      <c r="H322" s="142" t="s">
        <v>23</v>
      </c>
      <c r="I322" s="522"/>
      <c r="J322" s="522"/>
      <c r="K322" s="522"/>
      <c r="L322" s="393">
        <v>130</v>
      </c>
      <c r="M322" s="443">
        <f>Таблица4[[#This Row],[Количество хлыстов]]-Таблица4[[#This Row],[Готово, хл]]-Таблица4[[#This Row],[Вывезено, хл]]</f>
        <v>0</v>
      </c>
      <c r="N322" s="444">
        <f>(Таблица4[[#This Row],[Осталось сделать, хлыст]]*Таблица4[[#This Row],[длина]]*Таблица4[[#This Row],[Периметр]])/28</f>
        <v>0</v>
      </c>
      <c r="O322" s="142"/>
      <c r="P322" s="280">
        <v>6</v>
      </c>
      <c r="Q322" s="525" t="s">
        <v>4998</v>
      </c>
      <c r="R322" s="525">
        <v>780</v>
      </c>
      <c r="S322" s="526">
        <v>130</v>
      </c>
      <c r="T322" s="525">
        <v>0.3075</v>
      </c>
      <c r="U322" s="525">
        <v>0.85</v>
      </c>
      <c r="V322" s="525">
        <v>239.85</v>
      </c>
      <c r="W322" s="525">
        <v>663</v>
      </c>
      <c r="X322" s="525">
        <v>31.18</v>
      </c>
      <c r="Y322" s="525">
        <v>81.25</v>
      </c>
      <c r="Z322" s="525">
        <v>370</v>
      </c>
      <c r="AA322" s="527">
        <v>63375</v>
      </c>
    </row>
    <row r="323" spans="1:27" ht="17.45" hidden="1" customHeight="1" x14ac:dyDescent="0.25">
      <c r="A323" s="147" t="s">
        <v>4678</v>
      </c>
      <c r="B323" s="521" t="s">
        <v>5004</v>
      </c>
      <c r="C323" s="521"/>
      <c r="D323" s="142" t="s">
        <v>34</v>
      </c>
      <c r="E323" s="142" t="s">
        <v>16</v>
      </c>
      <c r="F323" s="143">
        <v>45383</v>
      </c>
      <c r="G323" s="143"/>
      <c r="H323" s="142" t="s">
        <v>23</v>
      </c>
      <c r="I323" s="522"/>
      <c r="J323" s="522"/>
      <c r="K323" s="522"/>
      <c r="L323" s="393">
        <v>84</v>
      </c>
      <c r="M323" s="443">
        <f>Таблица4[[#This Row],[Количество хлыстов]]-Таблица4[[#This Row],[Готово, хл]]-Таблица4[[#This Row],[Вывезено, хл]]</f>
        <v>83</v>
      </c>
      <c r="N323" s="444">
        <f>(Таблица4[[#This Row],[Осталось сделать, хлыст]]*Таблица4[[#This Row],[длина]]*Таблица4[[#This Row],[Периметр]])/28</f>
        <v>5.3303785714285725</v>
      </c>
      <c r="O323" s="142" t="s">
        <v>5095</v>
      </c>
      <c r="P323" s="280">
        <v>6</v>
      </c>
      <c r="Q323" s="525" t="s">
        <v>2423</v>
      </c>
      <c r="R323" s="525">
        <v>1002</v>
      </c>
      <c r="S323" s="526">
        <v>167</v>
      </c>
      <c r="T323" s="525">
        <v>0.29970000000000002</v>
      </c>
      <c r="U323" s="525">
        <v>1.6739999999999999</v>
      </c>
      <c r="V323" s="525">
        <v>300.29939999999999</v>
      </c>
      <c r="W323" s="525">
        <v>1677.348</v>
      </c>
      <c r="X323" s="525">
        <v>39.04</v>
      </c>
      <c r="Y323" s="525">
        <v>130.37</v>
      </c>
      <c r="Z323" s="525">
        <v>435</v>
      </c>
      <c r="AA323" s="527">
        <v>130630.24</v>
      </c>
    </row>
    <row r="324" spans="1:27" s="939" customFormat="1" ht="17.45" customHeight="1" x14ac:dyDescent="0.25">
      <c r="A324" s="949" t="s">
        <v>4678</v>
      </c>
      <c r="B324" s="901" t="s">
        <v>5005</v>
      </c>
      <c r="C324" s="901"/>
      <c r="D324" s="524" t="s">
        <v>34</v>
      </c>
      <c r="E324" s="524" t="s">
        <v>16</v>
      </c>
      <c r="F324" s="943">
        <v>45383</v>
      </c>
      <c r="G324" s="927"/>
      <c r="H324" s="926"/>
      <c r="I324" s="928"/>
      <c r="J324" s="928"/>
      <c r="K324" s="928"/>
      <c r="L324" s="937">
        <f>28+22+28</f>
        <v>78</v>
      </c>
      <c r="M324" s="930">
        <f>Таблица4[[#This Row],[Количество хлыстов]]-Таблица4[[#This Row],[Готово, хл]]-Таблица4[[#This Row],[Вывезено, хл]]</f>
        <v>57</v>
      </c>
      <c r="N324" s="931">
        <f>(Таблица4[[#This Row],[Осталось сделать, хлыст]]*Таблица4[[#This Row],[длина]]*Таблица4[[#This Row],[Периметр]])/28</f>
        <v>8.6501571428571431</v>
      </c>
      <c r="O324" s="926"/>
      <c r="P324" s="938">
        <v>6</v>
      </c>
      <c r="Q324" s="933" t="s">
        <v>2469</v>
      </c>
      <c r="R324" s="933">
        <v>810</v>
      </c>
      <c r="S324" s="934">
        <v>135</v>
      </c>
      <c r="T324" s="933">
        <v>0.70820000000000005</v>
      </c>
      <c r="U324" s="933">
        <v>3.4609999999999999</v>
      </c>
      <c r="V324" s="933">
        <v>573.64200000000005</v>
      </c>
      <c r="W324" s="933">
        <v>2803.41</v>
      </c>
      <c r="X324" s="933">
        <v>74.569999999999993</v>
      </c>
      <c r="Y324" s="933">
        <v>308.07</v>
      </c>
      <c r="Z324" s="933">
        <v>435</v>
      </c>
      <c r="AA324" s="935">
        <v>249536.7</v>
      </c>
    </row>
    <row r="325" spans="1:27" s="421" customFormat="1" ht="17.45" hidden="1" customHeight="1" x14ac:dyDescent="0.25">
      <c r="A325" s="419" t="s">
        <v>4978</v>
      </c>
      <c r="B325" s="617">
        <v>203</v>
      </c>
      <c r="C325" s="617"/>
      <c r="D325" s="618" t="s">
        <v>13</v>
      </c>
      <c r="E325" s="618" t="s">
        <v>32</v>
      </c>
      <c r="F325" s="619">
        <v>45383</v>
      </c>
      <c r="G325" s="619"/>
      <c r="H325" s="618" t="s">
        <v>23</v>
      </c>
      <c r="I325" s="620"/>
      <c r="J325" s="620"/>
      <c r="K325" s="620"/>
      <c r="L325" s="620">
        <v>130</v>
      </c>
      <c r="M325" s="691">
        <f>Таблица4[[#This Row],[Количество хлыстов]]-Таблица4[[#This Row],[Готово, хл]]-Таблица4[[#This Row],[Вывезено, хл]]</f>
        <v>0</v>
      </c>
      <c r="N325" s="654"/>
      <c r="O325" s="618"/>
      <c r="P325" s="692">
        <v>5.65</v>
      </c>
      <c r="Q325" s="622" t="s">
        <v>4446</v>
      </c>
      <c r="R325" s="622">
        <v>734.5</v>
      </c>
      <c r="S325" s="623">
        <v>130</v>
      </c>
      <c r="T325" s="622">
        <v>0.1469</v>
      </c>
      <c r="U325" s="622">
        <v>1.3859999999999999</v>
      </c>
      <c r="V325" s="622">
        <v>107.8981</v>
      </c>
      <c r="W325" s="622">
        <v>1018.0170000000001</v>
      </c>
      <c r="X325" s="622">
        <v>14.03</v>
      </c>
      <c r="Y325" s="622">
        <v>30.85</v>
      </c>
      <c r="Z325" s="622">
        <v>210</v>
      </c>
      <c r="AA325" s="624">
        <v>22658.59</v>
      </c>
    </row>
    <row r="326" spans="1:27" s="431" customFormat="1" ht="17.45" hidden="1" customHeight="1" x14ac:dyDescent="0.25">
      <c r="A326" s="547" t="s">
        <v>4978</v>
      </c>
      <c r="B326" s="609">
        <v>204</v>
      </c>
      <c r="C326" s="609"/>
      <c r="D326" s="610" t="s">
        <v>13</v>
      </c>
      <c r="E326" s="610" t="s">
        <v>4725</v>
      </c>
      <c r="F326" s="611">
        <v>45383</v>
      </c>
      <c r="G326" s="611"/>
      <c r="H326" s="610" t="s">
        <v>23</v>
      </c>
      <c r="I326" s="612"/>
      <c r="J326" s="612"/>
      <c r="K326" s="612"/>
      <c r="L326" s="675"/>
      <c r="M326" s="553">
        <f>Таблица4[[#This Row],[Количество хлыстов]]-Таблица4[[#This Row],[Готово, хл]]-Таблица4[[#This Row],[Вывезено, хл]]</f>
        <v>76</v>
      </c>
      <c r="N326" s="649"/>
      <c r="O326" s="610"/>
      <c r="P326" s="631">
        <v>6</v>
      </c>
      <c r="Q326" s="614" t="s">
        <v>4834</v>
      </c>
      <c r="R326" s="614">
        <v>456</v>
      </c>
      <c r="S326" s="615">
        <v>76</v>
      </c>
      <c r="T326" s="614">
        <v>0.42199999999999999</v>
      </c>
      <c r="U326" s="614">
        <v>1.389</v>
      </c>
      <c r="V326" s="614">
        <v>192.43199999999999</v>
      </c>
      <c r="W326" s="614">
        <v>633.38400000000001</v>
      </c>
      <c r="X326" s="614">
        <v>25.02</v>
      </c>
      <c r="Y326" s="614">
        <v>99.17</v>
      </c>
      <c r="Z326" s="614">
        <v>235</v>
      </c>
      <c r="AA326" s="616">
        <v>45221.52</v>
      </c>
    </row>
    <row r="327" spans="1:27" ht="17.45" hidden="1" customHeight="1" x14ac:dyDescent="0.25">
      <c r="A327" s="147" t="s">
        <v>4678</v>
      </c>
      <c r="B327" s="521" t="s">
        <v>5006</v>
      </c>
      <c r="C327" s="521"/>
      <c r="D327" s="142" t="s">
        <v>34</v>
      </c>
      <c r="E327" s="142" t="s">
        <v>16</v>
      </c>
      <c r="F327" s="143">
        <v>45383</v>
      </c>
      <c r="G327" s="143"/>
      <c r="H327" s="142" t="s">
        <v>23</v>
      </c>
      <c r="I327" s="522"/>
      <c r="J327" s="522"/>
      <c r="K327" s="522"/>
      <c r="L327" s="393">
        <v>7</v>
      </c>
      <c r="M327" s="443">
        <f>Таблица4[[#This Row],[Количество хлыстов]]-Таблица4[[#This Row],[Готово, хл]]-Таблица4[[#This Row],[Вывезено, хл]]</f>
        <v>0</v>
      </c>
      <c r="N327" s="444">
        <f>(Таблица4[[#This Row],[Осталось сделать, хлыст]]*Таблица4[[#This Row],[длина]]*Таблица4[[#This Row],[Периметр]])/28</f>
        <v>0</v>
      </c>
      <c r="O327" s="142"/>
      <c r="P327" s="280">
        <v>6</v>
      </c>
      <c r="Q327" s="525" t="s">
        <v>2581</v>
      </c>
      <c r="R327" s="525">
        <v>42</v>
      </c>
      <c r="S327" s="526">
        <v>7</v>
      </c>
      <c r="T327" s="525">
        <v>0.56989999999999996</v>
      </c>
      <c r="U327" s="525">
        <v>1.304</v>
      </c>
      <c r="V327" s="525">
        <v>23.9358</v>
      </c>
      <c r="W327" s="525">
        <v>54.768000000000001</v>
      </c>
      <c r="X327" s="525">
        <v>3.11</v>
      </c>
      <c r="Y327" s="525">
        <v>324.83999999999997</v>
      </c>
      <c r="Z327" s="525">
        <v>570</v>
      </c>
      <c r="AA327" s="527">
        <v>13643.28</v>
      </c>
    </row>
    <row r="328" spans="1:27" ht="17.45" hidden="1" customHeight="1" x14ac:dyDescent="0.25">
      <c r="A328" s="147" t="s">
        <v>4678</v>
      </c>
      <c r="B328" s="521" t="s">
        <v>5007</v>
      </c>
      <c r="C328" s="521"/>
      <c r="D328" s="142" t="s">
        <v>34</v>
      </c>
      <c r="E328" s="142" t="s">
        <v>16</v>
      </c>
      <c r="F328" s="143">
        <v>45383</v>
      </c>
      <c r="G328" s="143"/>
      <c r="H328" s="142" t="s">
        <v>23</v>
      </c>
      <c r="I328" s="522"/>
      <c r="J328" s="522"/>
      <c r="K328" s="522"/>
      <c r="L328" s="393">
        <f>28+34</f>
        <v>62</v>
      </c>
      <c r="M328" s="443">
        <f>Таблица4[[#This Row],[Количество хлыстов]]-Таблица4[[#This Row],[Готово, хл]]-Таблица4[[#This Row],[Вывезено, хл]]</f>
        <v>0</v>
      </c>
      <c r="N328" s="444">
        <f>(Таблица4[[#This Row],[Осталось сделать, хлыст]]*Таблица4[[#This Row],[длина]]*Таблица4[[#This Row],[Периметр]])/28</f>
        <v>0</v>
      </c>
      <c r="O328" s="142"/>
      <c r="P328" s="280">
        <v>6</v>
      </c>
      <c r="Q328" s="525" t="s">
        <v>2469</v>
      </c>
      <c r="R328" s="525">
        <v>372</v>
      </c>
      <c r="S328" s="526">
        <v>62</v>
      </c>
      <c r="T328" s="525">
        <v>0.70820000000000005</v>
      </c>
      <c r="U328" s="525">
        <v>3.4609999999999999</v>
      </c>
      <c r="V328" s="525">
        <v>263.4504</v>
      </c>
      <c r="W328" s="525">
        <v>1287.492</v>
      </c>
      <c r="X328" s="525">
        <v>34.25</v>
      </c>
      <c r="Y328" s="525">
        <v>308.07</v>
      </c>
      <c r="Z328" s="525">
        <v>435</v>
      </c>
      <c r="AA328" s="527">
        <v>114602.04</v>
      </c>
    </row>
    <row r="329" spans="1:27" ht="17.45" hidden="1" customHeight="1" x14ac:dyDescent="0.25">
      <c r="A329" s="147" t="s">
        <v>4678</v>
      </c>
      <c r="B329" s="521">
        <v>189</v>
      </c>
      <c r="C329" s="521" t="s">
        <v>4753</v>
      </c>
      <c r="D329" s="142" t="s">
        <v>4858</v>
      </c>
      <c r="E329" s="142" t="s">
        <v>3918</v>
      </c>
      <c r="F329" s="143">
        <v>45383</v>
      </c>
      <c r="G329" s="143"/>
      <c r="H329" s="142" t="s">
        <v>23</v>
      </c>
      <c r="I329" s="522"/>
      <c r="J329" s="522"/>
      <c r="K329" s="522"/>
      <c r="L329" s="393"/>
      <c r="M329" s="443">
        <f>Таблица4[[#This Row],[Количество хлыстов]]-Таблица4[[#This Row],[Готово, хл]]-Таблица4[[#This Row],[Вывезено, хл]]</f>
        <v>26</v>
      </c>
      <c r="N329" s="486">
        <f>(Таблица4[[#This Row],[Осталось сделать, хлыст]]*Таблица4[[#This Row],[длина]]*Таблица4[[#This Row],[Периметр]])/28</f>
        <v>1.6168285714285715</v>
      </c>
      <c r="O329" s="142"/>
      <c r="P329" s="280">
        <v>6</v>
      </c>
      <c r="Q329" s="525" t="s">
        <v>5009</v>
      </c>
      <c r="R329" s="525">
        <v>156</v>
      </c>
      <c r="S329" s="526">
        <v>26</v>
      </c>
      <c r="T329" s="525">
        <v>0.29020000000000001</v>
      </c>
      <c r="U329" s="525">
        <v>1.17</v>
      </c>
      <c r="V329" s="525">
        <v>45.2712</v>
      </c>
      <c r="W329" s="525">
        <v>182.52</v>
      </c>
      <c r="X329" s="525">
        <v>5.89</v>
      </c>
      <c r="Y329" s="525">
        <v>292</v>
      </c>
      <c r="Z329" s="525">
        <v>1006.2</v>
      </c>
      <c r="AA329" s="527">
        <v>45552</v>
      </c>
    </row>
    <row r="330" spans="1:27" ht="17.45" hidden="1" customHeight="1" x14ac:dyDescent="0.25">
      <c r="A330" s="147" t="s">
        <v>4678</v>
      </c>
      <c r="B330" s="521">
        <v>189</v>
      </c>
      <c r="C330" s="521" t="s">
        <v>4753</v>
      </c>
      <c r="D330" s="142" t="s">
        <v>4858</v>
      </c>
      <c r="E330" s="142" t="s">
        <v>3918</v>
      </c>
      <c r="F330" s="143">
        <v>45383</v>
      </c>
      <c r="G330" s="143"/>
      <c r="H330" s="142" t="s">
        <v>23</v>
      </c>
      <c r="I330" s="522"/>
      <c r="J330" s="522"/>
      <c r="K330" s="522"/>
      <c r="L330" s="393"/>
      <c r="M330" s="443">
        <f>Таблица4[[#This Row],[Количество хлыстов]]-Таблица4[[#This Row],[Готово, хл]]-Таблица4[[#This Row],[Вывезено, хл]]</f>
        <v>18</v>
      </c>
      <c r="N330" s="486">
        <f>(Таблица4[[#This Row],[Осталось сделать, хлыст]]*Таблица4[[#This Row],[длина]]*Таблица4[[#This Row],[Периметр]])/28</f>
        <v>2.1947142857142858</v>
      </c>
      <c r="O330" s="142"/>
      <c r="P330" s="280">
        <v>6</v>
      </c>
      <c r="Q330" s="525" t="s">
        <v>5010</v>
      </c>
      <c r="R330" s="525">
        <v>108</v>
      </c>
      <c r="S330" s="526">
        <v>18</v>
      </c>
      <c r="T330" s="525">
        <v>0.56899999999999995</v>
      </c>
      <c r="U330" s="525">
        <v>1.2270000000000001</v>
      </c>
      <c r="V330" s="525">
        <v>61.451999999999998</v>
      </c>
      <c r="W330" s="525">
        <v>132.51599999999999</v>
      </c>
      <c r="X330" s="525">
        <v>7.99</v>
      </c>
      <c r="Y330" s="525">
        <v>270</v>
      </c>
      <c r="Z330" s="525">
        <v>474.52</v>
      </c>
      <c r="AA330" s="527">
        <v>29160</v>
      </c>
    </row>
    <row r="331" spans="1:27" ht="17.45" customHeight="1" x14ac:dyDescent="0.25">
      <c r="A331" s="949" t="s">
        <v>4678</v>
      </c>
      <c r="B331" s="901">
        <v>189</v>
      </c>
      <c r="C331" s="901" t="s">
        <v>4753</v>
      </c>
      <c r="D331" s="524" t="s">
        <v>4858</v>
      </c>
      <c r="E331" s="524" t="s">
        <v>3918</v>
      </c>
      <c r="F331" s="943">
        <v>45383</v>
      </c>
      <c r="G331" s="148"/>
      <c r="H331" s="145"/>
      <c r="I331" s="645"/>
      <c r="J331" s="645"/>
      <c r="K331" s="645"/>
      <c r="L331" s="394"/>
      <c r="M331" s="443">
        <f>Таблица4[[#This Row],[Количество хлыстов]]-Таблица4[[#This Row],[Готово, хл]]-Таблица4[[#This Row],[Вывезено, хл]]</f>
        <v>10</v>
      </c>
      <c r="N331" s="486">
        <f>(Таблица4[[#This Row],[Осталось сделать, хлыст]]*Таблица4[[#This Row],[длина]]*Таблица4[[#This Row],[Периметр]])/28</f>
        <v>0.52928571428571425</v>
      </c>
      <c r="O331" s="145"/>
      <c r="P331" s="280">
        <v>6</v>
      </c>
      <c r="Q331" s="280" t="s">
        <v>5011</v>
      </c>
      <c r="R331" s="280">
        <v>60</v>
      </c>
      <c r="S331" s="322">
        <v>10</v>
      </c>
      <c r="T331" s="280">
        <v>0.247</v>
      </c>
      <c r="U331" s="280">
        <v>1.6439999999999999</v>
      </c>
      <c r="V331" s="280">
        <v>14.82</v>
      </c>
      <c r="W331" s="280">
        <v>98.64</v>
      </c>
      <c r="X331" s="280">
        <v>1.93</v>
      </c>
      <c r="Y331" s="280">
        <v>268</v>
      </c>
      <c r="Z331" s="280">
        <v>1085.02</v>
      </c>
      <c r="AA331" s="397">
        <v>16080</v>
      </c>
    </row>
    <row r="332" spans="1:27" ht="17.45" customHeight="1" x14ac:dyDescent="0.25">
      <c r="A332" s="949" t="s">
        <v>4678</v>
      </c>
      <c r="B332" s="901">
        <v>189</v>
      </c>
      <c r="C332" s="901" t="s">
        <v>4753</v>
      </c>
      <c r="D332" s="524" t="s">
        <v>4858</v>
      </c>
      <c r="E332" s="524" t="s">
        <v>3918</v>
      </c>
      <c r="F332" s="943">
        <v>45383</v>
      </c>
      <c r="G332" s="148"/>
      <c r="H332" s="145"/>
      <c r="I332" s="645"/>
      <c r="J332" s="645"/>
      <c r="K332" s="645"/>
      <c r="L332" s="394"/>
      <c r="M332" s="443">
        <f>Таблица4[[#This Row],[Количество хлыстов]]-Таблица4[[#This Row],[Готово, хл]]-Таблица4[[#This Row],[Вывезено, хл]]</f>
        <v>4</v>
      </c>
      <c r="N332" s="486">
        <f>(Таблица4[[#This Row],[Осталось сделать, хлыст]]*Таблица4[[#This Row],[длина]]*Таблица4[[#This Row],[Периметр]])/28</f>
        <v>0.26571428571428568</v>
      </c>
      <c r="O332" s="145"/>
      <c r="P332" s="280">
        <v>6</v>
      </c>
      <c r="Q332" s="280" t="s">
        <v>5012</v>
      </c>
      <c r="R332" s="280">
        <v>24</v>
      </c>
      <c r="S332" s="322">
        <v>4</v>
      </c>
      <c r="T332" s="280">
        <v>0.31</v>
      </c>
      <c r="U332" s="280">
        <v>1.23</v>
      </c>
      <c r="V332" s="280">
        <v>7.44</v>
      </c>
      <c r="W332" s="280">
        <v>29.52</v>
      </c>
      <c r="X332" s="280">
        <v>0.97</v>
      </c>
      <c r="Y332" s="280">
        <v>342</v>
      </c>
      <c r="Z332" s="280">
        <v>1103.23</v>
      </c>
      <c r="AA332" s="397">
        <v>8208</v>
      </c>
    </row>
    <row r="333" spans="1:27" ht="17.45" hidden="1" customHeight="1" x14ac:dyDescent="0.25">
      <c r="A333" s="147" t="s">
        <v>4678</v>
      </c>
      <c r="B333" s="521">
        <v>189</v>
      </c>
      <c r="C333" s="521" t="s">
        <v>4753</v>
      </c>
      <c r="D333" s="142" t="s">
        <v>4858</v>
      </c>
      <c r="E333" s="142" t="s">
        <v>3918</v>
      </c>
      <c r="F333" s="143">
        <v>45383</v>
      </c>
      <c r="G333" s="143"/>
      <c r="H333" s="142" t="s">
        <v>23</v>
      </c>
      <c r="I333" s="522"/>
      <c r="J333" s="522"/>
      <c r="K333" s="522"/>
      <c r="L333" s="393"/>
      <c r="M333" s="443">
        <f>Таблица4[[#This Row],[Количество хлыстов]]-Таблица4[[#This Row],[Готово, хл]]-Таблица4[[#This Row],[Вывезено, хл]]</f>
        <v>3</v>
      </c>
      <c r="N333" s="486">
        <f>(Таблица4[[#This Row],[Осталось сделать, хлыст]]*Таблица4[[#This Row],[длина]]*Таблица4[[#This Row],[Периметр]])/28</f>
        <v>4.3071428571428573E-2</v>
      </c>
      <c r="O333" s="142"/>
      <c r="P333" s="280">
        <v>3</v>
      </c>
      <c r="Q333" s="525" t="s">
        <v>5013</v>
      </c>
      <c r="R333" s="525">
        <v>9</v>
      </c>
      <c r="S333" s="526">
        <v>3</v>
      </c>
      <c r="T333" s="525">
        <v>0.13400000000000001</v>
      </c>
      <c r="U333" s="525">
        <v>0.52</v>
      </c>
      <c r="V333" s="525">
        <v>1.206</v>
      </c>
      <c r="W333" s="525">
        <v>4.68</v>
      </c>
      <c r="X333" s="525">
        <v>0.16</v>
      </c>
      <c r="Y333" s="525">
        <v>202</v>
      </c>
      <c r="Z333" s="525">
        <v>1507.46</v>
      </c>
      <c r="AA333" s="527">
        <v>1818</v>
      </c>
    </row>
    <row r="334" spans="1:27" s="436" customFormat="1" ht="17.45" hidden="1" customHeight="1" x14ac:dyDescent="0.25">
      <c r="A334" s="171" t="s">
        <v>4939</v>
      </c>
      <c r="B334" s="625">
        <v>206</v>
      </c>
      <c r="C334" s="625"/>
      <c r="D334" s="162" t="s">
        <v>13</v>
      </c>
      <c r="E334" s="162" t="s">
        <v>5014</v>
      </c>
      <c r="F334" s="168">
        <v>45383</v>
      </c>
      <c r="G334" s="168">
        <v>45390</v>
      </c>
      <c r="H334" s="162" t="s">
        <v>23</v>
      </c>
      <c r="I334" s="587"/>
      <c r="J334" s="587"/>
      <c r="K334" s="587">
        <v>65</v>
      </c>
      <c r="L334" s="689"/>
      <c r="M334" s="477">
        <f>Таблица4[[#This Row],[Количество хлыстов]]-Таблица4[[#This Row],[Готово, хл]]-Таблица4[[#This Row],[Вывезено, хл]]</f>
        <v>5</v>
      </c>
      <c r="N334" s="586">
        <f>Таблица4[[#This Row],[Площадь общая, м2]]/28</f>
        <v>5.0375000000000005</v>
      </c>
      <c r="O334" s="162"/>
      <c r="P334" s="690">
        <v>6.5</v>
      </c>
      <c r="Q334" s="479" t="s">
        <v>5025</v>
      </c>
      <c r="R334" s="479">
        <v>455</v>
      </c>
      <c r="S334" s="480">
        <v>70</v>
      </c>
      <c r="T334" s="479">
        <v>0.31</v>
      </c>
      <c r="U334" s="479">
        <v>1.2010000000000001</v>
      </c>
      <c r="V334" s="479">
        <v>141.05000000000001</v>
      </c>
      <c r="W334" s="479">
        <v>546.45500000000004</v>
      </c>
      <c r="X334" s="479">
        <v>18.34</v>
      </c>
      <c r="Y334" s="479">
        <v>99.2</v>
      </c>
      <c r="Z334" s="479">
        <v>320</v>
      </c>
      <c r="AA334" s="481">
        <v>45136</v>
      </c>
    </row>
    <row r="335" spans="1:27" s="431" customFormat="1" ht="17.45" hidden="1" customHeight="1" x14ac:dyDescent="0.25">
      <c r="A335" s="507" t="s">
        <v>4979</v>
      </c>
      <c r="B335" s="617">
        <v>208</v>
      </c>
      <c r="C335" s="617"/>
      <c r="D335" s="676" t="s">
        <v>34</v>
      </c>
      <c r="E335" s="618" t="s">
        <v>643</v>
      </c>
      <c r="F335" s="619">
        <v>45384</v>
      </c>
      <c r="G335" s="619"/>
      <c r="H335" s="618" t="s">
        <v>23</v>
      </c>
      <c r="I335" s="620"/>
      <c r="J335" s="620"/>
      <c r="K335" s="620"/>
      <c r="L335" s="677">
        <f>217+4</f>
        <v>221</v>
      </c>
      <c r="M335" s="691">
        <f>Таблица4[[#This Row],[Количество хлыстов]]-Таблица4[[#This Row],[Готово, хл]]-Таблица4[[#This Row],[Вывезено, хл]]</f>
        <v>2</v>
      </c>
      <c r="N335" s="671">
        <f>Таблица4[[#This Row],[Площадь общая, м2]]/28</f>
        <v>7.5764250000000004</v>
      </c>
      <c r="O335" s="622" t="s">
        <v>3080</v>
      </c>
      <c r="P335" s="622">
        <v>4.2</v>
      </c>
      <c r="Q335" s="623" t="s">
        <v>888</v>
      </c>
      <c r="R335" s="622">
        <v>936.6</v>
      </c>
      <c r="S335" s="622">
        <v>223</v>
      </c>
      <c r="T335" s="622">
        <v>0.22650000000000001</v>
      </c>
      <c r="U335" s="622">
        <v>0.52700000000000002</v>
      </c>
      <c r="V335" s="622">
        <v>212.13990000000001</v>
      </c>
      <c r="W335" s="622">
        <v>493.58819999999997</v>
      </c>
      <c r="X335" s="622">
        <v>27.58</v>
      </c>
      <c r="Y335" s="624" t="s">
        <v>17</v>
      </c>
      <c r="Z335" s="693" t="s">
        <v>17</v>
      </c>
      <c r="AA335" s="693" t="s">
        <v>17</v>
      </c>
    </row>
    <row r="336" spans="1:27" s="431" customFormat="1" ht="17.45" hidden="1" customHeight="1" x14ac:dyDescent="0.25">
      <c r="A336" s="507" t="s">
        <v>4979</v>
      </c>
      <c r="B336" s="617">
        <v>208</v>
      </c>
      <c r="C336" s="617"/>
      <c r="D336" s="676" t="s">
        <v>34</v>
      </c>
      <c r="E336" s="618" t="s">
        <v>643</v>
      </c>
      <c r="F336" s="619">
        <v>45384</v>
      </c>
      <c r="G336" s="619"/>
      <c r="H336" s="618" t="s">
        <v>23</v>
      </c>
      <c r="I336" s="620"/>
      <c r="J336" s="620"/>
      <c r="K336" s="620"/>
      <c r="L336" s="677">
        <f>415+4</f>
        <v>419</v>
      </c>
      <c r="M336" s="691">
        <f>Таблица4[[#This Row],[Количество хлыстов]]-Таблица4[[#This Row],[Готово, хл]]-Таблица4[[#This Row],[Вывезено, хл]]</f>
        <v>1</v>
      </c>
      <c r="N336" s="622">
        <f>Таблица4[[#This Row],[Площадь общая, м2]]/28</f>
        <v>16.308</v>
      </c>
      <c r="O336" s="623" t="s">
        <v>3080</v>
      </c>
      <c r="P336" s="622">
        <v>4.8</v>
      </c>
      <c r="Q336" s="622" t="s">
        <v>3476</v>
      </c>
      <c r="R336" s="622">
        <v>2016</v>
      </c>
      <c r="S336" s="622">
        <v>420</v>
      </c>
      <c r="T336" s="622">
        <v>0.22650000000000001</v>
      </c>
      <c r="U336" s="622">
        <v>0.52700000000000002</v>
      </c>
      <c r="V336" s="622">
        <v>456.62400000000002</v>
      </c>
      <c r="W336" s="624">
        <v>1062.432</v>
      </c>
      <c r="X336" s="693">
        <v>59.36</v>
      </c>
      <c r="Y336" s="693" t="s">
        <v>17</v>
      </c>
      <c r="Z336" s="693" t="s">
        <v>17</v>
      </c>
      <c r="AA336" s="693" t="s">
        <v>17</v>
      </c>
    </row>
    <row r="337" spans="1:27" s="431" customFormat="1" ht="17.45" hidden="1" customHeight="1" x14ac:dyDescent="0.25">
      <c r="A337" s="433" t="s">
        <v>4979</v>
      </c>
      <c r="B337" s="609">
        <v>195</v>
      </c>
      <c r="C337" s="609"/>
      <c r="D337" s="610" t="s">
        <v>34</v>
      </c>
      <c r="E337" s="610" t="s">
        <v>5016</v>
      </c>
      <c r="F337" s="611">
        <v>45384</v>
      </c>
      <c r="G337" s="611"/>
      <c r="H337" s="610" t="s">
        <v>23</v>
      </c>
      <c r="I337" s="612"/>
      <c r="J337" s="612"/>
      <c r="K337" s="612"/>
      <c r="L337" s="675">
        <v>24</v>
      </c>
      <c r="M337" s="553">
        <f>Таблица4[[#This Row],[Количество хлыстов]]-Таблица4[[#This Row],[Готово, хл]]-Таблица4[[#This Row],[Вывезено, хл]]</f>
        <v>1</v>
      </c>
      <c r="N337" s="649">
        <f>Таблица4[[#This Row],[Площадь общая, м2]]/28</f>
        <v>1.3880357142857143</v>
      </c>
      <c r="O337" s="610"/>
      <c r="P337" s="631">
        <v>6</v>
      </c>
      <c r="Q337" s="614" t="s">
        <v>5017</v>
      </c>
      <c r="R337" s="614">
        <v>150</v>
      </c>
      <c r="S337" s="615">
        <v>25</v>
      </c>
      <c r="T337" s="614">
        <v>0.2591</v>
      </c>
      <c r="U337" s="614">
        <v>0.47899999999999998</v>
      </c>
      <c r="V337" s="614">
        <v>38.865000000000002</v>
      </c>
      <c r="W337" s="614">
        <v>71.849999999999994</v>
      </c>
      <c r="X337" s="614">
        <v>5.05</v>
      </c>
      <c r="Y337" s="614" t="s">
        <v>17</v>
      </c>
      <c r="Z337" s="614" t="s">
        <v>17</v>
      </c>
      <c r="AA337" s="616" t="s">
        <v>17</v>
      </c>
    </row>
    <row r="338" spans="1:27" s="431" customFormat="1" ht="17.45" hidden="1" customHeight="1" x14ac:dyDescent="0.25">
      <c r="A338" s="433" t="s">
        <v>4979</v>
      </c>
      <c r="B338" s="609">
        <v>196</v>
      </c>
      <c r="C338" s="609"/>
      <c r="D338" s="610" t="s">
        <v>34</v>
      </c>
      <c r="E338" s="610" t="s">
        <v>5016</v>
      </c>
      <c r="F338" s="611">
        <v>45384</v>
      </c>
      <c r="G338" s="611"/>
      <c r="H338" s="610" t="s">
        <v>23</v>
      </c>
      <c r="I338" s="612"/>
      <c r="J338" s="612"/>
      <c r="K338" s="612"/>
      <c r="L338" s="675">
        <v>25</v>
      </c>
      <c r="M338" s="553">
        <f>Таблица4[[#This Row],[Количество хлыстов]]-Таблица4[[#This Row],[Готово, хл]]-Таблица4[[#This Row],[Вывезено, хл]]</f>
        <v>0</v>
      </c>
      <c r="N338" s="649">
        <f>Таблица4[[#This Row],[Площадь общая, м2]]/28</f>
        <v>1.3880357142857143</v>
      </c>
      <c r="O338" s="610"/>
      <c r="P338" s="631">
        <v>6</v>
      </c>
      <c r="Q338" s="614" t="s">
        <v>5017</v>
      </c>
      <c r="R338" s="614">
        <v>150</v>
      </c>
      <c r="S338" s="615">
        <v>25</v>
      </c>
      <c r="T338" s="614">
        <v>0.2591</v>
      </c>
      <c r="U338" s="614">
        <v>0.47899999999999998</v>
      </c>
      <c r="V338" s="614">
        <v>38.865000000000002</v>
      </c>
      <c r="W338" s="614">
        <v>71.849999999999994</v>
      </c>
      <c r="X338" s="614">
        <v>5.05</v>
      </c>
      <c r="Y338" s="614" t="s">
        <v>17</v>
      </c>
      <c r="Z338" s="614" t="s">
        <v>17</v>
      </c>
      <c r="AA338" s="616" t="s">
        <v>17</v>
      </c>
    </row>
    <row r="339" spans="1:27" s="431" customFormat="1" ht="17.45" hidden="1" customHeight="1" x14ac:dyDescent="0.25">
      <c r="A339" s="147" t="s">
        <v>4678</v>
      </c>
      <c r="B339" s="521">
        <v>210</v>
      </c>
      <c r="C339" s="521" t="s">
        <v>4753</v>
      </c>
      <c r="D339" s="142" t="s">
        <v>13</v>
      </c>
      <c r="E339" s="142" t="s">
        <v>30</v>
      </c>
      <c r="F339" s="143">
        <v>45386</v>
      </c>
      <c r="G339" s="143">
        <v>45446</v>
      </c>
      <c r="H339" s="142" t="s">
        <v>23</v>
      </c>
      <c r="I339" s="522"/>
      <c r="J339" s="522"/>
      <c r="K339" s="522"/>
      <c r="L339" s="393"/>
      <c r="M339" s="443">
        <f>Таблица4[[#This Row],[Количество хлыстов]]-Таблица4[[#This Row],[Готово, хл]]-Таблица4[[#This Row],[Вывезено, хл]]</f>
        <v>652</v>
      </c>
      <c r="N339" s="626">
        <v>16</v>
      </c>
      <c r="O339" s="142"/>
      <c r="P339" s="280"/>
      <c r="Q339" s="525" t="s">
        <v>5059</v>
      </c>
      <c r="R339" s="525"/>
      <c r="S339" s="526">
        <v>652</v>
      </c>
      <c r="T339" s="525">
        <v>0.60599999999999998</v>
      </c>
      <c r="U339" s="525">
        <v>0.8</v>
      </c>
      <c r="V339" s="525">
        <v>395.11200000000002</v>
      </c>
      <c r="W339" s="525">
        <v>521.6</v>
      </c>
      <c r="X339" s="525">
        <v>51.36</v>
      </c>
      <c r="Y339" s="525">
        <v>521.16999999999996</v>
      </c>
      <c r="Z339" s="525">
        <v>860.01</v>
      </c>
      <c r="AA339" s="527">
        <v>339800</v>
      </c>
    </row>
    <row r="340" spans="1:27" s="431" customFormat="1" ht="17.45" hidden="1" customHeight="1" x14ac:dyDescent="0.25">
      <c r="A340" s="147" t="s">
        <v>4678</v>
      </c>
      <c r="B340" s="521">
        <v>212</v>
      </c>
      <c r="C340" s="521" t="s">
        <v>4753</v>
      </c>
      <c r="D340" s="142" t="s">
        <v>13</v>
      </c>
      <c r="E340" s="142" t="s">
        <v>30</v>
      </c>
      <c r="F340" s="143">
        <v>45386</v>
      </c>
      <c r="G340" s="143"/>
      <c r="H340" s="142" t="s">
        <v>23</v>
      </c>
      <c r="I340" s="522"/>
      <c r="J340" s="522"/>
      <c r="K340" s="522"/>
      <c r="L340" s="393"/>
      <c r="M340" s="443">
        <f>Таблица4[[#This Row],[Количество хлыстов]]-Таблица4[[#This Row],[Готово, хл]]-Таблица4[[#This Row],[Вывезено, хл]]</f>
        <v>28</v>
      </c>
      <c r="N340" s="626">
        <v>22</v>
      </c>
      <c r="O340" s="142"/>
      <c r="P340" s="280"/>
      <c r="Q340" s="525" t="s">
        <v>5066</v>
      </c>
      <c r="R340" s="525"/>
      <c r="S340" s="526">
        <v>28</v>
      </c>
      <c r="T340" s="525">
        <v>4.2809999999999997</v>
      </c>
      <c r="U340" s="525">
        <v>8.5730000000000004</v>
      </c>
      <c r="V340" s="525">
        <v>119.86799999999999</v>
      </c>
      <c r="W340" s="525">
        <v>240.04400000000001</v>
      </c>
      <c r="X340" s="525">
        <v>15.58</v>
      </c>
      <c r="Y340" s="525">
        <v>2919.14</v>
      </c>
      <c r="Z340" s="525" t="s">
        <v>17</v>
      </c>
      <c r="AA340" s="527">
        <v>81736</v>
      </c>
    </row>
    <row r="341" spans="1:27" s="431" customFormat="1" ht="17.45" hidden="1" customHeight="1" x14ac:dyDescent="0.25">
      <c r="A341" s="147" t="s">
        <v>4678</v>
      </c>
      <c r="B341" s="521">
        <v>212</v>
      </c>
      <c r="C341" s="521" t="s">
        <v>4753</v>
      </c>
      <c r="D341" s="142" t="s">
        <v>13</v>
      </c>
      <c r="E341" s="142" t="s">
        <v>30</v>
      </c>
      <c r="F341" s="143">
        <v>45386</v>
      </c>
      <c r="G341" s="143"/>
      <c r="H341" s="142" t="s">
        <v>23</v>
      </c>
      <c r="I341" s="522"/>
      <c r="J341" s="522"/>
      <c r="K341" s="522"/>
      <c r="L341" s="393"/>
      <c r="M341" s="443">
        <f>Таблица4[[#This Row],[Количество хлыстов]]-Таблица4[[#This Row],[Готово, хл]]-Таблица4[[#This Row],[Вывезено, хл]]</f>
        <v>28</v>
      </c>
      <c r="N341" s="564"/>
      <c r="O341" s="142"/>
      <c r="P341" s="280"/>
      <c r="Q341" s="525" t="s">
        <v>5067</v>
      </c>
      <c r="R341" s="525"/>
      <c r="S341" s="526">
        <v>28</v>
      </c>
      <c r="T341" s="525">
        <v>4.8841999999999999</v>
      </c>
      <c r="U341" s="525">
        <v>9.7810000000000006</v>
      </c>
      <c r="V341" s="525">
        <v>136.7576</v>
      </c>
      <c r="W341" s="525">
        <v>273.86799999999999</v>
      </c>
      <c r="X341" s="525">
        <v>17.78</v>
      </c>
      <c r="Y341" s="525">
        <v>2919.14</v>
      </c>
      <c r="Z341" s="525" t="s">
        <v>17</v>
      </c>
      <c r="AA341" s="527">
        <v>81736</v>
      </c>
    </row>
    <row r="342" spans="1:27" s="431" customFormat="1" ht="17.45" hidden="1" customHeight="1" x14ac:dyDescent="0.25">
      <c r="A342" s="147" t="s">
        <v>4678</v>
      </c>
      <c r="B342" s="521">
        <v>212</v>
      </c>
      <c r="C342" s="521" t="s">
        <v>4753</v>
      </c>
      <c r="D342" s="142" t="s">
        <v>13</v>
      </c>
      <c r="E342" s="142" t="s">
        <v>30</v>
      </c>
      <c r="F342" s="143">
        <v>45386</v>
      </c>
      <c r="G342" s="143"/>
      <c r="H342" s="142" t="s">
        <v>23</v>
      </c>
      <c r="I342" s="522"/>
      <c r="J342" s="522"/>
      <c r="K342" s="522"/>
      <c r="L342" s="393"/>
      <c r="M342" s="443">
        <f>Таблица4[[#This Row],[Количество хлыстов]]-Таблица4[[#This Row],[Готово, хл]]-Таблица4[[#This Row],[Вывезено, хл]]</f>
        <v>28</v>
      </c>
      <c r="N342" s="564"/>
      <c r="O342" s="142"/>
      <c r="P342" s="280"/>
      <c r="Q342" s="525" t="s">
        <v>5068</v>
      </c>
      <c r="R342" s="525"/>
      <c r="S342" s="526">
        <v>28</v>
      </c>
      <c r="T342" s="525">
        <v>3.1783000000000001</v>
      </c>
      <c r="U342" s="525">
        <v>6.3650000000000002</v>
      </c>
      <c r="V342" s="525">
        <v>88.992400000000004</v>
      </c>
      <c r="W342" s="525">
        <v>178.22</v>
      </c>
      <c r="X342" s="525">
        <v>11.57</v>
      </c>
      <c r="Y342" s="525">
        <v>2919.14</v>
      </c>
      <c r="Z342" s="525" t="s">
        <v>17</v>
      </c>
      <c r="AA342" s="527">
        <v>81736</v>
      </c>
    </row>
    <row r="343" spans="1:27" s="431" customFormat="1" ht="17.45" hidden="1" customHeight="1" x14ac:dyDescent="0.25">
      <c r="A343" s="147" t="s">
        <v>4678</v>
      </c>
      <c r="B343" s="521">
        <v>212</v>
      </c>
      <c r="C343" s="521" t="s">
        <v>4753</v>
      </c>
      <c r="D343" s="142" t="s">
        <v>13</v>
      </c>
      <c r="E343" s="142" t="s">
        <v>30</v>
      </c>
      <c r="F343" s="143">
        <v>45386</v>
      </c>
      <c r="G343" s="143"/>
      <c r="H343" s="142" t="s">
        <v>23</v>
      </c>
      <c r="I343" s="522"/>
      <c r="J343" s="522"/>
      <c r="K343" s="522"/>
      <c r="L343" s="393"/>
      <c r="M343" s="443">
        <f>Таблица4[[#This Row],[Количество хлыстов]]-Таблица4[[#This Row],[Готово, хл]]-Таблица4[[#This Row],[Вывезено, хл]]</f>
        <v>28</v>
      </c>
      <c r="N343" s="564"/>
      <c r="O343" s="142"/>
      <c r="P343" s="280"/>
      <c r="Q343" s="525" t="s">
        <v>5069</v>
      </c>
      <c r="R343" s="525"/>
      <c r="S343" s="526">
        <v>28</v>
      </c>
      <c r="T343" s="525">
        <v>2.0752000000000002</v>
      </c>
      <c r="U343" s="525">
        <v>4.1559999999999997</v>
      </c>
      <c r="V343" s="525">
        <v>58.105600000000003</v>
      </c>
      <c r="W343" s="525">
        <v>116.36799999999999</v>
      </c>
      <c r="X343" s="525">
        <v>7.55</v>
      </c>
      <c r="Y343" s="525">
        <v>2919.14</v>
      </c>
      <c r="Z343" s="525" t="s">
        <v>17</v>
      </c>
      <c r="AA343" s="527">
        <v>81736</v>
      </c>
    </row>
    <row r="344" spans="1:27" s="431" customFormat="1" ht="17.45" hidden="1" customHeight="1" x14ac:dyDescent="0.25">
      <c r="A344" s="147" t="s">
        <v>4678</v>
      </c>
      <c r="B344" s="521">
        <v>212</v>
      </c>
      <c r="C344" s="521" t="s">
        <v>4753</v>
      </c>
      <c r="D344" s="142" t="s">
        <v>13</v>
      </c>
      <c r="E344" s="142" t="s">
        <v>30</v>
      </c>
      <c r="F344" s="143">
        <v>45386</v>
      </c>
      <c r="G344" s="143"/>
      <c r="H344" s="142" t="s">
        <v>23</v>
      </c>
      <c r="I344" s="522"/>
      <c r="J344" s="522"/>
      <c r="K344" s="522"/>
      <c r="L344" s="393"/>
      <c r="M344" s="443">
        <f>Таблица4[[#This Row],[Количество хлыстов]]-Таблица4[[#This Row],[Готово, хл]]-Таблица4[[#This Row],[Вывезено, хл]]</f>
        <v>28</v>
      </c>
      <c r="N344" s="564"/>
      <c r="O344" s="142"/>
      <c r="P344" s="280"/>
      <c r="Q344" s="525" t="s">
        <v>5070</v>
      </c>
      <c r="R344" s="525"/>
      <c r="S344" s="526">
        <v>28</v>
      </c>
      <c r="T344" s="525">
        <v>1.2896000000000001</v>
      </c>
      <c r="U344" s="525">
        <v>2.5819999999999999</v>
      </c>
      <c r="V344" s="525">
        <v>36.108800000000002</v>
      </c>
      <c r="W344" s="525">
        <v>72.296000000000006</v>
      </c>
      <c r="X344" s="525">
        <v>4.6900000000000004</v>
      </c>
      <c r="Y344" s="525">
        <v>2919.14</v>
      </c>
      <c r="Z344" s="525" t="s">
        <v>17</v>
      </c>
      <c r="AA344" s="527">
        <v>81736</v>
      </c>
    </row>
    <row r="345" spans="1:27" s="431" customFormat="1" ht="17.45" hidden="1" customHeight="1" x14ac:dyDescent="0.25">
      <c r="A345" s="147" t="s">
        <v>4678</v>
      </c>
      <c r="B345" s="521">
        <v>213</v>
      </c>
      <c r="C345" s="521" t="s">
        <v>4753</v>
      </c>
      <c r="D345" s="142" t="s">
        <v>13</v>
      </c>
      <c r="E345" s="142" t="s">
        <v>30</v>
      </c>
      <c r="F345" s="143">
        <v>45386</v>
      </c>
      <c r="G345" s="143"/>
      <c r="H345" s="142" t="s">
        <v>23</v>
      </c>
      <c r="I345" s="522"/>
      <c r="J345" s="522"/>
      <c r="K345" s="522"/>
      <c r="L345" s="393"/>
      <c r="M345" s="443">
        <f>Таблица4[[#This Row],[Количество хлыстов]]-Таблица4[[#This Row],[Готово, хл]]-Таблица4[[#This Row],[Вывезено, хл]]</f>
        <v>62</v>
      </c>
      <c r="N345" s="626">
        <v>6</v>
      </c>
      <c r="O345" s="142"/>
      <c r="P345" s="280"/>
      <c r="Q345" s="525" t="s">
        <v>5060</v>
      </c>
      <c r="R345" s="525"/>
      <c r="S345" s="526">
        <v>62</v>
      </c>
      <c r="T345" s="525">
        <v>0.17249999999999999</v>
      </c>
      <c r="U345" s="525">
        <v>0.81499999999999995</v>
      </c>
      <c r="V345" s="525">
        <v>10.695</v>
      </c>
      <c r="W345" s="525">
        <v>50.53</v>
      </c>
      <c r="X345" s="525">
        <v>1.39</v>
      </c>
      <c r="Y345" s="525">
        <v>170</v>
      </c>
      <c r="Z345" s="525" t="s">
        <v>17</v>
      </c>
      <c r="AA345" s="527">
        <v>10540</v>
      </c>
    </row>
    <row r="346" spans="1:27" s="431" customFormat="1" ht="17.45" hidden="1" customHeight="1" x14ac:dyDescent="0.25">
      <c r="A346" s="147" t="s">
        <v>4678</v>
      </c>
      <c r="B346" s="521">
        <v>213</v>
      </c>
      <c r="C346" s="521" t="s">
        <v>4753</v>
      </c>
      <c r="D346" s="142" t="s">
        <v>13</v>
      </c>
      <c r="E346" s="142" t="s">
        <v>30</v>
      </c>
      <c r="F346" s="143">
        <v>45386</v>
      </c>
      <c r="G346" s="143"/>
      <c r="H346" s="142" t="s">
        <v>23</v>
      </c>
      <c r="I346" s="522"/>
      <c r="J346" s="522"/>
      <c r="K346" s="522"/>
      <c r="L346" s="393"/>
      <c r="M346" s="443">
        <f>Таблица4[[#This Row],[Количество хлыстов]]-Таблица4[[#This Row],[Готово, хл]]-Таблица4[[#This Row],[Вывезено, хл]]</f>
        <v>62</v>
      </c>
      <c r="N346" s="564"/>
      <c r="O346" s="142"/>
      <c r="P346" s="280"/>
      <c r="Q346" s="525" t="s">
        <v>5061</v>
      </c>
      <c r="R346" s="525"/>
      <c r="S346" s="526">
        <v>62</v>
      </c>
      <c r="T346" s="525">
        <v>0.17249999999999999</v>
      </c>
      <c r="U346" s="525">
        <v>0.81499999999999995</v>
      </c>
      <c r="V346" s="525">
        <v>10.695</v>
      </c>
      <c r="W346" s="525">
        <v>50.53</v>
      </c>
      <c r="X346" s="525">
        <v>1.39</v>
      </c>
      <c r="Y346" s="525">
        <v>170</v>
      </c>
      <c r="Z346" s="525" t="s">
        <v>17</v>
      </c>
      <c r="AA346" s="527">
        <v>10540</v>
      </c>
    </row>
    <row r="347" spans="1:27" s="431" customFormat="1" ht="17.45" hidden="1" customHeight="1" x14ac:dyDescent="0.25">
      <c r="A347" s="147" t="s">
        <v>4678</v>
      </c>
      <c r="B347" s="521">
        <v>213</v>
      </c>
      <c r="C347" s="521" t="s">
        <v>4753</v>
      </c>
      <c r="D347" s="142" t="s">
        <v>13</v>
      </c>
      <c r="E347" s="142" t="s">
        <v>30</v>
      </c>
      <c r="F347" s="143">
        <v>45386</v>
      </c>
      <c r="G347" s="143"/>
      <c r="H347" s="142" t="s">
        <v>23</v>
      </c>
      <c r="I347" s="522"/>
      <c r="J347" s="522"/>
      <c r="K347" s="522"/>
      <c r="L347" s="393"/>
      <c r="M347" s="443">
        <f>Таблица4[[#This Row],[Количество хлыстов]]-Таблица4[[#This Row],[Готово, хл]]-Таблица4[[#This Row],[Вывезено, хл]]</f>
        <v>14</v>
      </c>
      <c r="N347" s="564"/>
      <c r="O347" s="142"/>
      <c r="P347" s="280"/>
      <c r="Q347" s="525" t="s">
        <v>5062</v>
      </c>
      <c r="R347" s="525"/>
      <c r="S347" s="526">
        <v>14</v>
      </c>
      <c r="T347" s="525">
        <v>0.17249999999999999</v>
      </c>
      <c r="U347" s="525">
        <v>0.81499999999999995</v>
      </c>
      <c r="V347" s="525">
        <v>2.415</v>
      </c>
      <c r="W347" s="525">
        <v>11.41</v>
      </c>
      <c r="X347" s="525">
        <v>0.31</v>
      </c>
      <c r="Y347" s="525">
        <v>678.71</v>
      </c>
      <c r="Z347" s="525" t="s">
        <v>17</v>
      </c>
      <c r="AA347" s="527">
        <v>9502</v>
      </c>
    </row>
    <row r="348" spans="1:27" s="431" customFormat="1" ht="17.45" hidden="1" customHeight="1" x14ac:dyDescent="0.25">
      <c r="A348" s="147" t="s">
        <v>4678</v>
      </c>
      <c r="B348" s="521">
        <v>213</v>
      </c>
      <c r="C348" s="521" t="s">
        <v>4753</v>
      </c>
      <c r="D348" s="142" t="s">
        <v>13</v>
      </c>
      <c r="E348" s="142" t="s">
        <v>30</v>
      </c>
      <c r="F348" s="143">
        <v>45386</v>
      </c>
      <c r="G348" s="143"/>
      <c r="H348" s="142" t="s">
        <v>23</v>
      </c>
      <c r="I348" s="522"/>
      <c r="J348" s="522"/>
      <c r="K348" s="522"/>
      <c r="L348" s="393"/>
      <c r="M348" s="443">
        <f>Таблица4[[#This Row],[Количество хлыстов]]-Таблица4[[#This Row],[Готово, хл]]-Таблица4[[#This Row],[Вывезено, хл]]</f>
        <v>14</v>
      </c>
      <c r="N348" s="564"/>
      <c r="O348" s="142"/>
      <c r="P348" s="280"/>
      <c r="Q348" s="525" t="s">
        <v>5063</v>
      </c>
      <c r="R348" s="525"/>
      <c r="S348" s="526">
        <v>14</v>
      </c>
      <c r="T348" s="525">
        <v>0.17249999999999999</v>
      </c>
      <c r="U348" s="525">
        <v>0.81499999999999995</v>
      </c>
      <c r="V348" s="525">
        <v>2.415</v>
      </c>
      <c r="W348" s="525">
        <v>11.41</v>
      </c>
      <c r="X348" s="525">
        <v>0.31</v>
      </c>
      <c r="Y348" s="525">
        <v>678.71</v>
      </c>
      <c r="Z348" s="525" t="s">
        <v>17</v>
      </c>
      <c r="AA348" s="527">
        <v>9502</v>
      </c>
    </row>
    <row r="349" spans="1:27" s="431" customFormat="1" ht="17.45" hidden="1" customHeight="1" x14ac:dyDescent="0.25">
      <c r="A349" s="147" t="s">
        <v>4678</v>
      </c>
      <c r="B349" s="521">
        <v>213</v>
      </c>
      <c r="C349" s="521" t="s">
        <v>4753</v>
      </c>
      <c r="D349" s="142" t="s">
        <v>13</v>
      </c>
      <c r="E349" s="142" t="s">
        <v>30</v>
      </c>
      <c r="F349" s="143">
        <v>45386</v>
      </c>
      <c r="G349" s="143"/>
      <c r="H349" s="142" t="s">
        <v>23</v>
      </c>
      <c r="I349" s="522"/>
      <c r="J349" s="522"/>
      <c r="K349" s="522"/>
      <c r="L349" s="393"/>
      <c r="M349" s="443">
        <f>Таблица4[[#This Row],[Количество хлыстов]]-Таблица4[[#This Row],[Готово, хл]]-Таблица4[[#This Row],[Вывезено, хл]]</f>
        <v>152</v>
      </c>
      <c r="N349" s="564"/>
      <c r="O349" s="142"/>
      <c r="P349" s="280"/>
      <c r="Q349" s="525" t="s">
        <v>5064</v>
      </c>
      <c r="R349" s="525"/>
      <c r="S349" s="526">
        <v>152</v>
      </c>
      <c r="T349" s="525">
        <v>0.17249999999999999</v>
      </c>
      <c r="U349" s="525">
        <v>0.81499999999999995</v>
      </c>
      <c r="V349" s="525">
        <v>26.22</v>
      </c>
      <c r="W349" s="525">
        <v>123.88</v>
      </c>
      <c r="X349" s="525">
        <v>3.41</v>
      </c>
      <c r="Y349" s="525">
        <v>218.42</v>
      </c>
      <c r="Z349" s="525" t="s">
        <v>17</v>
      </c>
      <c r="AA349" s="527">
        <v>33200</v>
      </c>
    </row>
    <row r="350" spans="1:27" s="431" customFormat="1" ht="17.45" hidden="1" customHeight="1" x14ac:dyDescent="0.25">
      <c r="A350" s="147" t="s">
        <v>4678</v>
      </c>
      <c r="B350" s="521">
        <v>213</v>
      </c>
      <c r="C350" s="521" t="s">
        <v>4753</v>
      </c>
      <c r="D350" s="142" t="s">
        <v>13</v>
      </c>
      <c r="E350" s="142" t="s">
        <v>30</v>
      </c>
      <c r="F350" s="143">
        <v>45386</v>
      </c>
      <c r="G350" s="143"/>
      <c r="H350" s="142" t="s">
        <v>23</v>
      </c>
      <c r="I350" s="522"/>
      <c r="J350" s="522"/>
      <c r="K350" s="522"/>
      <c r="L350" s="393"/>
      <c r="M350" s="443">
        <f>Таблица4[[#This Row],[Количество хлыстов]]-Таблица4[[#This Row],[Готово, хл]]-Таблица4[[#This Row],[Вывезено, хл]]</f>
        <v>152</v>
      </c>
      <c r="N350" s="564"/>
      <c r="O350" s="142"/>
      <c r="P350" s="280"/>
      <c r="Q350" s="525" t="s">
        <v>5065</v>
      </c>
      <c r="R350" s="525"/>
      <c r="S350" s="526">
        <v>152</v>
      </c>
      <c r="T350" s="525">
        <v>0.17249999999999999</v>
      </c>
      <c r="U350" s="525">
        <v>0.81499999999999995</v>
      </c>
      <c r="V350" s="525">
        <v>26.22</v>
      </c>
      <c r="W350" s="525">
        <v>123.88</v>
      </c>
      <c r="X350" s="525">
        <v>3.41</v>
      </c>
      <c r="Y350" s="525">
        <v>218.42</v>
      </c>
      <c r="Z350" s="525" t="s">
        <v>17</v>
      </c>
      <c r="AA350" s="527">
        <v>33200</v>
      </c>
    </row>
    <row r="351" spans="1:27" ht="17.45" hidden="1" customHeight="1" x14ac:dyDescent="0.25">
      <c r="A351" s="147" t="s">
        <v>4678</v>
      </c>
      <c r="B351" s="521">
        <v>214</v>
      </c>
      <c r="C351" s="521" t="s">
        <v>4753</v>
      </c>
      <c r="D351" s="142" t="s">
        <v>4858</v>
      </c>
      <c r="E351" s="142" t="s">
        <v>2399</v>
      </c>
      <c r="F351" s="143">
        <v>45387</v>
      </c>
      <c r="G351" s="143"/>
      <c r="H351" s="142" t="s">
        <v>23</v>
      </c>
      <c r="I351" s="522"/>
      <c r="J351" s="522"/>
      <c r="K351" s="522"/>
      <c r="L351" s="393"/>
      <c r="M351" s="443">
        <f>Таблица4[[#This Row],[Количество хлыстов]]-Таблица4[[#This Row],[Готово, хл]]-Таблица4[[#This Row],[Вывезено, хл]]</f>
        <v>130</v>
      </c>
      <c r="N351" s="673">
        <f>Таблица4[[#This Row],[Площадь общая, м2]]/25</f>
        <v>0.43159999999999998</v>
      </c>
      <c r="O351" s="142"/>
      <c r="P351" s="280">
        <v>1.66</v>
      </c>
      <c r="Q351" s="525" t="s">
        <v>5029</v>
      </c>
      <c r="R351" s="525">
        <v>215.8</v>
      </c>
      <c r="S351" s="526">
        <v>130</v>
      </c>
      <c r="T351" s="525">
        <v>0.05</v>
      </c>
      <c r="U351" s="525">
        <v>8.4000000000000005E-2</v>
      </c>
      <c r="V351" s="525">
        <v>10.79</v>
      </c>
      <c r="W351" s="525">
        <v>18.127199999999998</v>
      </c>
      <c r="X351" s="525">
        <v>1.4</v>
      </c>
      <c r="Y351" s="525">
        <v>127.62</v>
      </c>
      <c r="Z351" s="525">
        <v>2552.4</v>
      </c>
      <c r="AA351" s="527">
        <v>27540.400000000001</v>
      </c>
    </row>
    <row r="352" spans="1:27" ht="17.45" hidden="1" customHeight="1" x14ac:dyDescent="0.25">
      <c r="A352" s="147" t="s">
        <v>4678</v>
      </c>
      <c r="B352" s="521">
        <v>215</v>
      </c>
      <c r="C352" s="521"/>
      <c r="D352" s="142" t="s">
        <v>13</v>
      </c>
      <c r="E352" s="142" t="s">
        <v>557</v>
      </c>
      <c r="F352" s="143">
        <v>45387</v>
      </c>
      <c r="G352" s="143"/>
      <c r="H352" s="142" t="s">
        <v>23</v>
      </c>
      <c r="I352" s="522"/>
      <c r="J352" s="522"/>
      <c r="K352" s="522"/>
      <c r="L352" s="393"/>
      <c r="M352" s="691">
        <f>Таблица4[[#This Row],[Количество хлыстов]]-Таблица4[[#This Row],[Готово, хл]]-Таблица4[[#This Row],[Вывезено, хл]]</f>
        <v>700</v>
      </c>
      <c r="N352" s="673">
        <f>Таблица4[[#This Row],[Площадь общая, м2]]/28</f>
        <v>7.6349999999999998</v>
      </c>
      <c r="O352" s="142"/>
      <c r="P352" s="280">
        <v>3</v>
      </c>
      <c r="Q352" s="525" t="s">
        <v>5030</v>
      </c>
      <c r="R352" s="525">
        <v>2100</v>
      </c>
      <c r="S352" s="526">
        <v>700</v>
      </c>
      <c r="T352" s="525">
        <v>0.1018</v>
      </c>
      <c r="U352" s="525">
        <v>0.26600000000000001</v>
      </c>
      <c r="V352" s="525">
        <v>213.78</v>
      </c>
      <c r="W352" s="525">
        <v>558.6</v>
      </c>
      <c r="X352" s="525">
        <v>27.79</v>
      </c>
      <c r="Y352" s="525">
        <v>35.630000000000003</v>
      </c>
      <c r="Z352" s="525">
        <v>350</v>
      </c>
      <c r="AA352" s="527">
        <v>74823</v>
      </c>
    </row>
    <row r="353" spans="1:27" s="421" customFormat="1" ht="17.45" hidden="1" customHeight="1" x14ac:dyDescent="0.25">
      <c r="A353" s="419" t="s">
        <v>5031</v>
      </c>
      <c r="B353" s="694">
        <v>216</v>
      </c>
      <c r="C353" s="617"/>
      <c r="D353" s="618" t="s">
        <v>13</v>
      </c>
      <c r="E353" s="618" t="s">
        <v>32</v>
      </c>
      <c r="F353" s="619">
        <v>45390</v>
      </c>
      <c r="G353" s="619"/>
      <c r="H353" s="618" t="s">
        <v>23</v>
      </c>
      <c r="I353" s="620"/>
      <c r="J353" s="620"/>
      <c r="K353" s="620"/>
      <c r="L353" s="620"/>
      <c r="M353" s="691">
        <f>Таблица4[[#This Row],[Количество хлыстов]]-Таблица4[[#This Row],[Готово, хл]]-Таблица4[[#This Row],[Вывезено, хл]]</f>
        <v>900</v>
      </c>
      <c r="N353" s="654"/>
      <c r="O353" s="618"/>
      <c r="P353" s="692">
        <v>6.1</v>
      </c>
      <c r="Q353" s="622" t="s">
        <v>5032</v>
      </c>
      <c r="R353" s="622">
        <v>5490</v>
      </c>
      <c r="S353" s="623">
        <v>900</v>
      </c>
      <c r="T353" s="622">
        <v>5.7599999999999998E-2</v>
      </c>
      <c r="U353" s="622">
        <v>8.7999999999999995E-2</v>
      </c>
      <c r="V353" s="622">
        <v>316.22399999999999</v>
      </c>
      <c r="W353" s="622">
        <v>483.12</v>
      </c>
      <c r="X353" s="622">
        <v>41.11</v>
      </c>
      <c r="Y353" s="622">
        <v>22.18</v>
      </c>
      <c r="Z353" s="622">
        <v>385</v>
      </c>
      <c r="AA353" s="624">
        <v>121746.24000000001</v>
      </c>
    </row>
    <row r="354" spans="1:27" s="436" customFormat="1" ht="17.45" hidden="1" customHeight="1" x14ac:dyDescent="0.25">
      <c r="A354" s="171" t="s">
        <v>4678</v>
      </c>
      <c r="B354" s="625">
        <v>217</v>
      </c>
      <c r="C354" s="625"/>
      <c r="D354" s="162" t="s">
        <v>13</v>
      </c>
      <c r="E354" s="162" t="s">
        <v>657</v>
      </c>
      <c r="F354" s="168">
        <v>45390</v>
      </c>
      <c r="G354" s="168">
        <v>45415</v>
      </c>
      <c r="H354" s="162" t="s">
        <v>23</v>
      </c>
      <c r="I354" s="587"/>
      <c r="J354" s="587"/>
      <c r="K354" s="587">
        <v>328</v>
      </c>
      <c r="L354" s="689"/>
      <c r="M354" s="501">
        <f>Таблица4[[#This Row],[Количество хлыстов]]-Таблица4[[#This Row],[Готово, хл]]-Таблица4[[#This Row],[Вывезено, хл]]</f>
        <v>0</v>
      </c>
      <c r="N354" s="673">
        <f>((Таблица4[[#This Row],[Осталось сделать, хлыст]]*Таблица4[[#This Row],[длина]])*Таблица4[[#This Row],[Периметр]])/28</f>
        <v>0</v>
      </c>
      <c r="O354" s="162"/>
      <c r="P354" s="690">
        <v>5.8</v>
      </c>
      <c r="Q354" s="479" t="s">
        <v>2963</v>
      </c>
      <c r="R354" s="479">
        <v>1902.4</v>
      </c>
      <c r="S354" s="480">
        <v>328</v>
      </c>
      <c r="T354" s="479">
        <v>0.1724</v>
      </c>
      <c r="U354" s="479">
        <v>0.41499999999999998</v>
      </c>
      <c r="V354" s="479">
        <v>327.97379999999998</v>
      </c>
      <c r="W354" s="479">
        <v>789.49599999999998</v>
      </c>
      <c r="X354" s="479">
        <v>42.64</v>
      </c>
      <c r="Y354" s="479">
        <v>74.989999999999995</v>
      </c>
      <c r="Z354" s="479">
        <v>435</v>
      </c>
      <c r="AA354" s="481">
        <v>142668.59</v>
      </c>
    </row>
    <row r="355" spans="1:27" ht="17.45" hidden="1" customHeight="1" x14ac:dyDescent="0.25">
      <c r="A355" s="147" t="s">
        <v>4678</v>
      </c>
      <c r="B355" s="521">
        <v>218</v>
      </c>
      <c r="C355" s="521"/>
      <c r="D355" s="142" t="s">
        <v>34</v>
      </c>
      <c r="E355" s="142" t="s">
        <v>3404</v>
      </c>
      <c r="F355" s="143">
        <v>45390</v>
      </c>
      <c r="G355" s="143"/>
      <c r="H355" s="142" t="s">
        <v>23</v>
      </c>
      <c r="I355" s="522"/>
      <c r="J355" s="522"/>
      <c r="K355" s="522"/>
      <c r="L355" s="393">
        <v>187</v>
      </c>
      <c r="M355" s="443">
        <f>Таблица4[[#This Row],[Количество хлыстов]]-Таблица4[[#This Row],[Готово, хл]]-Таблица4[[#This Row],[Вывезено, хл]]</f>
        <v>0</v>
      </c>
      <c r="N355" s="444">
        <f>(Таблица4[[#This Row],[Осталось сделать, хлыст]]*Таблица4[[#This Row],[длина]]*Таблица4[[#This Row],[Периметр]])/30</f>
        <v>0</v>
      </c>
      <c r="O355" s="142"/>
      <c r="P355" s="280">
        <v>6</v>
      </c>
      <c r="Q355" s="525" t="s">
        <v>4998</v>
      </c>
      <c r="R355" s="525">
        <v>1122</v>
      </c>
      <c r="S355" s="526">
        <v>187</v>
      </c>
      <c r="T355" s="525">
        <v>0.3075</v>
      </c>
      <c r="U355" s="525">
        <v>0.85</v>
      </c>
      <c r="V355" s="525">
        <v>345.01499999999999</v>
      </c>
      <c r="W355" s="525">
        <v>953.7</v>
      </c>
      <c r="X355" s="525">
        <v>44.85</v>
      </c>
      <c r="Y355" s="525">
        <v>113.78</v>
      </c>
      <c r="Z355" s="525">
        <v>370</v>
      </c>
      <c r="AA355" s="527">
        <v>127655.55</v>
      </c>
    </row>
    <row r="356" spans="1:27" ht="17.45" hidden="1" customHeight="1" x14ac:dyDescent="0.25">
      <c r="A356" s="147" t="s">
        <v>4678</v>
      </c>
      <c r="B356" s="521">
        <v>219</v>
      </c>
      <c r="C356" s="521"/>
      <c r="D356" s="142" t="s">
        <v>13</v>
      </c>
      <c r="E356" s="142" t="s">
        <v>80</v>
      </c>
      <c r="F356" s="143">
        <v>45390</v>
      </c>
      <c r="G356" s="143">
        <v>45422</v>
      </c>
      <c r="H356" s="142" t="s">
        <v>23</v>
      </c>
      <c r="I356" s="522"/>
      <c r="J356" s="522"/>
      <c r="K356" s="522">
        <v>252</v>
      </c>
      <c r="L356" s="393"/>
      <c r="M356" s="443">
        <f>Таблица4[[#This Row],[Количество хлыстов]]-Таблица4[[#This Row],[Готово, хл]]-Таблица4[[#This Row],[Вывезено, хл]]</f>
        <v>0</v>
      </c>
      <c r="N356" s="711">
        <f>((Таблица4[[#This Row],[Осталось сделать, хлыст]]*Таблица4[[#This Row],[длина]])*Таблица4[[#This Row],[Периметр]])/28</f>
        <v>0</v>
      </c>
      <c r="O356" s="142"/>
      <c r="P356" s="280">
        <v>4.5</v>
      </c>
      <c r="Q356" s="525" t="s">
        <v>85</v>
      </c>
      <c r="R356" s="525">
        <v>1134</v>
      </c>
      <c r="S356" s="526">
        <v>252</v>
      </c>
      <c r="T356" s="525">
        <v>0.30480000000000002</v>
      </c>
      <c r="U356" s="525">
        <v>1.4590000000000001</v>
      </c>
      <c r="V356" s="525">
        <v>345.64319999999998</v>
      </c>
      <c r="W356" s="525">
        <v>1654.5060000000001</v>
      </c>
      <c r="X356" s="525">
        <v>44.93</v>
      </c>
      <c r="Y356" s="525">
        <v>120.4</v>
      </c>
      <c r="Z356" s="525">
        <v>395</v>
      </c>
      <c r="AA356" s="527">
        <v>136529.06</v>
      </c>
    </row>
    <row r="357" spans="1:27" ht="17.45" hidden="1" customHeight="1" x14ac:dyDescent="0.25">
      <c r="A357" s="147" t="s">
        <v>4678</v>
      </c>
      <c r="B357" s="521">
        <v>219</v>
      </c>
      <c r="C357" s="521"/>
      <c r="D357" s="142" t="s">
        <v>13</v>
      </c>
      <c r="E357" s="142" t="s">
        <v>80</v>
      </c>
      <c r="F357" s="143">
        <v>45390</v>
      </c>
      <c r="G357" s="143"/>
      <c r="H357" s="142" t="s">
        <v>23</v>
      </c>
      <c r="I357" s="522"/>
      <c r="J357" s="522"/>
      <c r="K357" s="522"/>
      <c r="L357" s="393">
        <v>168</v>
      </c>
      <c r="M357" s="691">
        <f>Таблица4[[#This Row],[Количество хлыстов]]-Таблица4[[#This Row],[Готово, хл]]-Таблица4[[#This Row],[Вывезено, хл]]</f>
        <v>2</v>
      </c>
      <c r="N357" s="673">
        <f>((Таблица4[[#This Row],[Осталось сделать, хлыст]]*Таблица4[[#This Row],[длина]])*Таблица4[[#This Row],[Периметр]])/28</f>
        <v>7.9465714285714278E-2</v>
      </c>
      <c r="O357" s="142" t="s">
        <v>4809</v>
      </c>
      <c r="P357" s="280">
        <v>3.65</v>
      </c>
      <c r="Q357" s="525" t="s">
        <v>3121</v>
      </c>
      <c r="R357" s="525">
        <v>620.5</v>
      </c>
      <c r="S357" s="526">
        <v>170</v>
      </c>
      <c r="T357" s="525">
        <v>0.30480000000000002</v>
      </c>
      <c r="U357" s="525">
        <v>1.4590000000000001</v>
      </c>
      <c r="V357" s="525">
        <v>189.1284</v>
      </c>
      <c r="W357" s="525">
        <v>905.30949999999996</v>
      </c>
      <c r="X357" s="525">
        <v>24.59</v>
      </c>
      <c r="Y357" s="525">
        <v>120.4</v>
      </c>
      <c r="Z357" s="525">
        <v>395</v>
      </c>
      <c r="AA357" s="527">
        <v>74705.72</v>
      </c>
    </row>
    <row r="358" spans="1:27" ht="17.45" hidden="1" customHeight="1" x14ac:dyDescent="0.25">
      <c r="A358" s="147" t="s">
        <v>4678</v>
      </c>
      <c r="B358" s="521">
        <v>220</v>
      </c>
      <c r="C358" s="521" t="s">
        <v>4753</v>
      </c>
      <c r="D358" s="142" t="s">
        <v>4858</v>
      </c>
      <c r="E358" s="142" t="s">
        <v>5035</v>
      </c>
      <c r="F358" s="143">
        <v>45391</v>
      </c>
      <c r="G358" s="143"/>
      <c r="H358" s="142" t="s">
        <v>23</v>
      </c>
      <c r="I358" s="522"/>
      <c r="J358" s="522"/>
      <c r="K358" s="522"/>
      <c r="L358" s="393"/>
      <c r="M358" s="443">
        <f>Таблица4[[#This Row],[Количество хлыстов]]-Таблица4[[#This Row],[Готово, хл]]-Таблица4[[#This Row],[Вывезено, хл]]</f>
        <v>900</v>
      </c>
      <c r="N358" s="564">
        <v>5</v>
      </c>
      <c r="O358" s="142"/>
      <c r="P358" s="280">
        <v>1.7030000000000001</v>
      </c>
      <c r="Q358" s="525" t="s">
        <v>4867</v>
      </c>
      <c r="R358" s="525">
        <v>1532.7</v>
      </c>
      <c r="S358" s="526">
        <v>900</v>
      </c>
      <c r="T358" s="525">
        <v>8.3500000000000005E-2</v>
      </c>
      <c r="U358" s="525">
        <v>0.14000000000000001</v>
      </c>
      <c r="V358" s="525">
        <v>127.98050000000001</v>
      </c>
      <c r="W358" s="525">
        <v>214.578</v>
      </c>
      <c r="X358" s="525">
        <v>16.64</v>
      </c>
      <c r="Y358" s="525">
        <v>89.78</v>
      </c>
      <c r="Z358" s="525">
        <v>1075.1600000000001</v>
      </c>
      <c r="AA358" s="527">
        <v>137600</v>
      </c>
    </row>
    <row r="359" spans="1:27" s="421" customFormat="1" ht="17.45" hidden="1" customHeight="1" x14ac:dyDescent="0.25">
      <c r="A359" s="419" t="s">
        <v>4978</v>
      </c>
      <c r="B359" s="694">
        <v>221</v>
      </c>
      <c r="C359" s="617"/>
      <c r="D359" s="618" t="s">
        <v>13</v>
      </c>
      <c r="E359" s="618" t="s">
        <v>5089</v>
      </c>
      <c r="F359" s="619">
        <v>45408</v>
      </c>
      <c r="G359" s="619"/>
      <c r="H359" s="618" t="s">
        <v>23</v>
      </c>
      <c r="I359" s="620"/>
      <c r="J359" s="620"/>
      <c r="K359" s="620"/>
      <c r="L359" s="620">
        <v>535</v>
      </c>
      <c r="M359" s="691"/>
      <c r="N359" s="654">
        <f>Таблица4[[#This Row],[Площадь общая, м2]]/28</f>
        <v>17.134332142857144</v>
      </c>
      <c r="O359" s="618"/>
      <c r="P359" s="692">
        <v>4.25</v>
      </c>
      <c r="Q359" s="622" t="s">
        <v>5090</v>
      </c>
      <c r="R359" s="622">
        <v>2273.75</v>
      </c>
      <c r="S359" s="623">
        <v>535</v>
      </c>
      <c r="T359" s="622">
        <v>0.21099999999999999</v>
      </c>
      <c r="U359" s="622">
        <v>0.57699999999999996</v>
      </c>
      <c r="V359" s="622">
        <v>479.76130000000001</v>
      </c>
      <c r="W359" s="622">
        <v>1311.9538</v>
      </c>
      <c r="X359" s="622">
        <v>62.37</v>
      </c>
      <c r="Y359" s="622">
        <v>63.3</v>
      </c>
      <c r="Z359" s="622">
        <v>300</v>
      </c>
      <c r="AA359" s="624">
        <v>143928.38</v>
      </c>
    </row>
    <row r="360" spans="1:27" ht="17.45" hidden="1" customHeight="1" x14ac:dyDescent="0.25">
      <c r="A360" s="147" t="s">
        <v>4678</v>
      </c>
      <c r="B360" s="521">
        <v>222</v>
      </c>
      <c r="C360" s="708"/>
      <c r="D360" s="709" t="s">
        <v>13</v>
      </c>
      <c r="E360" s="709" t="s">
        <v>4725</v>
      </c>
      <c r="F360" s="710">
        <v>45391</v>
      </c>
      <c r="G360" s="710"/>
      <c r="H360" s="608" t="s">
        <v>23</v>
      </c>
      <c r="I360" s="522"/>
      <c r="J360" s="522"/>
      <c r="K360" s="522"/>
      <c r="L360" s="393">
        <v>21</v>
      </c>
      <c r="M360" s="443">
        <f>Таблица4[[#This Row],[Количество хлыстов]]-Таблица4[[#This Row],[Готово, хл]]-Таблица4[[#This Row],[Вывезено, хл]]</f>
        <v>0</v>
      </c>
      <c r="N360" s="673">
        <f>((Таблица4[[#This Row],[Осталось сделать, хлыст]]*Таблица4[[#This Row],[длина]])*Таблица4[[#This Row],[Периметр]])/28</f>
        <v>0</v>
      </c>
      <c r="O360" s="142"/>
      <c r="P360" s="280">
        <v>6</v>
      </c>
      <c r="Q360" s="525" t="s">
        <v>5036</v>
      </c>
      <c r="R360" s="525">
        <v>126</v>
      </c>
      <c r="S360" s="526">
        <v>21</v>
      </c>
      <c r="T360" s="525">
        <v>0.59919999999999995</v>
      </c>
      <c r="U360" s="525">
        <v>2.5859999999999999</v>
      </c>
      <c r="V360" s="525">
        <v>75.499200000000002</v>
      </c>
      <c r="W360" s="525">
        <v>325.83600000000001</v>
      </c>
      <c r="X360" s="525">
        <v>9.81</v>
      </c>
      <c r="Y360" s="525">
        <v>260.64999999999998</v>
      </c>
      <c r="Z360" s="525">
        <v>435</v>
      </c>
      <c r="AA360" s="527">
        <v>32842.15</v>
      </c>
    </row>
    <row r="361" spans="1:27" s="421" customFormat="1" ht="17.45" hidden="1" customHeight="1" x14ac:dyDescent="0.25">
      <c r="A361" s="419" t="s">
        <v>4979</v>
      </c>
      <c r="B361" s="617">
        <v>223</v>
      </c>
      <c r="C361" s="617"/>
      <c r="D361" s="618" t="s">
        <v>13</v>
      </c>
      <c r="E361" s="618" t="s">
        <v>892</v>
      </c>
      <c r="F361" s="619">
        <v>45393</v>
      </c>
      <c r="G361" s="619"/>
      <c r="H361" s="618" t="s">
        <v>23</v>
      </c>
      <c r="I361" s="620"/>
      <c r="J361" s="620"/>
      <c r="K361" s="620"/>
      <c r="L361" s="620">
        <v>616</v>
      </c>
      <c r="M361" s="691">
        <f>Таблица4[[#This Row],[Количество хлыстов]]-Таблица4[[#This Row],[Готово, хл]]-Таблица4[[#This Row],[Вывезено, хл]]</f>
        <v>2</v>
      </c>
      <c r="N361" s="654"/>
      <c r="O361" s="618"/>
      <c r="P361" s="692">
        <v>4.8499999999999996</v>
      </c>
      <c r="Q361" s="622" t="s">
        <v>4774</v>
      </c>
      <c r="R361" s="622">
        <v>2997.3</v>
      </c>
      <c r="S361" s="623">
        <v>618</v>
      </c>
      <c r="T361" s="622">
        <v>9.5600000000000004E-2</v>
      </c>
      <c r="U361" s="622">
        <v>0.16</v>
      </c>
      <c r="V361" s="622">
        <v>286.5419</v>
      </c>
      <c r="W361" s="622">
        <v>479.56799999999998</v>
      </c>
      <c r="X361" s="622">
        <v>37.25</v>
      </c>
      <c r="Y361" s="622">
        <v>36.81</v>
      </c>
      <c r="Z361" s="622">
        <v>385</v>
      </c>
      <c r="AA361" s="624">
        <v>110318.62</v>
      </c>
    </row>
    <row r="362" spans="1:27" s="421" customFormat="1" ht="17.45" hidden="1" customHeight="1" x14ac:dyDescent="0.25">
      <c r="A362" s="419" t="s">
        <v>4978</v>
      </c>
      <c r="B362" s="617">
        <v>227</v>
      </c>
      <c r="C362" s="617"/>
      <c r="D362" s="618" t="s">
        <v>13</v>
      </c>
      <c r="E362" s="618" t="s">
        <v>892</v>
      </c>
      <c r="F362" s="619">
        <v>45393</v>
      </c>
      <c r="G362" s="619"/>
      <c r="H362" s="618" t="s">
        <v>23</v>
      </c>
      <c r="I362" s="620"/>
      <c r="J362" s="620"/>
      <c r="K362" s="620"/>
      <c r="L362" s="620">
        <v>42</v>
      </c>
      <c r="M362" s="691">
        <f>Таблица4[[#This Row],[Количество хлыстов]]-Таблица4[[#This Row],[Готово, хл]]-Таблица4[[#This Row],[Вывезено, хл]]</f>
        <v>2</v>
      </c>
      <c r="N362" s="654"/>
      <c r="O362" s="618" t="s">
        <v>4809</v>
      </c>
      <c r="P362" s="692">
        <v>5.05</v>
      </c>
      <c r="Q362" s="622" t="s">
        <v>4855</v>
      </c>
      <c r="R362" s="622">
        <v>222.2</v>
      </c>
      <c r="S362" s="623">
        <v>44</v>
      </c>
      <c r="T362" s="622">
        <v>0.2651</v>
      </c>
      <c r="U362" s="622">
        <v>0.82099999999999995</v>
      </c>
      <c r="V362" s="622">
        <v>58.905200000000001</v>
      </c>
      <c r="W362" s="622">
        <v>182.42619999999999</v>
      </c>
      <c r="X362" s="622">
        <v>7.66</v>
      </c>
      <c r="Y362" s="622">
        <v>85.89</v>
      </c>
      <c r="Z362" s="622">
        <v>324</v>
      </c>
      <c r="AA362" s="624">
        <v>19085.29</v>
      </c>
    </row>
    <row r="363" spans="1:27" ht="17.45" hidden="1" customHeight="1" x14ac:dyDescent="0.25">
      <c r="A363" s="147" t="s">
        <v>4678</v>
      </c>
      <c r="B363" s="521">
        <v>228</v>
      </c>
      <c r="C363" s="521"/>
      <c r="D363" s="142" t="s">
        <v>13</v>
      </c>
      <c r="E363" s="142" t="s">
        <v>5014</v>
      </c>
      <c r="F363" s="143">
        <v>45393</v>
      </c>
      <c r="G363" s="143"/>
      <c r="H363" s="142" t="s">
        <v>677</v>
      </c>
      <c r="I363" s="522"/>
      <c r="J363" s="522"/>
      <c r="K363" s="522"/>
      <c r="L363" s="393"/>
      <c r="M363" s="691">
        <f>Таблица4[[#This Row],[Количество хлыстов]]-Таблица4[[#This Row],[Готово, хл]]-Таблица4[[#This Row],[Вывезено, хл]]</f>
        <v>5</v>
      </c>
      <c r="N363" s="564">
        <f>Таблица4[[#This Row],[Площадь общая, м2]]/28</f>
        <v>0.35982142857142857</v>
      </c>
      <c r="O363" s="142"/>
      <c r="P363" s="280">
        <v>6.5</v>
      </c>
      <c r="Q363" s="525" t="s">
        <v>4730</v>
      </c>
      <c r="R363" s="525">
        <v>32.5</v>
      </c>
      <c r="S363" s="526">
        <v>5</v>
      </c>
      <c r="T363" s="525">
        <v>0.31</v>
      </c>
      <c r="U363" s="525">
        <v>1.2010000000000001</v>
      </c>
      <c r="V363" s="525">
        <v>10.074999999999999</v>
      </c>
      <c r="W363" s="525">
        <v>39.032499999999999</v>
      </c>
      <c r="X363" s="525">
        <v>1.31</v>
      </c>
      <c r="Y363" s="525">
        <v>163.68</v>
      </c>
      <c r="Z363" s="525">
        <v>528</v>
      </c>
      <c r="AA363" s="527">
        <v>5319.6</v>
      </c>
    </row>
    <row r="364" spans="1:27" ht="17.45" hidden="1" customHeight="1" x14ac:dyDescent="0.25">
      <c r="A364" s="147" t="s">
        <v>4678</v>
      </c>
      <c r="B364" s="521">
        <v>229</v>
      </c>
      <c r="C364" s="521"/>
      <c r="D364" s="142" t="s">
        <v>13</v>
      </c>
      <c r="E364" s="142" t="s">
        <v>3863</v>
      </c>
      <c r="F364" s="143">
        <v>45394</v>
      </c>
      <c r="G364" s="143"/>
      <c r="H364" s="142" t="s">
        <v>677</v>
      </c>
      <c r="I364" s="522"/>
      <c r="J364" s="522"/>
      <c r="K364" s="522"/>
      <c r="L364" s="393"/>
      <c r="M364" s="443">
        <f>Таблица4[[#This Row],[Количество хлыстов]]-Таблица4[[#This Row],[Готово, хл]]-Таблица4[[#This Row],[Вывезено, хл]]</f>
        <v>140</v>
      </c>
      <c r="N364" s="711">
        <f>((Таблица4[[#This Row],[Осталось сделать, хлыст]]*Таблица4[[#This Row],[длина]])*Таблица4[[#This Row],[Периметр]])/26</f>
        <v>4.6684615384615382</v>
      </c>
      <c r="O364" s="142"/>
      <c r="P364" s="280">
        <v>5</v>
      </c>
      <c r="Q364" s="525" t="s">
        <v>117</v>
      </c>
      <c r="R364" s="525">
        <v>700</v>
      </c>
      <c r="S364" s="526">
        <v>140</v>
      </c>
      <c r="T364" s="525">
        <v>0.1734</v>
      </c>
      <c r="U364" s="525">
        <v>0.35099999999999998</v>
      </c>
      <c r="V364" s="525">
        <v>173.4</v>
      </c>
      <c r="W364" s="525">
        <v>351</v>
      </c>
      <c r="X364" s="525">
        <v>22.54</v>
      </c>
      <c r="Y364" s="525">
        <v>75.430000000000007</v>
      </c>
      <c r="Z364" s="525">
        <v>435</v>
      </c>
      <c r="AA364" s="527">
        <v>75429</v>
      </c>
    </row>
    <row r="365" spans="1:27" ht="17.45" hidden="1" customHeight="1" x14ac:dyDescent="0.25">
      <c r="A365" s="147" t="s">
        <v>4678</v>
      </c>
      <c r="B365" s="521">
        <v>234</v>
      </c>
      <c r="C365" s="521"/>
      <c r="D365" s="142" t="s">
        <v>34</v>
      </c>
      <c r="E365" s="142" t="s">
        <v>328</v>
      </c>
      <c r="F365" s="143">
        <v>45394</v>
      </c>
      <c r="G365" s="143"/>
      <c r="H365" s="142" t="s">
        <v>23</v>
      </c>
      <c r="I365" s="522"/>
      <c r="J365" s="522"/>
      <c r="K365" s="522"/>
      <c r="L365" s="393"/>
      <c r="M365" s="443">
        <f>Таблица4[[#This Row],[Количество хлыстов]]-Таблица4[[#This Row],[Готово, хл]]-Таблица4[[#This Row],[Вывезено, хл]]</f>
        <v>155</v>
      </c>
      <c r="N365" s="673">
        <f>((Таблица4[[#This Row],[Осталось сделать, хлыст]]*Таблица4[[#This Row],[длина]])*Таблица4[[#This Row],[Периметр]])/28</f>
        <v>10.269857142857143</v>
      </c>
      <c r="O365" s="142" t="s">
        <v>2657</v>
      </c>
      <c r="P365" s="280">
        <v>6</v>
      </c>
      <c r="Q365" s="525" t="s">
        <v>4813</v>
      </c>
      <c r="R365" s="525">
        <v>930</v>
      </c>
      <c r="S365" s="526">
        <v>155</v>
      </c>
      <c r="T365" s="525">
        <v>0.30919999999999997</v>
      </c>
      <c r="U365" s="525">
        <v>1.101</v>
      </c>
      <c r="V365" s="525">
        <v>287.55599999999998</v>
      </c>
      <c r="W365" s="525">
        <v>1023.93</v>
      </c>
      <c r="X365" s="525">
        <v>37.380000000000003</v>
      </c>
      <c r="Y365" s="525">
        <v>134.5</v>
      </c>
      <c r="Z365" s="525">
        <v>435</v>
      </c>
      <c r="AA365" s="527">
        <v>125086.86</v>
      </c>
    </row>
    <row r="366" spans="1:27" ht="17.45" hidden="1" customHeight="1" x14ac:dyDescent="0.25">
      <c r="A366" s="147" t="s">
        <v>4678</v>
      </c>
      <c r="B366" s="521">
        <v>236</v>
      </c>
      <c r="C366" s="521" t="s">
        <v>4753</v>
      </c>
      <c r="D366" s="142" t="s">
        <v>13</v>
      </c>
      <c r="E366" s="142" t="s">
        <v>480</v>
      </c>
      <c r="F366" s="143">
        <v>45397</v>
      </c>
      <c r="G366" s="143">
        <v>45421</v>
      </c>
      <c r="H366" s="142" t="s">
        <v>23</v>
      </c>
      <c r="I366" s="522"/>
      <c r="J366" s="522"/>
      <c r="K366" s="522">
        <v>40</v>
      </c>
      <c r="L366" s="393"/>
      <c r="M366" s="443">
        <f>Таблица4[[#This Row],[Количество хлыстов]]-Таблица4[[#This Row],[Готово, хл]]-Таблица4[[#This Row],[Вывезено, хл]]</f>
        <v>0</v>
      </c>
      <c r="N366" s="711">
        <f>((Таблица4[[#This Row],[Осталось сделать, хлыст]]*Таблица4[[#This Row],[длина]])*Таблица4[[#This Row],[Периметр]])/28</f>
        <v>0</v>
      </c>
      <c r="O366" s="142"/>
      <c r="P366" s="280">
        <v>6</v>
      </c>
      <c r="Q366" s="525" t="s">
        <v>5043</v>
      </c>
      <c r="R366" s="525">
        <v>240</v>
      </c>
      <c r="S366" s="526">
        <v>40</v>
      </c>
      <c r="T366" s="525">
        <v>0.18</v>
      </c>
      <c r="U366" s="525">
        <v>0.48</v>
      </c>
      <c r="V366" s="525">
        <v>43.2</v>
      </c>
      <c r="W366" s="525">
        <v>115.2</v>
      </c>
      <c r="X366" s="525">
        <v>5.62</v>
      </c>
      <c r="Y366" s="525">
        <v>164.17</v>
      </c>
      <c r="Z366" s="525">
        <v>912.04</v>
      </c>
      <c r="AA366" s="527">
        <v>39400</v>
      </c>
    </row>
    <row r="367" spans="1:27" s="421" customFormat="1" ht="17.45" hidden="1" customHeight="1" x14ac:dyDescent="0.25">
      <c r="A367" s="419" t="s">
        <v>4978</v>
      </c>
      <c r="B367" s="617">
        <v>237</v>
      </c>
      <c r="C367" s="617"/>
      <c r="D367" s="618" t="s">
        <v>34</v>
      </c>
      <c r="E367" s="618" t="s">
        <v>4718</v>
      </c>
      <c r="F367" s="619">
        <v>45397</v>
      </c>
      <c r="G367" s="619"/>
      <c r="H367" s="618" t="s">
        <v>23</v>
      </c>
      <c r="I367" s="620"/>
      <c r="J367" s="620"/>
      <c r="K367" s="620">
        <v>1596</v>
      </c>
      <c r="L367" s="677">
        <v>11</v>
      </c>
      <c r="M367" s="691">
        <f>Таблица4[[#This Row],[Количество хлыстов]]-Таблица4[[#This Row],[Готово, хл]]-Таблица4[[#This Row],[Вывезено, хл]]</f>
        <v>0</v>
      </c>
      <c r="N367" s="654"/>
      <c r="O367" s="618" t="s">
        <v>5094</v>
      </c>
      <c r="P367" s="692"/>
      <c r="Q367" s="622" t="s">
        <v>4717</v>
      </c>
      <c r="R367" s="622">
        <v>3214</v>
      </c>
      <c r="S367" s="623">
        <v>1607</v>
      </c>
      <c r="T367" s="622">
        <v>0.13039999999999999</v>
      </c>
      <c r="U367" s="622">
        <v>0.19400000000000001</v>
      </c>
      <c r="V367" s="622">
        <v>419.10559999999998</v>
      </c>
      <c r="W367" s="622">
        <v>623.51599999999996</v>
      </c>
      <c r="X367" s="622">
        <v>54.48</v>
      </c>
      <c r="Y367" s="622">
        <v>39.869999999999997</v>
      </c>
      <c r="Z367" s="622">
        <v>305.75</v>
      </c>
      <c r="AA367" s="624">
        <v>128141.54</v>
      </c>
    </row>
    <row r="368" spans="1:27" ht="17.45" hidden="1" customHeight="1" x14ac:dyDescent="0.25">
      <c r="A368" s="147" t="s">
        <v>4678</v>
      </c>
      <c r="B368" s="625">
        <v>238</v>
      </c>
      <c r="C368" s="625" t="s">
        <v>4753</v>
      </c>
      <c r="D368" s="162" t="s">
        <v>13</v>
      </c>
      <c r="E368" s="162" t="s">
        <v>30</v>
      </c>
      <c r="F368" s="168">
        <v>45397</v>
      </c>
      <c r="G368" s="143">
        <v>45404</v>
      </c>
      <c r="H368" s="142" t="s">
        <v>23</v>
      </c>
      <c r="I368" s="522"/>
      <c r="J368" s="522"/>
      <c r="K368" s="522">
        <v>246</v>
      </c>
      <c r="L368" s="393"/>
      <c r="M368" s="443">
        <f>Таблица4[[#This Row],[Количество хлыстов]]-Таблица4[[#This Row],[Готово, хл]]-Таблица4[[#This Row],[Вывезено, хл]]</f>
        <v>0</v>
      </c>
      <c r="N368" s="673"/>
      <c r="O368" s="142"/>
      <c r="P368" s="280"/>
      <c r="Q368" s="525" t="s">
        <v>5044</v>
      </c>
      <c r="R368" s="525">
        <v>246</v>
      </c>
      <c r="S368" s="526">
        <v>246</v>
      </c>
      <c r="T368" s="525">
        <v>0.317</v>
      </c>
      <c r="U368" s="525">
        <v>4.1079999999999997</v>
      </c>
      <c r="V368" s="525">
        <v>77.981999999999999</v>
      </c>
      <c r="W368" s="525">
        <v>1010.568</v>
      </c>
      <c r="X368" s="525">
        <v>10.14</v>
      </c>
      <c r="Y368" s="525">
        <v>349</v>
      </c>
      <c r="Z368" s="525">
        <v>1100.95</v>
      </c>
      <c r="AA368" s="527">
        <v>85854</v>
      </c>
    </row>
    <row r="369" spans="1:27" ht="17.45" hidden="1" customHeight="1" x14ac:dyDescent="0.25">
      <c r="A369" s="147" t="s">
        <v>4678</v>
      </c>
      <c r="B369" s="708">
        <v>238</v>
      </c>
      <c r="C369" s="708" t="s">
        <v>4753</v>
      </c>
      <c r="D369" s="709" t="s">
        <v>13</v>
      </c>
      <c r="E369" s="709" t="s">
        <v>30</v>
      </c>
      <c r="F369" s="710">
        <v>45397</v>
      </c>
      <c r="G369" s="143">
        <v>45404</v>
      </c>
      <c r="H369" s="142" t="s">
        <v>23</v>
      </c>
      <c r="I369" s="522"/>
      <c r="J369" s="522"/>
      <c r="K369" s="522">
        <v>15</v>
      </c>
      <c r="L369" s="393"/>
      <c r="M369" s="443">
        <f>Таблица4[[#This Row],[Количество хлыстов]]-Таблица4[[#This Row],[Готово, хл]]-Таблица4[[#This Row],[Вывезено, хл]]</f>
        <v>0</v>
      </c>
      <c r="N369" s="673"/>
      <c r="O369" s="142"/>
      <c r="P369" s="280"/>
      <c r="Q369" s="525" t="s">
        <v>5045</v>
      </c>
      <c r="R369" s="525">
        <v>15</v>
      </c>
      <c r="S369" s="526">
        <v>15</v>
      </c>
      <c r="T369" s="525">
        <v>0.317</v>
      </c>
      <c r="U369" s="525">
        <v>4.1079999999999997</v>
      </c>
      <c r="V369" s="525">
        <v>4.7549999999999999</v>
      </c>
      <c r="W369" s="525">
        <v>61.62</v>
      </c>
      <c r="X369" s="525">
        <v>0.62</v>
      </c>
      <c r="Y369" s="525">
        <v>484</v>
      </c>
      <c r="Z369" s="525">
        <v>1526.81</v>
      </c>
      <c r="AA369" s="527">
        <v>7260</v>
      </c>
    </row>
    <row r="370" spans="1:27" ht="17.45" hidden="1" customHeight="1" x14ac:dyDescent="0.25">
      <c r="A370" s="147" t="s">
        <v>4678</v>
      </c>
      <c r="B370" s="625">
        <v>238</v>
      </c>
      <c r="C370" s="625" t="s">
        <v>4753</v>
      </c>
      <c r="D370" s="162" t="s">
        <v>13</v>
      </c>
      <c r="E370" s="162" t="s">
        <v>30</v>
      </c>
      <c r="F370" s="168">
        <v>45397</v>
      </c>
      <c r="G370" s="143">
        <v>45404</v>
      </c>
      <c r="H370" s="142" t="s">
        <v>23</v>
      </c>
      <c r="I370" s="522"/>
      <c r="J370" s="522"/>
      <c r="K370" s="522">
        <v>2</v>
      </c>
      <c r="L370" s="393"/>
      <c r="M370" s="443">
        <f>Таблица4[[#This Row],[Количество хлыстов]]-Таблица4[[#This Row],[Готово, хл]]-Таблица4[[#This Row],[Вывезено, хл]]</f>
        <v>0</v>
      </c>
      <c r="N370" s="673"/>
      <c r="O370" s="142"/>
      <c r="P370" s="280"/>
      <c r="Q370" s="525" t="s">
        <v>5046</v>
      </c>
      <c r="R370" s="525">
        <v>2</v>
      </c>
      <c r="S370" s="526">
        <v>2</v>
      </c>
      <c r="T370" s="525">
        <v>0.317</v>
      </c>
      <c r="U370" s="525">
        <v>4.1079999999999997</v>
      </c>
      <c r="V370" s="525">
        <v>0.63400000000000001</v>
      </c>
      <c r="W370" s="525">
        <v>8.2159999999999993</v>
      </c>
      <c r="X370" s="525">
        <v>0.08</v>
      </c>
      <c r="Y370" s="525">
        <v>700</v>
      </c>
      <c r="Z370" s="525">
        <v>2208.1999999999998</v>
      </c>
      <c r="AA370" s="527">
        <v>1400</v>
      </c>
    </row>
    <row r="371" spans="1:27" ht="17.45" hidden="1" customHeight="1" x14ac:dyDescent="0.25">
      <c r="A371" s="147" t="s">
        <v>4678</v>
      </c>
      <c r="B371" s="708">
        <v>238</v>
      </c>
      <c r="C371" s="708" t="s">
        <v>4753</v>
      </c>
      <c r="D371" s="709" t="s">
        <v>13</v>
      </c>
      <c r="E371" s="709" t="s">
        <v>30</v>
      </c>
      <c r="F371" s="710">
        <v>45397</v>
      </c>
      <c r="G371" s="143">
        <v>45404</v>
      </c>
      <c r="H371" s="142" t="s">
        <v>23</v>
      </c>
      <c r="I371" s="522"/>
      <c r="J371" s="522"/>
      <c r="K371" s="522">
        <v>23</v>
      </c>
      <c r="L371" s="393"/>
      <c r="M371" s="443">
        <f>Таблица4[[#This Row],[Количество хлыстов]]-Таблица4[[#This Row],[Готово, хл]]-Таблица4[[#This Row],[Вывезено, хл]]</f>
        <v>0</v>
      </c>
      <c r="N371" s="673"/>
      <c r="O371" s="142"/>
      <c r="P371" s="280"/>
      <c r="Q371" s="525" t="s">
        <v>5047</v>
      </c>
      <c r="R371" s="525">
        <v>23</v>
      </c>
      <c r="S371" s="526">
        <v>23</v>
      </c>
      <c r="T371" s="525">
        <v>0.317</v>
      </c>
      <c r="U371" s="525">
        <v>4.1079999999999997</v>
      </c>
      <c r="V371" s="525">
        <v>7.2910000000000004</v>
      </c>
      <c r="W371" s="525">
        <v>94.483999999999995</v>
      </c>
      <c r="X371" s="525">
        <v>0.95</v>
      </c>
      <c r="Y371" s="525">
        <v>700</v>
      </c>
      <c r="Z371" s="525">
        <v>2208.1999999999998</v>
      </c>
      <c r="AA371" s="527">
        <v>16100</v>
      </c>
    </row>
    <row r="372" spans="1:27" ht="17.45" hidden="1" customHeight="1" x14ac:dyDescent="0.25">
      <c r="A372" s="147" t="s">
        <v>4678</v>
      </c>
      <c r="B372" s="625">
        <v>238</v>
      </c>
      <c r="C372" s="625" t="s">
        <v>4753</v>
      </c>
      <c r="D372" s="162" t="s">
        <v>13</v>
      </c>
      <c r="E372" s="162" t="s">
        <v>30</v>
      </c>
      <c r="F372" s="168">
        <v>45397</v>
      </c>
      <c r="G372" s="143">
        <v>45404</v>
      </c>
      <c r="H372" s="142" t="s">
        <v>23</v>
      </c>
      <c r="I372" s="522"/>
      <c r="J372" s="522"/>
      <c r="K372" s="522">
        <v>5</v>
      </c>
      <c r="L372" s="393"/>
      <c r="M372" s="443">
        <f>Таблица4[[#This Row],[Количество хлыстов]]-Таблица4[[#This Row],[Готово, хл]]-Таблица4[[#This Row],[Вывезено, хл]]</f>
        <v>0</v>
      </c>
      <c r="N372" s="673"/>
      <c r="O372" s="142"/>
      <c r="P372" s="280"/>
      <c r="Q372" s="525" t="s">
        <v>5048</v>
      </c>
      <c r="R372" s="525">
        <v>5</v>
      </c>
      <c r="S372" s="526">
        <v>5</v>
      </c>
      <c r="T372" s="525">
        <v>0.317</v>
      </c>
      <c r="U372" s="525">
        <v>4.1079999999999997</v>
      </c>
      <c r="V372" s="525">
        <v>1.585</v>
      </c>
      <c r="W372" s="525">
        <v>20.54</v>
      </c>
      <c r="X372" s="525">
        <v>0.21</v>
      </c>
      <c r="Y372" s="525">
        <v>800</v>
      </c>
      <c r="Z372" s="525">
        <v>2523.66</v>
      </c>
      <c r="AA372" s="527">
        <v>4000</v>
      </c>
    </row>
    <row r="373" spans="1:27" ht="17.45" hidden="1" customHeight="1" x14ac:dyDescent="0.25">
      <c r="A373" s="147" t="s">
        <v>4678</v>
      </c>
      <c r="B373" s="708">
        <v>238</v>
      </c>
      <c r="C373" s="708" t="s">
        <v>4753</v>
      </c>
      <c r="D373" s="709" t="s">
        <v>13</v>
      </c>
      <c r="E373" s="709" t="s">
        <v>30</v>
      </c>
      <c r="F373" s="710">
        <v>45397</v>
      </c>
      <c r="G373" s="710">
        <v>45404</v>
      </c>
      <c r="H373" s="142" t="s">
        <v>23</v>
      </c>
      <c r="I373" s="522"/>
      <c r="J373" s="522"/>
      <c r="K373" s="522">
        <v>60</v>
      </c>
      <c r="L373" s="393"/>
      <c r="M373" s="443">
        <f>Таблица4[[#This Row],[Количество хлыстов]]-Таблица4[[#This Row],[Готово, хл]]-Таблица4[[#This Row],[Вывезено, хл]]</f>
        <v>0</v>
      </c>
      <c r="N373" s="673"/>
      <c r="O373" s="142"/>
      <c r="P373" s="280"/>
      <c r="Q373" s="525" t="s">
        <v>5049</v>
      </c>
      <c r="R373" s="525">
        <v>60</v>
      </c>
      <c r="S373" s="526">
        <v>60</v>
      </c>
      <c r="T373" s="525">
        <v>0.317</v>
      </c>
      <c r="U373" s="525">
        <v>4.1079999999999997</v>
      </c>
      <c r="V373" s="525">
        <v>19.02</v>
      </c>
      <c r="W373" s="525">
        <v>246.48</v>
      </c>
      <c r="X373" s="525">
        <v>2.4700000000000002</v>
      </c>
      <c r="Y373" s="525">
        <v>900</v>
      </c>
      <c r="Z373" s="525">
        <v>2839.12</v>
      </c>
      <c r="AA373" s="527">
        <v>54000</v>
      </c>
    </row>
    <row r="374" spans="1:27" ht="17.45" hidden="1" customHeight="1" x14ac:dyDescent="0.25">
      <c r="A374" s="147" t="s">
        <v>4678</v>
      </c>
      <c r="B374" s="625">
        <v>238</v>
      </c>
      <c r="C374" s="625" t="s">
        <v>4753</v>
      </c>
      <c r="D374" s="162" t="s">
        <v>13</v>
      </c>
      <c r="E374" s="162" t="s">
        <v>30</v>
      </c>
      <c r="F374" s="168">
        <v>45397</v>
      </c>
      <c r="G374" s="143">
        <v>45404</v>
      </c>
      <c r="H374" s="142" t="s">
        <v>23</v>
      </c>
      <c r="I374" s="522"/>
      <c r="J374" s="522"/>
      <c r="K374" s="522">
        <v>2</v>
      </c>
      <c r="L374" s="393"/>
      <c r="M374" s="443">
        <f>Таблица4[[#This Row],[Количество хлыстов]]-Таблица4[[#This Row],[Готово, хл]]-Таблица4[[#This Row],[Вывезено, хл]]</f>
        <v>0</v>
      </c>
      <c r="N374" s="673"/>
      <c r="O374" s="142"/>
      <c r="P374" s="280"/>
      <c r="Q374" s="525" t="s">
        <v>5050</v>
      </c>
      <c r="R374" s="525">
        <v>2</v>
      </c>
      <c r="S374" s="526">
        <v>2</v>
      </c>
      <c r="T374" s="525">
        <v>0.317</v>
      </c>
      <c r="U374" s="525">
        <v>4.1079999999999997</v>
      </c>
      <c r="V374" s="525">
        <v>0.63400000000000001</v>
      </c>
      <c r="W374" s="525">
        <v>8.2159999999999993</v>
      </c>
      <c r="X374" s="525">
        <v>0.08</v>
      </c>
      <c r="Y374" s="525">
        <v>1600</v>
      </c>
      <c r="Z374" s="525">
        <v>5047.32</v>
      </c>
      <c r="AA374" s="527">
        <v>3200</v>
      </c>
    </row>
    <row r="375" spans="1:27" ht="17.45" hidden="1" customHeight="1" x14ac:dyDescent="0.25">
      <c r="A375" s="147" t="s">
        <v>4678</v>
      </c>
      <c r="B375" s="708">
        <v>238</v>
      </c>
      <c r="C375" s="708" t="s">
        <v>4753</v>
      </c>
      <c r="D375" s="709" t="s">
        <v>13</v>
      </c>
      <c r="E375" s="709" t="s">
        <v>30</v>
      </c>
      <c r="F375" s="710">
        <v>45397</v>
      </c>
      <c r="G375" s="143">
        <v>45404</v>
      </c>
      <c r="H375" s="142" t="s">
        <v>23</v>
      </c>
      <c r="I375" s="522"/>
      <c r="J375" s="522"/>
      <c r="K375" s="522">
        <v>29</v>
      </c>
      <c r="L375" s="393"/>
      <c r="M375" s="443">
        <f>Таблица4[[#This Row],[Количество хлыстов]]-Таблица4[[#This Row],[Готово, хл]]-Таблица4[[#This Row],[Вывезено, хл]]</f>
        <v>0</v>
      </c>
      <c r="N375" s="673"/>
      <c r="O375" s="142"/>
      <c r="P375" s="280"/>
      <c r="Q375" s="525" t="s">
        <v>5051</v>
      </c>
      <c r="R375" s="525">
        <v>29</v>
      </c>
      <c r="S375" s="526">
        <v>29</v>
      </c>
      <c r="T375" s="525">
        <v>0.317</v>
      </c>
      <c r="U375" s="525">
        <v>4.1079999999999997</v>
      </c>
      <c r="V375" s="525">
        <v>9.1929999999999996</v>
      </c>
      <c r="W375" s="525">
        <v>119.13200000000001</v>
      </c>
      <c r="X375" s="525">
        <v>1.2</v>
      </c>
      <c r="Y375" s="525">
        <v>1800</v>
      </c>
      <c r="Z375" s="525">
        <v>5678.23</v>
      </c>
      <c r="AA375" s="527">
        <v>52200</v>
      </c>
    </row>
    <row r="376" spans="1:27" ht="17.45" hidden="1" customHeight="1" x14ac:dyDescent="0.25">
      <c r="A376" s="147" t="s">
        <v>4678</v>
      </c>
      <c r="B376" s="625">
        <v>238</v>
      </c>
      <c r="C376" s="625" t="s">
        <v>4753</v>
      </c>
      <c r="D376" s="162" t="s">
        <v>13</v>
      </c>
      <c r="E376" s="162" t="s">
        <v>30</v>
      </c>
      <c r="F376" s="168">
        <v>45397</v>
      </c>
      <c r="G376" s="143">
        <v>45404</v>
      </c>
      <c r="H376" s="142" t="s">
        <v>23</v>
      </c>
      <c r="I376" s="522"/>
      <c r="J376" s="522"/>
      <c r="K376" s="522">
        <v>5</v>
      </c>
      <c r="L376" s="393"/>
      <c r="M376" s="443">
        <f>Таблица4[[#This Row],[Количество хлыстов]]-Таблица4[[#This Row],[Готово, хл]]-Таблица4[[#This Row],[Вывезено, хл]]</f>
        <v>0</v>
      </c>
      <c r="N376" s="673"/>
      <c r="O376" s="142"/>
      <c r="P376" s="280"/>
      <c r="Q376" s="525" t="s">
        <v>5052</v>
      </c>
      <c r="R376" s="525">
        <v>5</v>
      </c>
      <c r="S376" s="526">
        <v>5</v>
      </c>
      <c r="T376" s="525">
        <v>0.317</v>
      </c>
      <c r="U376" s="525">
        <v>4.1079999999999997</v>
      </c>
      <c r="V376" s="525">
        <v>1.585</v>
      </c>
      <c r="W376" s="525">
        <v>20.54</v>
      </c>
      <c r="X376" s="525">
        <v>0.21</v>
      </c>
      <c r="Y376" s="525">
        <v>1900</v>
      </c>
      <c r="Z376" s="525">
        <v>5993.69</v>
      </c>
      <c r="AA376" s="527">
        <v>9500</v>
      </c>
    </row>
    <row r="377" spans="1:27" ht="17.45" hidden="1" customHeight="1" x14ac:dyDescent="0.25">
      <c r="A377" s="147" t="s">
        <v>4678</v>
      </c>
      <c r="B377" s="708">
        <v>238</v>
      </c>
      <c r="C377" s="708" t="s">
        <v>4753</v>
      </c>
      <c r="D377" s="709" t="s">
        <v>13</v>
      </c>
      <c r="E377" s="709" t="s">
        <v>30</v>
      </c>
      <c r="F377" s="710">
        <v>45397</v>
      </c>
      <c r="G377" s="143">
        <v>45404</v>
      </c>
      <c r="H377" s="142" t="s">
        <v>23</v>
      </c>
      <c r="I377" s="522"/>
      <c r="J377" s="522"/>
      <c r="K377" s="522">
        <v>5</v>
      </c>
      <c r="L377" s="393"/>
      <c r="M377" s="443">
        <f>Таблица4[[#This Row],[Количество хлыстов]]-Таблица4[[#This Row],[Готово, хл]]-Таблица4[[#This Row],[Вывезено, хл]]</f>
        <v>0</v>
      </c>
      <c r="N377" s="673"/>
      <c r="O377" s="142"/>
      <c r="P377" s="280"/>
      <c r="Q377" s="525" t="s">
        <v>5053</v>
      </c>
      <c r="R377" s="525">
        <v>5</v>
      </c>
      <c r="S377" s="526">
        <v>5</v>
      </c>
      <c r="T377" s="525">
        <v>0.317</v>
      </c>
      <c r="U377" s="525">
        <v>4.1079999999999997</v>
      </c>
      <c r="V377" s="525">
        <v>1.585</v>
      </c>
      <c r="W377" s="525">
        <v>20.54</v>
      </c>
      <c r="X377" s="525">
        <v>0.21</v>
      </c>
      <c r="Y377" s="525">
        <v>2000</v>
      </c>
      <c r="Z377" s="525">
        <v>6309.15</v>
      </c>
      <c r="AA377" s="527">
        <v>10000</v>
      </c>
    </row>
    <row r="378" spans="1:27" ht="17.45" hidden="1" customHeight="1" x14ac:dyDescent="0.25">
      <c r="A378" s="147" t="s">
        <v>4678</v>
      </c>
      <c r="B378" s="625">
        <v>238</v>
      </c>
      <c r="C378" s="625" t="s">
        <v>4753</v>
      </c>
      <c r="D378" s="162" t="s">
        <v>13</v>
      </c>
      <c r="E378" s="162" t="s">
        <v>30</v>
      </c>
      <c r="F378" s="168">
        <v>45397</v>
      </c>
      <c r="G378" s="143">
        <v>45404</v>
      </c>
      <c r="H378" s="142" t="s">
        <v>23</v>
      </c>
      <c r="I378" s="522"/>
      <c r="J378" s="522"/>
      <c r="K378" s="522">
        <v>10</v>
      </c>
      <c r="L378" s="393"/>
      <c r="M378" s="443">
        <f>Таблица4[[#This Row],[Количество хлыстов]]-Таблица4[[#This Row],[Готово, хл]]-Таблица4[[#This Row],[Вывезено, хл]]</f>
        <v>0</v>
      </c>
      <c r="N378" s="673"/>
      <c r="O378" s="142"/>
      <c r="P378" s="280"/>
      <c r="Q378" s="525" t="s">
        <v>5054</v>
      </c>
      <c r="R378" s="525">
        <v>10</v>
      </c>
      <c r="S378" s="526">
        <v>10</v>
      </c>
      <c r="T378" s="525">
        <v>0.317</v>
      </c>
      <c r="U378" s="525">
        <v>4.1079999999999997</v>
      </c>
      <c r="V378" s="525">
        <v>3.17</v>
      </c>
      <c r="W378" s="525">
        <v>41.08</v>
      </c>
      <c r="X378" s="525">
        <v>0.41</v>
      </c>
      <c r="Y378" s="525">
        <v>2200</v>
      </c>
      <c r="Z378" s="525">
        <v>6940.06</v>
      </c>
      <c r="AA378" s="527">
        <v>22000</v>
      </c>
    </row>
    <row r="379" spans="1:27" ht="17.45" hidden="1" customHeight="1" x14ac:dyDescent="0.25">
      <c r="A379" s="147" t="s">
        <v>4678</v>
      </c>
      <c r="B379" s="708">
        <v>238</v>
      </c>
      <c r="C379" s="708" t="s">
        <v>4753</v>
      </c>
      <c r="D379" s="709" t="s">
        <v>13</v>
      </c>
      <c r="E379" s="709" t="s">
        <v>30</v>
      </c>
      <c r="F379" s="710">
        <v>45397</v>
      </c>
      <c r="G379" s="143">
        <v>45404</v>
      </c>
      <c r="H379" s="142" t="s">
        <v>23</v>
      </c>
      <c r="I379" s="522"/>
      <c r="J379" s="522"/>
      <c r="K379" s="522">
        <v>9</v>
      </c>
      <c r="L379" s="393"/>
      <c r="M379" s="443">
        <f>Таблица4[[#This Row],[Количество хлыстов]]-Таблица4[[#This Row],[Готово, хл]]-Таблица4[[#This Row],[Вывезено, хл]]</f>
        <v>0</v>
      </c>
      <c r="N379" s="673"/>
      <c r="O379" s="142"/>
      <c r="P379" s="280"/>
      <c r="Q379" s="525" t="s">
        <v>5055</v>
      </c>
      <c r="R379" s="525">
        <v>9</v>
      </c>
      <c r="S379" s="526">
        <v>9</v>
      </c>
      <c r="T379" s="525">
        <v>0.317</v>
      </c>
      <c r="U379" s="525">
        <v>4.1079999999999997</v>
      </c>
      <c r="V379" s="525">
        <v>2.8530000000000002</v>
      </c>
      <c r="W379" s="525">
        <v>36.972000000000001</v>
      </c>
      <c r="X379" s="525">
        <v>0.37</v>
      </c>
      <c r="Y379" s="525">
        <v>2400</v>
      </c>
      <c r="Z379" s="525">
        <v>7570.98</v>
      </c>
      <c r="AA379" s="527">
        <v>21600</v>
      </c>
    </row>
    <row r="380" spans="1:27" ht="17.45" hidden="1" customHeight="1" x14ac:dyDescent="0.25">
      <c r="A380" s="147" t="s">
        <v>4678</v>
      </c>
      <c r="B380" s="625">
        <v>238</v>
      </c>
      <c r="C380" s="625" t="s">
        <v>4753</v>
      </c>
      <c r="D380" s="162" t="s">
        <v>13</v>
      </c>
      <c r="E380" s="162" t="s">
        <v>30</v>
      </c>
      <c r="F380" s="168">
        <v>45397</v>
      </c>
      <c r="G380" s="143">
        <v>45404</v>
      </c>
      <c r="H380" s="142" t="s">
        <v>23</v>
      </c>
      <c r="I380" s="522"/>
      <c r="J380" s="522"/>
      <c r="K380" s="522">
        <v>91</v>
      </c>
      <c r="L380" s="393"/>
      <c r="M380" s="443">
        <f>Таблица4[[#This Row],[Количество хлыстов]]-Таблица4[[#This Row],[Готово, хл]]-Таблица4[[#This Row],[Вывезено, хл]]</f>
        <v>0</v>
      </c>
      <c r="N380" s="673"/>
      <c r="O380" s="142"/>
      <c r="P380" s="280"/>
      <c r="Q380" s="525" t="s">
        <v>5056</v>
      </c>
      <c r="R380" s="525">
        <v>91</v>
      </c>
      <c r="S380" s="526">
        <v>91</v>
      </c>
      <c r="T380" s="525">
        <v>0.317</v>
      </c>
      <c r="U380" s="525">
        <v>4.1079999999999997</v>
      </c>
      <c r="V380" s="525">
        <v>28.847000000000001</v>
      </c>
      <c r="W380" s="525">
        <v>373.82799999999997</v>
      </c>
      <c r="X380" s="525">
        <v>3.75</v>
      </c>
      <c r="Y380" s="525">
        <v>2500</v>
      </c>
      <c r="Z380" s="525">
        <v>7886.44</v>
      </c>
      <c r="AA380" s="527">
        <v>227500</v>
      </c>
    </row>
    <row r="381" spans="1:27" ht="17.45" hidden="1" customHeight="1" x14ac:dyDescent="0.25">
      <c r="A381" s="147" t="s">
        <v>4678</v>
      </c>
      <c r="B381" s="708">
        <v>238</v>
      </c>
      <c r="C381" s="708" t="s">
        <v>4753</v>
      </c>
      <c r="D381" s="709" t="s">
        <v>13</v>
      </c>
      <c r="E381" s="709" t="s">
        <v>30</v>
      </c>
      <c r="F381" s="710">
        <v>45397</v>
      </c>
      <c r="G381" s="143">
        <v>45404</v>
      </c>
      <c r="H381" s="142" t="s">
        <v>23</v>
      </c>
      <c r="I381" s="522"/>
      <c r="J381" s="522"/>
      <c r="K381" s="522">
        <v>5</v>
      </c>
      <c r="L381" s="393"/>
      <c r="M381" s="443">
        <f>Таблица4[[#This Row],[Количество хлыстов]]-Таблица4[[#This Row],[Готово, хл]]-Таблица4[[#This Row],[Вывезено, хл]]</f>
        <v>0</v>
      </c>
      <c r="N381" s="673"/>
      <c r="O381" s="142"/>
      <c r="P381" s="280"/>
      <c r="Q381" s="525" t="s">
        <v>5057</v>
      </c>
      <c r="R381" s="525">
        <v>5</v>
      </c>
      <c r="S381" s="526">
        <v>5</v>
      </c>
      <c r="T381" s="525">
        <v>0.317</v>
      </c>
      <c r="U381" s="525">
        <v>4.1079999999999997</v>
      </c>
      <c r="V381" s="525">
        <v>1.585</v>
      </c>
      <c r="W381" s="525">
        <v>20.54</v>
      </c>
      <c r="X381" s="525">
        <v>0.21</v>
      </c>
      <c r="Y381" s="525">
        <v>2600</v>
      </c>
      <c r="Z381" s="525">
        <v>8201.89</v>
      </c>
      <c r="AA381" s="527">
        <v>13000</v>
      </c>
    </row>
    <row r="382" spans="1:27" ht="17.45" hidden="1" customHeight="1" x14ac:dyDescent="0.25">
      <c r="A382" s="147" t="s">
        <v>4678</v>
      </c>
      <c r="B382" s="625">
        <v>238</v>
      </c>
      <c r="C382" s="625" t="s">
        <v>4753</v>
      </c>
      <c r="D382" s="162" t="s">
        <v>13</v>
      </c>
      <c r="E382" s="162" t="s">
        <v>30</v>
      </c>
      <c r="F382" s="168">
        <v>45397</v>
      </c>
      <c r="G382" s="143">
        <v>45404</v>
      </c>
      <c r="H382" s="142" t="s">
        <v>23</v>
      </c>
      <c r="I382" s="522"/>
      <c r="J382" s="522"/>
      <c r="K382" s="522">
        <v>72</v>
      </c>
      <c r="L382" s="393"/>
      <c r="M382" s="443">
        <f>Таблица4[[#This Row],[Количество хлыстов]]-Таблица4[[#This Row],[Готово, хл]]-Таблица4[[#This Row],[Вывезено, хл]]</f>
        <v>0</v>
      </c>
      <c r="N382" s="673"/>
      <c r="O382" s="142"/>
      <c r="P382" s="280"/>
      <c r="Q382" s="525" t="s">
        <v>5058</v>
      </c>
      <c r="R382" s="525">
        <v>72</v>
      </c>
      <c r="S382" s="526">
        <v>72</v>
      </c>
      <c r="T382" s="525">
        <v>0.317</v>
      </c>
      <c r="U382" s="525">
        <v>4.1079999999999997</v>
      </c>
      <c r="V382" s="525">
        <v>22.824000000000002</v>
      </c>
      <c r="W382" s="525">
        <v>295.77600000000001</v>
      </c>
      <c r="X382" s="525">
        <v>2.97</v>
      </c>
      <c r="Y382" s="525">
        <v>2700</v>
      </c>
      <c r="Z382" s="525">
        <v>8517.35</v>
      </c>
      <c r="AA382" s="527">
        <v>194400</v>
      </c>
    </row>
    <row r="383" spans="1:27" ht="53.25" hidden="1" customHeight="1" x14ac:dyDescent="0.25">
      <c r="A383" s="147" t="s">
        <v>4678</v>
      </c>
      <c r="B383" s="521">
        <v>239</v>
      </c>
      <c r="C383" s="521"/>
      <c r="D383" s="142" t="s">
        <v>34</v>
      </c>
      <c r="E383" s="142" t="s">
        <v>328</v>
      </c>
      <c r="F383" s="143">
        <v>45397</v>
      </c>
      <c r="G383" s="143"/>
      <c r="H383" s="142" t="s">
        <v>23</v>
      </c>
      <c r="I383" s="522"/>
      <c r="J383" s="522"/>
      <c r="K383" s="522"/>
      <c r="L383" s="393">
        <v>5</v>
      </c>
      <c r="M383" s="443">
        <f>Таблица4[[#This Row],[Количество хлыстов]]-Таблица4[[#This Row],[Готово, хл]]-Таблица4[[#This Row],[Вывезено, хл]]</f>
        <v>102</v>
      </c>
      <c r="N383" s="673">
        <f>((Таблица4[[#This Row],[Осталось сделать, хлыст]]*Таблица4[[#This Row],[длина]])*Таблица4[[#This Row],[Периметр]])/28</f>
        <v>6.7582285714285701</v>
      </c>
      <c r="O383" s="183" t="s">
        <v>5074</v>
      </c>
      <c r="P383" s="280">
        <v>6</v>
      </c>
      <c r="Q383" s="525" t="s">
        <v>4813</v>
      </c>
      <c r="R383" s="525">
        <v>642</v>
      </c>
      <c r="S383" s="526">
        <v>107</v>
      </c>
      <c r="T383" s="525">
        <v>0.30919999999999997</v>
      </c>
      <c r="U383" s="525">
        <v>1.101</v>
      </c>
      <c r="V383" s="525">
        <v>198.50640000000001</v>
      </c>
      <c r="W383" s="525">
        <v>706.84199999999998</v>
      </c>
      <c r="X383" s="525">
        <v>25.81</v>
      </c>
      <c r="Y383" s="525">
        <v>134.5</v>
      </c>
      <c r="Z383" s="525">
        <v>435</v>
      </c>
      <c r="AA383" s="527">
        <v>86350.28</v>
      </c>
    </row>
    <row r="384" spans="1:27" ht="17.45" hidden="1" customHeight="1" x14ac:dyDescent="0.25">
      <c r="A384" s="147" t="s">
        <v>4678</v>
      </c>
      <c r="B384" s="521">
        <v>240</v>
      </c>
      <c r="C384" s="521"/>
      <c r="D384" s="142" t="s">
        <v>34</v>
      </c>
      <c r="E384" s="142" t="s">
        <v>328</v>
      </c>
      <c r="F384" s="143">
        <v>45397</v>
      </c>
      <c r="G384" s="143"/>
      <c r="H384" s="142" t="s">
        <v>23</v>
      </c>
      <c r="I384" s="522"/>
      <c r="J384" s="522"/>
      <c r="K384" s="522"/>
      <c r="L384" s="393"/>
      <c r="M384" s="443">
        <f>Таблица4[[#This Row],[Количество хлыстов]]-Таблица4[[#This Row],[Готово, хл]]-Таблица4[[#This Row],[Вывезено, хл]]</f>
        <v>134</v>
      </c>
      <c r="N384" s="673">
        <f>((Таблица4[[#This Row],[Осталось сделать, хлыст]]*Таблица4[[#This Row],[длина]])*Таблица4[[#This Row],[Периметр]])/28</f>
        <v>7.2359999999999998</v>
      </c>
      <c r="O384" s="142" t="s">
        <v>5081</v>
      </c>
      <c r="P384" s="280">
        <v>6</v>
      </c>
      <c r="Q384" s="525" t="s">
        <v>2826</v>
      </c>
      <c r="R384" s="525">
        <v>804</v>
      </c>
      <c r="S384" s="526">
        <v>134</v>
      </c>
      <c r="T384" s="525">
        <v>0.252</v>
      </c>
      <c r="U384" s="525">
        <v>0.70599999999999996</v>
      </c>
      <c r="V384" s="525">
        <v>202.608</v>
      </c>
      <c r="W384" s="525">
        <v>567.62400000000002</v>
      </c>
      <c r="X384" s="525">
        <v>26.34</v>
      </c>
      <c r="Y384" s="525">
        <v>99.54</v>
      </c>
      <c r="Z384" s="525">
        <v>395</v>
      </c>
      <c r="AA384" s="527">
        <v>80030.16</v>
      </c>
    </row>
    <row r="385" spans="1:27" ht="17.45" customHeight="1" x14ac:dyDescent="0.25">
      <c r="A385" s="949" t="s">
        <v>4678</v>
      </c>
      <c r="B385" s="946">
        <v>241</v>
      </c>
      <c r="C385" s="946"/>
      <c r="D385" s="947" t="s">
        <v>4858</v>
      </c>
      <c r="E385" s="942" t="s">
        <v>4734</v>
      </c>
      <c r="F385" s="948">
        <v>45398</v>
      </c>
      <c r="G385" s="168"/>
      <c r="H385" s="142"/>
      <c r="I385" s="522"/>
      <c r="J385" s="522"/>
      <c r="K385" s="522"/>
      <c r="L385" s="393"/>
      <c r="M385" s="443">
        <f>Таблица4[[#This Row],[Количество хлыстов]]-Таблица4[[#This Row],[Готово, хл]]-Таблица4[[#This Row],[Вывезено, хл]]</f>
        <v>33</v>
      </c>
      <c r="N385" s="478">
        <f>(Таблица4[[#This Row],[Осталось сделать, хлыст]]*Таблица4[[#This Row],[длина]]*Таблица4[[#This Row],[Периметр]])/28</f>
        <v>3.3624642857142857</v>
      </c>
      <c r="O385" s="142"/>
      <c r="P385" s="280">
        <v>6</v>
      </c>
      <c r="Q385" s="525" t="s">
        <v>4732</v>
      </c>
      <c r="R385" s="525">
        <v>198</v>
      </c>
      <c r="S385" s="526">
        <v>33</v>
      </c>
      <c r="T385" s="525">
        <v>0.47549999999999998</v>
      </c>
      <c r="U385" s="525">
        <v>1.486</v>
      </c>
      <c r="V385" s="525">
        <v>94.149000000000001</v>
      </c>
      <c r="W385" s="525">
        <v>294.22800000000001</v>
      </c>
      <c r="X385" s="525">
        <v>12.24</v>
      </c>
      <c r="Y385" s="525">
        <v>175.94</v>
      </c>
      <c r="Z385" s="525">
        <v>370</v>
      </c>
      <c r="AA385" s="527">
        <v>34836.120000000003</v>
      </c>
    </row>
    <row r="386" spans="1:27" ht="17.45" hidden="1" customHeight="1" x14ac:dyDescent="0.25">
      <c r="A386" s="147" t="s">
        <v>4678</v>
      </c>
      <c r="B386" s="521">
        <v>243</v>
      </c>
      <c r="C386" s="521"/>
      <c r="D386" s="142" t="s">
        <v>13</v>
      </c>
      <c r="E386" s="142" t="s">
        <v>5072</v>
      </c>
      <c r="F386" s="143">
        <v>45399</v>
      </c>
      <c r="G386" s="143"/>
      <c r="H386" s="142" t="s">
        <v>23</v>
      </c>
      <c r="I386" s="522"/>
      <c r="J386" s="522"/>
      <c r="K386" s="522">
        <v>126</v>
      </c>
      <c r="L386" s="393">
        <v>19</v>
      </c>
      <c r="M386" s="443">
        <f>Таблица4[[#This Row],[Количество хлыстов]]-Таблица4[[#This Row],[Готово, хл]]-Таблица4[[#This Row],[Вывезено, хл]]</f>
        <v>0</v>
      </c>
      <c r="N386" s="673">
        <f>((Таблица4[[#This Row],[Осталось сделать, хлыст]]*Таблица4[[#This Row],[длина]])*Таблица4[[#This Row],[Периметр]])/28</f>
        <v>0</v>
      </c>
      <c r="O386" s="142"/>
      <c r="P386" s="280">
        <v>6</v>
      </c>
      <c r="Q386" s="525" t="s">
        <v>5073</v>
      </c>
      <c r="R386" s="525">
        <v>870</v>
      </c>
      <c r="S386" s="526">
        <v>145</v>
      </c>
      <c r="T386" s="525">
        <v>0.60040000000000004</v>
      </c>
      <c r="U386" s="525">
        <v>2.5739999999999998</v>
      </c>
      <c r="V386" s="525">
        <v>522.34799999999996</v>
      </c>
      <c r="W386" s="525">
        <v>2239.38</v>
      </c>
      <c r="X386" s="525">
        <v>67.91</v>
      </c>
      <c r="Y386" s="525">
        <v>243.16</v>
      </c>
      <c r="Z386" s="525">
        <v>405</v>
      </c>
      <c r="AA386" s="527">
        <v>211550.94</v>
      </c>
    </row>
    <row r="387" spans="1:27" ht="17.45" hidden="1" customHeight="1" x14ac:dyDescent="0.25">
      <c r="A387" s="147" t="s">
        <v>4678</v>
      </c>
      <c r="B387" s="521">
        <v>243</v>
      </c>
      <c r="C387" s="521"/>
      <c r="D387" s="142" t="s">
        <v>13</v>
      </c>
      <c r="E387" s="142" t="s">
        <v>5072</v>
      </c>
      <c r="F387" s="143">
        <v>45399</v>
      </c>
      <c r="G387" s="143"/>
      <c r="H387" s="142" t="s">
        <v>23</v>
      </c>
      <c r="I387" s="522"/>
      <c r="J387" s="522"/>
      <c r="K387" s="522"/>
      <c r="L387" s="393"/>
      <c r="M387" s="443">
        <f>Таблица4[[#This Row],[Количество хлыстов]]-Таблица4[[#This Row],[Готово, хл]]-Таблица4[[#This Row],[Вывезено, хл]]</f>
        <v>160</v>
      </c>
      <c r="N387" s="673">
        <f>((Таблица4[[#This Row],[Осталось сделать, хлыст]]*Таблица4[[#This Row],[длина]])*Таблица4[[#This Row],[Периметр]])/28</f>
        <v>6.644571428571429</v>
      </c>
      <c r="O387" s="142"/>
      <c r="P387" s="280">
        <v>6</v>
      </c>
      <c r="Q387" s="525" t="s">
        <v>4727</v>
      </c>
      <c r="R387" s="525">
        <v>960</v>
      </c>
      <c r="S387" s="526">
        <v>160</v>
      </c>
      <c r="T387" s="525">
        <v>0.1938</v>
      </c>
      <c r="U387" s="525">
        <v>0.63600000000000001</v>
      </c>
      <c r="V387" s="525">
        <v>186.048</v>
      </c>
      <c r="W387" s="525">
        <v>610.55999999999995</v>
      </c>
      <c r="X387" s="525">
        <v>24.19</v>
      </c>
      <c r="Y387" s="525">
        <v>78.489999999999995</v>
      </c>
      <c r="Z387" s="525">
        <v>405</v>
      </c>
      <c r="AA387" s="527">
        <v>75349.440000000002</v>
      </c>
    </row>
    <row r="388" spans="1:27" ht="17.45" hidden="1" customHeight="1" x14ac:dyDescent="0.25">
      <c r="A388" s="147" t="s">
        <v>4678</v>
      </c>
      <c r="B388" s="521">
        <v>244</v>
      </c>
      <c r="C388" s="521"/>
      <c r="D388" s="142" t="s">
        <v>13</v>
      </c>
      <c r="E388" s="142" t="s">
        <v>32</v>
      </c>
      <c r="F388" s="143">
        <v>45399</v>
      </c>
      <c r="G388" s="143">
        <v>45420</v>
      </c>
      <c r="H388" s="142" t="s">
        <v>23</v>
      </c>
      <c r="I388" s="522"/>
      <c r="J388" s="522"/>
      <c r="K388" s="522"/>
      <c r="L388" s="522">
        <f>60+63+63+63</f>
        <v>249</v>
      </c>
      <c r="M388" s="443">
        <f>Таблица4[[#This Row],[Количество хлыстов]]-Таблица4[[#This Row],[Готово, хл]]-Таблица4[[#This Row],[Вывезено, хл]]</f>
        <v>1</v>
      </c>
      <c r="N388" s="711">
        <f>((Таблица4[[#This Row],[Осталось сделать, хлыст]]*Таблица4[[#This Row],[длина]])*Таблица4[[#This Row],[Периметр]])/28</f>
        <v>4.7812678571428568E-2</v>
      </c>
      <c r="O388" s="142" t="s">
        <v>4937</v>
      </c>
      <c r="P388" s="280">
        <v>5.05</v>
      </c>
      <c r="Q388" s="525" t="s">
        <v>4275</v>
      </c>
      <c r="R388" s="525">
        <v>1262.5</v>
      </c>
      <c r="S388" s="526">
        <v>250</v>
      </c>
      <c r="T388" s="525">
        <v>0.2651</v>
      </c>
      <c r="U388" s="525">
        <v>0.82099999999999995</v>
      </c>
      <c r="V388" s="525">
        <v>334.68880000000001</v>
      </c>
      <c r="W388" s="525">
        <v>1036.5125</v>
      </c>
      <c r="X388" s="525">
        <v>43.51</v>
      </c>
      <c r="Y388" s="525">
        <v>107.37</v>
      </c>
      <c r="Z388" s="525">
        <v>405</v>
      </c>
      <c r="AA388" s="527">
        <v>135548.94</v>
      </c>
    </row>
    <row r="389" spans="1:27" ht="17.45" hidden="1" customHeight="1" x14ac:dyDescent="0.25">
      <c r="A389" s="147" t="s">
        <v>4678</v>
      </c>
      <c r="B389" s="521">
        <v>244</v>
      </c>
      <c r="C389" s="521"/>
      <c r="D389" s="142" t="s">
        <v>13</v>
      </c>
      <c r="E389" s="142" t="s">
        <v>892</v>
      </c>
      <c r="F389" s="143">
        <v>45399</v>
      </c>
      <c r="G389" s="143">
        <v>45447</v>
      </c>
      <c r="H389" s="142" t="s">
        <v>23</v>
      </c>
      <c r="I389" s="522"/>
      <c r="J389" s="522"/>
      <c r="K389" s="522"/>
      <c r="L389" s="393">
        <f>378+91</f>
        <v>469</v>
      </c>
      <c r="M389" s="443">
        <f>Таблица4[[#This Row],[Количество хлыстов]]-Таблица4[[#This Row],[Готово, хл]]-Таблица4[[#This Row],[Вывезено, хл]]</f>
        <v>91</v>
      </c>
      <c r="N389" s="711">
        <f>((Таблица4[[#This Row],[Осталось сделать, хлыст]]*Таблица4[[#This Row],[длина]])*Таблица4[[#This Row],[Периметр]])/28</f>
        <v>3.8340087499999997</v>
      </c>
      <c r="O389" s="142" t="s">
        <v>5151</v>
      </c>
      <c r="P389" s="280">
        <v>4.45</v>
      </c>
      <c r="Q389" s="525" t="s">
        <v>4276</v>
      </c>
      <c r="R389" s="525">
        <v>2492</v>
      </c>
      <c r="S389" s="526">
        <v>560</v>
      </c>
      <c r="T389" s="525">
        <v>0.2651</v>
      </c>
      <c r="U389" s="525">
        <v>0.82099999999999995</v>
      </c>
      <c r="V389" s="525">
        <v>660.62919999999997</v>
      </c>
      <c r="W389" s="525">
        <v>2045.932</v>
      </c>
      <c r="X389" s="525">
        <v>85.88</v>
      </c>
      <c r="Y389" s="525">
        <v>107.37</v>
      </c>
      <c r="Z389" s="525">
        <v>405</v>
      </c>
      <c r="AA389" s="527">
        <v>267554.83</v>
      </c>
    </row>
    <row r="390" spans="1:27" ht="25.15" hidden="1" customHeight="1" x14ac:dyDescent="0.25">
      <c r="A390" s="147" t="s">
        <v>4678</v>
      </c>
      <c r="B390" s="521">
        <v>245</v>
      </c>
      <c r="C390" s="521"/>
      <c r="D390" s="142" t="s">
        <v>34</v>
      </c>
      <c r="E390" s="142" t="s">
        <v>3404</v>
      </c>
      <c r="F390" s="143">
        <v>45399</v>
      </c>
      <c r="G390" s="143"/>
      <c r="H390" s="142" t="s">
        <v>23</v>
      </c>
      <c r="I390" s="522"/>
      <c r="J390" s="522"/>
      <c r="K390" s="522"/>
      <c r="L390" s="393">
        <f>2+143</f>
        <v>145</v>
      </c>
      <c r="M390" s="443">
        <f>Таблица4[[#This Row],[Количество хлыстов]]-Таблица4[[#This Row],[Готово, хл]]-Таблица4[[#This Row],[Вывезено, хл]]</f>
        <v>0</v>
      </c>
      <c r="N390" s="673">
        <f>((Таблица4[[#This Row],[Осталось сделать, хлыст]]*Таблица4[[#This Row],[длина]])*Таблица4[[#This Row],[Периметр]])/28</f>
        <v>0</v>
      </c>
      <c r="O390" s="183" t="s">
        <v>5096</v>
      </c>
      <c r="P390" s="280">
        <v>6</v>
      </c>
      <c r="Q390" s="525" t="s">
        <v>4378</v>
      </c>
      <c r="R390" s="525">
        <v>870</v>
      </c>
      <c r="S390" s="526">
        <v>145</v>
      </c>
      <c r="T390" s="525">
        <v>0.25169999999999998</v>
      </c>
      <c r="U390" s="525">
        <v>0.56699999999999995</v>
      </c>
      <c r="V390" s="525">
        <v>218.97900000000001</v>
      </c>
      <c r="W390" s="525">
        <v>493.29</v>
      </c>
      <c r="X390" s="525">
        <v>28.47</v>
      </c>
      <c r="Y390" s="525">
        <v>101.94</v>
      </c>
      <c r="Z390" s="525">
        <v>405</v>
      </c>
      <c r="AA390" s="527">
        <v>88686.5</v>
      </c>
    </row>
    <row r="391" spans="1:27" ht="17.45" hidden="1" customHeight="1" x14ac:dyDescent="0.25">
      <c r="A391" s="147" t="s">
        <v>4678</v>
      </c>
      <c r="B391" s="521">
        <v>246</v>
      </c>
      <c r="C391" s="521"/>
      <c r="D391" s="142" t="s">
        <v>34</v>
      </c>
      <c r="E391" s="142" t="s">
        <v>328</v>
      </c>
      <c r="F391" s="143">
        <v>45399</v>
      </c>
      <c r="G391" s="143"/>
      <c r="H391" s="142" t="s">
        <v>23</v>
      </c>
      <c r="I391" s="522"/>
      <c r="J391" s="522"/>
      <c r="K391" s="522"/>
      <c r="L391" s="393"/>
      <c r="M391" s="443">
        <f>Таблица4[[#This Row],[Количество хлыстов]]-Таблица4[[#This Row],[Готово, хл]]-Таблица4[[#This Row],[Вывезено, хл]]</f>
        <v>41</v>
      </c>
      <c r="N391" s="586">
        <f>Таблица4[[#This Row],[Площадь общая, м2]]/28</f>
        <v>2.7165428571428571</v>
      </c>
      <c r="O391" s="142" t="s">
        <v>5079</v>
      </c>
      <c r="P391" s="280">
        <v>6</v>
      </c>
      <c r="Q391" s="525" t="s">
        <v>4148</v>
      </c>
      <c r="R391" s="525">
        <v>246</v>
      </c>
      <c r="S391" s="526">
        <v>41</v>
      </c>
      <c r="T391" s="525">
        <v>0.30919999999999997</v>
      </c>
      <c r="U391" s="525">
        <v>1.1000000000000001</v>
      </c>
      <c r="V391" s="525">
        <v>76.063199999999995</v>
      </c>
      <c r="W391" s="525">
        <v>270.60000000000002</v>
      </c>
      <c r="X391" s="525">
        <v>9.89</v>
      </c>
      <c r="Y391" s="525">
        <v>176.24</v>
      </c>
      <c r="Z391" s="525">
        <v>570</v>
      </c>
      <c r="AA391" s="527">
        <v>43356.02</v>
      </c>
    </row>
    <row r="392" spans="1:27" ht="17.45" hidden="1" customHeight="1" x14ac:dyDescent="0.25">
      <c r="A392" s="147" t="s">
        <v>4678</v>
      </c>
      <c r="B392" s="521">
        <v>247</v>
      </c>
      <c r="C392" s="521"/>
      <c r="D392" s="142" t="s">
        <v>34</v>
      </c>
      <c r="E392" s="142" t="s">
        <v>3404</v>
      </c>
      <c r="F392" s="143">
        <v>45399</v>
      </c>
      <c r="G392" s="143"/>
      <c r="H392" s="142" t="s">
        <v>23</v>
      </c>
      <c r="I392" s="522"/>
      <c r="J392" s="522"/>
      <c r="K392" s="522"/>
      <c r="L392" s="393">
        <v>47</v>
      </c>
      <c r="M392" s="443">
        <f>Таблица4[[#This Row],[Количество хлыстов]]-Таблица4[[#This Row],[Готово, хл]]-Таблица4[[#This Row],[Вывезено, хл]]</f>
        <v>0</v>
      </c>
      <c r="N392" s="673">
        <f>((Таблица4[[#This Row],[Осталось сделать, хлыст]]*Таблица4[[#This Row],[длина]])*Таблица4[[#This Row],[Периметр]])/28</f>
        <v>0</v>
      </c>
      <c r="O392" s="142" t="s">
        <v>5077</v>
      </c>
      <c r="P392" s="280">
        <v>6</v>
      </c>
      <c r="Q392" s="525" t="s">
        <v>5076</v>
      </c>
      <c r="R392" s="525">
        <v>282</v>
      </c>
      <c r="S392" s="526">
        <v>47</v>
      </c>
      <c r="T392" s="525">
        <v>0.25169999999999998</v>
      </c>
      <c r="U392" s="525">
        <v>0.56699999999999995</v>
      </c>
      <c r="V392" s="525">
        <v>70.979399999999998</v>
      </c>
      <c r="W392" s="525">
        <v>159.89400000000001</v>
      </c>
      <c r="X392" s="525">
        <v>9.23</v>
      </c>
      <c r="Y392" s="525">
        <v>135.91999999999999</v>
      </c>
      <c r="Z392" s="525">
        <v>540</v>
      </c>
      <c r="AA392" s="527">
        <v>38328.879999999997</v>
      </c>
    </row>
    <row r="393" spans="1:27" ht="17.45" hidden="1" customHeight="1" x14ac:dyDescent="0.25">
      <c r="A393" s="147" t="s">
        <v>4678</v>
      </c>
      <c r="B393" s="521">
        <v>249</v>
      </c>
      <c r="C393" s="521"/>
      <c r="D393" s="142" t="s">
        <v>34</v>
      </c>
      <c r="E393" s="142" t="s">
        <v>19</v>
      </c>
      <c r="F393" s="143">
        <v>45399</v>
      </c>
      <c r="G393" s="143"/>
      <c r="H393" s="142" t="s">
        <v>23</v>
      </c>
      <c r="I393" s="522"/>
      <c r="J393" s="522"/>
      <c r="K393" s="522">
        <v>82</v>
      </c>
      <c r="L393" s="393"/>
      <c r="M393" s="443">
        <f>Таблица4[[#This Row],[Количество хлыстов]]-Таблица4[[#This Row],[Готово, хл]]-Таблица4[[#This Row],[Вывезено, хл]]</f>
        <v>0</v>
      </c>
      <c r="N393" s="673">
        <f>((Таблица4[[#This Row],[Осталось сделать, хлыст]]*Таблица4[[#This Row],[длина]])*Таблица4[[#This Row],[Периметр]])/28</f>
        <v>0</v>
      </c>
      <c r="O393" s="142" t="s">
        <v>5080</v>
      </c>
      <c r="P393" s="280">
        <v>3.7</v>
      </c>
      <c r="Q393" s="525" t="s">
        <v>1455</v>
      </c>
      <c r="R393" s="525">
        <v>303.39999999999998</v>
      </c>
      <c r="S393" s="526">
        <v>82</v>
      </c>
      <c r="T393" s="525">
        <v>0.17829999999999999</v>
      </c>
      <c r="U393" s="525">
        <v>0.47499999999999998</v>
      </c>
      <c r="V393" s="525">
        <v>54.096200000000003</v>
      </c>
      <c r="W393" s="525">
        <v>144.11500000000001</v>
      </c>
      <c r="X393" s="525">
        <v>7.03</v>
      </c>
      <c r="Y393" s="525">
        <v>105.51</v>
      </c>
      <c r="Z393" s="525">
        <v>591.75</v>
      </c>
      <c r="AA393" s="527">
        <v>32011.439999999999</v>
      </c>
    </row>
    <row r="394" spans="1:27" ht="17.45" hidden="1" customHeight="1" x14ac:dyDescent="0.25">
      <c r="A394" s="147" t="s">
        <v>4678</v>
      </c>
      <c r="B394" s="901">
        <v>256</v>
      </c>
      <c r="C394" s="521"/>
      <c r="D394" s="142" t="s">
        <v>34</v>
      </c>
      <c r="E394" s="142" t="s">
        <v>328</v>
      </c>
      <c r="F394" s="143">
        <v>45404</v>
      </c>
      <c r="G394" s="143"/>
      <c r="H394" s="142" t="s">
        <v>23</v>
      </c>
      <c r="I394" s="522"/>
      <c r="J394" s="522"/>
      <c r="K394" s="522"/>
      <c r="L394" s="393">
        <f>11+320+15</f>
        <v>346</v>
      </c>
      <c r="M394" s="443">
        <f>Таблица4[[#This Row],[Количество хлыстов]]-Таблица4[[#This Row],[Готово, хл]]-Таблица4[[#This Row],[Вывезено, хл]]</f>
        <v>0</v>
      </c>
      <c r="N394" s="673">
        <f>((Таблица4[[#This Row],[Осталось сделать, хлыст]]*Таблица4[[#This Row],[длина]])*Таблица4[[#This Row],[Периметр]])/28</f>
        <v>0</v>
      </c>
      <c r="O394" s="142" t="s">
        <v>5248</v>
      </c>
      <c r="P394" s="280">
        <v>6</v>
      </c>
      <c r="Q394" s="525" t="s">
        <v>4813</v>
      </c>
      <c r="R394" s="525">
        <v>2076</v>
      </c>
      <c r="S394" s="526">
        <v>346</v>
      </c>
      <c r="T394" s="525">
        <v>0.30919999999999997</v>
      </c>
      <c r="U394" s="525">
        <v>1.101</v>
      </c>
      <c r="V394" s="525">
        <v>641.89919999999995</v>
      </c>
      <c r="W394" s="525">
        <v>2285.6759999999999</v>
      </c>
      <c r="X394" s="525">
        <v>83.45</v>
      </c>
      <c r="Y394" s="525">
        <v>134.5</v>
      </c>
      <c r="Z394" s="525">
        <v>435</v>
      </c>
      <c r="AA394" s="527">
        <v>279226.15000000002</v>
      </c>
    </row>
    <row r="395" spans="1:27" ht="17.45" hidden="1" customHeight="1" x14ac:dyDescent="0.25">
      <c r="A395" s="147" t="s">
        <v>4678</v>
      </c>
      <c r="B395" s="521">
        <v>257</v>
      </c>
      <c r="C395" s="521"/>
      <c r="D395" s="142" t="s">
        <v>34</v>
      </c>
      <c r="E395" s="142" t="s">
        <v>5082</v>
      </c>
      <c r="F395" s="143">
        <v>45404</v>
      </c>
      <c r="G395" s="143"/>
      <c r="H395" s="142" t="s">
        <v>23</v>
      </c>
      <c r="I395" s="522"/>
      <c r="J395" s="522"/>
      <c r="K395" s="522">
        <v>340</v>
      </c>
      <c r="L395" s="393"/>
      <c r="M395" s="443">
        <f>Таблица4[[#This Row],[Количество хлыстов]]-Таблица4[[#This Row],[Готово, хл]]-Таблица4[[#This Row],[Вывезено, хл]]</f>
        <v>0</v>
      </c>
      <c r="N395" s="673">
        <f>((Таблица4[[#This Row],[Осталось сделать, хлыст]]*Таблица4[[#This Row],[длина]])*Таблица4[[#This Row],[Периметр]])/28</f>
        <v>0</v>
      </c>
      <c r="O395" s="142"/>
      <c r="P395" s="280">
        <v>6</v>
      </c>
      <c r="Q395" s="525" t="s">
        <v>3403</v>
      </c>
      <c r="R395" s="525">
        <v>2040</v>
      </c>
      <c r="S395" s="526">
        <v>340</v>
      </c>
      <c r="T395" s="525">
        <v>0.15909999999999999</v>
      </c>
      <c r="U395" s="525">
        <v>0.26100000000000001</v>
      </c>
      <c r="V395" s="525">
        <v>324.56400000000002</v>
      </c>
      <c r="W395" s="525">
        <v>532.44000000000005</v>
      </c>
      <c r="X395" s="525">
        <v>42.19</v>
      </c>
      <c r="Y395" s="525">
        <v>69.209999999999994</v>
      </c>
      <c r="Z395" s="525">
        <v>435</v>
      </c>
      <c r="AA395" s="527">
        <v>141185.34</v>
      </c>
    </row>
    <row r="396" spans="1:27" ht="17.45" hidden="1" customHeight="1" x14ac:dyDescent="0.25">
      <c r="A396" s="147" t="s">
        <v>4678</v>
      </c>
      <c r="B396" s="521">
        <v>258</v>
      </c>
      <c r="C396" s="521"/>
      <c r="D396" s="142" t="s">
        <v>34</v>
      </c>
      <c r="E396" s="142" t="s">
        <v>3404</v>
      </c>
      <c r="F396" s="143">
        <v>45404</v>
      </c>
      <c r="G396" s="143"/>
      <c r="H396" s="142" t="s">
        <v>23</v>
      </c>
      <c r="I396" s="522"/>
      <c r="J396" s="522"/>
      <c r="K396" s="522"/>
      <c r="L396" s="393">
        <f>1+163</f>
        <v>164</v>
      </c>
      <c r="M396" s="443">
        <f>Таблица4[[#This Row],[Количество хлыстов]]-Таблица4[[#This Row],[Готово, хл]]-Таблица4[[#This Row],[Вывезено, хл]]</f>
        <v>0</v>
      </c>
      <c r="N396" s="673">
        <f>((Таблица4[[#This Row],[Осталось сделать, хлыст]]*Таблица4[[#This Row],[длина]])*Таблица4[[#This Row],[Периметр]])/28</f>
        <v>0</v>
      </c>
      <c r="O396" s="142"/>
      <c r="P396" s="280">
        <v>6</v>
      </c>
      <c r="Q396" s="525" t="s">
        <v>4998</v>
      </c>
      <c r="R396" s="525">
        <v>984</v>
      </c>
      <c r="S396" s="526">
        <v>164</v>
      </c>
      <c r="T396" s="525">
        <v>0.3075</v>
      </c>
      <c r="U396" s="525">
        <v>0.85</v>
      </c>
      <c r="V396" s="525">
        <v>302.58</v>
      </c>
      <c r="W396" s="525">
        <v>836.4</v>
      </c>
      <c r="X396" s="525">
        <v>39.340000000000003</v>
      </c>
      <c r="Y396" s="525">
        <v>113.78</v>
      </c>
      <c r="Z396" s="525">
        <v>370</v>
      </c>
      <c r="AA396" s="527">
        <v>111954.6</v>
      </c>
    </row>
    <row r="397" spans="1:27" ht="17.45" hidden="1" customHeight="1" x14ac:dyDescent="0.25">
      <c r="A397" s="147" t="s">
        <v>4678</v>
      </c>
      <c r="B397" s="521">
        <v>258</v>
      </c>
      <c r="C397" s="521"/>
      <c r="D397" s="142" t="s">
        <v>34</v>
      </c>
      <c r="E397" s="142" t="s">
        <v>3404</v>
      </c>
      <c r="F397" s="143">
        <v>45404</v>
      </c>
      <c r="G397" s="143"/>
      <c r="H397" s="142" t="s">
        <v>23</v>
      </c>
      <c r="I397" s="522"/>
      <c r="J397" s="522"/>
      <c r="K397" s="522"/>
      <c r="L397" s="393">
        <f>1+199</f>
        <v>200</v>
      </c>
      <c r="M397" s="443">
        <f>Таблица4[[#This Row],[Количество хлыстов]]-Таблица4[[#This Row],[Готово, хл]]-Таблица4[[#This Row],[Вывезено, хл]]</f>
        <v>0</v>
      </c>
      <c r="N397" s="673">
        <f>((Таблица4[[#This Row],[Осталось сделать, хлыст]]*Таблица4[[#This Row],[длина]])*Таблица4[[#This Row],[Периметр]])/28</f>
        <v>0</v>
      </c>
      <c r="O397" s="142"/>
      <c r="P397" s="280">
        <v>6</v>
      </c>
      <c r="Q397" s="525" t="s">
        <v>5003</v>
      </c>
      <c r="R397" s="525">
        <v>1200</v>
      </c>
      <c r="S397" s="526">
        <v>200</v>
      </c>
      <c r="T397" s="525">
        <v>0.27439999999999998</v>
      </c>
      <c r="U397" s="525">
        <v>0.56100000000000005</v>
      </c>
      <c r="V397" s="525">
        <v>329.28</v>
      </c>
      <c r="W397" s="525">
        <v>673.2</v>
      </c>
      <c r="X397" s="525">
        <v>42.81</v>
      </c>
      <c r="Y397" s="525">
        <v>101.53</v>
      </c>
      <c r="Z397" s="525">
        <v>370</v>
      </c>
      <c r="AA397" s="527">
        <v>121833.60000000001</v>
      </c>
    </row>
    <row r="398" spans="1:27" ht="17.45" hidden="1" customHeight="1" x14ac:dyDescent="0.25">
      <c r="A398" s="147" t="s">
        <v>4678</v>
      </c>
      <c r="B398" s="521">
        <v>259</v>
      </c>
      <c r="C398" s="521"/>
      <c r="D398" s="142" t="s">
        <v>13</v>
      </c>
      <c r="E398" s="142" t="s">
        <v>591</v>
      </c>
      <c r="F398" s="143">
        <v>45405</v>
      </c>
      <c r="G398" s="143">
        <v>45427</v>
      </c>
      <c r="H398" s="142" t="s">
        <v>23</v>
      </c>
      <c r="I398" s="522"/>
      <c r="J398" s="522"/>
      <c r="K398" s="522"/>
      <c r="L398" s="393">
        <v>3247</v>
      </c>
      <c r="M398" s="443">
        <f>Таблица4[[#This Row],[Количество хлыстов]]-Таблица4[[#This Row],[Готово, хл]]-Таблица4[[#This Row],[Вывезено, хл]]</f>
        <v>0</v>
      </c>
      <c r="N398" s="711">
        <f>((Таблица4[[#This Row],[Осталось сделать, хлыст]]*Таблица4[[#This Row],[длина]])*Таблица4[[#This Row],[Периметр]])/28</f>
        <v>0</v>
      </c>
      <c r="O398" s="142"/>
      <c r="P398" s="280">
        <v>3</v>
      </c>
      <c r="Q398" s="525" t="s">
        <v>38</v>
      </c>
      <c r="R398" s="525">
        <v>9741</v>
      </c>
      <c r="S398" s="526">
        <v>3247</v>
      </c>
      <c r="T398" s="525">
        <v>6.4500000000000002E-2</v>
      </c>
      <c r="U398" s="525">
        <v>8.5000000000000006E-2</v>
      </c>
      <c r="V398" s="525">
        <v>628.29449999999997</v>
      </c>
      <c r="W398" s="525">
        <v>827.98500000000001</v>
      </c>
      <c r="X398" s="525">
        <v>81.680000000000007</v>
      </c>
      <c r="Y398" s="525">
        <v>29.61</v>
      </c>
      <c r="Z398" s="525">
        <v>459</v>
      </c>
      <c r="AA398" s="527">
        <v>288387.18</v>
      </c>
    </row>
    <row r="399" spans="1:27" ht="17.45" hidden="1" customHeight="1" x14ac:dyDescent="0.25">
      <c r="A399" s="147" t="s">
        <v>4678</v>
      </c>
      <c r="B399" s="521">
        <v>250</v>
      </c>
      <c r="C399" s="521" t="s">
        <v>4753</v>
      </c>
      <c r="D399" s="142" t="s">
        <v>34</v>
      </c>
      <c r="E399" s="142" t="s">
        <v>861</v>
      </c>
      <c r="F399" s="143">
        <v>45406</v>
      </c>
      <c r="G399" s="143"/>
      <c r="H399" s="439" t="s">
        <v>23</v>
      </c>
      <c r="I399" s="522"/>
      <c r="J399" s="522"/>
      <c r="K399" s="522"/>
      <c r="L399" s="393"/>
      <c r="M399" s="443">
        <f>Таблица4[[#This Row],[Количество хлыстов]]-Таблица4[[#This Row],[Готово, хл]]-Таблица4[[#This Row],[Вывезено, хл]]</f>
        <v>201</v>
      </c>
      <c r="N399" s="673">
        <v>5.6</v>
      </c>
      <c r="O399" s="142"/>
      <c r="P399" s="280">
        <v>0.47499999999999998</v>
      </c>
      <c r="Q399" s="525" t="s">
        <v>5083</v>
      </c>
      <c r="R399" s="525"/>
      <c r="S399" s="526">
        <v>201</v>
      </c>
      <c r="T399" s="525">
        <v>0.66020000000000001</v>
      </c>
      <c r="U399" s="525">
        <v>2.6480000000000001</v>
      </c>
      <c r="V399" s="525">
        <v>132.7002</v>
      </c>
      <c r="W399" s="525">
        <v>532.24800000000005</v>
      </c>
      <c r="X399" s="525">
        <v>17.25</v>
      </c>
      <c r="Y399" s="525">
        <v>613.16</v>
      </c>
      <c r="Z399" s="525">
        <v>928.75</v>
      </c>
      <c r="AA399" s="527">
        <v>123245.16</v>
      </c>
    </row>
    <row r="400" spans="1:27" ht="17.45" hidden="1" customHeight="1" x14ac:dyDescent="0.25">
      <c r="A400" s="147" t="s">
        <v>4678</v>
      </c>
      <c r="B400" s="521">
        <v>250</v>
      </c>
      <c r="C400" s="521" t="s">
        <v>4753</v>
      </c>
      <c r="D400" s="142" t="s">
        <v>34</v>
      </c>
      <c r="E400" s="142" t="s">
        <v>861</v>
      </c>
      <c r="F400" s="143">
        <v>45406</v>
      </c>
      <c r="G400" s="143"/>
      <c r="H400" s="439" t="s">
        <v>23</v>
      </c>
      <c r="I400" s="522"/>
      <c r="J400" s="522"/>
      <c r="K400" s="522"/>
      <c r="L400" s="393"/>
      <c r="M400" s="443">
        <f>Таблица4[[#This Row],[Количество хлыстов]]-Таблица4[[#This Row],[Готово, хл]]-Таблица4[[#This Row],[Вывезено, хл]]</f>
        <v>181</v>
      </c>
      <c r="N400" s="673">
        <v>3</v>
      </c>
      <c r="O400" s="142"/>
      <c r="P400" s="280">
        <v>0.32</v>
      </c>
      <c r="Q400" s="525" t="s">
        <v>5084</v>
      </c>
      <c r="R400" s="525"/>
      <c r="S400" s="526">
        <v>181</v>
      </c>
      <c r="T400" s="525">
        <v>0.44479999999999997</v>
      </c>
      <c r="U400" s="525">
        <v>1.784</v>
      </c>
      <c r="V400" s="525">
        <v>80.508799999999994</v>
      </c>
      <c r="W400" s="525">
        <v>322.904</v>
      </c>
      <c r="X400" s="525">
        <v>10.47</v>
      </c>
      <c r="Y400" s="525">
        <v>413.4</v>
      </c>
      <c r="Z400" s="525">
        <v>929.41</v>
      </c>
      <c r="AA400" s="527">
        <v>74825.399999999994</v>
      </c>
    </row>
    <row r="401" spans="1:27" ht="17.45" hidden="1" customHeight="1" x14ac:dyDescent="0.25">
      <c r="A401" s="147" t="s">
        <v>4678</v>
      </c>
      <c r="B401" s="521">
        <v>261</v>
      </c>
      <c r="C401" s="521" t="s">
        <v>4753</v>
      </c>
      <c r="D401" s="142" t="s">
        <v>13</v>
      </c>
      <c r="E401" s="142" t="s">
        <v>480</v>
      </c>
      <c r="F401" s="143">
        <v>45406</v>
      </c>
      <c r="G401" s="143"/>
      <c r="H401" s="142" t="s">
        <v>23</v>
      </c>
      <c r="I401" s="522"/>
      <c r="J401" s="522"/>
      <c r="K401" s="522"/>
      <c r="L401" s="393"/>
      <c r="M401" s="443">
        <f>Таблица4[[#This Row],[Количество хлыстов]]-Таблица4[[#This Row],[Готово, хл]]-Таблица4[[#This Row],[Вывезено, хл]]</f>
        <v>120</v>
      </c>
      <c r="N401" s="711">
        <f>((Таблица4[[#This Row],[Осталось сделать, хлыст]]*Таблица4[[#This Row],[длина]])*Таблица4[[#This Row],[Периметр]])/28</f>
        <v>4.0371428571428574</v>
      </c>
      <c r="O401" s="142"/>
      <c r="P401" s="280">
        <v>6</v>
      </c>
      <c r="Q401" s="525" t="s">
        <v>5085</v>
      </c>
      <c r="R401" s="525">
        <v>720</v>
      </c>
      <c r="S401" s="526">
        <v>120</v>
      </c>
      <c r="T401" s="525">
        <v>0.157</v>
      </c>
      <c r="U401" s="525">
        <v>0.42</v>
      </c>
      <c r="V401" s="525">
        <v>113.04</v>
      </c>
      <c r="W401" s="525">
        <v>302.39999999999998</v>
      </c>
      <c r="X401" s="525">
        <v>14.7</v>
      </c>
      <c r="Y401" s="525">
        <v>109.44</v>
      </c>
      <c r="Z401" s="525">
        <v>697.1</v>
      </c>
      <c r="AA401" s="527">
        <v>78800</v>
      </c>
    </row>
    <row r="402" spans="1:27" ht="17.45" hidden="1" customHeight="1" x14ac:dyDescent="0.25">
      <c r="A402" s="147" t="s">
        <v>4678</v>
      </c>
      <c r="B402" s="521">
        <v>262</v>
      </c>
      <c r="C402" s="521"/>
      <c r="D402" s="142" t="s">
        <v>13</v>
      </c>
      <c r="E402" s="142" t="s">
        <v>5103</v>
      </c>
      <c r="F402" s="143">
        <v>45408</v>
      </c>
      <c r="G402" s="143"/>
      <c r="H402" s="142" t="s">
        <v>23</v>
      </c>
      <c r="I402" s="522"/>
      <c r="J402" s="522"/>
      <c r="K402" s="522">
        <v>73</v>
      </c>
      <c r="L402" s="393"/>
      <c r="M402" s="443">
        <f>Таблица4[[#This Row],[Количество хлыстов]]-Таблица4[[#This Row],[Готово, хл]]-Таблица4[[#This Row],[Вывезено, хл]]</f>
        <v>5</v>
      </c>
      <c r="N402" s="564">
        <f>Таблица4[[#This Row],[Площадь общая, м2]]/28</f>
        <v>5.6260285714285709</v>
      </c>
      <c r="O402" s="142" t="s">
        <v>4761</v>
      </c>
      <c r="P402" s="280">
        <v>6</v>
      </c>
      <c r="Q402" s="525" t="s">
        <v>4748</v>
      </c>
      <c r="R402" s="525">
        <v>468</v>
      </c>
      <c r="S402" s="526">
        <v>78</v>
      </c>
      <c r="T402" s="525">
        <v>0.33660000000000001</v>
      </c>
      <c r="U402" s="525">
        <v>1.2350000000000001</v>
      </c>
      <c r="V402" s="525">
        <v>157.52879999999999</v>
      </c>
      <c r="W402" s="525">
        <v>577.98</v>
      </c>
      <c r="X402" s="525">
        <v>20.48</v>
      </c>
      <c r="Y402" s="525">
        <v>136.32</v>
      </c>
      <c r="Z402" s="525">
        <v>405</v>
      </c>
      <c r="AA402" s="527">
        <v>63799.16</v>
      </c>
    </row>
    <row r="403" spans="1:27" s="421" customFormat="1" ht="17.45" hidden="1" customHeight="1" x14ac:dyDescent="0.25">
      <c r="A403" s="419" t="s">
        <v>4978</v>
      </c>
      <c r="B403" s="617">
        <v>263</v>
      </c>
      <c r="C403" s="617"/>
      <c r="D403" s="618" t="s">
        <v>13</v>
      </c>
      <c r="E403" s="618" t="s">
        <v>4725</v>
      </c>
      <c r="F403" s="619">
        <v>45408</v>
      </c>
      <c r="G403" s="619"/>
      <c r="H403" s="618" t="s">
        <v>23</v>
      </c>
      <c r="I403" s="620"/>
      <c r="J403" s="620"/>
      <c r="K403" s="620"/>
      <c r="L403" s="677">
        <v>72</v>
      </c>
      <c r="M403" s="691">
        <f>Таблица4[[#This Row],[Количество хлыстов]]-Таблица4[[#This Row],[Готово, хл]]-Таблица4[[#This Row],[Вывезено, хл]]</f>
        <v>0</v>
      </c>
      <c r="N403" s="654"/>
      <c r="O403" s="618"/>
      <c r="P403" s="692">
        <v>6</v>
      </c>
      <c r="Q403" s="622" t="s">
        <v>4834</v>
      </c>
      <c r="R403" s="622">
        <v>432</v>
      </c>
      <c r="S403" s="623">
        <v>72</v>
      </c>
      <c r="T403" s="622">
        <v>0.42199999999999999</v>
      </c>
      <c r="U403" s="622">
        <v>1.389</v>
      </c>
      <c r="V403" s="622">
        <v>182.304</v>
      </c>
      <c r="W403" s="622">
        <v>600.048</v>
      </c>
      <c r="X403" s="622">
        <v>23.7</v>
      </c>
      <c r="Y403" s="622">
        <v>99.17</v>
      </c>
      <c r="Z403" s="622">
        <v>235</v>
      </c>
      <c r="AA403" s="624">
        <v>42841.440000000002</v>
      </c>
    </row>
    <row r="404" spans="1:27" ht="17.45" hidden="1" customHeight="1" x14ac:dyDescent="0.25">
      <c r="A404" s="147" t="s">
        <v>4678</v>
      </c>
      <c r="B404" s="521">
        <v>264</v>
      </c>
      <c r="C404" s="521"/>
      <c r="D404" s="142" t="s">
        <v>34</v>
      </c>
      <c r="E404" s="142" t="s">
        <v>328</v>
      </c>
      <c r="F404" s="143">
        <v>45408</v>
      </c>
      <c r="G404" s="143"/>
      <c r="H404" s="142" t="s">
        <v>23</v>
      </c>
      <c r="I404" s="522"/>
      <c r="J404" s="522"/>
      <c r="K404" s="522"/>
      <c r="L404" s="393">
        <f>284+3</f>
        <v>287</v>
      </c>
      <c r="M404" s="443">
        <f>Таблица4[[#This Row],[Количество хлыстов]]-Таблица4[[#This Row],[Готово, хл]]-Таблица4[[#This Row],[Вывезено, хл]]</f>
        <v>0</v>
      </c>
      <c r="N404" s="673">
        <f>((Таблица4[[#This Row],[Осталось сделать, хлыст]]*Таблица4[[#This Row],[длина]])*Таблица4[[#This Row],[Периметр]])/28</f>
        <v>0</v>
      </c>
      <c r="O404" s="142" t="s">
        <v>5157</v>
      </c>
      <c r="P404" s="280">
        <v>6</v>
      </c>
      <c r="Q404" s="525" t="s">
        <v>4813</v>
      </c>
      <c r="R404" s="525">
        <v>1722</v>
      </c>
      <c r="S404" s="526">
        <v>287</v>
      </c>
      <c r="T404" s="525">
        <v>0.30919999999999997</v>
      </c>
      <c r="U404" s="525">
        <v>1.101</v>
      </c>
      <c r="V404" s="525">
        <v>532.44240000000002</v>
      </c>
      <c r="W404" s="525">
        <v>1895.922</v>
      </c>
      <c r="X404" s="525">
        <v>69.22</v>
      </c>
      <c r="Y404" s="525">
        <v>134.5</v>
      </c>
      <c r="Z404" s="525">
        <v>435</v>
      </c>
      <c r="AA404" s="527">
        <v>231612.44</v>
      </c>
    </row>
    <row r="405" spans="1:27" ht="17.45" hidden="1" customHeight="1" x14ac:dyDescent="0.25">
      <c r="A405" s="147" t="s">
        <v>4678</v>
      </c>
      <c r="B405" s="521">
        <v>265</v>
      </c>
      <c r="C405" s="521"/>
      <c r="D405" s="142" t="s">
        <v>34</v>
      </c>
      <c r="E405" s="142" t="s">
        <v>3404</v>
      </c>
      <c r="F405" s="143">
        <v>45408</v>
      </c>
      <c r="G405" s="143"/>
      <c r="H405" s="142" t="s">
        <v>23</v>
      </c>
      <c r="I405" s="522"/>
      <c r="J405" s="522"/>
      <c r="K405" s="522">
        <v>90</v>
      </c>
      <c r="L405" s="393">
        <v>100</v>
      </c>
      <c r="M405" s="443">
        <f>Таблица4[[#This Row],[Количество хлыстов]]-Таблица4[[#This Row],[Готово, хл]]-Таблица4[[#This Row],[Вывезено, хл]]</f>
        <v>0</v>
      </c>
      <c r="N405" s="673">
        <f>((Таблица4[[#This Row],[Осталось сделать, хлыст]]*Таблица4[[#This Row],[длина]])*Таблица4[[#This Row],[Периметр]])/28</f>
        <v>0</v>
      </c>
      <c r="O405" s="142"/>
      <c r="P405" s="280">
        <v>6</v>
      </c>
      <c r="Q405" s="525" t="s">
        <v>5003</v>
      </c>
      <c r="R405" s="525">
        <v>1140</v>
      </c>
      <c r="S405" s="526">
        <v>190</v>
      </c>
      <c r="T405" s="525">
        <v>0.27439999999999998</v>
      </c>
      <c r="U405" s="525">
        <v>0.56100000000000005</v>
      </c>
      <c r="V405" s="525">
        <v>312.81599999999997</v>
      </c>
      <c r="W405" s="525">
        <v>639.54</v>
      </c>
      <c r="X405" s="525">
        <v>40.67</v>
      </c>
      <c r="Y405" s="525">
        <v>101.53</v>
      </c>
      <c r="Z405" s="525">
        <v>370</v>
      </c>
      <c r="AA405" s="527">
        <v>115741.92</v>
      </c>
    </row>
    <row r="406" spans="1:27" ht="60" hidden="1" customHeight="1" x14ac:dyDescent="0.25">
      <c r="A406" s="147" t="s">
        <v>4678</v>
      </c>
      <c r="B406" s="521">
        <v>265</v>
      </c>
      <c r="C406" s="521"/>
      <c r="D406" s="142" t="s">
        <v>34</v>
      </c>
      <c r="E406" s="142" t="s">
        <v>3404</v>
      </c>
      <c r="F406" s="143">
        <v>45408</v>
      </c>
      <c r="G406" s="143"/>
      <c r="H406" s="142" t="s">
        <v>23</v>
      </c>
      <c r="I406" s="522"/>
      <c r="J406" s="522"/>
      <c r="K406" s="522">
        <v>135</v>
      </c>
      <c r="L406" s="393">
        <f>86+1+145</f>
        <v>232</v>
      </c>
      <c r="M406" s="443">
        <f>Таблица4[[#This Row],[Количество хлыстов]]-Таблица4[[#This Row],[Готово, хл]]-Таблица4[[#This Row],[Вывезено, хл]]</f>
        <v>0</v>
      </c>
      <c r="N406" s="673">
        <f>((Таблица4[[#This Row],[Осталось сделать, хлыст]]*Таблица4[[#This Row],[длина]])*Таблица4[[#This Row],[Периметр]])/28</f>
        <v>0</v>
      </c>
      <c r="O406" s="183" t="s">
        <v>5160</v>
      </c>
      <c r="P406" s="280">
        <v>6</v>
      </c>
      <c r="Q406" s="525" t="s">
        <v>5091</v>
      </c>
      <c r="R406" s="525">
        <v>2202</v>
      </c>
      <c r="S406" s="526">
        <v>367</v>
      </c>
      <c r="T406" s="525">
        <v>0.1883</v>
      </c>
      <c r="U406" s="525">
        <v>0.318</v>
      </c>
      <c r="V406" s="525">
        <v>414.63659999999999</v>
      </c>
      <c r="W406" s="525">
        <v>700.23599999999999</v>
      </c>
      <c r="X406" s="525">
        <v>53.9</v>
      </c>
      <c r="Y406" s="525">
        <v>69.67</v>
      </c>
      <c r="Z406" s="525">
        <v>370</v>
      </c>
      <c r="AA406" s="527">
        <v>153415.54</v>
      </c>
    </row>
    <row r="407" spans="1:27" ht="17.45" hidden="1" customHeight="1" x14ac:dyDescent="0.25">
      <c r="A407" s="147" t="s">
        <v>4678</v>
      </c>
      <c r="B407" s="521">
        <v>267</v>
      </c>
      <c r="C407" s="521" t="s">
        <v>4753</v>
      </c>
      <c r="D407" s="142" t="s">
        <v>13</v>
      </c>
      <c r="E407" s="142" t="s">
        <v>5093</v>
      </c>
      <c r="F407" s="143">
        <v>45408</v>
      </c>
      <c r="G407" s="143">
        <v>45453</v>
      </c>
      <c r="H407" s="142" t="s">
        <v>23</v>
      </c>
      <c r="I407" s="522"/>
      <c r="J407" s="522"/>
      <c r="K407" s="522"/>
      <c r="L407" s="522">
        <v>14</v>
      </c>
      <c r="M407" s="443">
        <f>Таблица4[[#This Row],[Количество хлыстов]]-Таблица4[[#This Row],[Готово, хл]]-Таблица4[[#This Row],[Вывезено, хл]]</f>
        <v>0</v>
      </c>
      <c r="N407" s="673">
        <f>((Таблица4[[#This Row],[Осталось сделать, хлыст]]*Таблица4[[#This Row],[длина]])*Таблица4[[#This Row],[Периметр]])/28</f>
        <v>0</v>
      </c>
      <c r="O407" s="142"/>
      <c r="P407" s="280">
        <v>3.75</v>
      </c>
      <c r="Q407" s="525" t="s">
        <v>5092</v>
      </c>
      <c r="R407" s="525">
        <v>52.5</v>
      </c>
      <c r="S407" s="526">
        <v>14</v>
      </c>
      <c r="T407" s="525">
        <v>0.23039999999999999</v>
      </c>
      <c r="U407" s="525">
        <v>0.77900000000000003</v>
      </c>
      <c r="V407" s="525">
        <v>12.096</v>
      </c>
      <c r="W407" s="525">
        <v>40.897500000000001</v>
      </c>
      <c r="X407" s="525">
        <v>1.57</v>
      </c>
      <c r="Y407" s="525">
        <v>459.52</v>
      </c>
      <c r="Z407" s="525">
        <v>1994.46</v>
      </c>
      <c r="AA407" s="527">
        <v>24125</v>
      </c>
    </row>
    <row r="408" spans="1:27" ht="17.45" customHeight="1" x14ac:dyDescent="0.25">
      <c r="A408" s="949" t="s">
        <v>4678</v>
      </c>
      <c r="B408" s="901">
        <v>269</v>
      </c>
      <c r="C408" s="901" t="s">
        <v>4753</v>
      </c>
      <c r="D408" s="524" t="s">
        <v>4858</v>
      </c>
      <c r="E408" s="524" t="s">
        <v>2399</v>
      </c>
      <c r="F408" s="943">
        <v>45409</v>
      </c>
      <c r="G408" s="143"/>
      <c r="H408" s="142" t="s">
        <v>2078</v>
      </c>
      <c r="I408" s="522"/>
      <c r="J408" s="522"/>
      <c r="K408" s="522"/>
      <c r="L408" s="393"/>
      <c r="M408" s="443">
        <v>500</v>
      </c>
      <c r="N408" s="673">
        <f>((Таблица4[[#This Row],[Осталось сделать, хлыст]]*Таблица4[[#This Row],[длина]])*Таблица4[[#This Row],[Периметр]])/28</f>
        <v>1.2125000000000001</v>
      </c>
      <c r="O408" s="142"/>
      <c r="P408" s="280">
        <v>1.3580000000000001</v>
      </c>
      <c r="Q408" s="525" t="s">
        <v>4866</v>
      </c>
      <c r="R408" s="525">
        <v>679</v>
      </c>
      <c r="S408" s="526">
        <v>500</v>
      </c>
      <c r="T408" s="525">
        <v>0.05</v>
      </c>
      <c r="U408" s="525">
        <v>0.11</v>
      </c>
      <c r="V408" s="525">
        <v>33.950000000000003</v>
      </c>
      <c r="W408" s="525">
        <v>74.69</v>
      </c>
      <c r="X408" s="525">
        <v>4.41</v>
      </c>
      <c r="Y408" s="525">
        <v>111</v>
      </c>
      <c r="Z408" s="525">
        <v>2220</v>
      </c>
      <c r="AA408" s="527">
        <v>75369</v>
      </c>
    </row>
    <row r="409" spans="1:27" ht="17.45" hidden="1" customHeight="1" x14ac:dyDescent="0.25">
      <c r="A409" s="147" t="s">
        <v>4678</v>
      </c>
      <c r="B409" s="625">
        <v>272</v>
      </c>
      <c r="C409" s="625"/>
      <c r="D409" s="162" t="s">
        <v>13</v>
      </c>
      <c r="E409" s="162" t="s">
        <v>1433</v>
      </c>
      <c r="F409" s="168"/>
      <c r="G409" s="168">
        <v>45434</v>
      </c>
      <c r="H409" s="142" t="s">
        <v>23</v>
      </c>
      <c r="I409" s="522"/>
      <c r="J409" s="522"/>
      <c r="K409" s="522"/>
      <c r="L409" s="393">
        <v>82</v>
      </c>
      <c r="M409" s="443">
        <f>Таблица4[[#This Row],[Количество хлыстов]]-Таблица4[[#This Row],[Готово, хл]]-Таблица4[[#This Row],[Вывезено, хл]]</f>
        <v>0</v>
      </c>
      <c r="N409" s="673">
        <f>Таблица4[[#This Row],[Площадь общая, м2]]/28</f>
        <v>7.2464571428571434</v>
      </c>
      <c r="O409" s="142"/>
      <c r="P409" s="280">
        <v>6</v>
      </c>
      <c r="Q409" s="525" t="s">
        <v>1472</v>
      </c>
      <c r="R409" s="525">
        <v>492</v>
      </c>
      <c r="S409" s="526">
        <v>82</v>
      </c>
      <c r="T409" s="525">
        <v>0.41239999999999999</v>
      </c>
      <c r="U409" s="525">
        <v>1.1619999999999999</v>
      </c>
      <c r="V409" s="525">
        <v>202.9008</v>
      </c>
      <c r="W409" s="525">
        <v>571.70399999999995</v>
      </c>
      <c r="X409" s="525">
        <v>26.38</v>
      </c>
      <c r="Y409" s="525">
        <v>179.39</v>
      </c>
      <c r="Z409" s="525">
        <v>435</v>
      </c>
      <c r="AA409" s="527">
        <v>88261.85</v>
      </c>
    </row>
    <row r="410" spans="1:27" ht="17.45" hidden="1" customHeight="1" x14ac:dyDescent="0.25">
      <c r="A410" s="147" t="s">
        <v>4678</v>
      </c>
      <c r="B410" s="521">
        <v>273</v>
      </c>
      <c r="C410" s="521"/>
      <c r="D410" s="142" t="s">
        <v>13</v>
      </c>
      <c r="E410" s="142" t="s">
        <v>37</v>
      </c>
      <c r="F410" s="143">
        <v>45415</v>
      </c>
      <c r="G410" s="143">
        <v>45434</v>
      </c>
      <c r="H410" s="142" t="s">
        <v>23</v>
      </c>
      <c r="I410" s="522"/>
      <c r="J410" s="522"/>
      <c r="K410" s="522">
        <v>1718</v>
      </c>
      <c r="L410" s="393">
        <v>1720</v>
      </c>
      <c r="M410" s="443">
        <f>Таблица4[[#This Row],[Количество хлыстов]]-Таблица4[[#This Row],[Готово, хл]]-Таблица4[[#This Row],[Вывезено, хл]]</f>
        <v>0</v>
      </c>
      <c r="N410" s="673">
        <f>Таблица4[[#This Row],[Площадь общая, м2]]/28</f>
        <v>10.719192857142858</v>
      </c>
      <c r="O410" s="142"/>
      <c r="P410" s="280">
        <v>3</v>
      </c>
      <c r="Q410" s="525" t="s">
        <v>3833</v>
      </c>
      <c r="R410" s="525">
        <v>10314</v>
      </c>
      <c r="S410" s="526">
        <v>3438</v>
      </c>
      <c r="T410" s="525">
        <v>2.9100000000000001E-2</v>
      </c>
      <c r="U410" s="525">
        <v>4.8000000000000001E-2</v>
      </c>
      <c r="V410" s="525">
        <v>300.13740000000001</v>
      </c>
      <c r="W410" s="525">
        <v>495.072</v>
      </c>
      <c r="X410" s="525">
        <v>39.020000000000003</v>
      </c>
      <c r="Y410" s="525">
        <v>11.93</v>
      </c>
      <c r="Z410" s="525">
        <v>410</v>
      </c>
      <c r="AA410" s="527">
        <v>123056.33</v>
      </c>
    </row>
    <row r="411" spans="1:27" ht="17.45" hidden="1" customHeight="1" x14ac:dyDescent="0.25">
      <c r="A411" s="147" t="s">
        <v>4678</v>
      </c>
      <c r="B411" s="521">
        <v>274</v>
      </c>
      <c r="C411" s="521"/>
      <c r="D411" s="142" t="s">
        <v>13</v>
      </c>
      <c r="E411" s="142" t="s">
        <v>4986</v>
      </c>
      <c r="F411" s="143">
        <v>45415</v>
      </c>
      <c r="G411" s="143">
        <v>45434</v>
      </c>
      <c r="H411" s="142" t="s">
        <v>23</v>
      </c>
      <c r="I411" s="522"/>
      <c r="J411" s="522"/>
      <c r="K411" s="522">
        <v>80</v>
      </c>
      <c r="L411" s="393"/>
      <c r="M411" s="443">
        <f>Таблица4[[#This Row],[Количество хлыстов]]-Таблица4[[#This Row],[Готово, хл]]-Таблица4[[#This Row],[Вывезено, хл]]</f>
        <v>0</v>
      </c>
      <c r="N411" s="673">
        <f>Таблица4[[#This Row],[Площадь общая, м2]]/28</f>
        <v>3.6191428571428572</v>
      </c>
      <c r="O411" s="142"/>
      <c r="P411" s="280">
        <v>5.3</v>
      </c>
      <c r="Q411" s="525" t="s">
        <v>5097</v>
      </c>
      <c r="R411" s="525">
        <v>424</v>
      </c>
      <c r="S411" s="526">
        <v>80</v>
      </c>
      <c r="T411" s="525">
        <v>0.23899999999999999</v>
      </c>
      <c r="U411" s="525">
        <v>0.65400000000000003</v>
      </c>
      <c r="V411" s="525">
        <v>101.336</v>
      </c>
      <c r="W411" s="525">
        <v>277.29599999999999</v>
      </c>
      <c r="X411" s="525">
        <v>13.17</v>
      </c>
      <c r="Y411" s="525">
        <v>89.63</v>
      </c>
      <c r="Z411" s="525">
        <v>375</v>
      </c>
      <c r="AA411" s="527">
        <v>38001</v>
      </c>
    </row>
    <row r="412" spans="1:27" ht="17.45" hidden="1" customHeight="1" x14ac:dyDescent="0.25">
      <c r="A412" s="147" t="s">
        <v>4678</v>
      </c>
      <c r="B412" s="521">
        <v>274</v>
      </c>
      <c r="C412" s="521"/>
      <c r="D412" s="142" t="s">
        <v>13</v>
      </c>
      <c r="E412" s="142" t="s">
        <v>4986</v>
      </c>
      <c r="F412" s="143">
        <v>45415</v>
      </c>
      <c r="G412" s="143">
        <v>45434</v>
      </c>
      <c r="H412" s="142" t="s">
        <v>23</v>
      </c>
      <c r="I412" s="522"/>
      <c r="J412" s="522"/>
      <c r="K412" s="522">
        <v>76</v>
      </c>
      <c r="L412" s="393"/>
      <c r="M412" s="443">
        <f>Таблица4[[#This Row],[Количество хлыстов]]-Таблица4[[#This Row],[Готово, хл]]-Таблица4[[#This Row],[Вывезено, хл]]</f>
        <v>2</v>
      </c>
      <c r="N412" s="673">
        <f>Таблица4[[#This Row],[Площадь общая, м2]]/28</f>
        <v>4.061292857142857</v>
      </c>
      <c r="O412" s="142"/>
      <c r="P412" s="280">
        <v>6.1</v>
      </c>
      <c r="Q412" s="525" t="s">
        <v>5098</v>
      </c>
      <c r="R412" s="525">
        <v>475.8</v>
      </c>
      <c r="S412" s="526">
        <v>78</v>
      </c>
      <c r="T412" s="525">
        <v>0.23899999999999999</v>
      </c>
      <c r="U412" s="525">
        <v>0.65400000000000003</v>
      </c>
      <c r="V412" s="525">
        <v>113.7162</v>
      </c>
      <c r="W412" s="525">
        <v>311.17320000000001</v>
      </c>
      <c r="X412" s="525">
        <v>14.78</v>
      </c>
      <c r="Y412" s="525">
        <v>89.63</v>
      </c>
      <c r="Z412" s="525">
        <v>375</v>
      </c>
      <c r="AA412" s="527">
        <v>42645.95</v>
      </c>
    </row>
    <row r="413" spans="1:27" ht="17.45" hidden="1" customHeight="1" x14ac:dyDescent="0.25">
      <c r="A413" s="147" t="s">
        <v>4678</v>
      </c>
      <c r="B413" s="521">
        <v>275</v>
      </c>
      <c r="C413" s="521"/>
      <c r="D413" s="142" t="s">
        <v>13</v>
      </c>
      <c r="E413" s="142" t="s">
        <v>657</v>
      </c>
      <c r="F413" s="143">
        <v>45415</v>
      </c>
      <c r="G413" s="143">
        <v>45433</v>
      </c>
      <c r="H413" s="142" t="s">
        <v>23</v>
      </c>
      <c r="I413" s="522"/>
      <c r="J413" s="522"/>
      <c r="K413" s="522"/>
      <c r="L413" s="393">
        <v>45</v>
      </c>
      <c r="M413" s="443">
        <f>Таблица4[[#This Row],[Количество хлыстов]]-Таблица4[[#This Row],[Готово, хл]]-Таблица4[[#This Row],[Вывезено, хл]]</f>
        <v>0</v>
      </c>
      <c r="N413" s="673">
        <f>Таблица4[[#This Row],[Площадь общая, м2]]/28</f>
        <v>1.6070142857142857</v>
      </c>
      <c r="O413" s="142"/>
      <c r="P413" s="280">
        <v>5.8</v>
      </c>
      <c r="Q413" s="525" t="s">
        <v>2963</v>
      </c>
      <c r="R413" s="525">
        <v>261</v>
      </c>
      <c r="S413" s="526">
        <v>45</v>
      </c>
      <c r="T413" s="525">
        <v>0.1724</v>
      </c>
      <c r="U413" s="525">
        <v>0.41499999999999998</v>
      </c>
      <c r="V413" s="525">
        <v>44.996400000000001</v>
      </c>
      <c r="W413" s="525">
        <v>108.315</v>
      </c>
      <c r="X413" s="525">
        <v>5.85</v>
      </c>
      <c r="Y413" s="525">
        <v>74.989999999999995</v>
      </c>
      <c r="Z413" s="525">
        <v>435</v>
      </c>
      <c r="AA413" s="527">
        <v>19572.39</v>
      </c>
    </row>
    <row r="414" spans="1:27" ht="17.45" hidden="1" customHeight="1" x14ac:dyDescent="0.25">
      <c r="A414" s="147" t="s">
        <v>4678</v>
      </c>
      <c r="B414" s="521">
        <v>276</v>
      </c>
      <c r="C414" s="521"/>
      <c r="D414" s="142" t="s">
        <v>13</v>
      </c>
      <c r="E414" s="142" t="s">
        <v>80</v>
      </c>
      <c r="F414" s="143">
        <v>45415</v>
      </c>
      <c r="G414" s="143">
        <v>45447</v>
      </c>
      <c r="H414" s="142" t="s">
        <v>23</v>
      </c>
      <c r="I414" s="522"/>
      <c r="J414" s="522"/>
      <c r="K414" s="522"/>
      <c r="L414" s="393">
        <f>183+46</f>
        <v>229</v>
      </c>
      <c r="M414" s="443">
        <f>Таблица4[[#This Row],[Количество хлыстов]]-Таблица4[[#This Row],[Готово, хл]]-Таблица4[[#This Row],[Вывезено, хл]]</f>
        <v>0</v>
      </c>
      <c r="N414" s="673">
        <f>Таблица4[[#This Row],[Площадь общая, м2]]/28</f>
        <v>15.382625000000001</v>
      </c>
      <c r="O414" s="142"/>
      <c r="P414" s="280">
        <v>3.65</v>
      </c>
      <c r="Q414" s="525" t="s">
        <v>5099</v>
      </c>
      <c r="R414" s="525">
        <v>835.85</v>
      </c>
      <c r="S414" s="526">
        <v>229</v>
      </c>
      <c r="T414" s="525">
        <v>0.51529999999999998</v>
      </c>
      <c r="U414" s="525">
        <v>1.3759999999999999</v>
      </c>
      <c r="V414" s="525">
        <v>430.71350000000001</v>
      </c>
      <c r="W414" s="525">
        <v>1150.1296</v>
      </c>
      <c r="X414" s="525">
        <v>55.99</v>
      </c>
      <c r="Y414" s="525">
        <v>240.65</v>
      </c>
      <c r="Z414" s="525">
        <v>467</v>
      </c>
      <c r="AA414" s="527">
        <v>201147.3</v>
      </c>
    </row>
    <row r="415" spans="1:27" ht="17.45" hidden="1" customHeight="1" x14ac:dyDescent="0.25">
      <c r="A415" s="147" t="s">
        <v>4678</v>
      </c>
      <c r="B415" s="521">
        <v>276</v>
      </c>
      <c r="C415" s="521"/>
      <c r="D415" s="142" t="s">
        <v>13</v>
      </c>
      <c r="E415" s="142" t="s">
        <v>80</v>
      </c>
      <c r="F415" s="143">
        <v>45415</v>
      </c>
      <c r="G415" s="143">
        <v>45447</v>
      </c>
      <c r="H415" s="142" t="s">
        <v>23</v>
      </c>
      <c r="I415" s="522"/>
      <c r="J415" s="522"/>
      <c r="K415" s="522"/>
      <c r="L415" s="393">
        <v>90</v>
      </c>
      <c r="M415" s="443">
        <f>Таблица4[[#This Row],[Количество хлыстов]]-Таблица4[[#This Row],[Готово, хл]]-Таблица4[[#This Row],[Вывезено, хл]]</f>
        <v>0</v>
      </c>
      <c r="N415" s="673">
        <f>Таблица4[[#This Row],[Площадь общая, м2]]/28</f>
        <v>5.3002285714285708</v>
      </c>
      <c r="O415" s="142"/>
      <c r="P415" s="280">
        <v>3.2</v>
      </c>
      <c r="Q415" s="525" t="s">
        <v>5100</v>
      </c>
      <c r="R415" s="525">
        <v>288</v>
      </c>
      <c r="S415" s="526">
        <v>90</v>
      </c>
      <c r="T415" s="525">
        <v>0.51529999999999998</v>
      </c>
      <c r="U415" s="525">
        <v>1.3759999999999999</v>
      </c>
      <c r="V415" s="525">
        <v>148.40639999999999</v>
      </c>
      <c r="W415" s="525">
        <v>396.28800000000001</v>
      </c>
      <c r="X415" s="525">
        <v>19.29</v>
      </c>
      <c r="Y415" s="525">
        <v>203.54</v>
      </c>
      <c r="Z415" s="525">
        <v>395</v>
      </c>
      <c r="AA415" s="527">
        <v>58620.53</v>
      </c>
    </row>
    <row r="416" spans="1:27" ht="17.45" customHeight="1" x14ac:dyDescent="0.25">
      <c r="A416" s="949" t="s">
        <v>4678</v>
      </c>
      <c r="B416" s="954">
        <v>277</v>
      </c>
      <c r="C416" s="954"/>
      <c r="D416" s="575" t="s">
        <v>13</v>
      </c>
      <c r="E416" s="951" t="s">
        <v>3863</v>
      </c>
      <c r="F416" s="955">
        <v>45415</v>
      </c>
      <c r="G416" s="143"/>
      <c r="H416" s="142"/>
      <c r="I416" s="522"/>
      <c r="J416" s="522"/>
      <c r="K416" s="522"/>
      <c r="L416" s="393"/>
      <c r="M416" s="443">
        <f>Таблица4[[#This Row],[Количество хлыстов]]-Таблица4[[#This Row],[Готово, хл]]-Таблица4[[#This Row],[Вывезено, хл]]</f>
        <v>230</v>
      </c>
      <c r="N416" s="673">
        <f>((Таблица4[[#This Row],[Осталось сделать, хлыст]]*Таблица4[[#This Row],[длина]])*Таблица4[[#This Row],[Периметр]])/28</f>
        <v>5.0107142857142852</v>
      </c>
      <c r="O416" s="142"/>
      <c r="P416" s="280">
        <v>5</v>
      </c>
      <c r="Q416" s="525" t="s">
        <v>4404</v>
      </c>
      <c r="R416" s="525">
        <v>1150</v>
      </c>
      <c r="S416" s="526">
        <v>230</v>
      </c>
      <c r="T416" s="525">
        <v>0.122</v>
      </c>
      <c r="U416" s="525">
        <v>0.17899999999999999</v>
      </c>
      <c r="V416" s="525">
        <v>140.30000000000001</v>
      </c>
      <c r="W416" s="525">
        <v>205.85</v>
      </c>
      <c r="X416" s="525">
        <v>18.239999999999998</v>
      </c>
      <c r="Y416" s="525">
        <v>48.8</v>
      </c>
      <c r="Z416" s="525">
        <v>400</v>
      </c>
      <c r="AA416" s="527">
        <v>56120</v>
      </c>
    </row>
    <row r="417" spans="1:27" ht="60.75" customHeight="1" x14ac:dyDescent="0.25">
      <c r="A417" s="949" t="s">
        <v>4678</v>
      </c>
      <c r="B417" s="954">
        <v>277</v>
      </c>
      <c r="C417" s="954"/>
      <c r="D417" s="575" t="s">
        <v>13</v>
      </c>
      <c r="E417" s="951" t="s">
        <v>3863</v>
      </c>
      <c r="F417" s="955">
        <v>45415</v>
      </c>
      <c r="G417" s="143"/>
      <c r="H417" s="142"/>
      <c r="I417" s="522"/>
      <c r="J417" s="522"/>
      <c r="K417" s="522"/>
      <c r="L417" s="393">
        <v>96</v>
      </c>
      <c r="M417" s="443">
        <f>Таблица4[[#This Row],[Количество хлыстов]]-Таблица4[[#This Row],[Готово, хл]]-Таблица4[[#This Row],[Вывезено, хл]]</f>
        <v>133</v>
      </c>
      <c r="N417" s="673">
        <f>((Таблица4[[#This Row],[Осталось сделать, хлыст]]*Таблица4[[#This Row],[длина]])*Таблица4[[#This Row],[Периметр]])/28</f>
        <v>4.1182499999999997</v>
      </c>
      <c r="O417" s="182"/>
      <c r="P417" s="280">
        <v>5</v>
      </c>
      <c r="Q417" s="525" t="s">
        <v>117</v>
      </c>
      <c r="R417" s="525">
        <v>1145</v>
      </c>
      <c r="S417" s="526">
        <v>229</v>
      </c>
      <c r="T417" s="525">
        <v>0.1734</v>
      </c>
      <c r="U417" s="525">
        <v>0.35099999999999998</v>
      </c>
      <c r="V417" s="525">
        <v>198.54300000000001</v>
      </c>
      <c r="W417" s="525">
        <v>401.89499999999998</v>
      </c>
      <c r="X417" s="525">
        <v>25.81</v>
      </c>
      <c r="Y417" s="525">
        <v>75.430000000000007</v>
      </c>
      <c r="Z417" s="525">
        <v>435</v>
      </c>
      <c r="AA417" s="527">
        <v>86366.21</v>
      </c>
    </row>
    <row r="418" spans="1:27" ht="17.45" customHeight="1" x14ac:dyDescent="0.25">
      <c r="A418" s="949" t="s">
        <v>4678</v>
      </c>
      <c r="B418" s="954">
        <v>277</v>
      </c>
      <c r="C418" s="954"/>
      <c r="D418" s="575" t="s">
        <v>13</v>
      </c>
      <c r="E418" s="951" t="s">
        <v>3863</v>
      </c>
      <c r="F418" s="955">
        <v>45415</v>
      </c>
      <c r="G418" s="143"/>
      <c r="H418" s="142"/>
      <c r="I418" s="522"/>
      <c r="J418" s="522"/>
      <c r="K418" s="522"/>
      <c r="L418" s="393">
        <v>80</v>
      </c>
      <c r="M418" s="443">
        <f>Таблица4[[#This Row],[Количество хлыстов]]-Таблица4[[#This Row],[Готово, хл]]-Таблица4[[#This Row],[Вывезено, хл]]</f>
        <v>80</v>
      </c>
      <c r="N418" s="673">
        <f>((Таблица4[[#This Row],[Осталось сделать, хлыст]]*Таблица4[[#This Row],[длина]])*Таблица4[[#This Row],[Периметр]])/28</f>
        <v>1.9728571428571429</v>
      </c>
      <c r="O418" s="142" t="s">
        <v>4937</v>
      </c>
      <c r="P418" s="280">
        <v>5</v>
      </c>
      <c r="Q418" s="525" t="s">
        <v>299</v>
      </c>
      <c r="R418" s="525">
        <v>800</v>
      </c>
      <c r="S418" s="526">
        <v>160</v>
      </c>
      <c r="T418" s="525">
        <v>0.1381</v>
      </c>
      <c r="U418" s="525">
        <v>0.35199999999999998</v>
      </c>
      <c r="V418" s="525">
        <v>110.48</v>
      </c>
      <c r="W418" s="525">
        <v>281.60000000000002</v>
      </c>
      <c r="X418" s="525">
        <v>14.36</v>
      </c>
      <c r="Y418" s="525">
        <v>60.07</v>
      </c>
      <c r="Z418" s="525">
        <v>435</v>
      </c>
      <c r="AA418" s="527">
        <v>48058.8</v>
      </c>
    </row>
    <row r="419" spans="1:27" ht="17.45" hidden="1" customHeight="1" x14ac:dyDescent="0.25">
      <c r="A419" s="147" t="s">
        <v>4678</v>
      </c>
      <c r="B419" s="521">
        <v>278</v>
      </c>
      <c r="C419" s="521"/>
      <c r="D419" s="142" t="s">
        <v>34</v>
      </c>
      <c r="E419" s="142" t="s">
        <v>5082</v>
      </c>
      <c r="F419" s="143">
        <v>45418</v>
      </c>
      <c r="G419" s="143"/>
      <c r="H419" s="142" t="s">
        <v>23</v>
      </c>
      <c r="I419" s="522"/>
      <c r="J419" s="522"/>
      <c r="K419" s="522"/>
      <c r="L419" s="393"/>
      <c r="M419" s="443">
        <f>Таблица4[[#This Row],[Количество хлыстов]]-Таблица4[[#This Row],[Готово, хл]]-Таблица4[[#This Row],[Вывезено, хл]]</f>
        <v>110</v>
      </c>
      <c r="N419" s="673">
        <f>((Таблица4[[#This Row],[Осталось сделать, хлыст]]*Таблица4[[#This Row],[длина]])*Таблица4[[#This Row],[Периметр]])/28</f>
        <v>6.7791428571428574</v>
      </c>
      <c r="O419" s="142"/>
      <c r="P419" s="280">
        <v>6</v>
      </c>
      <c r="Q419" s="525" t="s">
        <v>2202</v>
      </c>
      <c r="R419" s="525">
        <v>660</v>
      </c>
      <c r="S419" s="526">
        <v>110</v>
      </c>
      <c r="T419" s="525">
        <v>0.28760000000000002</v>
      </c>
      <c r="U419" s="525">
        <v>0.76700000000000002</v>
      </c>
      <c r="V419" s="525">
        <v>189.816</v>
      </c>
      <c r="W419" s="525">
        <v>506.22</v>
      </c>
      <c r="X419" s="525">
        <v>24.68</v>
      </c>
      <c r="Y419" s="525">
        <v>125.11</v>
      </c>
      <c r="Z419" s="525">
        <v>435</v>
      </c>
      <c r="AA419" s="527">
        <v>82569.960000000006</v>
      </c>
    </row>
    <row r="420" spans="1:27" ht="73.5" hidden="1" customHeight="1" x14ac:dyDescent="0.25">
      <c r="A420" s="147" t="s">
        <v>4678</v>
      </c>
      <c r="B420" s="521">
        <v>279</v>
      </c>
      <c r="C420" s="521"/>
      <c r="D420" s="142" t="s">
        <v>34</v>
      </c>
      <c r="E420" s="142" t="s">
        <v>328</v>
      </c>
      <c r="F420" s="143">
        <v>45418</v>
      </c>
      <c r="G420" s="143"/>
      <c r="H420" s="142" t="s">
        <v>23</v>
      </c>
      <c r="I420" s="522"/>
      <c r="J420" s="522"/>
      <c r="K420" s="522"/>
      <c r="L420" s="393">
        <f>14+33+193</f>
        <v>240</v>
      </c>
      <c r="M420" s="443">
        <f>Таблица4[[#This Row],[Количество хлыстов]]-Таблица4[[#This Row],[Готово, хл]]-Таблица4[[#This Row],[Вывезено, хл]]</f>
        <v>1</v>
      </c>
      <c r="N420" s="673">
        <f>((Таблица4[[#This Row],[Осталось сделать, хлыст]]*Таблица4[[#This Row],[длина]])*Таблица4[[#This Row],[Периметр]])/28</f>
        <v>6.6257142857142862E-2</v>
      </c>
      <c r="O420" s="899" t="s">
        <v>5310</v>
      </c>
      <c r="P420" s="280">
        <v>6</v>
      </c>
      <c r="Q420" s="525" t="s">
        <v>4813</v>
      </c>
      <c r="R420" s="525">
        <v>1446</v>
      </c>
      <c r="S420" s="526">
        <v>241</v>
      </c>
      <c r="T420" s="525">
        <v>0.30919999999999997</v>
      </c>
      <c r="U420" s="525">
        <v>1.101</v>
      </c>
      <c r="V420" s="525">
        <v>447.10320000000002</v>
      </c>
      <c r="W420" s="525">
        <v>1592.046</v>
      </c>
      <c r="X420" s="525">
        <v>58.12</v>
      </c>
      <c r="Y420" s="525">
        <v>134.5</v>
      </c>
      <c r="Z420" s="525">
        <v>435</v>
      </c>
      <c r="AA420" s="527">
        <v>194489.89</v>
      </c>
    </row>
    <row r="421" spans="1:27" ht="17.45" hidden="1" customHeight="1" x14ac:dyDescent="0.25">
      <c r="A421" s="147" t="s">
        <v>4678</v>
      </c>
      <c r="B421" s="521">
        <v>280</v>
      </c>
      <c r="C421" s="521"/>
      <c r="D421" s="142" t="s">
        <v>34</v>
      </c>
      <c r="E421" s="142" t="s">
        <v>3404</v>
      </c>
      <c r="F421" s="143">
        <v>45418</v>
      </c>
      <c r="G421" s="143"/>
      <c r="H421" s="142" t="s">
        <v>23</v>
      </c>
      <c r="I421" s="522"/>
      <c r="J421" s="522"/>
      <c r="K421" s="522">
        <v>234</v>
      </c>
      <c r="L421" s="393"/>
      <c r="M421" s="443">
        <f>Таблица4[[#This Row],[Количество хлыстов]]-Таблица4[[#This Row],[Готово, хл]]-Таблица4[[#This Row],[Вывезено, хл]]</f>
        <v>0</v>
      </c>
      <c r="N421" s="673">
        <f>((Таблица4[[#This Row],[Осталось сделать, хлыст]]*Таблица4[[#This Row],[длина]])*Таблица4[[#This Row],[Периметр]])/28</f>
        <v>0</v>
      </c>
      <c r="O421" s="142"/>
      <c r="P421" s="280">
        <v>6</v>
      </c>
      <c r="Q421" s="525" t="s">
        <v>4998</v>
      </c>
      <c r="R421" s="525">
        <v>1404</v>
      </c>
      <c r="S421" s="526">
        <v>234</v>
      </c>
      <c r="T421" s="525">
        <v>0.3075</v>
      </c>
      <c r="U421" s="525">
        <v>0.85</v>
      </c>
      <c r="V421" s="525">
        <v>431.73</v>
      </c>
      <c r="W421" s="525">
        <v>1193.4000000000001</v>
      </c>
      <c r="X421" s="525">
        <v>56.12</v>
      </c>
      <c r="Y421" s="525">
        <v>113.78</v>
      </c>
      <c r="Z421" s="525">
        <v>370</v>
      </c>
      <c r="AA421" s="527">
        <v>159740.1</v>
      </c>
    </row>
    <row r="422" spans="1:27" ht="17.45" hidden="1" customHeight="1" x14ac:dyDescent="0.25">
      <c r="A422" s="147" t="s">
        <v>4678</v>
      </c>
      <c r="B422" s="521" t="s">
        <v>5102</v>
      </c>
      <c r="C422" s="521"/>
      <c r="D422" s="142" t="s">
        <v>34</v>
      </c>
      <c r="E422" s="142" t="s">
        <v>16</v>
      </c>
      <c r="F422" s="143">
        <v>45418</v>
      </c>
      <c r="G422" s="143"/>
      <c r="H422" s="142" t="s">
        <v>23</v>
      </c>
      <c r="I422" s="522"/>
      <c r="J422" s="522"/>
      <c r="K422" s="522">
        <f>35+33+35</f>
        <v>103</v>
      </c>
      <c r="L422" s="393"/>
      <c r="M422" s="443">
        <f>Таблица4[[#This Row],[Количество хлыстов]]-Таблица4[[#This Row],[Готово, хл]]-Таблица4[[#This Row],[Вывезено, хл]]</f>
        <v>0</v>
      </c>
      <c r="N422" s="673">
        <f>Таблица4[[#This Row],[Площадь общая, м2]]/28</f>
        <v>6.6148071428571429</v>
      </c>
      <c r="O422" s="142"/>
      <c r="P422" s="280">
        <v>6</v>
      </c>
      <c r="Q422" s="525" t="s">
        <v>2423</v>
      </c>
      <c r="R422" s="525">
        <v>618</v>
      </c>
      <c r="S422" s="526">
        <v>103</v>
      </c>
      <c r="T422" s="525">
        <v>0.29970000000000002</v>
      </c>
      <c r="U422" s="525">
        <v>1.6739999999999999</v>
      </c>
      <c r="V422" s="525">
        <v>185.21459999999999</v>
      </c>
      <c r="W422" s="525">
        <v>1034.5319999999999</v>
      </c>
      <c r="X422" s="525">
        <v>24.08</v>
      </c>
      <c r="Y422" s="525">
        <v>130.37</v>
      </c>
      <c r="Z422" s="525">
        <v>435</v>
      </c>
      <c r="AA422" s="527">
        <v>80568.350000000006</v>
      </c>
    </row>
    <row r="423" spans="1:27" ht="17.45" hidden="1" customHeight="1" x14ac:dyDescent="0.25">
      <c r="A423" s="147" t="s">
        <v>4678</v>
      </c>
      <c r="B423" s="901">
        <v>281</v>
      </c>
      <c r="C423" s="521"/>
      <c r="D423" s="142" t="s">
        <v>34</v>
      </c>
      <c r="E423" s="142" t="s">
        <v>328</v>
      </c>
      <c r="F423" s="143">
        <v>45419</v>
      </c>
      <c r="G423" s="143"/>
      <c r="H423" s="142" t="s">
        <v>23</v>
      </c>
      <c r="I423" s="522"/>
      <c r="J423" s="522"/>
      <c r="K423" s="522"/>
      <c r="L423" s="393">
        <v>9</v>
      </c>
      <c r="M423" s="443">
        <f>Таблица4[[#This Row],[Количество хлыстов]]-Таблица4[[#This Row],[Готово, хл]]-Таблица4[[#This Row],[Вывезено, хл]]</f>
        <v>0</v>
      </c>
      <c r="N423" s="673">
        <f>Таблица4[[#This Row],[Площадь общая, м2]]/28</f>
        <v>0.59631428571428569</v>
      </c>
      <c r="O423" s="142" t="s">
        <v>5104</v>
      </c>
      <c r="P423" s="280">
        <v>6</v>
      </c>
      <c r="Q423" s="525" t="s">
        <v>4813</v>
      </c>
      <c r="R423" s="525">
        <v>54</v>
      </c>
      <c r="S423" s="526">
        <v>9</v>
      </c>
      <c r="T423" s="525">
        <v>0.30919999999999997</v>
      </c>
      <c r="U423" s="525">
        <v>1.101</v>
      </c>
      <c r="V423" s="525">
        <v>16.6968</v>
      </c>
      <c r="W423" s="525">
        <v>59.454000000000001</v>
      </c>
      <c r="X423" s="525">
        <v>2.17</v>
      </c>
      <c r="Y423" s="525">
        <v>176.24</v>
      </c>
      <c r="Z423" s="525">
        <v>570</v>
      </c>
      <c r="AA423" s="527">
        <v>9516.9599999999991</v>
      </c>
    </row>
    <row r="424" spans="1:27" ht="17.45" hidden="1" customHeight="1" x14ac:dyDescent="0.25">
      <c r="A424" s="147" t="s">
        <v>4678</v>
      </c>
      <c r="B424" s="625">
        <v>283</v>
      </c>
      <c r="C424" s="625" t="s">
        <v>4753</v>
      </c>
      <c r="D424" s="162" t="s">
        <v>13</v>
      </c>
      <c r="E424" s="162" t="s">
        <v>43</v>
      </c>
      <c r="F424" s="168">
        <v>45425</v>
      </c>
      <c r="G424" s="168">
        <v>45447</v>
      </c>
      <c r="H424" s="142" t="s">
        <v>23</v>
      </c>
      <c r="I424" s="522"/>
      <c r="J424" s="522"/>
      <c r="K424" s="522"/>
      <c r="L424" s="393"/>
      <c r="M424" s="443">
        <f>Таблица4[[#This Row],[Количество хлыстов]]-Таблица4[[#This Row],[Готово, хл]]-Таблица4[[#This Row],[Вывезено, хл]]</f>
        <v>3</v>
      </c>
      <c r="N424" s="673">
        <v>1</v>
      </c>
      <c r="O424" s="142"/>
      <c r="P424" s="280">
        <v>6</v>
      </c>
      <c r="Q424" s="525" t="s">
        <v>5107</v>
      </c>
      <c r="R424" s="525">
        <v>18</v>
      </c>
      <c r="S424" s="526">
        <v>3</v>
      </c>
      <c r="T424" s="525">
        <v>0.23799999999999999</v>
      </c>
      <c r="U424" s="525">
        <v>0.86599999999999999</v>
      </c>
      <c r="V424" s="525">
        <v>4.2839999999999998</v>
      </c>
      <c r="W424" s="525">
        <v>15.587999999999999</v>
      </c>
      <c r="X424" s="525">
        <v>0.56000000000000005</v>
      </c>
      <c r="Y424" s="525">
        <v>791</v>
      </c>
      <c r="Z424" s="525">
        <v>3323.53</v>
      </c>
      <c r="AA424" s="527">
        <v>14238</v>
      </c>
    </row>
    <row r="425" spans="1:27" ht="17.45" hidden="1" customHeight="1" x14ac:dyDescent="0.25">
      <c r="A425" s="147" t="s">
        <v>4678</v>
      </c>
      <c r="B425" s="625">
        <v>283</v>
      </c>
      <c r="C425" s="625" t="s">
        <v>4753</v>
      </c>
      <c r="D425" s="162" t="s">
        <v>13</v>
      </c>
      <c r="E425" s="162" t="s">
        <v>43</v>
      </c>
      <c r="F425" s="168">
        <v>45425</v>
      </c>
      <c r="G425" s="168">
        <v>45447</v>
      </c>
      <c r="H425" s="142" t="s">
        <v>23</v>
      </c>
      <c r="I425" s="522"/>
      <c r="J425" s="522"/>
      <c r="K425" s="522"/>
      <c r="L425" s="393"/>
      <c r="M425" s="443">
        <f>Таблица4[[#This Row],[Количество хлыстов]]-Таблица4[[#This Row],[Готово, хл]]-Таблица4[[#This Row],[Вывезено, хл]]</f>
        <v>1</v>
      </c>
      <c r="N425" s="673">
        <f>Таблица4[[#This Row],[Площадь общая, м2]]/28</f>
        <v>5.0785714285714281E-2</v>
      </c>
      <c r="O425" s="142"/>
      <c r="P425" s="280">
        <v>6</v>
      </c>
      <c r="Q425" s="525" t="s">
        <v>5108</v>
      </c>
      <c r="R425" s="525">
        <v>6</v>
      </c>
      <c r="S425" s="526">
        <v>1</v>
      </c>
      <c r="T425" s="525">
        <v>0.23699999999999999</v>
      </c>
      <c r="U425" s="525">
        <v>0.67500000000000004</v>
      </c>
      <c r="V425" s="525">
        <v>1.4219999999999999</v>
      </c>
      <c r="W425" s="525">
        <v>4.05</v>
      </c>
      <c r="X425" s="525">
        <v>0.18</v>
      </c>
      <c r="Y425" s="525">
        <v>950</v>
      </c>
      <c r="Z425" s="525">
        <v>4008.44</v>
      </c>
      <c r="AA425" s="527">
        <v>5700</v>
      </c>
    </row>
    <row r="426" spans="1:27" ht="17.45" hidden="1" customHeight="1" x14ac:dyDescent="0.25">
      <c r="A426" s="147" t="s">
        <v>4678</v>
      </c>
      <c r="B426" s="625">
        <v>283</v>
      </c>
      <c r="C426" s="625" t="s">
        <v>4753</v>
      </c>
      <c r="D426" s="162" t="s">
        <v>13</v>
      </c>
      <c r="E426" s="162" t="s">
        <v>43</v>
      </c>
      <c r="F426" s="168">
        <v>45425</v>
      </c>
      <c r="G426" s="168">
        <v>45447</v>
      </c>
      <c r="H426" s="142" t="s">
        <v>23</v>
      </c>
      <c r="I426" s="522"/>
      <c r="J426" s="522"/>
      <c r="K426" s="522"/>
      <c r="L426" s="393"/>
      <c r="M426" s="443">
        <f>Таблица4[[#This Row],[Количество хлыстов]]-Таблица4[[#This Row],[Готово, хл]]-Таблица4[[#This Row],[Вывезено, хл]]</f>
        <v>1</v>
      </c>
      <c r="N426" s="564">
        <f>Таблица4[[#This Row],[Площадь общая, м2]]/28</f>
        <v>5.6785714285714287E-2</v>
      </c>
      <c r="O426" s="142"/>
      <c r="P426" s="280">
        <v>6</v>
      </c>
      <c r="Q426" s="525" t="s">
        <v>5146</v>
      </c>
      <c r="R426" s="525">
        <v>6</v>
      </c>
      <c r="S426" s="526">
        <v>1</v>
      </c>
      <c r="T426" s="525">
        <v>0.26500000000000001</v>
      </c>
      <c r="U426" s="525">
        <v>0.91300000000000003</v>
      </c>
      <c r="V426" s="525">
        <v>1.59</v>
      </c>
      <c r="W426" s="525">
        <v>5.4779999999999998</v>
      </c>
      <c r="X426" s="525">
        <v>0.21</v>
      </c>
      <c r="Y426" s="525">
        <v>483.33</v>
      </c>
      <c r="Z426" s="525">
        <v>1823.9</v>
      </c>
      <c r="AA426" s="527">
        <v>2900</v>
      </c>
    </row>
    <row r="427" spans="1:27" s="421" customFormat="1" ht="17.45" hidden="1" customHeight="1" x14ac:dyDescent="0.25">
      <c r="A427" s="419" t="s">
        <v>4978</v>
      </c>
      <c r="B427" s="617">
        <v>285</v>
      </c>
      <c r="C427" s="617"/>
      <c r="D427" s="618" t="s">
        <v>13</v>
      </c>
      <c r="E427" s="618" t="s">
        <v>4725</v>
      </c>
      <c r="F427" s="619">
        <v>45426</v>
      </c>
      <c r="G427" s="619"/>
      <c r="H427" s="618" t="s">
        <v>23</v>
      </c>
      <c r="I427" s="620"/>
      <c r="J427" s="620"/>
      <c r="K427" s="620"/>
      <c r="L427" s="677">
        <v>151</v>
      </c>
      <c r="M427" s="691">
        <f>Таблица4[[#This Row],[Количество хлыстов]]-Таблица4[[#This Row],[Готово, хл]]-Таблица4[[#This Row],[Вывезено, хл]]</f>
        <v>1</v>
      </c>
      <c r="N427" s="713"/>
      <c r="O427" s="618" t="s">
        <v>4937</v>
      </c>
      <c r="P427" s="692">
        <v>6</v>
      </c>
      <c r="Q427" s="622" t="s">
        <v>4834</v>
      </c>
      <c r="R427" s="622">
        <v>912</v>
      </c>
      <c r="S427" s="623">
        <v>152</v>
      </c>
      <c r="T427" s="622">
        <v>0.42199999999999999</v>
      </c>
      <c r="U427" s="622">
        <v>1.389</v>
      </c>
      <c r="V427" s="622">
        <v>384.86399999999998</v>
      </c>
      <c r="W427" s="622">
        <v>1266.768</v>
      </c>
      <c r="X427" s="622">
        <v>50.03</v>
      </c>
      <c r="Y427" s="622">
        <v>99.17</v>
      </c>
      <c r="Z427" s="622">
        <v>235</v>
      </c>
      <c r="AA427" s="624">
        <v>90443.04</v>
      </c>
    </row>
    <row r="428" spans="1:27" ht="17.45" hidden="1" customHeight="1" x14ac:dyDescent="0.25">
      <c r="A428" s="147" t="s">
        <v>4678</v>
      </c>
      <c r="B428" s="521">
        <v>286</v>
      </c>
      <c r="C428" s="521"/>
      <c r="D428" s="142" t="s">
        <v>34</v>
      </c>
      <c r="E428" s="142" t="s">
        <v>3404</v>
      </c>
      <c r="F428" s="143">
        <v>45427</v>
      </c>
      <c r="G428" s="143"/>
      <c r="H428" s="142" t="s">
        <v>23</v>
      </c>
      <c r="I428" s="522"/>
      <c r="J428" s="522"/>
      <c r="K428" s="522"/>
      <c r="L428" s="393"/>
      <c r="M428" s="443">
        <f>Таблица4[[#This Row],[Количество хлыстов]]-Таблица4[[#This Row],[Готово, хл]]-Таблица4[[#This Row],[Вывезено, хл]]</f>
        <v>506</v>
      </c>
      <c r="N428" s="673">
        <f>Таблица4[[#This Row],[Площадь общая, м2]]/28</f>
        <v>23.810914285714286</v>
      </c>
      <c r="O428" s="142"/>
      <c r="P428" s="280">
        <v>6</v>
      </c>
      <c r="Q428" s="525" t="s">
        <v>4994</v>
      </c>
      <c r="R428" s="525">
        <v>3036</v>
      </c>
      <c r="S428" s="526">
        <v>506</v>
      </c>
      <c r="T428" s="525">
        <v>0.21959999999999999</v>
      </c>
      <c r="U428" s="525">
        <v>0.35</v>
      </c>
      <c r="V428" s="525">
        <v>666.7056</v>
      </c>
      <c r="W428" s="525">
        <v>1062.5999999999999</v>
      </c>
      <c r="X428" s="525">
        <v>86.67</v>
      </c>
      <c r="Y428" s="525">
        <v>81.25</v>
      </c>
      <c r="Z428" s="525">
        <v>370</v>
      </c>
      <c r="AA428" s="527">
        <v>246681.07</v>
      </c>
    </row>
    <row r="429" spans="1:27" ht="17.45" hidden="1" customHeight="1" x14ac:dyDescent="0.25">
      <c r="A429" s="147" t="s">
        <v>4678</v>
      </c>
      <c r="B429" s="521">
        <v>286</v>
      </c>
      <c r="C429" s="521"/>
      <c r="D429" s="142" t="s">
        <v>34</v>
      </c>
      <c r="E429" s="142" t="s">
        <v>3404</v>
      </c>
      <c r="F429" s="143">
        <v>45427</v>
      </c>
      <c r="G429" s="143"/>
      <c r="H429" s="142" t="s">
        <v>23</v>
      </c>
      <c r="I429" s="522"/>
      <c r="J429" s="522"/>
      <c r="K429" s="522">
        <f>108+90</f>
        <v>198</v>
      </c>
      <c r="L429" s="393"/>
      <c r="M429" s="443">
        <f>Таблица4[[#This Row],[Количество хлыстов]]-Таблица4[[#This Row],[Готово, хл]]-Таблица4[[#This Row],[Вывезено, хл]]</f>
        <v>86</v>
      </c>
      <c r="N429" s="673">
        <f>((Таблица4[[#This Row],[Осталось сделать, хлыст]]*Таблица4[[#This Row],[длина]])*Таблица4[[#This Row],[Периметр]])/28</f>
        <v>5.0568</v>
      </c>
      <c r="O429" s="142" t="s">
        <v>1707</v>
      </c>
      <c r="P429" s="280">
        <v>6</v>
      </c>
      <c r="Q429" s="525" t="s">
        <v>5003</v>
      </c>
      <c r="R429" s="525">
        <v>1704</v>
      </c>
      <c r="S429" s="526">
        <v>284</v>
      </c>
      <c r="T429" s="525">
        <v>0.27439999999999998</v>
      </c>
      <c r="U429" s="525">
        <v>0.56100000000000005</v>
      </c>
      <c r="V429" s="525">
        <v>467.57760000000002</v>
      </c>
      <c r="W429" s="525">
        <v>955.94399999999996</v>
      </c>
      <c r="X429" s="525">
        <v>60.79</v>
      </c>
      <c r="Y429" s="525">
        <v>101.53</v>
      </c>
      <c r="Z429" s="525">
        <v>370</v>
      </c>
      <c r="AA429" s="527">
        <v>173003.71</v>
      </c>
    </row>
    <row r="430" spans="1:27" s="421" customFormat="1" ht="17.45" hidden="1" customHeight="1" x14ac:dyDescent="0.25">
      <c r="A430" s="419" t="s">
        <v>4979</v>
      </c>
      <c r="B430" s="617">
        <v>287</v>
      </c>
      <c r="C430" s="617"/>
      <c r="D430" s="618" t="s">
        <v>13</v>
      </c>
      <c r="E430" s="618" t="s">
        <v>892</v>
      </c>
      <c r="F430" s="619">
        <v>45426</v>
      </c>
      <c r="G430" s="619"/>
      <c r="H430" s="142" t="s">
        <v>23</v>
      </c>
      <c r="I430" s="620"/>
      <c r="J430" s="620"/>
      <c r="K430" s="620"/>
      <c r="L430" s="677">
        <v>330</v>
      </c>
      <c r="M430" s="691">
        <f>Таблица4[[#This Row],[Количество хлыстов]]-Таблица4[[#This Row],[Готово, хл]]-Таблица4[[#This Row],[Вывезено, хл]]</f>
        <v>0</v>
      </c>
      <c r="N430" s="713"/>
      <c r="O430" s="618"/>
      <c r="P430" s="692">
        <v>4.8499999999999996</v>
      </c>
      <c r="Q430" s="622" t="s">
        <v>4774</v>
      </c>
      <c r="R430" s="622">
        <v>1600.5</v>
      </c>
      <c r="S430" s="623">
        <v>330</v>
      </c>
      <c r="T430" s="622">
        <v>9.5600000000000004E-2</v>
      </c>
      <c r="U430" s="622">
        <v>0.16</v>
      </c>
      <c r="V430" s="622">
        <v>153.0078</v>
      </c>
      <c r="W430" s="622">
        <v>256.08</v>
      </c>
      <c r="X430" s="622">
        <v>19.89</v>
      </c>
      <c r="Y430" s="622">
        <v>13.19</v>
      </c>
      <c r="Z430" s="622">
        <v>138</v>
      </c>
      <c r="AA430" s="624">
        <v>21110.6</v>
      </c>
    </row>
    <row r="431" spans="1:27" ht="17.45" hidden="1" customHeight="1" x14ac:dyDescent="0.25">
      <c r="A431" s="147" t="s">
        <v>4678</v>
      </c>
      <c r="B431" s="625">
        <v>288</v>
      </c>
      <c r="C431" s="625"/>
      <c r="D431" s="162" t="s">
        <v>13</v>
      </c>
      <c r="E431" s="162" t="s">
        <v>80</v>
      </c>
      <c r="F431" s="168">
        <v>45426</v>
      </c>
      <c r="G431" s="168">
        <v>45488</v>
      </c>
      <c r="H431" s="142" t="s">
        <v>23</v>
      </c>
      <c r="I431" s="522"/>
      <c r="J431" s="522"/>
      <c r="K431" s="522"/>
      <c r="L431" s="522">
        <f>90+45+45+45+45+45+40+45+45+45+40+45</f>
        <v>575</v>
      </c>
      <c r="M431" s="443">
        <f>Таблица4[[#This Row],[Количество хлыстов]]-Таблица4[[#This Row],[Готово, хл]]-Таблица4[[#This Row],[Вывезено, хл]]</f>
        <v>9</v>
      </c>
      <c r="N431" s="673">
        <f>((Таблица4[[#This Row],[Осталось сделать, хлыст]]*Таблица4[[#This Row],[длина]])*Таблица4[[#This Row],[Периметр]])/28</f>
        <v>0.60455732142857144</v>
      </c>
      <c r="O431" s="142" t="s">
        <v>5211</v>
      </c>
      <c r="P431" s="280">
        <v>3.65</v>
      </c>
      <c r="Q431" s="525" t="s">
        <v>5099</v>
      </c>
      <c r="R431" s="525">
        <v>2131.6</v>
      </c>
      <c r="S431" s="526">
        <v>584</v>
      </c>
      <c r="T431" s="525">
        <v>0.51529999999999998</v>
      </c>
      <c r="U431" s="525">
        <v>1.3759999999999999</v>
      </c>
      <c r="V431" s="525">
        <v>1098.4135000000001</v>
      </c>
      <c r="W431" s="525">
        <v>2933.0816</v>
      </c>
      <c r="X431" s="525">
        <v>142.79</v>
      </c>
      <c r="Y431" s="525">
        <v>240.65</v>
      </c>
      <c r="Z431" s="525">
        <v>467</v>
      </c>
      <c r="AA431" s="527">
        <v>512959.1</v>
      </c>
    </row>
    <row r="432" spans="1:27" ht="17.45" hidden="1" customHeight="1" x14ac:dyDescent="0.25">
      <c r="A432" s="147" t="s">
        <v>4678</v>
      </c>
      <c r="B432" s="521">
        <v>289</v>
      </c>
      <c r="C432" s="521"/>
      <c r="D432" s="142" t="s">
        <v>13</v>
      </c>
      <c r="E432" s="142" t="s">
        <v>657</v>
      </c>
      <c r="F432" s="143">
        <v>45426</v>
      </c>
      <c r="G432" s="143"/>
      <c r="H432" s="142" t="s">
        <v>23</v>
      </c>
      <c r="I432" s="522"/>
      <c r="J432" s="522"/>
      <c r="K432" s="522"/>
      <c r="L432" s="393">
        <v>336</v>
      </c>
      <c r="M432" s="443">
        <f>Таблица4[[#This Row],[Количество хлыстов]]-Таблица4[[#This Row],[Готово, хл]]-Таблица4[[#This Row],[Вывезено, хл]]</f>
        <v>0</v>
      </c>
      <c r="N432" s="673">
        <f>Таблица4[[#This Row],[Площадь общая, м2]]/28</f>
        <v>11.999039285714286</v>
      </c>
      <c r="O432" s="142"/>
      <c r="P432" s="280">
        <v>5.8</v>
      </c>
      <c r="Q432" s="525" t="s">
        <v>2963</v>
      </c>
      <c r="R432" s="525">
        <v>1948.8</v>
      </c>
      <c r="S432" s="526">
        <v>336</v>
      </c>
      <c r="T432" s="525">
        <v>0.1724</v>
      </c>
      <c r="U432" s="525">
        <v>0.41499999999999998</v>
      </c>
      <c r="V432" s="525">
        <v>335.97309999999999</v>
      </c>
      <c r="W432" s="525">
        <v>808.75199999999995</v>
      </c>
      <c r="X432" s="525">
        <v>43.68</v>
      </c>
      <c r="Y432" s="525">
        <v>74.989999999999995</v>
      </c>
      <c r="Z432" s="525">
        <v>435</v>
      </c>
      <c r="AA432" s="527">
        <v>146148.31</v>
      </c>
    </row>
    <row r="433" spans="1:27" ht="17.45" hidden="1" customHeight="1" x14ac:dyDescent="0.25">
      <c r="A433" s="147" t="s">
        <v>4678</v>
      </c>
      <c r="B433" s="521">
        <v>291</v>
      </c>
      <c r="C433" s="521" t="s">
        <v>4753</v>
      </c>
      <c r="D433" s="142" t="s">
        <v>13</v>
      </c>
      <c r="E433" s="142" t="s">
        <v>37</v>
      </c>
      <c r="F433" s="143">
        <v>45427</v>
      </c>
      <c r="G433" s="143">
        <v>45460</v>
      </c>
      <c r="H433" s="142" t="s">
        <v>23</v>
      </c>
      <c r="I433" s="522"/>
      <c r="J433" s="522"/>
      <c r="K433" s="522"/>
      <c r="L433" s="393">
        <v>36</v>
      </c>
      <c r="M433" s="443">
        <f>Таблица4[[#This Row],[Количество хлыстов]]-Таблица4[[#This Row],[Готово, хл]]-Таблица4[[#This Row],[Вывезено, хл]]</f>
        <v>0</v>
      </c>
      <c r="N433" s="673">
        <v>1</v>
      </c>
      <c r="O433" s="142"/>
      <c r="P433" s="280"/>
      <c r="Q433" s="525" t="s">
        <v>5109</v>
      </c>
      <c r="R433" s="525"/>
      <c r="S433" s="526">
        <v>36</v>
      </c>
      <c r="T433" s="525">
        <v>0.16700000000000001</v>
      </c>
      <c r="U433" s="525">
        <v>0.40600000000000003</v>
      </c>
      <c r="V433" s="525">
        <v>6.0119999999999996</v>
      </c>
      <c r="W433" s="525">
        <v>14.616</v>
      </c>
      <c r="X433" s="525">
        <v>0.78</v>
      </c>
      <c r="Y433" s="525">
        <v>2067.5</v>
      </c>
      <c r="Z433" s="525">
        <v>12380.24</v>
      </c>
      <c r="AA433" s="527">
        <v>74430</v>
      </c>
    </row>
    <row r="434" spans="1:27" ht="17.45" hidden="1" customHeight="1" x14ac:dyDescent="0.25">
      <c r="A434" s="147" t="s">
        <v>4678</v>
      </c>
      <c r="B434" s="521">
        <v>292</v>
      </c>
      <c r="C434" s="521" t="s">
        <v>4753</v>
      </c>
      <c r="D434" s="142" t="s">
        <v>34</v>
      </c>
      <c r="E434" s="142" t="s">
        <v>5169</v>
      </c>
      <c r="F434" s="143">
        <v>45427</v>
      </c>
      <c r="G434" s="143"/>
      <c r="H434" s="142" t="s">
        <v>23</v>
      </c>
      <c r="I434" s="522"/>
      <c r="J434" s="522"/>
      <c r="K434" s="522"/>
      <c r="L434" s="393"/>
      <c r="M434" s="443">
        <f>Таблица4[[#This Row],[Количество хлыстов]]-Таблица4[[#This Row],[Готово, хл]]-Таблица4[[#This Row],[Вывезено, хл]]</f>
        <v>8</v>
      </c>
      <c r="N434" s="673">
        <f>Таблица4[[#This Row],[Площадь общая, м2]]/28</f>
        <v>0.43080000000000002</v>
      </c>
      <c r="O434" s="142"/>
      <c r="P434" s="280">
        <v>6</v>
      </c>
      <c r="Q434" s="525" t="s">
        <v>5110</v>
      </c>
      <c r="R434" s="525" t="s">
        <v>5111</v>
      </c>
      <c r="S434" s="526">
        <v>8</v>
      </c>
      <c r="T434" s="525">
        <v>0.25130000000000002</v>
      </c>
      <c r="U434" s="525">
        <v>1.9670000000000001</v>
      </c>
      <c r="V434" s="525">
        <v>12.0624</v>
      </c>
      <c r="W434" s="525">
        <v>94.415999999999997</v>
      </c>
      <c r="X434" s="525">
        <v>1.57</v>
      </c>
      <c r="Y434" s="525">
        <v>414.79</v>
      </c>
      <c r="Z434" s="525">
        <v>1650.58</v>
      </c>
      <c r="AA434" s="527">
        <v>19910</v>
      </c>
    </row>
    <row r="435" spans="1:27" ht="17.45" hidden="1" customHeight="1" x14ac:dyDescent="0.25">
      <c r="A435" s="147" t="s">
        <v>4678</v>
      </c>
      <c r="B435" s="521">
        <v>292</v>
      </c>
      <c r="C435" s="521" t="s">
        <v>4753</v>
      </c>
      <c r="D435" s="142" t="s">
        <v>34</v>
      </c>
      <c r="E435" s="142" t="s">
        <v>5169</v>
      </c>
      <c r="F435" s="143">
        <v>45427</v>
      </c>
      <c r="G435" s="143"/>
      <c r="H435" s="142" t="s">
        <v>23</v>
      </c>
      <c r="I435" s="522"/>
      <c r="J435" s="522"/>
      <c r="K435" s="522"/>
      <c r="L435" s="393"/>
      <c r="M435" s="443">
        <f>Таблица4[[#This Row],[Количество хлыстов]]-Таблица4[[#This Row],[Готово, хл]]-Таблица4[[#This Row],[Вывезено, хл]]</f>
        <v>10</v>
      </c>
      <c r="N435" s="673">
        <f>Таблица4[[#This Row],[Площадь общая, м2]]/28</f>
        <v>1.9357142857142857E-2</v>
      </c>
      <c r="O435" s="142"/>
      <c r="P435" s="280">
        <v>6</v>
      </c>
      <c r="Q435" s="525" t="s">
        <v>5112</v>
      </c>
      <c r="R435" s="525" t="s">
        <v>5113</v>
      </c>
      <c r="S435" s="526">
        <v>10</v>
      </c>
      <c r="T435" s="525">
        <v>5.4199999999999998E-2</v>
      </c>
      <c r="U435" s="525" t="s">
        <v>17</v>
      </c>
      <c r="V435" s="525">
        <v>0.54200000000000004</v>
      </c>
      <c r="W435" s="525" t="s">
        <v>17</v>
      </c>
      <c r="X435" s="525">
        <v>7.0000000000000007E-2</v>
      </c>
      <c r="Y435" s="525">
        <v>1000</v>
      </c>
      <c r="Z435" s="525">
        <v>18450.18</v>
      </c>
      <c r="AA435" s="527">
        <v>10000</v>
      </c>
    </row>
    <row r="436" spans="1:27" ht="17.45" hidden="1" customHeight="1" x14ac:dyDescent="0.25">
      <c r="A436" s="147" t="s">
        <v>4678</v>
      </c>
      <c r="B436" s="521">
        <v>292</v>
      </c>
      <c r="C436" s="521" t="s">
        <v>4753</v>
      </c>
      <c r="D436" s="142" t="s">
        <v>34</v>
      </c>
      <c r="E436" s="142" t="s">
        <v>5169</v>
      </c>
      <c r="F436" s="143">
        <v>45427</v>
      </c>
      <c r="G436" s="143"/>
      <c r="H436" s="142" t="s">
        <v>23</v>
      </c>
      <c r="I436" s="522"/>
      <c r="J436" s="522"/>
      <c r="K436" s="522"/>
      <c r="L436" s="393"/>
      <c r="M436" s="443">
        <f>Таблица4[[#This Row],[Количество хлыстов]]-Таблица4[[#This Row],[Готово, хл]]-Таблица4[[#This Row],[Вывезено, хл]]</f>
        <v>5</v>
      </c>
      <c r="N436" s="673">
        <f>Таблица4[[#This Row],[Площадь общая, м2]]/28</f>
        <v>1.9357142857142857E-2</v>
      </c>
      <c r="O436" s="142"/>
      <c r="P436" s="280">
        <v>6</v>
      </c>
      <c r="Q436" s="525" t="s">
        <v>5114</v>
      </c>
      <c r="R436" s="525" t="s">
        <v>5115</v>
      </c>
      <c r="S436" s="526">
        <v>5</v>
      </c>
      <c r="T436" s="525">
        <v>0.1084</v>
      </c>
      <c r="U436" s="525" t="s">
        <v>17</v>
      </c>
      <c r="V436" s="525">
        <v>0.54200000000000004</v>
      </c>
      <c r="W436" s="525" t="s">
        <v>17</v>
      </c>
      <c r="X436" s="525">
        <v>7.0000000000000007E-2</v>
      </c>
      <c r="Y436" s="525">
        <v>1000</v>
      </c>
      <c r="Z436" s="525">
        <v>9225.09</v>
      </c>
      <c r="AA436" s="527">
        <v>5000</v>
      </c>
    </row>
    <row r="437" spans="1:27" s="421" customFormat="1" ht="17.45" hidden="1" customHeight="1" x14ac:dyDescent="0.25">
      <c r="A437" s="419" t="s">
        <v>4978</v>
      </c>
      <c r="B437" s="617">
        <v>293</v>
      </c>
      <c r="C437" s="617"/>
      <c r="D437" s="618" t="s">
        <v>13</v>
      </c>
      <c r="E437" s="618" t="s">
        <v>892</v>
      </c>
      <c r="F437" s="619">
        <v>45428</v>
      </c>
      <c r="G437" s="619"/>
      <c r="H437" s="142" t="s">
        <v>23</v>
      </c>
      <c r="I437" s="620"/>
      <c r="J437" s="620"/>
      <c r="K437" s="620"/>
      <c r="L437" s="677">
        <v>308</v>
      </c>
      <c r="M437" s="691">
        <f>Таблица4[[#This Row],[Количество хлыстов]]-Таблица4[[#This Row],[Готово, хл]]-Таблица4[[#This Row],[Вывезено, хл]]</f>
        <v>0</v>
      </c>
      <c r="N437" s="713"/>
      <c r="O437" s="618"/>
      <c r="P437" s="692">
        <v>4.8499999999999996</v>
      </c>
      <c r="Q437" s="622" t="s">
        <v>4774</v>
      </c>
      <c r="R437" s="622">
        <v>1493.8</v>
      </c>
      <c r="S437" s="623">
        <v>308</v>
      </c>
      <c r="T437" s="622">
        <v>9.5600000000000004E-2</v>
      </c>
      <c r="U437" s="622">
        <v>0.16</v>
      </c>
      <c r="V437" s="622">
        <v>142.8073</v>
      </c>
      <c r="W437" s="622">
        <v>239.00800000000001</v>
      </c>
      <c r="X437" s="622">
        <v>18.559999999999999</v>
      </c>
      <c r="Y437" s="622">
        <v>31.55</v>
      </c>
      <c r="Z437" s="622">
        <v>330</v>
      </c>
      <c r="AA437" s="624">
        <v>47129.39</v>
      </c>
    </row>
    <row r="438" spans="1:27" ht="17.45" hidden="1" customHeight="1" x14ac:dyDescent="0.25">
      <c r="A438" s="147" t="s">
        <v>4678</v>
      </c>
      <c r="B438" s="521">
        <v>294</v>
      </c>
      <c r="C438" s="521" t="s">
        <v>4753</v>
      </c>
      <c r="D438" s="142" t="s">
        <v>34</v>
      </c>
      <c r="E438" s="142" t="s">
        <v>4554</v>
      </c>
      <c r="F438" s="143">
        <v>45429</v>
      </c>
      <c r="G438" s="143"/>
      <c r="H438" s="142" t="s">
        <v>23</v>
      </c>
      <c r="I438" s="522"/>
      <c r="J438" s="522"/>
      <c r="K438" s="522"/>
      <c r="L438" s="393"/>
      <c r="M438" s="443">
        <f>Таблица4[[#This Row],[Количество хлыстов]]-Таблица4[[#This Row],[Готово, хл]]-Таблица4[[#This Row],[Вывезено, хл]]</f>
        <v>80</v>
      </c>
      <c r="N438" s="673">
        <f>Таблица4[[#This Row],[Площадь общая, м2]]/28</f>
        <v>1.3384285714285713</v>
      </c>
      <c r="O438" s="142"/>
      <c r="P438" s="280">
        <v>2.25</v>
      </c>
      <c r="Q438" s="525" t="s">
        <v>5116</v>
      </c>
      <c r="R438" s="525">
        <v>180</v>
      </c>
      <c r="S438" s="526">
        <v>80</v>
      </c>
      <c r="T438" s="525">
        <v>0.2082</v>
      </c>
      <c r="U438" s="525">
        <v>0.33600000000000002</v>
      </c>
      <c r="V438" s="525">
        <v>37.475999999999999</v>
      </c>
      <c r="W438" s="525">
        <v>60.48</v>
      </c>
      <c r="X438" s="525">
        <v>4.87</v>
      </c>
      <c r="Y438" s="525">
        <v>198.76</v>
      </c>
      <c r="Z438" s="525">
        <v>954.66</v>
      </c>
      <c r="AA438" s="527">
        <v>35776.800000000003</v>
      </c>
    </row>
    <row r="439" spans="1:27" ht="17.45" hidden="1" customHeight="1" x14ac:dyDescent="0.25">
      <c r="A439" s="147" t="s">
        <v>4678</v>
      </c>
      <c r="B439" s="521">
        <v>294</v>
      </c>
      <c r="C439" s="521" t="s">
        <v>4753</v>
      </c>
      <c r="D439" s="142" t="s">
        <v>34</v>
      </c>
      <c r="E439" s="142" t="s">
        <v>4554</v>
      </c>
      <c r="F439" s="143">
        <v>45429</v>
      </c>
      <c r="G439" s="143"/>
      <c r="H439" s="142" t="s">
        <v>23</v>
      </c>
      <c r="I439" s="522"/>
      <c r="J439" s="522"/>
      <c r="K439" s="522"/>
      <c r="L439" s="393"/>
      <c r="M439" s="443">
        <f>Таблица4[[#This Row],[Количество хлыстов]]-Таблица4[[#This Row],[Готово, хл]]-Таблица4[[#This Row],[Вывезено, хл]]</f>
        <v>20</v>
      </c>
      <c r="N439" s="673">
        <f>Таблица4[[#This Row],[Площадь общая, м2]]/28</f>
        <v>0.46101428571428571</v>
      </c>
      <c r="O439" s="142"/>
      <c r="P439" s="280">
        <v>3.1</v>
      </c>
      <c r="Q439" s="525" t="s">
        <v>5117</v>
      </c>
      <c r="R439" s="525">
        <v>62</v>
      </c>
      <c r="S439" s="526">
        <v>20</v>
      </c>
      <c r="T439" s="525">
        <v>0.2082</v>
      </c>
      <c r="U439" s="525">
        <v>0.33600000000000002</v>
      </c>
      <c r="V439" s="525">
        <v>12.9084</v>
      </c>
      <c r="W439" s="525">
        <v>20.832000000000001</v>
      </c>
      <c r="X439" s="525">
        <v>1.68</v>
      </c>
      <c r="Y439" s="525">
        <v>198.76</v>
      </c>
      <c r="Z439" s="525">
        <v>954.67</v>
      </c>
      <c r="AA439" s="527">
        <v>12323.2</v>
      </c>
    </row>
    <row r="440" spans="1:27" ht="17.45" hidden="1" customHeight="1" x14ac:dyDescent="0.25">
      <c r="A440" s="147" t="s">
        <v>4678</v>
      </c>
      <c r="B440" s="521">
        <v>295</v>
      </c>
      <c r="C440" s="521" t="s">
        <v>4753</v>
      </c>
      <c r="D440" s="142" t="s">
        <v>13</v>
      </c>
      <c r="E440" s="142" t="s">
        <v>289</v>
      </c>
      <c r="F440" s="143">
        <v>45429</v>
      </c>
      <c r="G440" s="143"/>
      <c r="H440" s="142" t="s">
        <v>23</v>
      </c>
      <c r="I440" s="522"/>
      <c r="J440" s="522"/>
      <c r="K440" s="522"/>
      <c r="L440" s="393"/>
      <c r="M440" s="443">
        <f>Таблица4[[#This Row],[Количество хлыстов]]-Таблица4[[#This Row],[Готово, хл]]-Таблица4[[#This Row],[Вывезено, хл]]</f>
        <v>12</v>
      </c>
      <c r="N440" s="673">
        <f>Таблица4[[#This Row],[Площадь общая, м2]]/28</f>
        <v>0.19285714285714287</v>
      </c>
      <c r="O440" s="142"/>
      <c r="P440" s="280"/>
      <c r="Q440" s="525" t="s">
        <v>5118</v>
      </c>
      <c r="R440" s="525">
        <v>12</v>
      </c>
      <c r="S440" s="526">
        <v>12</v>
      </c>
      <c r="T440" s="525">
        <v>0.45</v>
      </c>
      <c r="U440" s="525">
        <v>2.6</v>
      </c>
      <c r="V440" s="525">
        <v>5.4</v>
      </c>
      <c r="W440" s="525">
        <v>31.2</v>
      </c>
      <c r="X440" s="525">
        <v>0.7</v>
      </c>
      <c r="Y440" s="525">
        <v>2367</v>
      </c>
      <c r="Z440" s="525">
        <v>5260</v>
      </c>
      <c r="AA440" s="527">
        <v>28404</v>
      </c>
    </row>
    <row r="441" spans="1:27" ht="17.45" hidden="1" customHeight="1" x14ac:dyDescent="0.25">
      <c r="A441" s="147" t="s">
        <v>4678</v>
      </c>
      <c r="B441" s="625">
        <v>296</v>
      </c>
      <c r="C441" s="625" t="s">
        <v>4753</v>
      </c>
      <c r="D441" s="162" t="s">
        <v>13</v>
      </c>
      <c r="E441" s="162" t="s">
        <v>37</v>
      </c>
      <c r="F441" s="168">
        <v>45429</v>
      </c>
      <c r="G441" s="168">
        <v>45482</v>
      </c>
      <c r="H441" s="142" t="s">
        <v>23</v>
      </c>
      <c r="I441" s="522"/>
      <c r="J441" s="522"/>
      <c r="K441" s="522"/>
      <c r="L441" s="393">
        <f>84+60</f>
        <v>144</v>
      </c>
      <c r="M441" s="443">
        <f>Таблица4[[#This Row],[Количество хлыстов]]-Таблица4[[#This Row],[Готово, хл]]-Таблица4[[#This Row],[Вывезено, хл]]</f>
        <v>0</v>
      </c>
      <c r="N441" s="673">
        <f>((Таблица4[[#This Row],[Осталось сделать, хлыст]]*Таблица4[[#This Row],[длина]])*Таблица4[[#This Row],[Периметр]])/28</f>
        <v>0</v>
      </c>
      <c r="O441" s="142"/>
      <c r="P441" s="280"/>
      <c r="Q441" s="525" t="s">
        <v>5121</v>
      </c>
      <c r="R441" s="525"/>
      <c r="S441" s="526">
        <v>144</v>
      </c>
      <c r="T441" s="525">
        <v>1.2</v>
      </c>
      <c r="U441" s="525">
        <v>3.2040000000000002</v>
      </c>
      <c r="V441" s="525">
        <v>172.8</v>
      </c>
      <c r="W441" s="525">
        <v>461.37599999999998</v>
      </c>
      <c r="X441" s="525">
        <v>22.46</v>
      </c>
      <c r="Y441" s="525">
        <v>2054</v>
      </c>
      <c r="Z441" s="525">
        <v>1711.67</v>
      </c>
      <c r="AA441" s="527">
        <v>295776</v>
      </c>
    </row>
    <row r="442" spans="1:27" s="421" customFormat="1" ht="17.45" hidden="1" customHeight="1" x14ac:dyDescent="0.25">
      <c r="A442" s="419" t="s">
        <v>4978</v>
      </c>
      <c r="B442" s="617">
        <v>297</v>
      </c>
      <c r="C442" s="617"/>
      <c r="D442" s="618" t="s">
        <v>34</v>
      </c>
      <c r="E442" s="618" t="s">
        <v>4807</v>
      </c>
      <c r="F442" s="619">
        <v>45440</v>
      </c>
      <c r="G442" s="619"/>
      <c r="H442" s="618" t="s">
        <v>23</v>
      </c>
      <c r="I442" s="620"/>
      <c r="J442" s="620"/>
      <c r="K442" s="620"/>
      <c r="L442" s="677"/>
      <c r="M442" s="691">
        <f>Таблица4[[#This Row],[Количество хлыстов]]-Таблица4[[#This Row],[Готово, хл]]-Таблица4[[#This Row],[Вывезено, хл]]</f>
        <v>740</v>
      </c>
      <c r="N442" s="713"/>
      <c r="O442" s="618"/>
      <c r="P442" s="692"/>
      <c r="Q442" s="622" t="s">
        <v>4806</v>
      </c>
      <c r="R442" s="622">
        <v>3922</v>
      </c>
      <c r="S442" s="623">
        <v>740</v>
      </c>
      <c r="T442" s="622">
        <v>0.22270000000000001</v>
      </c>
      <c r="U442" s="622">
        <v>0.52700000000000002</v>
      </c>
      <c r="V442" s="622">
        <v>873.42939999999999</v>
      </c>
      <c r="W442" s="622">
        <v>2066.8939999999998</v>
      </c>
      <c r="X442" s="622">
        <v>113.55</v>
      </c>
      <c r="Y442" s="622">
        <v>73.209999999999994</v>
      </c>
      <c r="Z442" s="622">
        <v>328.75</v>
      </c>
      <c r="AA442" s="624">
        <v>287139.92</v>
      </c>
    </row>
    <row r="443" spans="1:27" s="421" customFormat="1" ht="17.45" hidden="1" customHeight="1" x14ac:dyDescent="0.25">
      <c r="A443" s="419" t="s">
        <v>4978</v>
      </c>
      <c r="B443" s="617">
        <v>297</v>
      </c>
      <c r="C443" s="617"/>
      <c r="D443" s="618" t="s">
        <v>34</v>
      </c>
      <c r="E443" s="618" t="s">
        <v>4807</v>
      </c>
      <c r="F443" s="619">
        <v>45440</v>
      </c>
      <c r="G443" s="619"/>
      <c r="H443" s="618" t="s">
        <v>23</v>
      </c>
      <c r="I443" s="620"/>
      <c r="J443" s="620"/>
      <c r="K443" s="620"/>
      <c r="L443" s="677"/>
      <c r="M443" s="691">
        <f>Таблица4[[#This Row],[Количество хлыстов]]-Таблица4[[#This Row],[Готово, хл]]-Таблица4[[#This Row],[Вывезено, хл]]</f>
        <v>79</v>
      </c>
      <c r="N443" s="713"/>
      <c r="O443" s="618"/>
      <c r="P443" s="692"/>
      <c r="Q443" s="622" t="s">
        <v>4805</v>
      </c>
      <c r="R443" s="622">
        <v>470.05</v>
      </c>
      <c r="S443" s="623">
        <v>79</v>
      </c>
      <c r="T443" s="622">
        <v>0.58020000000000005</v>
      </c>
      <c r="U443" s="622">
        <v>1.306</v>
      </c>
      <c r="V443" s="622">
        <v>272.72300000000001</v>
      </c>
      <c r="W443" s="622">
        <v>613.88530000000003</v>
      </c>
      <c r="X443" s="622">
        <v>35.450000000000003</v>
      </c>
      <c r="Y443" s="622">
        <v>190.74</v>
      </c>
      <c r="Z443" s="622">
        <v>328.75</v>
      </c>
      <c r="AA443" s="624">
        <v>89657.34</v>
      </c>
    </row>
    <row r="444" spans="1:27" s="421" customFormat="1" ht="17.45" hidden="1" customHeight="1" x14ac:dyDescent="0.25">
      <c r="A444" s="419" t="s">
        <v>4978</v>
      </c>
      <c r="B444" s="617">
        <v>297</v>
      </c>
      <c r="C444" s="617"/>
      <c r="D444" s="618" t="s">
        <v>34</v>
      </c>
      <c r="E444" s="618" t="s">
        <v>4807</v>
      </c>
      <c r="F444" s="619">
        <v>45440</v>
      </c>
      <c r="G444" s="619"/>
      <c r="H444" s="618" t="s">
        <v>23</v>
      </c>
      <c r="I444" s="620"/>
      <c r="J444" s="620"/>
      <c r="K444" s="620"/>
      <c r="L444" s="677"/>
      <c r="M444" s="691">
        <f>Таблица4[[#This Row],[Количество хлыстов]]-Таблица4[[#This Row],[Готово, хл]]-Таблица4[[#This Row],[Вывезено, хл]]</f>
        <v>251</v>
      </c>
      <c r="N444" s="713"/>
      <c r="O444" s="618"/>
      <c r="P444" s="692"/>
      <c r="Q444" s="622" t="s">
        <v>5119</v>
      </c>
      <c r="R444" s="622">
        <v>1280.0999999999999</v>
      </c>
      <c r="S444" s="623">
        <v>251</v>
      </c>
      <c r="T444" s="622">
        <v>0.19020000000000001</v>
      </c>
      <c r="U444" s="622">
        <v>0.48699999999999999</v>
      </c>
      <c r="V444" s="622">
        <v>243.47499999999999</v>
      </c>
      <c r="W444" s="622">
        <v>623.40869999999995</v>
      </c>
      <c r="X444" s="622">
        <v>31.65</v>
      </c>
      <c r="Y444" s="622">
        <v>62.53</v>
      </c>
      <c r="Z444" s="622">
        <v>328.75</v>
      </c>
      <c r="AA444" s="624">
        <v>80044.649999999994</v>
      </c>
    </row>
    <row r="445" spans="1:27" s="421" customFormat="1" ht="17.45" hidden="1" customHeight="1" x14ac:dyDescent="0.25">
      <c r="A445" s="419" t="s">
        <v>4978</v>
      </c>
      <c r="B445" s="617">
        <v>297</v>
      </c>
      <c r="C445" s="617"/>
      <c r="D445" s="618" t="s">
        <v>34</v>
      </c>
      <c r="E445" s="618" t="s">
        <v>4807</v>
      </c>
      <c r="F445" s="619">
        <v>45440</v>
      </c>
      <c r="G445" s="619"/>
      <c r="H445" s="618" t="s">
        <v>23</v>
      </c>
      <c r="I445" s="620"/>
      <c r="J445" s="620"/>
      <c r="K445" s="620"/>
      <c r="L445" s="677"/>
      <c r="M445" s="691">
        <f>Таблица4[[#This Row],[Количество хлыстов]]-Таблица4[[#This Row],[Готово, хл]]-Таблица4[[#This Row],[Вывезено, хл]]</f>
        <v>608</v>
      </c>
      <c r="N445" s="713"/>
      <c r="O445" s="618"/>
      <c r="P445" s="692"/>
      <c r="Q445" s="622" t="s">
        <v>4897</v>
      </c>
      <c r="R445" s="622">
        <v>2979.2</v>
      </c>
      <c r="S445" s="623">
        <v>608</v>
      </c>
      <c r="T445" s="622">
        <v>0.14419999999999999</v>
      </c>
      <c r="U445" s="622">
        <v>0.33200000000000002</v>
      </c>
      <c r="V445" s="622">
        <v>429.60059999999999</v>
      </c>
      <c r="W445" s="622">
        <v>989.09439999999995</v>
      </c>
      <c r="X445" s="622">
        <v>55.85</v>
      </c>
      <c r="Y445" s="622">
        <v>47.41</v>
      </c>
      <c r="Z445" s="622">
        <v>328.75</v>
      </c>
      <c r="AA445" s="624">
        <v>141243.87</v>
      </c>
    </row>
    <row r="446" spans="1:27" s="421" customFormat="1" ht="17.45" hidden="1" customHeight="1" x14ac:dyDescent="0.25">
      <c r="A446" s="419" t="s">
        <v>4978</v>
      </c>
      <c r="B446" s="617">
        <v>297</v>
      </c>
      <c r="C446" s="617"/>
      <c r="D446" s="618" t="s">
        <v>34</v>
      </c>
      <c r="E446" s="618" t="s">
        <v>4807</v>
      </c>
      <c r="F446" s="619">
        <v>45440</v>
      </c>
      <c r="G446" s="619"/>
      <c r="H446" s="618" t="s">
        <v>23</v>
      </c>
      <c r="I446" s="620"/>
      <c r="J446" s="620"/>
      <c r="K446" s="620"/>
      <c r="L446" s="677"/>
      <c r="M446" s="691">
        <f>Таблица4[[#This Row],[Количество хлыстов]]-Таблица4[[#This Row],[Готово, хл]]-Таблица4[[#This Row],[Вывезено, хл]]</f>
        <v>114</v>
      </c>
      <c r="N446" s="713"/>
      <c r="O446" s="618"/>
      <c r="P446" s="692"/>
      <c r="Q446" s="622" t="s">
        <v>4804</v>
      </c>
      <c r="R446" s="622">
        <v>684</v>
      </c>
      <c r="S446" s="623">
        <v>114</v>
      </c>
      <c r="T446" s="622">
        <v>0.27610000000000001</v>
      </c>
      <c r="U446" s="622">
        <v>0.93400000000000005</v>
      </c>
      <c r="V446" s="622">
        <v>188.85239999999999</v>
      </c>
      <c r="W446" s="622">
        <v>638.85599999999999</v>
      </c>
      <c r="X446" s="622">
        <v>24.55</v>
      </c>
      <c r="Y446" s="622">
        <v>90.77</v>
      </c>
      <c r="Z446" s="622">
        <v>328.75</v>
      </c>
      <c r="AA446" s="624">
        <v>62085.23</v>
      </c>
    </row>
    <row r="447" spans="1:27" ht="17.45" hidden="1" customHeight="1" x14ac:dyDescent="0.25">
      <c r="A447" s="147" t="s">
        <v>4678</v>
      </c>
      <c r="B447" s="521">
        <v>298</v>
      </c>
      <c r="C447" s="625"/>
      <c r="D447" s="162" t="s">
        <v>13</v>
      </c>
      <c r="E447" s="162" t="s">
        <v>3801</v>
      </c>
      <c r="F447" s="168">
        <v>45433</v>
      </c>
      <c r="G447" s="143"/>
      <c r="H447" s="142" t="s">
        <v>23</v>
      </c>
      <c r="I447" s="522"/>
      <c r="J447" s="522"/>
      <c r="K447" s="522">
        <v>168</v>
      </c>
      <c r="L447" s="393"/>
      <c r="M447" s="443">
        <f>Таблица4[[#This Row],[Количество хлыстов]]-Таблица4[[#This Row],[Готово, хл]]-Таблица4[[#This Row],[Вывезено, хл]]</f>
        <v>168</v>
      </c>
      <c r="N447" s="673">
        <f>Таблица4[[#This Row],[Площадь общая, м2]]/28</f>
        <v>8.6399999999999988</v>
      </c>
      <c r="O447" s="142"/>
      <c r="P447" s="280">
        <v>4.5</v>
      </c>
      <c r="Q447" s="525" t="s">
        <v>5120</v>
      </c>
      <c r="R447" s="525">
        <v>1512</v>
      </c>
      <c r="S447" s="526">
        <v>336</v>
      </c>
      <c r="T447" s="525">
        <v>0.16</v>
      </c>
      <c r="U447" s="525">
        <v>0.35299999999999998</v>
      </c>
      <c r="V447" s="525">
        <v>241.92</v>
      </c>
      <c r="W447" s="525">
        <v>533.73599999999999</v>
      </c>
      <c r="X447" s="525">
        <v>31.45</v>
      </c>
      <c r="Y447" s="525">
        <v>76.8</v>
      </c>
      <c r="Z447" s="525">
        <v>480</v>
      </c>
      <c r="AA447" s="527">
        <v>116121.60000000001</v>
      </c>
    </row>
    <row r="448" spans="1:27" ht="17.45" hidden="1" customHeight="1" x14ac:dyDescent="0.25">
      <c r="A448" s="147" t="s">
        <v>4678</v>
      </c>
      <c r="B448" s="625">
        <v>299</v>
      </c>
      <c r="C448" s="625"/>
      <c r="D448" s="162" t="s">
        <v>13</v>
      </c>
      <c r="E448" s="162" t="s">
        <v>80</v>
      </c>
      <c r="F448" s="168">
        <v>45433</v>
      </c>
      <c r="G448" s="168">
        <v>45488</v>
      </c>
      <c r="H448" s="142" t="s">
        <v>23</v>
      </c>
      <c r="I448" s="522"/>
      <c r="J448" s="522"/>
      <c r="K448" s="522">
        <v>5</v>
      </c>
      <c r="L448" s="393">
        <f>45+45+45+39</f>
        <v>174</v>
      </c>
      <c r="M448" s="443">
        <f>Таблица4[[#This Row],[Количество хлыстов]]-Таблица4[[#This Row],[Готово, хл]]-Таблица4[[#This Row],[Вывезено, хл]]</f>
        <v>6</v>
      </c>
      <c r="N448" s="673">
        <f>((Таблица4[[#This Row],[Осталось сделать, хлыст]]*Таблица4[[#This Row],[длина]])*Таблица4[[#This Row],[Периметр]])/28</f>
        <v>0.40303821428571424</v>
      </c>
      <c r="O448" s="142" t="s">
        <v>5155</v>
      </c>
      <c r="P448" s="280">
        <v>3.65</v>
      </c>
      <c r="Q448" s="525" t="s">
        <v>5099</v>
      </c>
      <c r="R448" s="525">
        <v>675.25</v>
      </c>
      <c r="S448" s="526">
        <v>185</v>
      </c>
      <c r="T448" s="525">
        <v>0.51529999999999998</v>
      </c>
      <c r="U448" s="525">
        <v>1.3759999999999999</v>
      </c>
      <c r="V448" s="525">
        <v>347.9563</v>
      </c>
      <c r="W448" s="525">
        <v>929.14400000000001</v>
      </c>
      <c r="X448" s="525">
        <v>45.23</v>
      </c>
      <c r="Y448" s="525">
        <v>240.65</v>
      </c>
      <c r="Z448" s="525">
        <v>467</v>
      </c>
      <c r="AA448" s="527">
        <v>162495.6</v>
      </c>
    </row>
    <row r="449" spans="1:27" ht="17.45" hidden="1" customHeight="1" x14ac:dyDescent="0.25">
      <c r="A449" s="147" t="s">
        <v>4678</v>
      </c>
      <c r="B449" s="521">
        <v>299</v>
      </c>
      <c r="C449" s="521"/>
      <c r="D449" s="142" t="s">
        <v>13</v>
      </c>
      <c r="E449" s="142" t="s">
        <v>80</v>
      </c>
      <c r="F449" s="143">
        <v>45433</v>
      </c>
      <c r="G449" s="143">
        <v>45447</v>
      </c>
      <c r="H449" s="142" t="s">
        <v>23</v>
      </c>
      <c r="I449" s="522"/>
      <c r="J449" s="522"/>
      <c r="K449" s="522"/>
      <c r="L449" s="393">
        <f>45+50+49</f>
        <v>144</v>
      </c>
      <c r="M449" s="443">
        <f>Таблица4[[#This Row],[Количество хлыстов]]-Таблица4[[#This Row],[Готово, хл]]-Таблица4[[#This Row],[Вывезено, хл]]</f>
        <v>1</v>
      </c>
      <c r="N449" s="673">
        <f>Таблица4[[#This Row],[Площадь общая, м2]]/28</f>
        <v>8.5392571428571422</v>
      </c>
      <c r="O449" s="142" t="s">
        <v>4937</v>
      </c>
      <c r="P449" s="280">
        <v>3.2</v>
      </c>
      <c r="Q449" s="525" t="s">
        <v>5100</v>
      </c>
      <c r="R449" s="525">
        <v>464</v>
      </c>
      <c r="S449" s="526">
        <v>145</v>
      </c>
      <c r="T449" s="525">
        <v>0.51529999999999998</v>
      </c>
      <c r="U449" s="525">
        <v>1.3759999999999999</v>
      </c>
      <c r="V449" s="525">
        <v>239.0992</v>
      </c>
      <c r="W449" s="525">
        <v>638.46400000000006</v>
      </c>
      <c r="X449" s="525">
        <v>31.08</v>
      </c>
      <c r="Y449" s="525">
        <v>203.54</v>
      </c>
      <c r="Z449" s="525">
        <v>395</v>
      </c>
      <c r="AA449" s="527">
        <v>94444.18</v>
      </c>
    </row>
    <row r="450" spans="1:27" ht="17.45" hidden="1" customHeight="1" x14ac:dyDescent="0.25">
      <c r="A450" s="147" t="s">
        <v>4678</v>
      </c>
      <c r="B450" s="521">
        <v>300</v>
      </c>
      <c r="C450" s="521"/>
      <c r="D450" s="142" t="s">
        <v>13</v>
      </c>
      <c r="E450" s="142" t="s">
        <v>32</v>
      </c>
      <c r="F450" s="143">
        <v>45433</v>
      </c>
      <c r="G450" s="143">
        <v>45447</v>
      </c>
      <c r="H450" s="142" t="s">
        <v>23</v>
      </c>
      <c r="I450" s="522"/>
      <c r="J450" s="522"/>
      <c r="K450" s="522">
        <f>63+65</f>
        <v>128</v>
      </c>
      <c r="L450" s="393"/>
      <c r="M450" s="443">
        <f>Таблица4[[#This Row],[Количество хлыстов]]-Таблица4[[#This Row],[Готово, хл]]-Таблица4[[#This Row],[Вывезено, хл]]</f>
        <v>0</v>
      </c>
      <c r="N450" s="673">
        <f>Таблица4[[#This Row],[Площадь общая, м2]]/28</f>
        <v>6.1200214285714285</v>
      </c>
      <c r="O450" s="142"/>
      <c r="P450" s="280">
        <v>5.05</v>
      </c>
      <c r="Q450" s="525" t="s">
        <v>4275</v>
      </c>
      <c r="R450" s="525">
        <v>646.4</v>
      </c>
      <c r="S450" s="526">
        <v>128</v>
      </c>
      <c r="T450" s="525">
        <v>0.2651</v>
      </c>
      <c r="U450" s="525">
        <v>0.82099999999999995</v>
      </c>
      <c r="V450" s="525">
        <v>171.36060000000001</v>
      </c>
      <c r="W450" s="525">
        <v>530.69439999999997</v>
      </c>
      <c r="X450" s="525">
        <v>22.28</v>
      </c>
      <c r="Y450" s="525">
        <v>107.37</v>
      </c>
      <c r="Z450" s="525">
        <v>405</v>
      </c>
      <c r="AA450" s="527">
        <v>69401.06</v>
      </c>
    </row>
    <row r="451" spans="1:27" ht="17.45" hidden="1" customHeight="1" x14ac:dyDescent="0.25">
      <c r="A451" s="147" t="s">
        <v>4678</v>
      </c>
      <c r="B451" s="521" t="s">
        <v>5122</v>
      </c>
      <c r="C451" s="521"/>
      <c r="D451" s="142" t="s">
        <v>34</v>
      </c>
      <c r="E451" s="142" t="s">
        <v>16</v>
      </c>
      <c r="F451" s="143">
        <v>45433</v>
      </c>
      <c r="G451" s="143"/>
      <c r="H451" s="142" t="s">
        <v>23</v>
      </c>
      <c r="I451" s="522"/>
      <c r="J451" s="522"/>
      <c r="K451" s="522"/>
      <c r="L451" s="393">
        <f>168+126+168+40+70</f>
        <v>572</v>
      </c>
      <c r="M451" s="443">
        <f>Таблица4[[#This Row],[Количество хлыстов]]-Таблица4[[#This Row],[Готово, хл]]-Таблица4[[#This Row],[Вывезено, хл]]</f>
        <v>1</v>
      </c>
      <c r="N451" s="673">
        <f>((Таблица4[[#This Row],[Осталось сделать, хлыст]]*Таблица4[[#This Row],[длина]])*Таблица4[[#This Row],[Периметр]])/28</f>
        <v>6.4221428571428568E-2</v>
      </c>
      <c r="O451" s="142" t="s">
        <v>559</v>
      </c>
      <c r="P451" s="280">
        <v>6</v>
      </c>
      <c r="Q451" s="525" t="s">
        <v>2423</v>
      </c>
      <c r="R451" s="525">
        <v>3438</v>
      </c>
      <c r="S451" s="526">
        <v>573</v>
      </c>
      <c r="T451" s="525">
        <v>0.29970000000000002</v>
      </c>
      <c r="U451" s="525">
        <v>1.6739999999999999</v>
      </c>
      <c r="V451" s="525">
        <v>1030.3686</v>
      </c>
      <c r="W451" s="525">
        <v>5755.2120000000004</v>
      </c>
      <c r="X451" s="525">
        <v>133.94999999999999</v>
      </c>
      <c r="Y451" s="525">
        <v>130.37</v>
      </c>
      <c r="Z451" s="525">
        <v>435</v>
      </c>
      <c r="AA451" s="527">
        <v>448210.34</v>
      </c>
    </row>
    <row r="452" spans="1:27" s="421" customFormat="1" ht="17.45" hidden="1" customHeight="1" x14ac:dyDescent="0.25">
      <c r="A452" s="419" t="s">
        <v>4978</v>
      </c>
      <c r="B452" s="617">
        <v>303</v>
      </c>
      <c r="C452" s="617"/>
      <c r="D452" s="618" t="s">
        <v>13</v>
      </c>
      <c r="E452" s="618" t="s">
        <v>892</v>
      </c>
      <c r="F452" s="619">
        <v>45433</v>
      </c>
      <c r="G452" s="619"/>
      <c r="H452" s="142" t="s">
        <v>23</v>
      </c>
      <c r="I452" s="620"/>
      <c r="J452" s="620"/>
      <c r="K452" s="620"/>
      <c r="L452" s="677">
        <v>135</v>
      </c>
      <c r="M452" s="691">
        <f>Таблица4[[#This Row],[Количество хлыстов]]-Таблица4[[#This Row],[Готово, хл]]-Таблица4[[#This Row],[Вывезено, хл]]</f>
        <v>0</v>
      </c>
      <c r="N452" s="713"/>
      <c r="O452" s="618"/>
      <c r="P452" s="692">
        <v>4.45</v>
      </c>
      <c r="Q452" s="622" t="s">
        <v>5123</v>
      </c>
      <c r="R452" s="622">
        <v>600.75</v>
      </c>
      <c r="S452" s="623">
        <v>135</v>
      </c>
      <c r="T452" s="622">
        <v>0.2651</v>
      </c>
      <c r="U452" s="622">
        <v>0.82099999999999995</v>
      </c>
      <c r="V452" s="622">
        <v>159.25880000000001</v>
      </c>
      <c r="W452" s="622">
        <v>493.2158</v>
      </c>
      <c r="X452" s="622">
        <v>20.7</v>
      </c>
      <c r="Y452" s="622">
        <v>87.48</v>
      </c>
      <c r="Z452" s="622">
        <v>330</v>
      </c>
      <c r="AA452" s="624">
        <v>52555.41</v>
      </c>
    </row>
    <row r="453" spans="1:27" s="421" customFormat="1" ht="17.45" hidden="1" customHeight="1" x14ac:dyDescent="0.25">
      <c r="A453" s="147" t="s">
        <v>4678</v>
      </c>
      <c r="B453" s="521">
        <v>304</v>
      </c>
      <c r="C453" s="521" t="s">
        <v>4753</v>
      </c>
      <c r="D453" s="142" t="s">
        <v>34</v>
      </c>
      <c r="E453" s="142" t="s">
        <v>4467</v>
      </c>
      <c r="F453" s="143">
        <v>45435</v>
      </c>
      <c r="G453" s="143"/>
      <c r="H453" s="142" t="s">
        <v>23</v>
      </c>
      <c r="I453" s="522"/>
      <c r="J453" s="522"/>
      <c r="K453" s="522"/>
      <c r="L453" s="393"/>
      <c r="M453" s="578"/>
      <c r="N453" s="564">
        <f>Таблица4[[#This Row],[Площадь общая, м2]]/28</f>
        <v>1.1023535714285715</v>
      </c>
      <c r="O453" s="142"/>
      <c r="P453" s="280">
        <v>6.05</v>
      </c>
      <c r="Q453" s="525" t="s">
        <v>5134</v>
      </c>
      <c r="R453" s="525">
        <v>133.1</v>
      </c>
      <c r="S453" s="526">
        <v>22</v>
      </c>
      <c r="T453" s="525">
        <v>0.2319</v>
      </c>
      <c r="U453" s="525">
        <v>0.84599999999999997</v>
      </c>
      <c r="V453" s="525">
        <v>30.8659</v>
      </c>
      <c r="W453" s="525">
        <v>112.6026</v>
      </c>
      <c r="X453" s="525">
        <v>4.01</v>
      </c>
      <c r="Y453" s="525">
        <v>148.01</v>
      </c>
      <c r="Z453" s="525">
        <v>638.25</v>
      </c>
      <c r="AA453" s="527">
        <v>19700</v>
      </c>
    </row>
    <row r="454" spans="1:27" s="421" customFormat="1" ht="17.45" hidden="1" customHeight="1" x14ac:dyDescent="0.25">
      <c r="A454" s="147" t="s">
        <v>4678</v>
      </c>
      <c r="B454" s="521">
        <v>304</v>
      </c>
      <c r="C454" s="521" t="s">
        <v>4753</v>
      </c>
      <c r="D454" s="142" t="s">
        <v>34</v>
      </c>
      <c r="E454" s="142" t="s">
        <v>4467</v>
      </c>
      <c r="F454" s="143">
        <v>45435</v>
      </c>
      <c r="G454" s="143"/>
      <c r="H454" s="142" t="s">
        <v>23</v>
      </c>
      <c r="I454" s="522"/>
      <c r="J454" s="522"/>
      <c r="K454" s="522"/>
      <c r="L454" s="393"/>
      <c r="M454" s="578"/>
      <c r="N454" s="564">
        <f>Таблица4[[#This Row],[Площадь общая, м2]]/28</f>
        <v>0.8022285714285714</v>
      </c>
      <c r="O454" s="142"/>
      <c r="P454" s="280">
        <v>6.05</v>
      </c>
      <c r="Q454" s="525" t="s">
        <v>5135</v>
      </c>
      <c r="R454" s="525">
        <v>72.599999999999994</v>
      </c>
      <c r="S454" s="526">
        <v>12</v>
      </c>
      <c r="T454" s="525">
        <v>0.30940000000000001</v>
      </c>
      <c r="U454" s="525">
        <v>1.49</v>
      </c>
      <c r="V454" s="525">
        <v>22.462399999999999</v>
      </c>
      <c r="W454" s="525">
        <v>108.17400000000001</v>
      </c>
      <c r="X454" s="525">
        <v>2.92</v>
      </c>
      <c r="Y454" s="525">
        <v>271.35000000000002</v>
      </c>
      <c r="Z454" s="525">
        <v>877.02</v>
      </c>
      <c r="AA454" s="527">
        <v>19700</v>
      </c>
    </row>
    <row r="455" spans="1:27" ht="17.45" hidden="1" customHeight="1" x14ac:dyDescent="0.25">
      <c r="A455" s="147" t="s">
        <v>4678</v>
      </c>
      <c r="B455" s="521">
        <v>306</v>
      </c>
      <c r="C455" s="521" t="s">
        <v>4753</v>
      </c>
      <c r="D455" s="142" t="s">
        <v>34</v>
      </c>
      <c r="E455" s="142" t="s">
        <v>4559</v>
      </c>
      <c r="F455" s="143">
        <v>45435</v>
      </c>
      <c r="G455" s="143"/>
      <c r="H455" s="142" t="s">
        <v>23</v>
      </c>
      <c r="I455" s="522"/>
      <c r="J455" s="522"/>
      <c r="K455" s="522"/>
      <c r="L455" s="393"/>
      <c r="M455" s="443">
        <f>Таблица4[[#This Row],[Количество хлыстов]]-Таблица4[[#This Row],[Готово, хл]]-Таблица4[[#This Row],[Вывезено, хл]]</f>
        <v>7</v>
      </c>
      <c r="N455" s="673">
        <f>Таблица4[[#This Row],[Площадь общая, м2]]/28</f>
        <v>0.20715</v>
      </c>
      <c r="O455" s="142"/>
      <c r="P455" s="280">
        <v>6</v>
      </c>
      <c r="Q455" s="525" t="s">
        <v>5124</v>
      </c>
      <c r="R455" s="525">
        <v>42</v>
      </c>
      <c r="S455" s="526">
        <v>7</v>
      </c>
      <c r="T455" s="525">
        <v>0.1381</v>
      </c>
      <c r="U455" s="525">
        <v>0.248</v>
      </c>
      <c r="V455" s="525">
        <v>5.8002000000000002</v>
      </c>
      <c r="W455" s="525">
        <v>10.416</v>
      </c>
      <c r="X455" s="525">
        <v>0.75</v>
      </c>
      <c r="Y455" s="525">
        <v>134.61000000000001</v>
      </c>
      <c r="Z455" s="525">
        <v>974.71</v>
      </c>
      <c r="AA455" s="527">
        <v>5653.5</v>
      </c>
    </row>
    <row r="456" spans="1:27" ht="17.45" hidden="1" customHeight="1" x14ac:dyDescent="0.25">
      <c r="A456" s="147" t="s">
        <v>4678</v>
      </c>
      <c r="B456" s="521">
        <v>306</v>
      </c>
      <c r="C456" s="521" t="s">
        <v>4753</v>
      </c>
      <c r="D456" s="142" t="s">
        <v>34</v>
      </c>
      <c r="E456" s="142" t="s">
        <v>4559</v>
      </c>
      <c r="F456" s="143">
        <v>45435</v>
      </c>
      <c r="G456" s="143"/>
      <c r="H456" s="142" t="s">
        <v>23</v>
      </c>
      <c r="I456" s="522"/>
      <c r="J456" s="522"/>
      <c r="K456" s="522"/>
      <c r="L456" s="393"/>
      <c r="M456" s="443">
        <f>Таблица4[[#This Row],[Количество хлыстов]]-Таблица4[[#This Row],[Готово, хл]]-Таблица4[[#This Row],[Вывезено, хл]]</f>
        <v>48</v>
      </c>
      <c r="N456" s="673">
        <f>Таблица4[[#This Row],[Площадь общая, м2]]/28</f>
        <v>1.9019999999999999</v>
      </c>
      <c r="O456" s="142"/>
      <c r="P456" s="280">
        <v>5</v>
      </c>
      <c r="Q456" s="525" t="s">
        <v>5125</v>
      </c>
      <c r="R456" s="525">
        <v>240</v>
      </c>
      <c r="S456" s="526">
        <v>48</v>
      </c>
      <c r="T456" s="525">
        <v>0.22189999999999999</v>
      </c>
      <c r="U456" s="525">
        <v>0.76</v>
      </c>
      <c r="V456" s="525">
        <v>53.256</v>
      </c>
      <c r="W456" s="525">
        <v>182.4</v>
      </c>
      <c r="X456" s="525">
        <v>6.92</v>
      </c>
      <c r="Y456" s="525">
        <v>188.45</v>
      </c>
      <c r="Z456" s="525">
        <v>849.26</v>
      </c>
      <c r="AA456" s="527">
        <v>45228</v>
      </c>
    </row>
    <row r="457" spans="1:27" ht="17.45" hidden="1" customHeight="1" x14ac:dyDescent="0.25">
      <c r="A457" s="147" t="s">
        <v>4678</v>
      </c>
      <c r="B457" s="521">
        <v>306</v>
      </c>
      <c r="C457" s="521" t="s">
        <v>4753</v>
      </c>
      <c r="D457" s="142" t="s">
        <v>34</v>
      </c>
      <c r="E457" s="142" t="s">
        <v>4559</v>
      </c>
      <c r="F457" s="143">
        <v>45435</v>
      </c>
      <c r="G457" s="143"/>
      <c r="H457" s="142" t="s">
        <v>23</v>
      </c>
      <c r="I457" s="522"/>
      <c r="J457" s="522"/>
      <c r="K457" s="522"/>
      <c r="L457" s="393"/>
      <c r="M457" s="443">
        <f>Таблица4[[#This Row],[Количество хлыстов]]-Таблица4[[#This Row],[Готово, хл]]-Таблица4[[#This Row],[Вывезено, хл]]</f>
        <v>46</v>
      </c>
      <c r="N457" s="673">
        <f>Таблица4[[#This Row],[Площадь общая, м2]]/28</f>
        <v>1.8896142857142857</v>
      </c>
      <c r="O457" s="142"/>
      <c r="P457" s="280">
        <v>5</v>
      </c>
      <c r="Q457" s="525" t="s">
        <v>5126</v>
      </c>
      <c r="R457" s="525">
        <v>276</v>
      </c>
      <c r="S457" s="526">
        <v>46</v>
      </c>
      <c r="T457" s="525">
        <v>0.19170000000000001</v>
      </c>
      <c r="U457" s="525">
        <v>0.57999999999999996</v>
      </c>
      <c r="V457" s="525">
        <v>52.909199999999998</v>
      </c>
      <c r="W457" s="525">
        <v>160.08000000000001</v>
      </c>
      <c r="X457" s="525">
        <v>6.88</v>
      </c>
      <c r="Y457" s="525">
        <v>163.87</v>
      </c>
      <c r="Z457" s="525">
        <v>854.82</v>
      </c>
      <c r="AA457" s="527">
        <v>45228</v>
      </c>
    </row>
    <row r="458" spans="1:27" ht="17.45" hidden="1" customHeight="1" x14ac:dyDescent="0.25">
      <c r="A458" s="147" t="s">
        <v>4678</v>
      </c>
      <c r="B458" s="521">
        <v>306</v>
      </c>
      <c r="C458" s="521" t="s">
        <v>4753</v>
      </c>
      <c r="D458" s="142" t="s">
        <v>34</v>
      </c>
      <c r="E458" s="142" t="s">
        <v>4559</v>
      </c>
      <c r="F458" s="143">
        <v>45435</v>
      </c>
      <c r="G458" s="143"/>
      <c r="H458" s="142" t="s">
        <v>23</v>
      </c>
      <c r="I458" s="522"/>
      <c r="J458" s="522"/>
      <c r="K458" s="522"/>
      <c r="L458" s="393"/>
      <c r="M458" s="443">
        <f>Таблица4[[#This Row],[Количество хлыстов]]-Таблица4[[#This Row],[Готово, хл]]-Таблица4[[#This Row],[Вывезено, хл]]</f>
        <v>90</v>
      </c>
      <c r="N458" s="673">
        <f>Таблица4[[#This Row],[Площадь общая, м2]]/28</f>
        <v>1.5023571428571429</v>
      </c>
      <c r="O458" s="142"/>
      <c r="P458" s="280">
        <v>6</v>
      </c>
      <c r="Q458" s="525" t="s">
        <v>5127</v>
      </c>
      <c r="R458" s="525">
        <v>540</v>
      </c>
      <c r="S458" s="526">
        <v>90</v>
      </c>
      <c r="T458" s="525">
        <v>7.7899999999999997E-2</v>
      </c>
      <c r="U458" s="525">
        <v>0.15</v>
      </c>
      <c r="V458" s="525">
        <v>42.066000000000003</v>
      </c>
      <c r="W458" s="525">
        <v>81</v>
      </c>
      <c r="X458" s="525">
        <v>5.47</v>
      </c>
      <c r="Y458" s="525">
        <v>67.010000000000005</v>
      </c>
      <c r="Z458" s="525">
        <v>860.24</v>
      </c>
      <c r="AA458" s="527">
        <v>36187.040000000001</v>
      </c>
    </row>
    <row r="459" spans="1:27" ht="17.45" hidden="1" customHeight="1" x14ac:dyDescent="0.25">
      <c r="A459" s="147" t="s">
        <v>4678</v>
      </c>
      <c r="B459" s="521">
        <v>306</v>
      </c>
      <c r="C459" s="521" t="s">
        <v>4753</v>
      </c>
      <c r="D459" s="142" t="s">
        <v>34</v>
      </c>
      <c r="E459" s="142" t="s">
        <v>4559</v>
      </c>
      <c r="F459" s="143">
        <v>45435</v>
      </c>
      <c r="G459" s="143"/>
      <c r="H459" s="142" t="s">
        <v>23</v>
      </c>
      <c r="I459" s="522"/>
      <c r="J459" s="522"/>
      <c r="K459" s="522"/>
      <c r="L459" s="393"/>
      <c r="M459" s="443">
        <f>Таблица4[[#This Row],[Количество хлыстов]]-Таблица4[[#This Row],[Готово, хл]]-Таблица4[[#This Row],[Вывезено, хл]]</f>
        <v>48</v>
      </c>
      <c r="N459" s="673">
        <f>Таблица4[[#This Row],[Площадь общая, м2]]/28</f>
        <v>5.0031428571428567</v>
      </c>
      <c r="O459" s="142"/>
      <c r="P459" s="280">
        <v>5</v>
      </c>
      <c r="Q459" s="525" t="s">
        <v>5128</v>
      </c>
      <c r="R459" s="525">
        <v>240</v>
      </c>
      <c r="S459" s="526">
        <v>48</v>
      </c>
      <c r="T459" s="525">
        <v>0.5837</v>
      </c>
      <c r="U459" s="525">
        <v>2.7629999999999999</v>
      </c>
      <c r="V459" s="525">
        <v>140.08799999999999</v>
      </c>
      <c r="W459" s="525">
        <v>663.12</v>
      </c>
      <c r="X459" s="525">
        <v>18.21</v>
      </c>
      <c r="Y459" s="525">
        <v>565.35</v>
      </c>
      <c r="Z459" s="525">
        <v>968.56</v>
      </c>
      <c r="AA459" s="527">
        <v>135684</v>
      </c>
    </row>
    <row r="460" spans="1:27" ht="17.45" hidden="1" customHeight="1" x14ac:dyDescent="0.25">
      <c r="A460" s="147" t="s">
        <v>4678</v>
      </c>
      <c r="B460" s="521">
        <v>306</v>
      </c>
      <c r="C460" s="521" t="s">
        <v>4753</v>
      </c>
      <c r="D460" s="142" t="s">
        <v>34</v>
      </c>
      <c r="E460" s="142" t="s">
        <v>4559</v>
      </c>
      <c r="F460" s="143">
        <v>45435</v>
      </c>
      <c r="G460" s="143"/>
      <c r="H460" s="142" t="s">
        <v>23</v>
      </c>
      <c r="I460" s="522"/>
      <c r="J460" s="522"/>
      <c r="K460" s="522">
        <v>12</v>
      </c>
      <c r="L460" s="393"/>
      <c r="M460" s="443">
        <f>Таблица4[[#This Row],[Количество хлыстов]]-Таблица4[[#This Row],[Готово, хл]]-Таблица4[[#This Row],[Вывезено, хл]]</f>
        <v>0</v>
      </c>
      <c r="N460" s="673">
        <f>Таблица4[[#This Row],[Площадь общая, м2]]/28</f>
        <v>1.0349999999999999</v>
      </c>
      <c r="O460" s="142"/>
      <c r="P460" s="280">
        <v>6</v>
      </c>
      <c r="Q460" s="525" t="s">
        <v>5129</v>
      </c>
      <c r="R460" s="525">
        <v>72</v>
      </c>
      <c r="S460" s="526">
        <v>12</v>
      </c>
      <c r="T460" s="525">
        <v>0.40250000000000002</v>
      </c>
      <c r="U460" s="525">
        <v>1.78</v>
      </c>
      <c r="V460" s="525">
        <v>28.98</v>
      </c>
      <c r="W460" s="525">
        <v>128.16</v>
      </c>
      <c r="X460" s="525">
        <v>3.77</v>
      </c>
      <c r="Y460" s="525">
        <v>314.08</v>
      </c>
      <c r="Z460" s="525">
        <v>780.33</v>
      </c>
      <c r="AA460" s="527">
        <v>22614</v>
      </c>
    </row>
    <row r="461" spans="1:27" ht="17.45" hidden="1" customHeight="1" x14ac:dyDescent="0.25">
      <c r="A461" s="147" t="s">
        <v>4678</v>
      </c>
      <c r="B461" s="521">
        <v>306</v>
      </c>
      <c r="C461" s="521" t="s">
        <v>4753</v>
      </c>
      <c r="D461" s="142" t="s">
        <v>34</v>
      </c>
      <c r="E461" s="142" t="s">
        <v>4559</v>
      </c>
      <c r="F461" s="143">
        <v>45435</v>
      </c>
      <c r="G461" s="143"/>
      <c r="H461" s="142" t="s">
        <v>23</v>
      </c>
      <c r="I461" s="522"/>
      <c r="J461" s="522"/>
      <c r="K461" s="522">
        <v>35</v>
      </c>
      <c r="L461" s="393"/>
      <c r="M461" s="443">
        <f>Таблица4[[#This Row],[Количество хлыстов]]-Таблица4[[#This Row],[Готово, хл]]-Таблица4[[#This Row],[Вывезено, хл]]</f>
        <v>0</v>
      </c>
      <c r="N461" s="673">
        <f>Таблица4[[#This Row],[Площадь общая, м2]]/28</f>
        <v>3.57375</v>
      </c>
      <c r="O461" s="142"/>
      <c r="P461" s="280">
        <v>6</v>
      </c>
      <c r="Q461" s="525" t="s">
        <v>5130</v>
      </c>
      <c r="R461" s="525">
        <v>210</v>
      </c>
      <c r="S461" s="526">
        <v>35</v>
      </c>
      <c r="T461" s="525">
        <v>0.47649999999999998</v>
      </c>
      <c r="U461" s="525">
        <v>2.1819999999999999</v>
      </c>
      <c r="V461" s="525">
        <v>100.065</v>
      </c>
      <c r="W461" s="525">
        <v>458.22</v>
      </c>
      <c r="X461" s="525">
        <v>13.01</v>
      </c>
      <c r="Y461" s="525">
        <v>430.74</v>
      </c>
      <c r="Z461" s="525">
        <v>903.97</v>
      </c>
      <c r="AA461" s="527">
        <v>90456</v>
      </c>
    </row>
    <row r="462" spans="1:27" ht="17.45" hidden="1" customHeight="1" x14ac:dyDescent="0.25">
      <c r="A462" s="147" t="s">
        <v>4678</v>
      </c>
      <c r="B462" s="521">
        <v>306</v>
      </c>
      <c r="C462" s="521" t="s">
        <v>4753</v>
      </c>
      <c r="D462" s="142" t="s">
        <v>34</v>
      </c>
      <c r="E462" s="142" t="s">
        <v>4559</v>
      </c>
      <c r="F462" s="143">
        <v>45435</v>
      </c>
      <c r="G462" s="143"/>
      <c r="H462" s="142" t="s">
        <v>23</v>
      </c>
      <c r="I462" s="522"/>
      <c r="J462" s="522"/>
      <c r="K462" s="522">
        <v>4</v>
      </c>
      <c r="L462" s="393"/>
      <c r="M462" s="443">
        <f>Таблица4[[#This Row],[Количество хлыстов]]-Таблица4[[#This Row],[Готово, хл]]-Таблица4[[#This Row],[Вывезено, хл]]</f>
        <v>0</v>
      </c>
      <c r="N462" s="673">
        <f>Таблица4[[#This Row],[Площадь общая, м2]]/28</f>
        <v>0.38245714285714288</v>
      </c>
      <c r="O462" s="142"/>
      <c r="P462" s="280">
        <v>6</v>
      </c>
      <c r="Q462" s="525" t="s">
        <v>5131</v>
      </c>
      <c r="R462" s="525">
        <v>24</v>
      </c>
      <c r="S462" s="526">
        <v>4</v>
      </c>
      <c r="T462" s="525">
        <v>0.44619999999999999</v>
      </c>
      <c r="U462" s="525">
        <v>2.31</v>
      </c>
      <c r="V462" s="525">
        <v>10.7088</v>
      </c>
      <c r="W462" s="525">
        <v>55.44</v>
      </c>
      <c r="X462" s="525">
        <v>1.39</v>
      </c>
      <c r="Y462" s="525">
        <v>376.9</v>
      </c>
      <c r="Z462" s="525">
        <v>844.69</v>
      </c>
      <c r="AA462" s="527">
        <v>9045.6</v>
      </c>
    </row>
    <row r="463" spans="1:27" ht="17.45" hidden="1" customHeight="1" x14ac:dyDescent="0.25">
      <c r="A463" s="147" t="s">
        <v>4678</v>
      </c>
      <c r="B463" s="521">
        <v>306</v>
      </c>
      <c r="C463" s="521" t="s">
        <v>4753</v>
      </c>
      <c r="D463" s="142" t="s">
        <v>34</v>
      </c>
      <c r="E463" s="142" t="s">
        <v>4559</v>
      </c>
      <c r="F463" s="143">
        <v>45435</v>
      </c>
      <c r="G463" s="143"/>
      <c r="H463" s="142" t="s">
        <v>23</v>
      </c>
      <c r="I463" s="522"/>
      <c r="J463" s="522"/>
      <c r="K463" s="522">
        <v>7</v>
      </c>
      <c r="L463" s="393"/>
      <c r="M463" s="443">
        <f>Таблица4[[#This Row],[Количество хлыстов]]-Таблица4[[#This Row],[Готово, хл]]-Таблица4[[#This Row],[Вывезено, хл]]</f>
        <v>0</v>
      </c>
      <c r="N463" s="673">
        <f>Таблица4[[#This Row],[Площадь общая, м2]]/28</f>
        <v>0.66239999999999999</v>
      </c>
      <c r="O463" s="142"/>
      <c r="P463" s="280">
        <v>6</v>
      </c>
      <c r="Q463" s="525" t="s">
        <v>5132</v>
      </c>
      <c r="R463" s="525">
        <v>42</v>
      </c>
      <c r="S463" s="526">
        <v>7</v>
      </c>
      <c r="T463" s="525">
        <v>0.44159999999999999</v>
      </c>
      <c r="U463" s="525">
        <v>2.0499999999999998</v>
      </c>
      <c r="V463" s="525">
        <v>18.5472</v>
      </c>
      <c r="W463" s="525">
        <v>86.1</v>
      </c>
      <c r="X463" s="525">
        <v>2.41</v>
      </c>
      <c r="Y463" s="525">
        <v>323.06</v>
      </c>
      <c r="Z463" s="525">
        <v>731.56</v>
      </c>
      <c r="AA463" s="527">
        <v>13568.4</v>
      </c>
    </row>
    <row r="464" spans="1:27" ht="17.45" hidden="1" customHeight="1" x14ac:dyDescent="0.25">
      <c r="A464" s="147" t="s">
        <v>4678</v>
      </c>
      <c r="B464" s="521">
        <v>306</v>
      </c>
      <c r="C464" s="521" t="s">
        <v>4753</v>
      </c>
      <c r="D464" s="142" t="s">
        <v>34</v>
      </c>
      <c r="E464" s="142" t="s">
        <v>4559</v>
      </c>
      <c r="F464" s="143">
        <v>45435</v>
      </c>
      <c r="G464" s="143"/>
      <c r="H464" s="142" t="s">
        <v>23</v>
      </c>
      <c r="I464" s="522"/>
      <c r="J464" s="522"/>
      <c r="K464" s="522"/>
      <c r="L464" s="393"/>
      <c r="M464" s="443">
        <f>Таблица4[[#This Row],[Количество хлыстов]]-Таблица4[[#This Row],[Готово, хл]]-Таблица4[[#This Row],[Вывезено, хл]]</f>
        <v>4</v>
      </c>
      <c r="N464" s="673">
        <f>Таблица4[[#This Row],[Площадь общая, м2]]/28</f>
        <v>0.14271428571428571</v>
      </c>
      <c r="O464" s="142"/>
      <c r="P464" s="280">
        <v>6</v>
      </c>
      <c r="Q464" s="525" t="s">
        <v>5133</v>
      </c>
      <c r="R464" s="525">
        <v>24</v>
      </c>
      <c r="S464" s="526">
        <v>4</v>
      </c>
      <c r="T464" s="525">
        <v>0.16650000000000001</v>
      </c>
      <c r="U464" s="525">
        <v>0.28999999999999998</v>
      </c>
      <c r="V464" s="525">
        <v>3.996</v>
      </c>
      <c r="W464" s="525">
        <v>6.96</v>
      </c>
      <c r="X464" s="525">
        <v>0.52</v>
      </c>
      <c r="Y464" s="525">
        <v>141.34</v>
      </c>
      <c r="Z464" s="525">
        <v>848.87</v>
      </c>
      <c r="AA464" s="527">
        <v>3392.1</v>
      </c>
    </row>
    <row r="465" spans="1:27" s="939" customFormat="1" ht="17.45" customHeight="1" x14ac:dyDescent="0.25">
      <c r="A465" s="924" t="s">
        <v>4678</v>
      </c>
      <c r="B465" s="925">
        <v>307</v>
      </c>
      <c r="C465" s="925"/>
      <c r="D465" s="926" t="s">
        <v>34</v>
      </c>
      <c r="E465" s="926" t="s">
        <v>4554</v>
      </c>
      <c r="F465" s="927">
        <v>45435</v>
      </c>
      <c r="G465" s="927"/>
      <c r="H465" s="926" t="s">
        <v>4669</v>
      </c>
      <c r="I465" s="928"/>
      <c r="J465" s="928"/>
      <c r="K465" s="928">
        <v>462</v>
      </c>
      <c r="L465" s="937"/>
      <c r="M465" s="930">
        <f>Таблица4[[#This Row],[Количество хлыстов]]-Таблица4[[#This Row],[Готово, хл]]-Таблица4[[#This Row],[Вывезено, хл]]</f>
        <v>0</v>
      </c>
      <c r="N465" s="940">
        <f>((Таблица4[[#This Row],[Осталось сделать, хлыст]]*Таблица4[[#This Row],[длина]])*Таблица4[[#This Row],[Периметр]])/28</f>
        <v>0</v>
      </c>
      <c r="O465" s="926"/>
      <c r="P465" s="938">
        <v>3.4</v>
      </c>
      <c r="Q465" s="933" t="s">
        <v>4555</v>
      </c>
      <c r="R465" s="933">
        <v>1570.8</v>
      </c>
      <c r="S465" s="934">
        <v>462</v>
      </c>
      <c r="T465" s="933">
        <v>0.18279999999999999</v>
      </c>
      <c r="U465" s="933">
        <v>0.59099999999999997</v>
      </c>
      <c r="V465" s="933">
        <v>287.1422</v>
      </c>
      <c r="W465" s="933">
        <v>928.34280000000001</v>
      </c>
      <c r="X465" s="933">
        <v>37.33</v>
      </c>
      <c r="Y465" s="933">
        <v>74.03</v>
      </c>
      <c r="Z465" s="933">
        <v>405</v>
      </c>
      <c r="AA465" s="935">
        <v>116292.61</v>
      </c>
    </row>
    <row r="466" spans="1:27" s="421" customFormat="1" ht="17.45" hidden="1" customHeight="1" x14ac:dyDescent="0.25">
      <c r="A466" s="419" t="s">
        <v>4978</v>
      </c>
      <c r="B466" s="617">
        <v>308</v>
      </c>
      <c r="C466" s="617"/>
      <c r="D466" s="618" t="s">
        <v>13</v>
      </c>
      <c r="E466" s="618" t="s">
        <v>32</v>
      </c>
      <c r="F466" s="619">
        <v>45439</v>
      </c>
      <c r="G466" s="619"/>
      <c r="H466" s="142" t="s">
        <v>23</v>
      </c>
      <c r="I466" s="620"/>
      <c r="J466" s="620"/>
      <c r="K466" s="620"/>
      <c r="L466" s="677">
        <f>901+38</f>
        <v>939</v>
      </c>
      <c r="M466" s="691">
        <f>Таблица4[[#This Row],[Количество хлыстов]]-Таблица4[[#This Row],[Готово, хл]]-Таблица4[[#This Row],[Вывезено, хл]]</f>
        <v>0</v>
      </c>
      <c r="N466" s="673">
        <f>((Таблица4[[#This Row],[Осталось сделать, хлыст]]*Таблица4[[#This Row],[длина]])*Таблица4[[#This Row],[Периметр]])/28</f>
        <v>0</v>
      </c>
      <c r="O466" s="618"/>
      <c r="P466" s="692">
        <v>4.8499999999999996</v>
      </c>
      <c r="Q466" s="622" t="s">
        <v>4774</v>
      </c>
      <c r="R466" s="622">
        <v>4554.1499999999996</v>
      </c>
      <c r="S466" s="623">
        <v>939</v>
      </c>
      <c r="T466" s="622">
        <v>9.5600000000000004E-2</v>
      </c>
      <c r="U466" s="622">
        <v>0.16</v>
      </c>
      <c r="V466" s="622">
        <v>435.37670000000003</v>
      </c>
      <c r="W466" s="622">
        <v>728.66399999999999</v>
      </c>
      <c r="X466" s="622">
        <v>56.6</v>
      </c>
      <c r="Y466" s="622">
        <v>31.55</v>
      </c>
      <c r="Z466" s="622">
        <v>330</v>
      </c>
      <c r="AA466" s="624">
        <v>143674.32</v>
      </c>
    </row>
    <row r="467" spans="1:27" ht="17.45" hidden="1" customHeight="1" x14ac:dyDescent="0.25">
      <c r="A467" s="147" t="s">
        <v>4939</v>
      </c>
      <c r="B467" s="521">
        <v>309</v>
      </c>
      <c r="C467" s="521"/>
      <c r="D467" s="142" t="s">
        <v>34</v>
      </c>
      <c r="E467" s="142" t="s">
        <v>3404</v>
      </c>
      <c r="F467" s="143">
        <v>45439</v>
      </c>
      <c r="G467" s="143"/>
      <c r="H467" s="142" t="s">
        <v>23</v>
      </c>
      <c r="I467" s="522"/>
      <c r="J467" s="522"/>
      <c r="K467" s="522">
        <v>288</v>
      </c>
      <c r="L467" s="393">
        <v>156</v>
      </c>
      <c r="M467" s="443">
        <f>Таблица4[[#This Row],[Количество хлыстов]]-Таблица4[[#This Row],[Готово, хл]]-Таблица4[[#This Row],[Вывезено, хл]]</f>
        <v>0</v>
      </c>
      <c r="N467" s="673">
        <f>((Таблица4[[#This Row],[Осталось сделать, хлыст]]*Таблица4[[#This Row],[длина]])*Таблица4[[#This Row],[Периметр]])/28</f>
        <v>0</v>
      </c>
      <c r="O467" s="142" t="s">
        <v>4997</v>
      </c>
      <c r="P467" s="280">
        <v>6</v>
      </c>
      <c r="Q467" s="525" t="s">
        <v>4994</v>
      </c>
      <c r="R467" s="525">
        <v>2664</v>
      </c>
      <c r="S467" s="526">
        <v>444</v>
      </c>
      <c r="T467" s="525">
        <v>0.21959999999999999</v>
      </c>
      <c r="U467" s="525">
        <v>0.35</v>
      </c>
      <c r="V467" s="525">
        <v>585.01440000000002</v>
      </c>
      <c r="W467" s="525">
        <v>932.4</v>
      </c>
      <c r="X467" s="525">
        <v>76.05</v>
      </c>
      <c r="Y467" s="525">
        <v>132.80000000000001</v>
      </c>
      <c r="Z467" s="525">
        <v>604.73</v>
      </c>
      <c r="AA467" s="527">
        <v>353777.88</v>
      </c>
    </row>
    <row r="468" spans="1:27" ht="17.45" hidden="1" customHeight="1" x14ac:dyDescent="0.25">
      <c r="A468" s="147" t="s">
        <v>4939</v>
      </c>
      <c r="B468" s="521">
        <v>309</v>
      </c>
      <c r="C468" s="521"/>
      <c r="D468" s="142" t="s">
        <v>34</v>
      </c>
      <c r="E468" s="142" t="s">
        <v>3404</v>
      </c>
      <c r="F468" s="143">
        <v>45439</v>
      </c>
      <c r="G468" s="143"/>
      <c r="H468" s="142" t="s">
        <v>23</v>
      </c>
      <c r="I468" s="522"/>
      <c r="J468" s="522"/>
      <c r="K468" s="522">
        <v>68</v>
      </c>
      <c r="L468" s="393">
        <v>215</v>
      </c>
      <c r="M468" s="443">
        <f>Таблица4[[#This Row],[Количество хлыстов]]-Таблица4[[#This Row],[Готово, хл]]-Таблица4[[#This Row],[Вывезено, хл]]</f>
        <v>0</v>
      </c>
      <c r="N468" s="673">
        <f>((Таблица4[[#This Row],[Осталось сделать, хлыст]]*Таблица4[[#This Row],[длина]])*Таблица4[[#This Row],[Периметр]])/28</f>
        <v>0</v>
      </c>
      <c r="O468" s="142" t="s">
        <v>4997</v>
      </c>
      <c r="P468" s="280">
        <v>6</v>
      </c>
      <c r="Q468" s="525" t="s">
        <v>5091</v>
      </c>
      <c r="R468" s="525">
        <v>1698</v>
      </c>
      <c r="S468" s="526">
        <v>283</v>
      </c>
      <c r="T468" s="525">
        <v>0.1883</v>
      </c>
      <c r="U468" s="525">
        <v>0.318</v>
      </c>
      <c r="V468" s="525">
        <v>319.73340000000002</v>
      </c>
      <c r="W468" s="525">
        <v>539.96400000000006</v>
      </c>
      <c r="X468" s="525">
        <v>41.57</v>
      </c>
      <c r="Y468" s="525">
        <v>113.92</v>
      </c>
      <c r="Z468" s="525">
        <v>604.99</v>
      </c>
      <c r="AA468" s="527">
        <v>193436.7</v>
      </c>
    </row>
    <row r="469" spans="1:27" s="421" customFormat="1" ht="17.25" hidden="1" customHeight="1" x14ac:dyDescent="0.25">
      <c r="A469" s="419" t="s">
        <v>4978</v>
      </c>
      <c r="B469" s="617">
        <v>314</v>
      </c>
      <c r="C469" s="617"/>
      <c r="D469" s="618" t="s">
        <v>34</v>
      </c>
      <c r="E469" s="618" t="s">
        <v>4718</v>
      </c>
      <c r="F469" s="619">
        <v>45440</v>
      </c>
      <c r="G469" s="619"/>
      <c r="H469" s="618" t="s">
        <v>23</v>
      </c>
      <c r="I469" s="620"/>
      <c r="J469" s="620"/>
      <c r="K469" s="620">
        <v>1568</v>
      </c>
      <c r="L469" s="677"/>
      <c r="M469" s="691">
        <f>Таблица4[[#This Row],[Количество хлыстов]]-Таблица4[[#This Row],[Готово, хл]]-Таблица4[[#This Row],[Вывезено, хл]]</f>
        <v>0</v>
      </c>
      <c r="N469" s="673">
        <f>((Таблица4[[#This Row],[Осталось сделать, хлыст]]*Таблица4[[#This Row],[длина]])*Таблица4[[#This Row],[Периметр]])/28</f>
        <v>0</v>
      </c>
      <c r="O469" s="618"/>
      <c r="P469" s="692"/>
      <c r="Q469" s="622" t="s">
        <v>4717</v>
      </c>
      <c r="R469" s="622">
        <v>3136</v>
      </c>
      <c r="S469" s="623">
        <v>1568</v>
      </c>
      <c r="T469" s="622">
        <v>0.13039999999999999</v>
      </c>
      <c r="U469" s="622">
        <v>0.19400000000000001</v>
      </c>
      <c r="V469" s="622">
        <v>408.93439999999998</v>
      </c>
      <c r="W469" s="622">
        <v>608.38400000000001</v>
      </c>
      <c r="X469" s="622">
        <v>53.16</v>
      </c>
      <c r="Y469" s="622">
        <v>4.4000000000000004</v>
      </c>
      <c r="Z469" s="622">
        <v>33.75</v>
      </c>
      <c r="AA469" s="624">
        <v>13801.54</v>
      </c>
    </row>
    <row r="470" spans="1:27" s="421" customFormat="1" ht="17.25" hidden="1" customHeight="1" x14ac:dyDescent="0.25">
      <c r="A470" s="147" t="s">
        <v>4678</v>
      </c>
      <c r="B470" s="521">
        <v>315</v>
      </c>
      <c r="C470" s="521" t="s">
        <v>4753</v>
      </c>
      <c r="D470" s="142" t="s">
        <v>13</v>
      </c>
      <c r="E470" s="142" t="s">
        <v>30</v>
      </c>
      <c r="F470" s="143">
        <v>45440</v>
      </c>
      <c r="G470" s="143">
        <v>45467</v>
      </c>
      <c r="H470" s="618" t="s">
        <v>23</v>
      </c>
      <c r="I470" s="522"/>
      <c r="J470" s="522"/>
      <c r="K470" s="522"/>
      <c r="L470" s="393"/>
      <c r="M470" s="443">
        <f>Таблица4[[#This Row],[Количество хлыстов]]-Таблица4[[#This Row],[Готово, хл]]-Таблица4[[#This Row],[Вывезено, хл]]</f>
        <v>15</v>
      </c>
      <c r="N470" s="564">
        <v>37</v>
      </c>
      <c r="O470" s="142"/>
      <c r="P470" s="280">
        <v>1.07</v>
      </c>
      <c r="Q470" s="525" t="s">
        <v>5047</v>
      </c>
      <c r="R470" s="525">
        <v>15</v>
      </c>
      <c r="S470" s="526">
        <v>15</v>
      </c>
      <c r="T470" s="525">
        <v>0.34</v>
      </c>
      <c r="U470" s="525">
        <v>4.3959999999999999</v>
      </c>
      <c r="V470" s="525">
        <v>5.0999999999999996</v>
      </c>
      <c r="W470" s="525">
        <v>65.94</v>
      </c>
      <c r="X470" s="525">
        <v>0.66</v>
      </c>
      <c r="Y470" s="525">
        <v>722</v>
      </c>
      <c r="Z470" s="525">
        <v>2123.5300000000002</v>
      </c>
      <c r="AA470" s="527">
        <v>10830</v>
      </c>
    </row>
    <row r="471" spans="1:27" s="421" customFormat="1" ht="17.25" hidden="1" customHeight="1" x14ac:dyDescent="0.25">
      <c r="A471" s="147" t="s">
        <v>4678</v>
      </c>
      <c r="B471" s="521">
        <v>315</v>
      </c>
      <c r="C471" s="521" t="s">
        <v>4753</v>
      </c>
      <c r="D471" s="142" t="s">
        <v>13</v>
      </c>
      <c r="E471" s="142" t="s">
        <v>30</v>
      </c>
      <c r="F471" s="143">
        <v>45440</v>
      </c>
      <c r="G471" s="143">
        <v>45467</v>
      </c>
      <c r="H471" s="618" t="s">
        <v>23</v>
      </c>
      <c r="I471" s="522"/>
      <c r="J471" s="522"/>
      <c r="K471" s="522"/>
      <c r="L471" s="393"/>
      <c r="M471" s="443">
        <f>Таблица4[[#This Row],[Количество хлыстов]]-Таблица4[[#This Row],[Готово, хл]]-Таблица4[[#This Row],[Вывезено, хл]]</f>
        <v>82</v>
      </c>
      <c r="N471" s="564"/>
      <c r="O471" s="142"/>
      <c r="P471" s="280">
        <v>1.37</v>
      </c>
      <c r="Q471" s="525" t="s">
        <v>5049</v>
      </c>
      <c r="R471" s="525">
        <v>82</v>
      </c>
      <c r="S471" s="526">
        <v>82</v>
      </c>
      <c r="T471" s="525">
        <v>0.435</v>
      </c>
      <c r="U471" s="525">
        <v>5.6280000000000001</v>
      </c>
      <c r="V471" s="525">
        <v>35.67</v>
      </c>
      <c r="W471" s="525">
        <v>461.49599999999998</v>
      </c>
      <c r="X471" s="525">
        <v>4.6399999999999997</v>
      </c>
      <c r="Y471" s="525">
        <v>800</v>
      </c>
      <c r="Z471" s="525">
        <v>1839.08</v>
      </c>
      <c r="AA471" s="527">
        <v>65600</v>
      </c>
    </row>
    <row r="472" spans="1:27" s="421" customFormat="1" ht="17.25" hidden="1" customHeight="1" x14ac:dyDescent="0.25">
      <c r="A472" s="147" t="s">
        <v>4678</v>
      </c>
      <c r="B472" s="521">
        <v>315</v>
      </c>
      <c r="C472" s="521" t="s">
        <v>4753</v>
      </c>
      <c r="D472" s="142" t="s">
        <v>13</v>
      </c>
      <c r="E472" s="142" t="s">
        <v>30</v>
      </c>
      <c r="F472" s="143">
        <v>45440</v>
      </c>
      <c r="G472" s="143">
        <v>45467</v>
      </c>
      <c r="H472" s="142" t="s">
        <v>23</v>
      </c>
      <c r="I472" s="522"/>
      <c r="J472" s="522"/>
      <c r="K472" s="522"/>
      <c r="L472" s="393">
        <v>318</v>
      </c>
      <c r="M472" s="443">
        <f>Таблица4[[#This Row],[Количество хлыстов]]-Таблица4[[#This Row],[Готово, хл]]-Таблица4[[#This Row],[Вывезено, хл]]</f>
        <v>0</v>
      </c>
      <c r="N472" s="564"/>
      <c r="O472" s="142"/>
      <c r="P472" s="280">
        <v>0.3</v>
      </c>
      <c r="Q472" s="525" t="s">
        <v>5044</v>
      </c>
      <c r="R472" s="525">
        <v>318</v>
      </c>
      <c r="S472" s="526">
        <v>318</v>
      </c>
      <c r="T472" s="525">
        <v>9.6000000000000002E-2</v>
      </c>
      <c r="U472" s="525">
        <v>1.2330000000000001</v>
      </c>
      <c r="V472" s="525">
        <v>30.527999999999999</v>
      </c>
      <c r="W472" s="525">
        <v>392.09399999999999</v>
      </c>
      <c r="X472" s="525">
        <v>3.97</v>
      </c>
      <c r="Y472" s="525">
        <v>350</v>
      </c>
      <c r="Z472" s="525">
        <v>3645.83</v>
      </c>
      <c r="AA472" s="527">
        <v>111300</v>
      </c>
    </row>
    <row r="473" spans="1:27" s="421" customFormat="1" ht="17.25" hidden="1" customHeight="1" x14ac:dyDescent="0.25">
      <c r="A473" s="147" t="s">
        <v>4678</v>
      </c>
      <c r="B473" s="521">
        <v>315</v>
      </c>
      <c r="C473" s="521" t="s">
        <v>4753</v>
      </c>
      <c r="D473" s="142" t="s">
        <v>13</v>
      </c>
      <c r="E473" s="142" t="s">
        <v>30</v>
      </c>
      <c r="F473" s="143">
        <v>45440</v>
      </c>
      <c r="G473" s="143">
        <v>45467</v>
      </c>
      <c r="H473" s="142" t="s">
        <v>23</v>
      </c>
      <c r="I473" s="522"/>
      <c r="J473" s="522"/>
      <c r="K473" s="522"/>
      <c r="L473" s="393">
        <v>8</v>
      </c>
      <c r="M473" s="443">
        <f>Таблица4[[#This Row],[Количество хлыстов]]-Таблица4[[#This Row],[Готово, хл]]-Таблица4[[#This Row],[Вывезено, хл]]</f>
        <v>0</v>
      </c>
      <c r="N473" s="564"/>
      <c r="O473" s="142"/>
      <c r="P473" s="280">
        <v>4.6769999999999996</v>
      </c>
      <c r="Q473" s="525" t="s">
        <v>5136</v>
      </c>
      <c r="R473" s="525">
        <v>8</v>
      </c>
      <c r="S473" s="526">
        <v>8</v>
      </c>
      <c r="T473" s="525">
        <v>0.317</v>
      </c>
      <c r="U473" s="525">
        <v>4.1079999999999997</v>
      </c>
      <c r="V473" s="525">
        <v>2.536</v>
      </c>
      <c r="W473" s="525">
        <v>32.863999999999997</v>
      </c>
      <c r="X473" s="525">
        <v>0.33</v>
      </c>
      <c r="Y473" s="525">
        <v>2400</v>
      </c>
      <c r="Z473" s="525">
        <v>7570.98</v>
      </c>
      <c r="AA473" s="527">
        <v>19200</v>
      </c>
    </row>
    <row r="474" spans="1:27" s="421" customFormat="1" ht="17.25" hidden="1" customHeight="1" x14ac:dyDescent="0.25">
      <c r="A474" s="147" t="s">
        <v>4678</v>
      </c>
      <c r="B474" s="521">
        <v>315</v>
      </c>
      <c r="C474" s="521" t="s">
        <v>4753</v>
      </c>
      <c r="D474" s="142" t="s">
        <v>13</v>
      </c>
      <c r="E474" s="142" t="s">
        <v>30</v>
      </c>
      <c r="F474" s="143">
        <v>45440</v>
      </c>
      <c r="G474" s="143">
        <v>45467</v>
      </c>
      <c r="H474" s="618" t="s">
        <v>23</v>
      </c>
      <c r="I474" s="522"/>
      <c r="J474" s="522"/>
      <c r="K474" s="522"/>
      <c r="L474" s="393"/>
      <c r="M474" s="443">
        <f>Таблица4[[#This Row],[Количество хлыстов]]-Таблица4[[#This Row],[Готово, хл]]-Таблица4[[#This Row],[Вывезено, хл]]</f>
        <v>20</v>
      </c>
      <c r="N474" s="564"/>
      <c r="O474" s="142"/>
      <c r="P474" s="280">
        <v>3.085</v>
      </c>
      <c r="Q474" s="525" t="s">
        <v>5051</v>
      </c>
      <c r="R474" s="525">
        <v>20</v>
      </c>
      <c r="S474" s="526">
        <v>20</v>
      </c>
      <c r="T474" s="525">
        <v>0.97799999999999998</v>
      </c>
      <c r="U474" s="525">
        <v>12.673999999999999</v>
      </c>
      <c r="V474" s="525">
        <v>19.559999999999999</v>
      </c>
      <c r="W474" s="525">
        <v>253.48</v>
      </c>
      <c r="X474" s="525">
        <v>2.54</v>
      </c>
      <c r="Y474" s="525">
        <v>1800</v>
      </c>
      <c r="Z474" s="525">
        <v>1840.49</v>
      </c>
      <c r="AA474" s="527">
        <v>36000</v>
      </c>
    </row>
    <row r="475" spans="1:27" s="421" customFormat="1" ht="17.25" hidden="1" customHeight="1" x14ac:dyDescent="0.25">
      <c r="A475" s="147" t="s">
        <v>4678</v>
      </c>
      <c r="B475" s="521">
        <v>315</v>
      </c>
      <c r="C475" s="521" t="s">
        <v>4753</v>
      </c>
      <c r="D475" s="142" t="s">
        <v>13</v>
      </c>
      <c r="E475" s="142" t="s">
        <v>30</v>
      </c>
      <c r="F475" s="143">
        <v>45440</v>
      </c>
      <c r="G475" s="143">
        <v>45467</v>
      </c>
      <c r="H475" s="618" t="s">
        <v>23</v>
      </c>
      <c r="I475" s="522"/>
      <c r="J475" s="522"/>
      <c r="K475" s="522"/>
      <c r="L475" s="393"/>
      <c r="M475" s="443">
        <f>Таблица4[[#This Row],[Количество хлыстов]]-Таблица4[[#This Row],[Готово, хл]]-Таблица4[[#This Row],[Вывезено, хл]]</f>
        <v>8</v>
      </c>
      <c r="N475" s="564"/>
      <c r="O475" s="142"/>
      <c r="P475" s="280">
        <v>4.0419999999999998</v>
      </c>
      <c r="Q475" s="525" t="s">
        <v>5137</v>
      </c>
      <c r="R475" s="525">
        <v>8</v>
      </c>
      <c r="S475" s="526">
        <v>8</v>
      </c>
      <c r="T475" s="525">
        <v>0.317</v>
      </c>
      <c r="U475" s="525">
        <v>4.1079999999999997</v>
      </c>
      <c r="V475" s="525">
        <v>2.536</v>
      </c>
      <c r="W475" s="525">
        <v>32.863999999999997</v>
      </c>
      <c r="X475" s="525">
        <v>0.33</v>
      </c>
      <c r="Y475" s="525">
        <v>2000</v>
      </c>
      <c r="Z475" s="525">
        <v>6309.15</v>
      </c>
      <c r="AA475" s="527">
        <v>16000</v>
      </c>
    </row>
    <row r="476" spans="1:27" s="421" customFormat="1" ht="17.25" hidden="1" customHeight="1" x14ac:dyDescent="0.25">
      <c r="A476" s="147" t="s">
        <v>4678</v>
      </c>
      <c r="B476" s="521">
        <v>315</v>
      </c>
      <c r="C476" s="521" t="s">
        <v>4753</v>
      </c>
      <c r="D476" s="142" t="s">
        <v>13</v>
      </c>
      <c r="E476" s="142" t="s">
        <v>30</v>
      </c>
      <c r="F476" s="143">
        <v>45440</v>
      </c>
      <c r="G476" s="143">
        <v>45467</v>
      </c>
      <c r="H476" s="142" t="s">
        <v>23</v>
      </c>
      <c r="I476" s="522"/>
      <c r="J476" s="522"/>
      <c r="K476" s="522"/>
      <c r="L476" s="393">
        <v>16</v>
      </c>
      <c r="M476" s="443">
        <f>Таблица4[[#This Row],[Количество хлыстов]]-Таблица4[[#This Row],[Готово, хл]]-Таблица4[[#This Row],[Вывезено, хл]]</f>
        <v>0</v>
      </c>
      <c r="N476" s="564"/>
      <c r="O476" s="142"/>
      <c r="P476" s="280">
        <v>4.57</v>
      </c>
      <c r="Q476" s="525" t="s">
        <v>5054</v>
      </c>
      <c r="R476" s="525">
        <v>16</v>
      </c>
      <c r="S476" s="526">
        <v>16</v>
      </c>
      <c r="T476" s="525">
        <v>1.4490000000000001</v>
      </c>
      <c r="U476" s="525">
        <v>18.774000000000001</v>
      </c>
      <c r="V476" s="525">
        <v>23.184000000000001</v>
      </c>
      <c r="W476" s="525">
        <v>300.38400000000001</v>
      </c>
      <c r="X476" s="525">
        <v>3.01</v>
      </c>
      <c r="Y476" s="525">
        <v>2200</v>
      </c>
      <c r="Z476" s="525">
        <v>1518.29</v>
      </c>
      <c r="AA476" s="527">
        <v>35200</v>
      </c>
    </row>
    <row r="477" spans="1:27" s="421" customFormat="1" ht="17.25" hidden="1" customHeight="1" x14ac:dyDescent="0.25">
      <c r="A477" s="147" t="s">
        <v>4678</v>
      </c>
      <c r="B477" s="521">
        <v>315</v>
      </c>
      <c r="C477" s="521" t="s">
        <v>4753</v>
      </c>
      <c r="D477" s="142" t="s">
        <v>13</v>
      </c>
      <c r="E477" s="142" t="s">
        <v>30</v>
      </c>
      <c r="F477" s="143">
        <v>45440</v>
      </c>
      <c r="G477" s="143">
        <v>45467</v>
      </c>
      <c r="H477" s="618" t="s">
        <v>23</v>
      </c>
      <c r="I477" s="522"/>
      <c r="J477" s="522"/>
      <c r="K477" s="522"/>
      <c r="L477" s="393"/>
      <c r="M477" s="443">
        <f>Таблица4[[#This Row],[Количество хлыстов]]-Таблица4[[#This Row],[Готово, хл]]-Таблица4[[#This Row],[Вывезено, хл]]</f>
        <v>8</v>
      </c>
      <c r="N477" s="564"/>
      <c r="O477" s="142"/>
      <c r="P477" s="280">
        <v>2.036</v>
      </c>
      <c r="Q477" s="525" t="s">
        <v>5138</v>
      </c>
      <c r="R477" s="525">
        <v>8</v>
      </c>
      <c r="S477" s="526">
        <v>8</v>
      </c>
      <c r="T477" s="525">
        <v>0.317</v>
      </c>
      <c r="U477" s="525">
        <v>4.1079999999999997</v>
      </c>
      <c r="V477" s="525">
        <v>2.536</v>
      </c>
      <c r="W477" s="525">
        <v>32.863999999999997</v>
      </c>
      <c r="X477" s="525">
        <v>0.33</v>
      </c>
      <c r="Y477" s="525">
        <v>1700</v>
      </c>
      <c r="Z477" s="525">
        <v>5362.78</v>
      </c>
      <c r="AA477" s="527">
        <v>13600</v>
      </c>
    </row>
    <row r="478" spans="1:27" s="421" customFormat="1" ht="17.25" hidden="1" customHeight="1" x14ac:dyDescent="0.25">
      <c r="A478" s="147" t="s">
        <v>4678</v>
      </c>
      <c r="B478" s="521">
        <v>315</v>
      </c>
      <c r="C478" s="521" t="s">
        <v>4753</v>
      </c>
      <c r="D478" s="142" t="s">
        <v>13</v>
      </c>
      <c r="E478" s="142" t="s">
        <v>30</v>
      </c>
      <c r="F478" s="143">
        <v>45440</v>
      </c>
      <c r="G478" s="143">
        <v>45467</v>
      </c>
      <c r="H478" s="142" t="s">
        <v>23</v>
      </c>
      <c r="I478" s="522"/>
      <c r="J478" s="522"/>
      <c r="K478" s="522"/>
      <c r="L478" s="393">
        <v>12</v>
      </c>
      <c r="M478" s="443">
        <f>Таблица4[[#This Row],[Количество хлыстов]]-Таблица4[[#This Row],[Готово, хл]]-Таблица4[[#This Row],[Вывезено, хл]]</f>
        <v>0</v>
      </c>
      <c r="N478" s="564"/>
      <c r="O478" s="142"/>
      <c r="P478" s="280">
        <v>4.9400000000000004</v>
      </c>
      <c r="Q478" s="525" t="s">
        <v>5055</v>
      </c>
      <c r="R478" s="525">
        <v>12</v>
      </c>
      <c r="S478" s="526">
        <v>12</v>
      </c>
      <c r="T478" s="525">
        <v>1.5660000000000001</v>
      </c>
      <c r="U478" s="525">
        <v>20.294</v>
      </c>
      <c r="V478" s="525">
        <v>18.792000000000002</v>
      </c>
      <c r="W478" s="525">
        <v>243.52799999999999</v>
      </c>
      <c r="X478" s="525">
        <v>2.44</v>
      </c>
      <c r="Y478" s="525">
        <v>2300</v>
      </c>
      <c r="Z478" s="525">
        <v>1468.71</v>
      </c>
      <c r="AA478" s="527">
        <v>27600</v>
      </c>
    </row>
    <row r="479" spans="1:27" s="421" customFormat="1" ht="17.25" hidden="1" customHeight="1" x14ac:dyDescent="0.25">
      <c r="A479" s="147" t="s">
        <v>4678</v>
      </c>
      <c r="B479" s="521">
        <v>315</v>
      </c>
      <c r="C479" s="521" t="s">
        <v>4753</v>
      </c>
      <c r="D479" s="142" t="s">
        <v>13</v>
      </c>
      <c r="E479" s="142" t="s">
        <v>30</v>
      </c>
      <c r="F479" s="143">
        <v>45440</v>
      </c>
      <c r="G479" s="143">
        <v>45467</v>
      </c>
      <c r="H479" s="142" t="s">
        <v>23</v>
      </c>
      <c r="I479" s="522"/>
      <c r="J479" s="522"/>
      <c r="K479" s="522"/>
      <c r="L479" s="393">
        <v>128</v>
      </c>
      <c r="M479" s="443">
        <f>Таблица4[[#This Row],[Количество хлыстов]]-Таблица4[[#This Row],[Готово, хл]]-Таблица4[[#This Row],[Вывезено, хл]]</f>
        <v>0</v>
      </c>
      <c r="N479" s="564"/>
      <c r="O479" s="142"/>
      <c r="P479" s="280">
        <v>5.0049999999999999</v>
      </c>
      <c r="Q479" s="525" t="s">
        <v>5056</v>
      </c>
      <c r="R479" s="525">
        <v>128</v>
      </c>
      <c r="S479" s="526">
        <v>128</v>
      </c>
      <c r="T479" s="525">
        <v>1.587</v>
      </c>
      <c r="U479" s="525">
        <v>20.561</v>
      </c>
      <c r="V479" s="525">
        <v>203.136</v>
      </c>
      <c r="W479" s="525">
        <v>2631.808</v>
      </c>
      <c r="X479" s="525">
        <v>26.41</v>
      </c>
      <c r="Y479" s="525">
        <v>2700</v>
      </c>
      <c r="Z479" s="525">
        <v>1701.32</v>
      </c>
      <c r="AA479" s="527">
        <v>345600</v>
      </c>
    </row>
    <row r="480" spans="1:27" s="421" customFormat="1" ht="17.25" hidden="1" customHeight="1" x14ac:dyDescent="0.25">
      <c r="A480" s="147" t="s">
        <v>4678</v>
      </c>
      <c r="B480" s="521">
        <v>315</v>
      </c>
      <c r="C480" s="521" t="s">
        <v>4753</v>
      </c>
      <c r="D480" s="142" t="s">
        <v>13</v>
      </c>
      <c r="E480" s="142" t="s">
        <v>30</v>
      </c>
      <c r="F480" s="143">
        <v>45440</v>
      </c>
      <c r="G480" s="143">
        <v>45467</v>
      </c>
      <c r="H480" s="142" t="s">
        <v>23</v>
      </c>
      <c r="I480" s="522"/>
      <c r="J480" s="522"/>
      <c r="K480" s="522"/>
      <c r="L480" s="393">
        <v>76</v>
      </c>
      <c r="M480" s="443">
        <f>Таблица4[[#This Row],[Количество хлыстов]]-Таблица4[[#This Row],[Готово, хл]]-Таблица4[[#This Row],[Вывезено, хл]]</f>
        <v>0</v>
      </c>
      <c r="N480" s="564"/>
      <c r="O480" s="142"/>
      <c r="P480" s="280">
        <v>5.1349999999999998</v>
      </c>
      <c r="Q480" s="525" t="s">
        <v>5058</v>
      </c>
      <c r="R480" s="525">
        <v>76</v>
      </c>
      <c r="S480" s="526">
        <v>76</v>
      </c>
      <c r="T480" s="525">
        <v>1.6279999999999999</v>
      </c>
      <c r="U480" s="525">
        <v>21.094999999999999</v>
      </c>
      <c r="V480" s="525">
        <v>123.72799999999999</v>
      </c>
      <c r="W480" s="525">
        <v>1603.22</v>
      </c>
      <c r="X480" s="525">
        <v>16.079999999999998</v>
      </c>
      <c r="Y480" s="525">
        <v>2800</v>
      </c>
      <c r="Z480" s="525">
        <v>1719.9</v>
      </c>
      <c r="AA480" s="527">
        <v>212800</v>
      </c>
    </row>
    <row r="481" spans="1:27" s="421" customFormat="1" ht="17.25" hidden="1" customHeight="1" x14ac:dyDescent="0.25">
      <c r="A481" s="147" t="s">
        <v>4678</v>
      </c>
      <c r="B481" s="521">
        <v>315</v>
      </c>
      <c r="C481" s="521" t="s">
        <v>4753</v>
      </c>
      <c r="D481" s="142" t="s">
        <v>13</v>
      </c>
      <c r="E481" s="142" t="s">
        <v>30</v>
      </c>
      <c r="F481" s="143">
        <v>45440</v>
      </c>
      <c r="G481" s="143">
        <v>45467</v>
      </c>
      <c r="H481" s="618" t="s">
        <v>23</v>
      </c>
      <c r="I481" s="522"/>
      <c r="J481" s="522"/>
      <c r="K481" s="522"/>
      <c r="L481" s="393"/>
      <c r="M481" s="443">
        <f>Таблица4[[#This Row],[Количество хлыстов]]-Таблица4[[#This Row],[Готово, хл]]-Таблица4[[#This Row],[Вывезено, хл]]</f>
        <v>2</v>
      </c>
      <c r="N481" s="564"/>
      <c r="O481" s="142"/>
      <c r="P481" s="280">
        <v>1.03</v>
      </c>
      <c r="Q481" s="525" t="s">
        <v>5046</v>
      </c>
      <c r="R481" s="525">
        <v>2</v>
      </c>
      <c r="S481" s="526">
        <v>2</v>
      </c>
      <c r="T481" s="525">
        <v>0.32700000000000001</v>
      </c>
      <c r="U481" s="525">
        <v>4.2320000000000002</v>
      </c>
      <c r="V481" s="525">
        <v>0.65400000000000003</v>
      </c>
      <c r="W481" s="525">
        <v>8.4640000000000004</v>
      </c>
      <c r="X481" s="525">
        <v>0.09</v>
      </c>
      <c r="Y481" s="525">
        <v>750</v>
      </c>
      <c r="Z481" s="525">
        <v>2293.58</v>
      </c>
      <c r="AA481" s="527">
        <v>1500</v>
      </c>
    </row>
    <row r="482" spans="1:27" s="421" customFormat="1" ht="17.25" hidden="1" customHeight="1" x14ac:dyDescent="0.25">
      <c r="A482" s="147" t="s">
        <v>4678</v>
      </c>
      <c r="B482" s="521">
        <v>315</v>
      </c>
      <c r="C482" s="521" t="s">
        <v>4753</v>
      </c>
      <c r="D482" s="142" t="s">
        <v>13</v>
      </c>
      <c r="E482" s="142" t="s">
        <v>30</v>
      </c>
      <c r="F482" s="143">
        <v>45440</v>
      </c>
      <c r="G482" s="143">
        <v>45467</v>
      </c>
      <c r="H482" s="142" t="s">
        <v>23</v>
      </c>
      <c r="I482" s="522"/>
      <c r="J482" s="522"/>
      <c r="K482" s="522"/>
      <c r="L482" s="393">
        <v>2</v>
      </c>
      <c r="M482" s="443">
        <f>Таблица4[[#This Row],[Количество хлыстов]]-Таблица4[[#This Row],[Готово, хл]]-Таблица4[[#This Row],[Вывезено, хл]]</f>
        <v>0</v>
      </c>
      <c r="N482" s="564"/>
      <c r="O482" s="142"/>
      <c r="P482" s="280">
        <v>2.6749999999999998</v>
      </c>
      <c r="Q482" s="525" t="s">
        <v>5050</v>
      </c>
      <c r="R482" s="525">
        <v>2</v>
      </c>
      <c r="S482" s="526">
        <v>2</v>
      </c>
      <c r="T482" s="525">
        <v>0.84799999999999998</v>
      </c>
      <c r="U482" s="525">
        <v>10.989000000000001</v>
      </c>
      <c r="V482" s="525">
        <v>1.696</v>
      </c>
      <c r="W482" s="525">
        <v>21.978000000000002</v>
      </c>
      <c r="X482" s="525">
        <v>0.22</v>
      </c>
      <c r="Y482" s="525">
        <v>1600</v>
      </c>
      <c r="Z482" s="525">
        <v>1886.79</v>
      </c>
      <c r="AA482" s="527">
        <v>3200</v>
      </c>
    </row>
    <row r="483" spans="1:27" s="421" customFormat="1" ht="17.25" hidden="1" customHeight="1" x14ac:dyDescent="0.25">
      <c r="A483" s="147" t="s">
        <v>4678</v>
      </c>
      <c r="B483" s="521">
        <v>315</v>
      </c>
      <c r="C483" s="521" t="s">
        <v>4753</v>
      </c>
      <c r="D483" s="142" t="s">
        <v>13</v>
      </c>
      <c r="E483" s="142" t="s">
        <v>30</v>
      </c>
      <c r="F483" s="143">
        <v>45440</v>
      </c>
      <c r="G483" s="143">
        <v>45467</v>
      </c>
      <c r="H483" s="618" t="s">
        <v>23</v>
      </c>
      <c r="I483" s="522"/>
      <c r="J483" s="522"/>
      <c r="K483" s="522"/>
      <c r="L483" s="393"/>
      <c r="M483" s="443">
        <f>Таблица4[[#This Row],[Количество хлыстов]]-Таблица4[[#This Row],[Готово, хл]]-Таблица4[[#This Row],[Вывезено, хл]]</f>
        <v>8</v>
      </c>
      <c r="N483" s="564"/>
      <c r="O483" s="142"/>
      <c r="P483" s="280">
        <v>4.7549999999999999</v>
      </c>
      <c r="Q483" s="525" t="s">
        <v>5139</v>
      </c>
      <c r="R483" s="525">
        <v>8</v>
      </c>
      <c r="S483" s="526">
        <v>8</v>
      </c>
      <c r="T483" s="525">
        <v>0.317</v>
      </c>
      <c r="U483" s="525">
        <v>4.1079999999999997</v>
      </c>
      <c r="V483" s="525">
        <v>2.536</v>
      </c>
      <c r="W483" s="525">
        <v>32.863999999999997</v>
      </c>
      <c r="X483" s="525">
        <v>0.33</v>
      </c>
      <c r="Y483" s="525">
        <v>2600</v>
      </c>
      <c r="Z483" s="525">
        <v>8201.89</v>
      </c>
      <c r="AA483" s="527">
        <v>20800</v>
      </c>
    </row>
    <row r="484" spans="1:27" s="421" customFormat="1" ht="17.45" hidden="1" customHeight="1" x14ac:dyDescent="0.25">
      <c r="A484" s="147" t="s">
        <v>4678</v>
      </c>
      <c r="B484" s="625">
        <v>316</v>
      </c>
      <c r="C484" s="625" t="s">
        <v>4753</v>
      </c>
      <c r="D484" s="162" t="s">
        <v>13</v>
      </c>
      <c r="E484" s="162" t="s">
        <v>30</v>
      </c>
      <c r="F484" s="168">
        <v>45440</v>
      </c>
      <c r="G484" s="168">
        <v>45488</v>
      </c>
      <c r="H484" s="142" t="s">
        <v>23</v>
      </c>
      <c r="I484" s="522"/>
      <c r="J484" s="522"/>
      <c r="K484" s="522"/>
      <c r="L484" s="393"/>
      <c r="M484" s="443">
        <f>Таблица4[[#This Row],[Количество хлыстов]]-Таблица4[[#This Row],[Готово, хл]]-Таблица4[[#This Row],[Вывезено, хл]]</f>
        <v>613</v>
      </c>
      <c r="N484" s="673">
        <v>15</v>
      </c>
      <c r="O484" s="142"/>
      <c r="P484" s="280">
        <v>3</v>
      </c>
      <c r="Q484" s="525" t="s">
        <v>5059</v>
      </c>
      <c r="R484" s="525"/>
      <c r="S484" s="526">
        <v>613</v>
      </c>
      <c r="T484" s="525">
        <v>0.60599999999999998</v>
      </c>
      <c r="U484" s="525">
        <v>0.8</v>
      </c>
      <c r="V484" s="525">
        <v>371.47800000000001</v>
      </c>
      <c r="W484" s="525">
        <v>490.4</v>
      </c>
      <c r="X484" s="525">
        <v>48.29</v>
      </c>
      <c r="Y484" s="525">
        <v>512.6</v>
      </c>
      <c r="Z484" s="525">
        <v>845.87</v>
      </c>
      <c r="AA484" s="527">
        <v>314222</v>
      </c>
    </row>
    <row r="485" spans="1:27" s="421" customFormat="1" ht="17.45" hidden="1" customHeight="1" x14ac:dyDescent="0.25">
      <c r="A485" s="147" t="s">
        <v>4678</v>
      </c>
      <c r="B485" s="625">
        <v>317</v>
      </c>
      <c r="C485" s="625" t="s">
        <v>4753</v>
      </c>
      <c r="D485" s="162" t="s">
        <v>13</v>
      </c>
      <c r="E485" s="162" t="s">
        <v>30</v>
      </c>
      <c r="F485" s="168">
        <v>45440</v>
      </c>
      <c r="G485" s="168">
        <v>45488</v>
      </c>
      <c r="H485" s="142" t="s">
        <v>23</v>
      </c>
      <c r="I485" s="522"/>
      <c r="J485" s="522"/>
      <c r="K485" s="522">
        <v>20</v>
      </c>
      <c r="L485" s="393"/>
      <c r="M485" s="443">
        <f>Таблица4[[#This Row],[Количество хлыстов]]-Таблица4[[#This Row],[Готово, хл]]-Таблица4[[#This Row],[Вывезено, хл]]</f>
        <v>0</v>
      </c>
      <c r="N485" s="673">
        <v>17</v>
      </c>
      <c r="O485" s="142"/>
      <c r="P485" s="280"/>
      <c r="Q485" s="525" t="s">
        <v>5066</v>
      </c>
      <c r="R485" s="525"/>
      <c r="S485" s="526">
        <v>20</v>
      </c>
      <c r="T485" s="525">
        <v>4.2809999999999997</v>
      </c>
      <c r="U485" s="525">
        <v>8.5730000000000004</v>
      </c>
      <c r="V485" s="525">
        <v>85.62</v>
      </c>
      <c r="W485" s="525">
        <v>171.46</v>
      </c>
      <c r="X485" s="525">
        <v>11.13</v>
      </c>
      <c r="Y485" s="525">
        <v>4841</v>
      </c>
      <c r="Z485" s="525">
        <v>1130.81</v>
      </c>
      <c r="AA485" s="527">
        <v>96820</v>
      </c>
    </row>
    <row r="486" spans="1:27" s="421" customFormat="1" ht="17.45" hidden="1" customHeight="1" x14ac:dyDescent="0.25">
      <c r="A486" s="147" t="s">
        <v>4678</v>
      </c>
      <c r="B486" s="625">
        <v>317</v>
      </c>
      <c r="C486" s="625" t="s">
        <v>4753</v>
      </c>
      <c r="D486" s="162" t="s">
        <v>13</v>
      </c>
      <c r="E486" s="162" t="s">
        <v>30</v>
      </c>
      <c r="F486" s="168">
        <v>45440</v>
      </c>
      <c r="G486" s="168">
        <v>45488</v>
      </c>
      <c r="H486" s="142" t="s">
        <v>23</v>
      </c>
      <c r="I486" s="522"/>
      <c r="J486" s="522"/>
      <c r="K486" s="522">
        <v>20</v>
      </c>
      <c r="L486" s="393"/>
      <c r="M486" s="443">
        <f>Таблица4[[#This Row],[Количество хлыстов]]-Таблица4[[#This Row],[Готово, хл]]-Таблица4[[#This Row],[Вывезено, хл]]</f>
        <v>0</v>
      </c>
      <c r="N486" s="673">
        <f>((Таблица4[[#This Row],[Осталось сделать, хлыст]]*Таблица4[[#This Row],[длина]])*Таблица4[[#This Row],[Периметр]])/28</f>
        <v>0</v>
      </c>
      <c r="O486" s="142"/>
      <c r="P486" s="280"/>
      <c r="Q486" s="525" t="s">
        <v>5067</v>
      </c>
      <c r="R486" s="525"/>
      <c r="S486" s="526">
        <v>20</v>
      </c>
      <c r="T486" s="525">
        <v>4.8841999999999999</v>
      </c>
      <c r="U486" s="525">
        <v>9.7810000000000006</v>
      </c>
      <c r="V486" s="525">
        <v>97.683999999999997</v>
      </c>
      <c r="W486" s="525">
        <v>195.62</v>
      </c>
      <c r="X486" s="525">
        <v>12.7</v>
      </c>
      <c r="Y486" s="525">
        <v>4014</v>
      </c>
      <c r="Z486" s="525">
        <v>821.83</v>
      </c>
      <c r="AA486" s="527">
        <v>80280</v>
      </c>
    </row>
    <row r="487" spans="1:27" s="421" customFormat="1" ht="17.45" hidden="1" customHeight="1" x14ac:dyDescent="0.25">
      <c r="A487" s="147" t="s">
        <v>4678</v>
      </c>
      <c r="B487" s="625">
        <v>317</v>
      </c>
      <c r="C487" s="625" t="s">
        <v>4753</v>
      </c>
      <c r="D487" s="162" t="s">
        <v>13</v>
      </c>
      <c r="E487" s="162" t="s">
        <v>30</v>
      </c>
      <c r="F487" s="168">
        <v>45440</v>
      </c>
      <c r="G487" s="168">
        <v>45488</v>
      </c>
      <c r="H487" s="142" t="s">
        <v>23</v>
      </c>
      <c r="I487" s="522"/>
      <c r="J487" s="522"/>
      <c r="K487" s="522">
        <v>20</v>
      </c>
      <c r="L487" s="393"/>
      <c r="M487" s="443">
        <f>Таблица4[[#This Row],[Количество хлыстов]]-Таблица4[[#This Row],[Готово, хл]]-Таблица4[[#This Row],[Вывезено, хл]]</f>
        <v>0</v>
      </c>
      <c r="N487" s="673">
        <f>((Таблица4[[#This Row],[Осталось сделать, хлыст]]*Таблица4[[#This Row],[длина]])*Таблица4[[#This Row],[Периметр]])/28</f>
        <v>0</v>
      </c>
      <c r="O487" s="142"/>
      <c r="P487" s="280"/>
      <c r="Q487" s="525" t="s">
        <v>5068</v>
      </c>
      <c r="R487" s="525"/>
      <c r="S487" s="526">
        <v>20</v>
      </c>
      <c r="T487" s="525">
        <v>3.1783000000000001</v>
      </c>
      <c r="U487" s="525">
        <v>6.3650000000000002</v>
      </c>
      <c r="V487" s="525">
        <v>63.566000000000003</v>
      </c>
      <c r="W487" s="525">
        <v>127.3</v>
      </c>
      <c r="X487" s="525">
        <v>8.26</v>
      </c>
      <c r="Y487" s="525">
        <v>3800</v>
      </c>
      <c r="Z487" s="525">
        <v>1195.6099999999999</v>
      </c>
      <c r="AA487" s="527">
        <v>76000</v>
      </c>
    </row>
    <row r="488" spans="1:27" s="421" customFormat="1" ht="17.45" hidden="1" customHeight="1" x14ac:dyDescent="0.25">
      <c r="A488" s="147" t="s">
        <v>4678</v>
      </c>
      <c r="B488" s="625">
        <v>317</v>
      </c>
      <c r="C488" s="625" t="s">
        <v>4753</v>
      </c>
      <c r="D488" s="162" t="s">
        <v>13</v>
      </c>
      <c r="E488" s="162" t="s">
        <v>30</v>
      </c>
      <c r="F488" s="168">
        <v>45440</v>
      </c>
      <c r="G488" s="168">
        <v>45488</v>
      </c>
      <c r="H488" s="142" t="s">
        <v>23</v>
      </c>
      <c r="I488" s="522"/>
      <c r="J488" s="522"/>
      <c r="K488" s="522">
        <v>20</v>
      </c>
      <c r="L488" s="393"/>
      <c r="M488" s="443">
        <f>Таблица4[[#This Row],[Количество хлыстов]]-Таблица4[[#This Row],[Готово, хл]]-Таблица4[[#This Row],[Вывезено, хл]]</f>
        <v>0</v>
      </c>
      <c r="N488" s="673">
        <f>((Таблица4[[#This Row],[Осталось сделать, хлыст]]*Таблица4[[#This Row],[длина]])*Таблица4[[#This Row],[Периметр]])/28</f>
        <v>0</v>
      </c>
      <c r="O488" s="142"/>
      <c r="P488" s="280"/>
      <c r="Q488" s="525" t="s">
        <v>5069</v>
      </c>
      <c r="R488" s="525"/>
      <c r="S488" s="526">
        <v>20</v>
      </c>
      <c r="T488" s="525">
        <v>2.0752000000000002</v>
      </c>
      <c r="U488" s="525">
        <v>4.1559999999999997</v>
      </c>
      <c r="V488" s="525">
        <v>41.503999999999998</v>
      </c>
      <c r="W488" s="525">
        <v>83.12</v>
      </c>
      <c r="X488" s="525">
        <v>5.4</v>
      </c>
      <c r="Y488" s="525">
        <v>3245</v>
      </c>
      <c r="Z488" s="525">
        <v>1563.7</v>
      </c>
      <c r="AA488" s="527">
        <v>64900</v>
      </c>
    </row>
    <row r="489" spans="1:27" s="421" customFormat="1" ht="17.45" hidden="1" customHeight="1" x14ac:dyDescent="0.25">
      <c r="A489" s="147" t="s">
        <v>4678</v>
      </c>
      <c r="B489" s="625">
        <v>317</v>
      </c>
      <c r="C489" s="625" t="s">
        <v>4753</v>
      </c>
      <c r="D489" s="162" t="s">
        <v>13</v>
      </c>
      <c r="E489" s="162" t="s">
        <v>30</v>
      </c>
      <c r="F489" s="168">
        <v>45440</v>
      </c>
      <c r="G489" s="168">
        <v>45488</v>
      </c>
      <c r="H489" s="142" t="s">
        <v>23</v>
      </c>
      <c r="I489" s="522"/>
      <c r="J489" s="522"/>
      <c r="K489" s="522">
        <v>20</v>
      </c>
      <c r="L489" s="393"/>
      <c r="M489" s="443">
        <f>Таблица4[[#This Row],[Количество хлыстов]]-Таблица4[[#This Row],[Готово, хл]]-Таблица4[[#This Row],[Вывезено, хл]]</f>
        <v>0</v>
      </c>
      <c r="N489" s="673">
        <f>((Таблица4[[#This Row],[Осталось сделать, хлыст]]*Таблица4[[#This Row],[длина]])*Таблица4[[#This Row],[Периметр]])/28</f>
        <v>0</v>
      </c>
      <c r="O489" s="142"/>
      <c r="P489" s="280"/>
      <c r="Q489" s="525" t="s">
        <v>5070</v>
      </c>
      <c r="R489" s="525"/>
      <c r="S489" s="526">
        <v>20</v>
      </c>
      <c r="T489" s="525">
        <v>1.2896000000000001</v>
      </c>
      <c r="U489" s="525">
        <v>2.5819999999999999</v>
      </c>
      <c r="V489" s="525">
        <v>25.792000000000002</v>
      </c>
      <c r="W489" s="525">
        <v>51.64</v>
      </c>
      <c r="X489" s="525">
        <v>3.35</v>
      </c>
      <c r="Y489" s="525">
        <v>2890</v>
      </c>
      <c r="Z489" s="525">
        <v>2241</v>
      </c>
      <c r="AA489" s="527">
        <v>57800</v>
      </c>
    </row>
    <row r="490" spans="1:27" s="421" customFormat="1" ht="17.45" hidden="1" customHeight="1" x14ac:dyDescent="0.25">
      <c r="A490" s="147" t="s">
        <v>4678</v>
      </c>
      <c r="B490" s="521">
        <v>318</v>
      </c>
      <c r="C490" s="521" t="s">
        <v>4753</v>
      </c>
      <c r="D490" s="142" t="s">
        <v>13</v>
      </c>
      <c r="E490" s="142" t="s">
        <v>30</v>
      </c>
      <c r="F490" s="143">
        <v>45440</v>
      </c>
      <c r="G490" s="143">
        <v>45476</v>
      </c>
      <c r="H490" s="142" t="s">
        <v>23</v>
      </c>
      <c r="I490" s="522"/>
      <c r="J490" s="522"/>
      <c r="K490" s="522"/>
      <c r="L490" s="393"/>
      <c r="M490" s="443">
        <f>Таблица4[[#This Row],[Количество хлыстов]]-Таблица4[[#This Row],[Готово, хл]]-Таблица4[[#This Row],[Вывезено, хл]]</f>
        <v>64</v>
      </c>
      <c r="N490" s="564">
        <v>5</v>
      </c>
      <c r="O490" s="142"/>
      <c r="P490" s="280">
        <v>1.1000000000000001</v>
      </c>
      <c r="Q490" s="525" t="s">
        <v>5140</v>
      </c>
      <c r="R490" s="525">
        <v>64</v>
      </c>
      <c r="S490" s="526">
        <v>64</v>
      </c>
      <c r="T490" s="525">
        <v>0.19</v>
      </c>
      <c r="U490" s="525">
        <v>0.89700000000000002</v>
      </c>
      <c r="V490" s="525">
        <v>12.16</v>
      </c>
      <c r="W490" s="525">
        <v>57.408000000000001</v>
      </c>
      <c r="X490" s="525">
        <v>1.58</v>
      </c>
      <c r="Y490" s="525">
        <v>170</v>
      </c>
      <c r="Z490" s="525">
        <v>894.74</v>
      </c>
      <c r="AA490" s="527">
        <v>10880</v>
      </c>
    </row>
    <row r="491" spans="1:27" s="421" customFormat="1" ht="17.45" hidden="1" customHeight="1" x14ac:dyDescent="0.25">
      <c r="A491" s="147" t="s">
        <v>4678</v>
      </c>
      <c r="B491" s="521">
        <v>318</v>
      </c>
      <c r="C491" s="521" t="s">
        <v>4753</v>
      </c>
      <c r="D491" s="142" t="s">
        <v>13</v>
      </c>
      <c r="E491" s="142" t="s">
        <v>30</v>
      </c>
      <c r="F491" s="143">
        <v>45440</v>
      </c>
      <c r="G491" s="143">
        <v>45476</v>
      </c>
      <c r="H491" s="142" t="s">
        <v>23</v>
      </c>
      <c r="I491" s="522"/>
      <c r="J491" s="522"/>
      <c r="K491" s="522"/>
      <c r="L491" s="393"/>
      <c r="M491" s="443">
        <f>Таблица4[[#This Row],[Количество хлыстов]]-Таблица4[[#This Row],[Готово, хл]]-Таблица4[[#This Row],[Вывезено, хл]]</f>
        <v>64</v>
      </c>
      <c r="N491" s="564"/>
      <c r="O491" s="142"/>
      <c r="P491" s="280">
        <v>1.1000000000000001</v>
      </c>
      <c r="Q491" s="525" t="s">
        <v>5141</v>
      </c>
      <c r="R491" s="525">
        <v>64</v>
      </c>
      <c r="S491" s="526">
        <v>64</v>
      </c>
      <c r="T491" s="525">
        <v>0.188</v>
      </c>
      <c r="U491" s="525">
        <v>0.84199999999999997</v>
      </c>
      <c r="V491" s="525">
        <v>12.032</v>
      </c>
      <c r="W491" s="525">
        <v>53.887999999999998</v>
      </c>
      <c r="X491" s="525">
        <v>1.56</v>
      </c>
      <c r="Y491" s="525">
        <v>170</v>
      </c>
      <c r="Z491" s="525">
        <v>904.26</v>
      </c>
      <c r="AA491" s="527">
        <v>10880</v>
      </c>
    </row>
    <row r="492" spans="1:27" s="421" customFormat="1" ht="17.45" hidden="1" customHeight="1" x14ac:dyDescent="0.25">
      <c r="A492" s="147" t="s">
        <v>4678</v>
      </c>
      <c r="B492" s="521">
        <v>318</v>
      </c>
      <c r="C492" s="521" t="s">
        <v>4753</v>
      </c>
      <c r="D492" s="142" t="s">
        <v>13</v>
      </c>
      <c r="E492" s="142" t="s">
        <v>30</v>
      </c>
      <c r="F492" s="143">
        <v>45440</v>
      </c>
      <c r="G492" s="143">
        <v>45476</v>
      </c>
      <c r="H492" s="142" t="s">
        <v>23</v>
      </c>
      <c r="I492" s="522"/>
      <c r="J492" s="522"/>
      <c r="K492" s="522"/>
      <c r="L492" s="393"/>
      <c r="M492" s="443">
        <f>Таблица4[[#This Row],[Количество хлыстов]]-Таблица4[[#This Row],[Готово, хл]]-Таблица4[[#This Row],[Вывезено, хл]]</f>
        <v>10</v>
      </c>
      <c r="N492" s="564"/>
      <c r="O492" s="142"/>
      <c r="P492" s="280">
        <v>1.25</v>
      </c>
      <c r="Q492" s="525" t="s">
        <v>5142</v>
      </c>
      <c r="R492" s="525">
        <v>10</v>
      </c>
      <c r="S492" s="526">
        <v>10</v>
      </c>
      <c r="T492" s="525">
        <v>0.216</v>
      </c>
      <c r="U492" s="525">
        <v>1.0189999999999999</v>
      </c>
      <c r="V492" s="525">
        <v>2.16</v>
      </c>
      <c r="W492" s="525">
        <v>10.19</v>
      </c>
      <c r="X492" s="525">
        <v>0.28000000000000003</v>
      </c>
      <c r="Y492" s="525">
        <v>234</v>
      </c>
      <c r="Z492" s="525">
        <v>1083.33</v>
      </c>
      <c r="AA492" s="527">
        <v>2340</v>
      </c>
    </row>
    <row r="493" spans="1:27" s="421" customFormat="1" ht="17.45" hidden="1" customHeight="1" x14ac:dyDescent="0.25">
      <c r="A493" s="147" t="s">
        <v>4678</v>
      </c>
      <c r="B493" s="521">
        <v>318</v>
      </c>
      <c r="C493" s="521" t="s">
        <v>4753</v>
      </c>
      <c r="D493" s="142" t="s">
        <v>13</v>
      </c>
      <c r="E493" s="142" t="s">
        <v>30</v>
      </c>
      <c r="F493" s="143">
        <v>45440</v>
      </c>
      <c r="G493" s="143">
        <v>45476</v>
      </c>
      <c r="H493" s="142" t="s">
        <v>23</v>
      </c>
      <c r="I493" s="522"/>
      <c r="J493" s="522"/>
      <c r="K493" s="522"/>
      <c r="L493" s="393"/>
      <c r="M493" s="443">
        <f>Таблица4[[#This Row],[Количество хлыстов]]-Таблица4[[#This Row],[Готово, хл]]-Таблица4[[#This Row],[Вывезено, хл]]</f>
        <v>10</v>
      </c>
      <c r="N493" s="564"/>
      <c r="O493" s="142"/>
      <c r="P493" s="280">
        <v>1.25</v>
      </c>
      <c r="Q493" s="525" t="s">
        <v>5143</v>
      </c>
      <c r="R493" s="525">
        <v>10</v>
      </c>
      <c r="S493" s="526">
        <v>10</v>
      </c>
      <c r="T493" s="525">
        <v>0.21299999999999999</v>
      </c>
      <c r="U493" s="525">
        <v>0.95699999999999996</v>
      </c>
      <c r="V493" s="525">
        <v>2.13</v>
      </c>
      <c r="W493" s="525">
        <v>9.57</v>
      </c>
      <c r="X493" s="525">
        <v>0.28000000000000003</v>
      </c>
      <c r="Y493" s="525">
        <v>234</v>
      </c>
      <c r="Z493" s="525">
        <v>1098.5899999999999</v>
      </c>
      <c r="AA493" s="527">
        <v>2340</v>
      </c>
    </row>
    <row r="494" spans="1:27" s="421" customFormat="1" ht="17.45" hidden="1" customHeight="1" x14ac:dyDescent="0.25">
      <c r="A494" s="147" t="s">
        <v>4678</v>
      </c>
      <c r="B494" s="521">
        <v>318</v>
      </c>
      <c r="C494" s="521" t="s">
        <v>4753</v>
      </c>
      <c r="D494" s="142" t="s">
        <v>13</v>
      </c>
      <c r="E494" s="142" t="s">
        <v>30</v>
      </c>
      <c r="F494" s="143">
        <v>45440</v>
      </c>
      <c r="G494" s="143">
        <v>45476</v>
      </c>
      <c r="H494" s="142" t="s">
        <v>23</v>
      </c>
      <c r="I494" s="522"/>
      <c r="J494" s="522"/>
      <c r="K494" s="522"/>
      <c r="L494" s="393"/>
      <c r="M494" s="443">
        <f>Таблица4[[#This Row],[Количество хлыстов]]-Таблица4[[#This Row],[Готово, хл]]-Таблица4[[#This Row],[Вывезено, хл]]</f>
        <v>148</v>
      </c>
      <c r="N494" s="564"/>
      <c r="O494" s="142"/>
      <c r="P494" s="280">
        <v>1.56</v>
      </c>
      <c r="Q494" s="525" t="s">
        <v>5144</v>
      </c>
      <c r="R494" s="525">
        <v>148</v>
      </c>
      <c r="S494" s="526">
        <v>148</v>
      </c>
      <c r="T494" s="525">
        <v>0.27</v>
      </c>
      <c r="U494" s="525">
        <v>1.272</v>
      </c>
      <c r="V494" s="525">
        <v>39.96</v>
      </c>
      <c r="W494" s="525">
        <v>188.256</v>
      </c>
      <c r="X494" s="525">
        <v>5.19</v>
      </c>
      <c r="Y494" s="525">
        <v>260</v>
      </c>
      <c r="Z494" s="525">
        <v>962.96</v>
      </c>
      <c r="AA494" s="527">
        <v>38480</v>
      </c>
    </row>
    <row r="495" spans="1:27" ht="17.45" hidden="1" customHeight="1" x14ac:dyDescent="0.25">
      <c r="A495" s="147" t="s">
        <v>4678</v>
      </c>
      <c r="B495" s="521">
        <v>318</v>
      </c>
      <c r="C495" s="521" t="s">
        <v>4753</v>
      </c>
      <c r="D495" s="142" t="s">
        <v>13</v>
      </c>
      <c r="E495" s="142" t="s">
        <v>30</v>
      </c>
      <c r="F495" s="143">
        <v>45440</v>
      </c>
      <c r="G495" s="143">
        <v>45476</v>
      </c>
      <c r="H495" s="142" t="s">
        <v>23</v>
      </c>
      <c r="I495" s="522"/>
      <c r="J495" s="522"/>
      <c r="K495" s="522"/>
      <c r="L495" s="393"/>
      <c r="M495" s="443">
        <f>Таблица4[[#This Row],[Количество хлыстов]]-Таблица4[[#This Row],[Готово, хл]]-Таблица4[[#This Row],[Вывезено, хл]]</f>
        <v>148</v>
      </c>
      <c r="N495" s="673"/>
      <c r="O495" s="142"/>
      <c r="P495" s="280">
        <v>1.56</v>
      </c>
      <c r="Q495" s="525" t="s">
        <v>5145</v>
      </c>
      <c r="R495" s="525">
        <v>148</v>
      </c>
      <c r="S495" s="526">
        <v>148</v>
      </c>
      <c r="T495" s="525">
        <v>0.26600000000000001</v>
      </c>
      <c r="U495" s="525">
        <v>1.194</v>
      </c>
      <c r="V495" s="525">
        <v>39.368000000000002</v>
      </c>
      <c r="W495" s="525">
        <v>176.71199999999999</v>
      </c>
      <c r="X495" s="525">
        <v>5.12</v>
      </c>
      <c r="Y495" s="525">
        <v>260</v>
      </c>
      <c r="Z495" s="525">
        <v>977.44</v>
      </c>
      <c r="AA495" s="527">
        <v>38480</v>
      </c>
    </row>
    <row r="496" spans="1:27" ht="17.45" hidden="1" customHeight="1" x14ac:dyDescent="0.25">
      <c r="A496" s="147" t="s">
        <v>4678</v>
      </c>
      <c r="B496" s="521">
        <v>319</v>
      </c>
      <c r="C496" s="521"/>
      <c r="D496" s="142" t="s">
        <v>13</v>
      </c>
      <c r="E496" s="142" t="s">
        <v>1768</v>
      </c>
      <c r="F496" s="143">
        <v>45440</v>
      </c>
      <c r="G496" s="143">
        <v>45464</v>
      </c>
      <c r="H496" s="142" t="s">
        <v>23</v>
      </c>
      <c r="I496" s="522"/>
      <c r="J496" s="522"/>
      <c r="K496" s="522">
        <v>99</v>
      </c>
      <c r="L496" s="393"/>
      <c r="M496" s="443">
        <f>Таблица4[[#This Row],[Количество хлыстов]]-Таблица4[[#This Row],[Готово, хл]]-Таблица4[[#This Row],[Вывезено, хл]]</f>
        <v>3</v>
      </c>
      <c r="N496" s="673">
        <f>Таблица4[[#This Row],[Площадь общая, м2]]/28</f>
        <v>1.4192571428571428</v>
      </c>
      <c r="O496" s="142" t="s">
        <v>4934</v>
      </c>
      <c r="P496" s="280">
        <v>4</v>
      </c>
      <c r="Q496" s="525" t="s">
        <v>1767</v>
      </c>
      <c r="R496" s="525">
        <v>408</v>
      </c>
      <c r="S496" s="526">
        <v>102</v>
      </c>
      <c r="T496" s="525">
        <v>9.74E-2</v>
      </c>
      <c r="U496" s="525">
        <v>0.37</v>
      </c>
      <c r="V496" s="525">
        <v>39.739199999999997</v>
      </c>
      <c r="W496" s="525">
        <v>150.96</v>
      </c>
      <c r="X496" s="525">
        <v>5.17</v>
      </c>
      <c r="Y496" s="525">
        <v>40.42</v>
      </c>
      <c r="Z496" s="525">
        <v>465</v>
      </c>
      <c r="AA496" s="527">
        <f>Таблица4[[#This Row],[Цена м2
руб]]*Таблица4[[#This Row],[Площадь общая, м2]]</f>
        <v>18478.727999999999</v>
      </c>
    </row>
    <row r="497" spans="1:27" s="421" customFormat="1" ht="17.45" hidden="1" customHeight="1" x14ac:dyDescent="0.25">
      <c r="A497" s="419" t="s">
        <v>4978</v>
      </c>
      <c r="B497" s="617">
        <v>321</v>
      </c>
      <c r="C497" s="617"/>
      <c r="D497" s="618" t="s">
        <v>13</v>
      </c>
      <c r="E497" s="618" t="s">
        <v>4725</v>
      </c>
      <c r="F497" s="619">
        <v>45441</v>
      </c>
      <c r="G497" s="619"/>
      <c r="H497" s="618" t="s">
        <v>23</v>
      </c>
      <c r="I497" s="620"/>
      <c r="J497" s="620"/>
      <c r="K497" s="620"/>
      <c r="L497" s="677">
        <v>118</v>
      </c>
      <c r="M497" s="691">
        <f>Таблица4[[#This Row],[Количество хлыстов]]-Таблица4[[#This Row],[Готово, хл]]-Таблица4[[#This Row],[Вывезено, хл]]</f>
        <v>0</v>
      </c>
      <c r="N497" s="713"/>
      <c r="O497" s="618"/>
      <c r="P497" s="692">
        <v>6</v>
      </c>
      <c r="Q497" s="622" t="s">
        <v>4834</v>
      </c>
      <c r="R497" s="622">
        <v>708</v>
      </c>
      <c r="S497" s="623">
        <v>118</v>
      </c>
      <c r="T497" s="622">
        <v>0.42199999999999999</v>
      </c>
      <c r="U497" s="622">
        <v>1.389</v>
      </c>
      <c r="V497" s="622">
        <v>298.77600000000001</v>
      </c>
      <c r="W497" s="622">
        <v>983.41200000000003</v>
      </c>
      <c r="X497" s="622">
        <v>38.840000000000003</v>
      </c>
      <c r="Y497" s="622">
        <v>99.17</v>
      </c>
      <c r="Z497" s="622">
        <v>235</v>
      </c>
      <c r="AA497" s="624">
        <v>70212.36</v>
      </c>
    </row>
    <row r="498" spans="1:27" ht="17.25" hidden="1" customHeight="1" x14ac:dyDescent="0.25">
      <c r="A498" s="147" t="s">
        <v>4678</v>
      </c>
      <c r="B498" s="521">
        <v>322</v>
      </c>
      <c r="C498" s="521"/>
      <c r="D498" s="142" t="s">
        <v>13</v>
      </c>
      <c r="E498" s="142" t="s">
        <v>4725</v>
      </c>
      <c r="F498" s="143">
        <v>45441</v>
      </c>
      <c r="G498" s="143">
        <v>45464</v>
      </c>
      <c r="H498" s="142" t="s">
        <v>23</v>
      </c>
      <c r="I498" s="522"/>
      <c r="J498" s="522"/>
      <c r="K498" s="522"/>
      <c r="L498" s="393">
        <v>101</v>
      </c>
      <c r="M498" s="443">
        <f>Таблица4[[#This Row],[Количество хлыстов]]-Таблица4[[#This Row],[Готово, хл]]-Таблица4[[#This Row],[Вывезено, хл]]</f>
        <v>1</v>
      </c>
      <c r="N498" s="564">
        <f>Таблица4[[#This Row],[Площадь общая, м2]]/28</f>
        <v>4.2359142857142853</v>
      </c>
      <c r="O498" s="142" t="s">
        <v>4937</v>
      </c>
      <c r="P498" s="280">
        <v>6</v>
      </c>
      <c r="Q498" s="525" t="s">
        <v>4727</v>
      </c>
      <c r="R498" s="525">
        <v>612</v>
      </c>
      <c r="S498" s="526">
        <v>102</v>
      </c>
      <c r="T498" s="525">
        <v>0.1938</v>
      </c>
      <c r="U498" s="525">
        <v>0.63600000000000001</v>
      </c>
      <c r="V498" s="525">
        <v>118.6056</v>
      </c>
      <c r="W498" s="525">
        <v>389.23200000000003</v>
      </c>
      <c r="X498" s="525">
        <v>15.42</v>
      </c>
      <c r="Y498" s="525">
        <v>78.489999999999995</v>
      </c>
      <c r="Z498" s="525">
        <v>405</v>
      </c>
      <c r="AA498" s="527">
        <v>48035.27</v>
      </c>
    </row>
    <row r="499" spans="1:27" ht="17.45" hidden="1" customHeight="1" x14ac:dyDescent="0.25">
      <c r="A499" s="147" t="s">
        <v>4678</v>
      </c>
      <c r="B499" s="521">
        <v>322</v>
      </c>
      <c r="C499" s="521"/>
      <c r="D499" s="142" t="s">
        <v>13</v>
      </c>
      <c r="E499" s="142" t="s">
        <v>4725</v>
      </c>
      <c r="F499" s="143">
        <v>45441</v>
      </c>
      <c r="G499" s="143">
        <v>45464</v>
      </c>
      <c r="H499" s="142" t="s">
        <v>23</v>
      </c>
      <c r="I499" s="522"/>
      <c r="J499" s="522"/>
      <c r="K499" s="522"/>
      <c r="L499" s="393">
        <v>15</v>
      </c>
      <c r="M499" s="443">
        <f>Таблица4[[#This Row],[Количество хлыстов]]-Таблица4[[#This Row],[Готово, хл]]-Таблица4[[#This Row],[Вывезено, хл]]</f>
        <v>0</v>
      </c>
      <c r="N499" s="564">
        <f>Таблица4[[#This Row],[Площадь общая, м2]]/28</f>
        <v>1.9298571428571429</v>
      </c>
      <c r="O499" s="142"/>
      <c r="P499" s="280">
        <v>6</v>
      </c>
      <c r="Q499" s="525" t="s">
        <v>5147</v>
      </c>
      <c r="R499" s="525">
        <v>90</v>
      </c>
      <c r="S499" s="526">
        <v>15</v>
      </c>
      <c r="T499" s="525">
        <v>0.60040000000000004</v>
      </c>
      <c r="U499" s="525">
        <v>2.5739999999999998</v>
      </c>
      <c r="V499" s="525">
        <v>54.036000000000001</v>
      </c>
      <c r="W499" s="525">
        <v>231.66</v>
      </c>
      <c r="X499" s="525">
        <v>7.02</v>
      </c>
      <c r="Y499" s="525">
        <v>243.16</v>
      </c>
      <c r="Z499" s="525">
        <v>405</v>
      </c>
      <c r="AA499" s="527">
        <v>21884.58</v>
      </c>
    </row>
    <row r="500" spans="1:27" ht="17.45" hidden="1" customHeight="1" x14ac:dyDescent="0.25">
      <c r="A500" s="147" t="s">
        <v>4678</v>
      </c>
      <c r="B500" s="521">
        <v>323</v>
      </c>
      <c r="C500" s="521"/>
      <c r="D500" s="142" t="s">
        <v>34</v>
      </c>
      <c r="E500" s="142" t="s">
        <v>5082</v>
      </c>
      <c r="F500" s="143">
        <v>45441</v>
      </c>
      <c r="G500" s="143"/>
      <c r="H500" s="142" t="s">
        <v>23</v>
      </c>
      <c r="I500" s="522"/>
      <c r="J500" s="522"/>
      <c r="K500" s="522"/>
      <c r="L500" s="393">
        <f>79+1</f>
        <v>80</v>
      </c>
      <c r="M500" s="443">
        <f>Таблица4[[#This Row],[Количество хлыстов]]-Таблица4[[#This Row],[Готово, хл]]-Таблица4[[#This Row],[Вывезено, хл]]</f>
        <v>0</v>
      </c>
      <c r="N500" s="673">
        <f>((Таблица4[[#This Row],[Осталось сделать, хлыст]]*Таблица4[[#This Row],[длина]])*Таблица4[[#This Row],[Периметр]])/28</f>
        <v>0</v>
      </c>
      <c r="O500" s="142" t="s">
        <v>5221</v>
      </c>
      <c r="P500" s="280">
        <v>6</v>
      </c>
      <c r="Q500" s="525" t="s">
        <v>2561</v>
      </c>
      <c r="R500" s="525">
        <v>480</v>
      </c>
      <c r="S500" s="526">
        <v>80</v>
      </c>
      <c r="T500" s="525">
        <v>0.31109999999999999</v>
      </c>
      <c r="U500" s="525">
        <v>1.7769999999999999</v>
      </c>
      <c r="V500" s="525">
        <v>149.328</v>
      </c>
      <c r="W500" s="525">
        <v>852.96</v>
      </c>
      <c r="X500" s="525">
        <v>19.41</v>
      </c>
      <c r="Y500" s="525">
        <v>135.33000000000001</v>
      </c>
      <c r="Z500" s="525">
        <v>435</v>
      </c>
      <c r="AA500" s="527">
        <v>64957.68</v>
      </c>
    </row>
    <row r="501" spans="1:27" ht="17.45" hidden="1" customHeight="1" x14ac:dyDescent="0.25">
      <c r="A501" s="147" t="s">
        <v>4678</v>
      </c>
      <c r="B501" s="521">
        <v>324</v>
      </c>
      <c r="C501" s="521"/>
      <c r="D501" s="142" t="s">
        <v>34</v>
      </c>
      <c r="E501" s="142" t="s">
        <v>19</v>
      </c>
      <c r="F501" s="143">
        <v>45441</v>
      </c>
      <c r="G501" s="143"/>
      <c r="H501" s="142" t="s">
        <v>23</v>
      </c>
      <c r="I501" s="522"/>
      <c r="J501" s="522"/>
      <c r="K501" s="522"/>
      <c r="L501" s="393"/>
      <c r="M501" s="443">
        <f>Таблица4[[#This Row],[Количество хлыстов]]-Таблица4[[#This Row],[Готово, хл]]-Таблица4[[#This Row],[Вывезено, хл]]</f>
        <v>397</v>
      </c>
      <c r="N501" s="564">
        <f>Таблица4[[#This Row],[Площадь общая, м2]]/28</f>
        <v>11.360153571428571</v>
      </c>
      <c r="O501" s="142"/>
      <c r="P501" s="280">
        <v>2.95</v>
      </c>
      <c r="Q501" s="525" t="s">
        <v>5148</v>
      </c>
      <c r="R501" s="525">
        <v>1171.1500000000001</v>
      </c>
      <c r="S501" s="526">
        <v>397</v>
      </c>
      <c r="T501" s="525">
        <v>0.27160000000000001</v>
      </c>
      <c r="U501" s="525">
        <v>0.72799999999999998</v>
      </c>
      <c r="V501" s="525">
        <v>318.08429999999998</v>
      </c>
      <c r="W501" s="525">
        <v>852.59720000000004</v>
      </c>
      <c r="X501" s="525">
        <v>41.35</v>
      </c>
      <c r="Y501" s="525">
        <v>90.99</v>
      </c>
      <c r="Z501" s="525">
        <v>335</v>
      </c>
      <c r="AA501" s="527">
        <v>106558.25</v>
      </c>
    </row>
    <row r="502" spans="1:27" ht="17.45" hidden="1" customHeight="1" x14ac:dyDescent="0.25">
      <c r="A502" s="147" t="s">
        <v>4678</v>
      </c>
      <c r="B502" s="521">
        <v>325</v>
      </c>
      <c r="C502" s="521"/>
      <c r="D502" s="142" t="s">
        <v>34</v>
      </c>
      <c r="E502" s="142" t="s">
        <v>3404</v>
      </c>
      <c r="F502" s="143">
        <v>45441</v>
      </c>
      <c r="G502" s="143"/>
      <c r="H502" s="142" t="s">
        <v>23</v>
      </c>
      <c r="I502" s="522"/>
      <c r="J502" s="522"/>
      <c r="K502" s="522">
        <v>404</v>
      </c>
      <c r="L502" s="393">
        <v>2</v>
      </c>
      <c r="M502" s="443">
        <f>Таблица4[[#This Row],[Количество хлыстов]]-Таблица4[[#This Row],[Готово, хл]]-Таблица4[[#This Row],[Вывезено, хл]]</f>
        <v>0</v>
      </c>
      <c r="N502" s="673">
        <f>((Таблица4[[#This Row],[Осталось сделать, хлыст]]*Таблица4[[#This Row],[длина]])*Таблица4[[#This Row],[Периметр]])/28</f>
        <v>0</v>
      </c>
      <c r="O502" s="142" t="s">
        <v>5153</v>
      </c>
      <c r="P502" s="280">
        <v>6</v>
      </c>
      <c r="Q502" s="525" t="s">
        <v>4994</v>
      </c>
      <c r="R502" s="525">
        <v>2436</v>
      </c>
      <c r="S502" s="526">
        <v>406</v>
      </c>
      <c r="T502" s="525">
        <v>0.21959999999999999</v>
      </c>
      <c r="U502" s="525">
        <v>0.35</v>
      </c>
      <c r="V502" s="525">
        <v>534.94560000000001</v>
      </c>
      <c r="W502" s="525">
        <v>852.6</v>
      </c>
      <c r="X502" s="525">
        <v>69.540000000000006</v>
      </c>
      <c r="Y502" s="525">
        <v>81.25</v>
      </c>
      <c r="Z502" s="525">
        <v>370</v>
      </c>
      <c r="AA502" s="527">
        <v>197929.87</v>
      </c>
    </row>
    <row r="503" spans="1:27" ht="17.45" hidden="1" customHeight="1" x14ac:dyDescent="0.25">
      <c r="A503" s="147" t="s">
        <v>4678</v>
      </c>
      <c r="B503" s="521">
        <v>328</v>
      </c>
      <c r="C503" s="521"/>
      <c r="D503" s="142" t="s">
        <v>13</v>
      </c>
      <c r="E503" s="142" t="s">
        <v>4870</v>
      </c>
      <c r="F503" s="143">
        <v>45441</v>
      </c>
      <c r="G503" s="143">
        <v>45460</v>
      </c>
      <c r="H503" s="142" t="s">
        <v>23</v>
      </c>
      <c r="I503" s="522"/>
      <c r="J503" s="522"/>
      <c r="K503" s="522">
        <f>450+450+429</f>
        <v>1329</v>
      </c>
      <c r="L503" s="393"/>
      <c r="M503" s="443">
        <f>Таблица4[[#This Row],[Количество хлыстов]]-Таблица4[[#This Row],[Готово, хл]]-Таблица4[[#This Row],[Вывезено, хл]]</f>
        <v>0</v>
      </c>
      <c r="N503" s="564">
        <f>Таблица4[[#This Row],[Площадь общая, м2]]/28</f>
        <v>18.883667857142857</v>
      </c>
      <c r="O503" s="142"/>
      <c r="P503" s="280">
        <v>5.45</v>
      </c>
      <c r="Q503" s="525" t="s">
        <v>4918</v>
      </c>
      <c r="R503" s="525">
        <v>7243.05</v>
      </c>
      <c r="S503" s="526">
        <v>1329</v>
      </c>
      <c r="T503" s="525">
        <v>7.2999999999999995E-2</v>
      </c>
      <c r="U503" s="525">
        <v>0.121</v>
      </c>
      <c r="V503" s="525">
        <v>528.74270000000001</v>
      </c>
      <c r="W503" s="525">
        <v>876.40909999999997</v>
      </c>
      <c r="X503" s="525">
        <v>68.739999999999995</v>
      </c>
      <c r="Y503" s="525">
        <v>30.3</v>
      </c>
      <c r="Z503" s="525">
        <v>495</v>
      </c>
      <c r="AA503" s="527">
        <f>Таблица4[[#This Row],[Цена м2
руб]]*Таблица4[[#This Row],[Площадь общая, м2]]</f>
        <v>261727.63649999999</v>
      </c>
    </row>
    <row r="504" spans="1:27" s="421" customFormat="1" ht="17.45" hidden="1" customHeight="1" x14ac:dyDescent="0.25">
      <c r="A504" s="419" t="s">
        <v>4978</v>
      </c>
      <c r="B504" s="617">
        <v>329</v>
      </c>
      <c r="C504" s="617"/>
      <c r="D504" s="618" t="s">
        <v>13</v>
      </c>
      <c r="E504" s="618" t="s">
        <v>892</v>
      </c>
      <c r="F504" s="619">
        <v>45441</v>
      </c>
      <c r="G504" s="619"/>
      <c r="H504" s="618" t="s">
        <v>677</v>
      </c>
      <c r="I504" s="620"/>
      <c r="J504" s="620"/>
      <c r="K504" s="620"/>
      <c r="L504" s="677"/>
      <c r="M504" s="691">
        <f>Таблица4[[#This Row],[Количество хлыстов]]-Таблица4[[#This Row],[Готово, хл]]-Таблица4[[#This Row],[Вывезено, хл]]</f>
        <v>939</v>
      </c>
      <c r="N504" s="654"/>
      <c r="O504" s="618" t="s">
        <v>5149</v>
      </c>
      <c r="P504" s="692">
        <v>4.8499999999999996</v>
      </c>
      <c r="Q504" s="622" t="s">
        <v>4774</v>
      </c>
      <c r="R504" s="622">
        <v>4554.1499999999996</v>
      </c>
      <c r="S504" s="623">
        <v>939</v>
      </c>
      <c r="T504" s="622">
        <v>9.5600000000000004E-2</v>
      </c>
      <c r="U504" s="622">
        <v>0.16</v>
      </c>
      <c r="V504" s="622">
        <v>435.37670000000003</v>
      </c>
      <c r="W504" s="622">
        <v>728.66399999999999</v>
      </c>
      <c r="X504" s="622">
        <v>56.6</v>
      </c>
      <c r="Y504" s="622">
        <v>31.55</v>
      </c>
      <c r="Z504" s="622">
        <v>330</v>
      </c>
      <c r="AA504" s="624">
        <v>143674.32</v>
      </c>
    </row>
    <row r="505" spans="1:27" ht="17.45" hidden="1" customHeight="1" x14ac:dyDescent="0.25">
      <c r="A505" s="147" t="s">
        <v>4678</v>
      </c>
      <c r="B505" s="521">
        <v>330</v>
      </c>
      <c r="C505" s="521" t="s">
        <v>4753</v>
      </c>
      <c r="D505" s="142" t="s">
        <v>34</v>
      </c>
      <c r="E505" s="142" t="s">
        <v>861</v>
      </c>
      <c r="F505" s="143">
        <v>45441</v>
      </c>
      <c r="G505" s="143"/>
      <c r="H505" s="142" t="s">
        <v>23</v>
      </c>
      <c r="I505" s="522"/>
      <c r="J505" s="522"/>
      <c r="K505" s="522"/>
      <c r="L505" s="393"/>
      <c r="M505" s="443">
        <f>Таблица4[[#This Row],[Количество хлыстов]]-Таблица4[[#This Row],[Готово, хл]]-Таблица4[[#This Row],[Вывезено, хл]]</f>
        <v>227</v>
      </c>
      <c r="N505" s="564">
        <f>Таблица4[[#This Row],[Площадь общая, м2]]/28</f>
        <v>5.3523357142857142</v>
      </c>
      <c r="O505" s="142"/>
      <c r="P505" s="280"/>
      <c r="Q505" s="525" t="s">
        <v>5083</v>
      </c>
      <c r="R505" s="525">
        <v>227</v>
      </c>
      <c r="S505" s="526">
        <v>227</v>
      </c>
      <c r="T505" s="525">
        <v>0.66020000000000001</v>
      </c>
      <c r="U505" s="525">
        <v>2.6480000000000001</v>
      </c>
      <c r="V505" s="525">
        <v>149.86539999999999</v>
      </c>
      <c r="W505" s="525">
        <v>601.096</v>
      </c>
      <c r="X505" s="525">
        <v>19.48</v>
      </c>
      <c r="Y505" s="525">
        <v>675.86</v>
      </c>
      <c r="Z505" s="525">
        <v>1023.72</v>
      </c>
      <c r="AA505" s="527">
        <v>153420.22</v>
      </c>
    </row>
    <row r="506" spans="1:27" s="421" customFormat="1" ht="17.45" hidden="1" customHeight="1" x14ac:dyDescent="0.25">
      <c r="A506" s="419" t="s">
        <v>4978</v>
      </c>
      <c r="B506" s="617">
        <v>334</v>
      </c>
      <c r="C506" s="617"/>
      <c r="D506" s="618" t="s">
        <v>34</v>
      </c>
      <c r="E506" s="618" t="s">
        <v>4718</v>
      </c>
      <c r="F506" s="619">
        <v>45443</v>
      </c>
      <c r="G506" s="619"/>
      <c r="H506" s="618" t="s">
        <v>23</v>
      </c>
      <c r="I506" s="620"/>
      <c r="J506" s="620"/>
      <c r="K506" s="620">
        <v>16</v>
      </c>
      <c r="L506" s="677"/>
      <c r="M506" s="691">
        <f>Таблица4[[#This Row],[Количество хлыстов]]-Таблица4[[#This Row],[Готово, хл]]-Таблица4[[#This Row],[Вывезено, хл]]</f>
        <v>0</v>
      </c>
      <c r="N506" s="673">
        <f>((Таблица4[[#This Row],[Осталось сделать, хлыст]]*Таблица4[[#This Row],[длина]])*Таблица4[[#This Row],[Периметр]])/28</f>
        <v>0</v>
      </c>
      <c r="O506" s="618"/>
      <c r="P506" s="692"/>
      <c r="Q506" s="622" t="s">
        <v>5152</v>
      </c>
      <c r="R506" s="622">
        <v>96</v>
      </c>
      <c r="S506" s="623">
        <v>16</v>
      </c>
      <c r="T506" s="622">
        <v>0.16</v>
      </c>
      <c r="U506" s="622">
        <v>0.82399999999999995</v>
      </c>
      <c r="V506" s="622">
        <v>15.36</v>
      </c>
      <c r="W506" s="622">
        <v>79.103999999999999</v>
      </c>
      <c r="X506" s="622">
        <v>2</v>
      </c>
      <c r="Y506" s="622">
        <v>49.88</v>
      </c>
      <c r="Z506" s="622">
        <v>311.75</v>
      </c>
      <c r="AA506" s="624">
        <v>4788.4799999999996</v>
      </c>
    </row>
    <row r="507" spans="1:27" s="421" customFormat="1" ht="17.45" hidden="1" customHeight="1" x14ac:dyDescent="0.25">
      <c r="A507" s="419" t="s">
        <v>4978</v>
      </c>
      <c r="B507" s="617">
        <v>335</v>
      </c>
      <c r="C507" s="617"/>
      <c r="D507" s="618" t="s">
        <v>34</v>
      </c>
      <c r="E507" s="618" t="s">
        <v>4718</v>
      </c>
      <c r="F507" s="619">
        <v>45443</v>
      </c>
      <c r="G507" s="619"/>
      <c r="H507" s="618" t="s">
        <v>23</v>
      </c>
      <c r="I507" s="620"/>
      <c r="J507" s="620"/>
      <c r="K507" s="620">
        <v>16</v>
      </c>
      <c r="L507" s="677"/>
      <c r="M507" s="691">
        <f>Таблица4[[#This Row],[Количество хлыстов]]-Таблица4[[#This Row],[Готово, хл]]-Таблица4[[#This Row],[Вывезено, хл]]</f>
        <v>0</v>
      </c>
      <c r="N507" s="673">
        <f>((Таблица4[[#This Row],[Осталось сделать, хлыст]]*Таблица4[[#This Row],[длина]])*Таблица4[[#This Row],[Периметр]])/28</f>
        <v>0</v>
      </c>
      <c r="O507" s="618"/>
      <c r="P507" s="692"/>
      <c r="Q507" s="622" t="s">
        <v>5152</v>
      </c>
      <c r="R507" s="622">
        <v>96</v>
      </c>
      <c r="S507" s="623">
        <v>16</v>
      </c>
      <c r="T507" s="622">
        <v>0.16</v>
      </c>
      <c r="U507" s="622">
        <v>0.82399999999999995</v>
      </c>
      <c r="V507" s="622">
        <v>15.36</v>
      </c>
      <c r="W507" s="622">
        <v>79.103999999999999</v>
      </c>
      <c r="X507" s="622">
        <v>2</v>
      </c>
      <c r="Y507" s="622">
        <v>49.88</v>
      </c>
      <c r="Z507" s="622">
        <v>311.75</v>
      </c>
      <c r="AA507" s="624">
        <v>4788.4799999999996</v>
      </c>
    </row>
    <row r="508" spans="1:27" s="421" customFormat="1" ht="17.25" hidden="1" customHeight="1" x14ac:dyDescent="0.25">
      <c r="A508" s="419" t="s">
        <v>4978</v>
      </c>
      <c r="B508" s="617">
        <v>337</v>
      </c>
      <c r="C508" s="617"/>
      <c r="D508" s="618" t="s">
        <v>13</v>
      </c>
      <c r="E508" s="618" t="s">
        <v>4870</v>
      </c>
      <c r="F508" s="619">
        <v>45447</v>
      </c>
      <c r="G508" s="619"/>
      <c r="H508" s="618" t="s">
        <v>23</v>
      </c>
      <c r="I508" s="620"/>
      <c r="J508" s="620"/>
      <c r="K508" s="620"/>
      <c r="L508" s="677">
        <v>3336</v>
      </c>
      <c r="M508" s="691">
        <f>Таблица4[[#This Row],[Количество хлыстов]]-Таблица4[[#This Row],[Готово, хл]]-Таблица4[[#This Row],[Вывезено, хл]]</f>
        <v>0</v>
      </c>
      <c r="N508" s="654"/>
      <c r="O508" s="618"/>
      <c r="P508" s="692"/>
      <c r="Q508" s="622" t="s">
        <v>4869</v>
      </c>
      <c r="R508" s="622">
        <v>9007.2000000000007</v>
      </c>
      <c r="S508" s="623">
        <v>3336</v>
      </c>
      <c r="T508" s="622">
        <v>7.2999999999999995E-2</v>
      </c>
      <c r="U508" s="622">
        <v>0.121</v>
      </c>
      <c r="V508" s="622">
        <v>657.52560000000005</v>
      </c>
      <c r="W508" s="622">
        <v>1089.8712</v>
      </c>
      <c r="X508" s="622">
        <v>85.48</v>
      </c>
      <c r="Y508" s="622">
        <v>18.03</v>
      </c>
      <c r="Z508" s="622">
        <v>247</v>
      </c>
      <c r="AA508" s="624">
        <v>162399.82</v>
      </c>
    </row>
    <row r="509" spans="1:27" s="421" customFormat="1" ht="17.45" hidden="1" customHeight="1" x14ac:dyDescent="0.25">
      <c r="A509" s="419" t="s">
        <v>4978</v>
      </c>
      <c r="B509" s="617">
        <v>338</v>
      </c>
      <c r="C509" s="617"/>
      <c r="D509" s="618" t="s">
        <v>13</v>
      </c>
      <c r="E509" s="618" t="s">
        <v>892</v>
      </c>
      <c r="F509" s="619">
        <v>45447</v>
      </c>
      <c r="G509" s="619"/>
      <c r="H509" s="618" t="s">
        <v>23</v>
      </c>
      <c r="I509" s="620"/>
      <c r="J509" s="620"/>
      <c r="K509" s="620"/>
      <c r="L509" s="677">
        <f>424+9</f>
        <v>433</v>
      </c>
      <c r="M509" s="691">
        <f>Таблица4[[#This Row],[Количество хлыстов]]-Таблица4[[#This Row],[Готово, хл]]-Таблица4[[#This Row],[Вывезено, хл]]</f>
        <v>0</v>
      </c>
      <c r="N509" s="673">
        <f>((Таблица4[[#This Row],[Осталось сделать, хлыст]]*Таблица4[[#This Row],[длина]])*Таблица4[[#This Row],[Периметр]])/28</f>
        <v>0</v>
      </c>
      <c r="O509" s="142"/>
      <c r="P509" s="692"/>
      <c r="Q509" s="622" t="s">
        <v>4773</v>
      </c>
      <c r="R509" s="622">
        <v>2229.9499999999998</v>
      </c>
      <c r="S509" s="623">
        <v>433</v>
      </c>
      <c r="T509" s="622">
        <v>0.15790000000000001</v>
      </c>
      <c r="U509" s="622">
        <v>0.309</v>
      </c>
      <c r="V509" s="622">
        <v>352.10910000000001</v>
      </c>
      <c r="W509" s="622">
        <v>689.05460000000005</v>
      </c>
      <c r="X509" s="622">
        <v>45.77</v>
      </c>
      <c r="Y509" s="622">
        <v>52.11</v>
      </c>
      <c r="Z509" s="622">
        <v>330</v>
      </c>
      <c r="AA509" s="624">
        <v>116202.69</v>
      </c>
    </row>
    <row r="510" spans="1:27" ht="17.45" hidden="1" customHeight="1" x14ac:dyDescent="0.25">
      <c r="A510" s="147" t="s">
        <v>4678</v>
      </c>
      <c r="B510" s="521">
        <v>339</v>
      </c>
      <c r="C510" s="521" t="s">
        <v>4753</v>
      </c>
      <c r="D510" s="142" t="s">
        <v>34</v>
      </c>
      <c r="E510" s="142" t="s">
        <v>861</v>
      </c>
      <c r="F510" s="143">
        <v>45448</v>
      </c>
      <c r="G510" s="143"/>
      <c r="H510" s="142" t="s">
        <v>23</v>
      </c>
      <c r="I510" s="522"/>
      <c r="J510" s="522"/>
      <c r="K510" s="522">
        <f>83+83</f>
        <v>166</v>
      </c>
      <c r="L510" s="393"/>
      <c r="M510" s="443">
        <f>Таблица4[[#This Row],[Количество хлыстов]]-Таблица4[[#This Row],[Готово, хл]]-Таблица4[[#This Row],[Вывезено, хл]]</f>
        <v>166</v>
      </c>
      <c r="N510" s="564">
        <f>Таблица4[[#This Row],[Площадь общая, м2]]/28</f>
        <v>7.9940857142857142</v>
      </c>
      <c r="O510" s="142"/>
      <c r="P510" s="280">
        <v>0.48499999999999999</v>
      </c>
      <c r="Q510" s="525" t="s">
        <v>5154</v>
      </c>
      <c r="R510" s="525">
        <v>332</v>
      </c>
      <c r="S510" s="526">
        <v>332</v>
      </c>
      <c r="T510" s="525">
        <v>0.67420000000000002</v>
      </c>
      <c r="U510" s="525">
        <v>2.7040000000000002</v>
      </c>
      <c r="V510" s="525">
        <v>223.83439999999999</v>
      </c>
      <c r="W510" s="525">
        <v>897.72799999999995</v>
      </c>
      <c r="X510" s="525">
        <v>29.1</v>
      </c>
      <c r="Y510" s="525">
        <v>661.45</v>
      </c>
      <c r="Z510" s="525">
        <v>981.09</v>
      </c>
      <c r="AA510" s="527">
        <v>219601.4</v>
      </c>
    </row>
    <row r="511" spans="1:27" s="421" customFormat="1" ht="17.45" hidden="1" customHeight="1" x14ac:dyDescent="0.25">
      <c r="A511" s="419" t="s">
        <v>4979</v>
      </c>
      <c r="B511" s="617">
        <v>340</v>
      </c>
      <c r="C511" s="617"/>
      <c r="D511" s="618" t="s">
        <v>13</v>
      </c>
      <c r="E511" s="618" t="s">
        <v>32</v>
      </c>
      <c r="F511" s="619">
        <v>45449</v>
      </c>
      <c r="G511" s="619"/>
      <c r="H511" s="618" t="s">
        <v>23</v>
      </c>
      <c r="I511" s="620"/>
      <c r="J511" s="620"/>
      <c r="K511" s="620"/>
      <c r="L511" s="677">
        <v>20</v>
      </c>
      <c r="M511" s="691">
        <f>Таблица4[[#This Row],[Количество хлыстов]]-Таблица4[[#This Row],[Готово, хл]]-Таблица4[[#This Row],[Вывезено, хл]]</f>
        <v>0</v>
      </c>
      <c r="N511" s="673">
        <f>((Таблица4[[#This Row],[Осталось сделать, хлыст]]*Таблица4[[#This Row],[длина]])*Таблица4[[#This Row],[Периметр]])/28</f>
        <v>0</v>
      </c>
      <c r="O511" s="618" t="s">
        <v>5207</v>
      </c>
      <c r="P511" s="692"/>
      <c r="Q511" s="622" t="s">
        <v>4275</v>
      </c>
      <c r="R511" s="622">
        <v>101</v>
      </c>
      <c r="S511" s="623">
        <v>20</v>
      </c>
      <c r="T511" s="622">
        <v>0.2651</v>
      </c>
      <c r="U511" s="622">
        <v>0.82099999999999995</v>
      </c>
      <c r="V511" s="622">
        <v>26.775099999999998</v>
      </c>
      <c r="W511" s="622">
        <v>82.921000000000006</v>
      </c>
      <c r="X511" s="622">
        <v>3.48</v>
      </c>
      <c r="Y511" s="622">
        <v>102.06</v>
      </c>
      <c r="Z511" s="622">
        <v>385</v>
      </c>
      <c r="AA511" s="624">
        <v>10308.41</v>
      </c>
    </row>
    <row r="512" spans="1:27" s="421" customFormat="1" ht="17.45" hidden="1" customHeight="1" x14ac:dyDescent="0.25">
      <c r="A512" s="419" t="s">
        <v>4979</v>
      </c>
      <c r="B512" s="617">
        <v>340</v>
      </c>
      <c r="C512" s="617"/>
      <c r="D512" s="618" t="s">
        <v>13</v>
      </c>
      <c r="E512" s="618" t="s">
        <v>32</v>
      </c>
      <c r="F512" s="619">
        <v>45449</v>
      </c>
      <c r="G512" s="619"/>
      <c r="H512" s="618" t="s">
        <v>23</v>
      </c>
      <c r="I512" s="620"/>
      <c r="J512" s="620"/>
      <c r="K512" s="620"/>
      <c r="L512" s="677">
        <v>34</v>
      </c>
      <c r="M512" s="691">
        <f>Таблица4[[#This Row],[Количество хлыстов]]-Таблица4[[#This Row],[Готово, хл]]-Таблица4[[#This Row],[Вывезено, хл]]</f>
        <v>0</v>
      </c>
      <c r="N512" s="673">
        <f>((Таблица4[[#This Row],[Осталось сделать, хлыст]]*Таблица4[[#This Row],[длина]])*Таблица4[[#This Row],[Периметр]])/28</f>
        <v>0</v>
      </c>
      <c r="O512" s="618"/>
      <c r="P512" s="692"/>
      <c r="Q512" s="622" t="s">
        <v>1975</v>
      </c>
      <c r="R512" s="622">
        <v>175.1</v>
      </c>
      <c r="S512" s="623">
        <v>34</v>
      </c>
      <c r="T512" s="622">
        <v>0.15790000000000001</v>
      </c>
      <c r="U512" s="622">
        <v>0.309</v>
      </c>
      <c r="V512" s="622">
        <v>27.648299999999999</v>
      </c>
      <c r="W512" s="622">
        <v>54.105899999999998</v>
      </c>
      <c r="X512" s="622">
        <v>3.59</v>
      </c>
      <c r="Y512" s="622">
        <v>60.79</v>
      </c>
      <c r="Z512" s="622">
        <v>385</v>
      </c>
      <c r="AA512" s="624">
        <v>10644.33</v>
      </c>
    </row>
    <row r="513" spans="1:27" s="421" customFormat="1" ht="17.25" hidden="1" customHeight="1" x14ac:dyDescent="0.25">
      <c r="A513" s="419" t="s">
        <v>4979</v>
      </c>
      <c r="B513" s="617">
        <v>340</v>
      </c>
      <c r="C513" s="617"/>
      <c r="D513" s="618" t="s">
        <v>13</v>
      </c>
      <c r="E513" s="618" t="s">
        <v>32</v>
      </c>
      <c r="F513" s="619">
        <v>45449</v>
      </c>
      <c r="G513" s="619"/>
      <c r="H513" s="618" t="s">
        <v>23</v>
      </c>
      <c r="I513" s="620"/>
      <c r="J513" s="620"/>
      <c r="K513" s="620"/>
      <c r="L513" s="677">
        <v>60</v>
      </c>
      <c r="M513" s="691">
        <f>Таблица4[[#This Row],[Количество хлыстов]]-Таблица4[[#This Row],[Готово, хл]]-Таблица4[[#This Row],[Вывезено, хл]]</f>
        <v>0</v>
      </c>
      <c r="N513" s="673">
        <f>((Таблица4[[#This Row],[Осталось сделать, хлыст]]*Таблица4[[#This Row],[длина]])*Таблица4[[#This Row],[Периметр]])/28</f>
        <v>0</v>
      </c>
      <c r="O513" s="618"/>
      <c r="P513" s="692"/>
      <c r="Q513" s="622" t="s">
        <v>2841</v>
      </c>
      <c r="R513" s="622">
        <v>291</v>
      </c>
      <c r="S513" s="623">
        <v>60</v>
      </c>
      <c r="T513" s="622">
        <v>9.5600000000000004E-2</v>
      </c>
      <c r="U513" s="622">
        <v>0.16</v>
      </c>
      <c r="V513" s="622">
        <v>27.819600000000001</v>
      </c>
      <c r="W513" s="622">
        <v>46.56</v>
      </c>
      <c r="X513" s="622">
        <v>3.62</v>
      </c>
      <c r="Y513" s="622">
        <v>36.81</v>
      </c>
      <c r="Z513" s="622">
        <v>385</v>
      </c>
      <c r="AA513" s="624">
        <v>10710.55</v>
      </c>
    </row>
    <row r="514" spans="1:27" ht="17.45" hidden="1" customHeight="1" x14ac:dyDescent="0.25">
      <c r="A514" s="147" t="s">
        <v>4678</v>
      </c>
      <c r="B514" s="521">
        <v>341</v>
      </c>
      <c r="C514" s="521"/>
      <c r="D514" s="142" t="s">
        <v>13</v>
      </c>
      <c r="E514" s="142" t="s">
        <v>156</v>
      </c>
      <c r="F514" s="143">
        <v>45453</v>
      </c>
      <c r="G514" s="143">
        <v>45460</v>
      </c>
      <c r="H514" s="142" t="s">
        <v>23</v>
      </c>
      <c r="I514" s="522"/>
      <c r="J514" s="522"/>
      <c r="K514" s="522">
        <f>52+52+48+48</f>
        <v>200</v>
      </c>
      <c r="L514" s="393"/>
      <c r="M514" s="443">
        <f>Таблица4[[#This Row],[Количество хлыстов]]-Таблица4[[#This Row],[Готово, хл]]-Таблица4[[#This Row],[Вывезено, хл]]</f>
        <v>13</v>
      </c>
      <c r="N514" s="564">
        <f>Таблица4[[#This Row],[Площадь общая, м2]]/28</f>
        <v>18.622285714285713</v>
      </c>
      <c r="O514" s="142" t="s">
        <v>5163</v>
      </c>
      <c r="P514" s="280">
        <v>3</v>
      </c>
      <c r="Q514" s="525" t="s">
        <v>3678</v>
      </c>
      <c r="R514" s="525">
        <v>639</v>
      </c>
      <c r="S514" s="526">
        <v>213</v>
      </c>
      <c r="T514" s="525">
        <v>0.81599999999999995</v>
      </c>
      <c r="U514" s="525">
        <v>2.7610000000000001</v>
      </c>
      <c r="V514" s="525">
        <v>521.42399999999998</v>
      </c>
      <c r="W514" s="525">
        <v>1764.279</v>
      </c>
      <c r="X514" s="525">
        <v>67.790000000000006</v>
      </c>
      <c r="Y514" s="525">
        <v>354.96</v>
      </c>
      <c r="Z514" s="525">
        <v>435</v>
      </c>
      <c r="AA514" s="527">
        <v>226819.44</v>
      </c>
    </row>
    <row r="515" spans="1:27" ht="17.45" hidden="1" customHeight="1" x14ac:dyDescent="0.25">
      <c r="A515" s="147" t="s">
        <v>4678</v>
      </c>
      <c r="B515" s="521">
        <v>342</v>
      </c>
      <c r="C515" s="521"/>
      <c r="D515" s="142" t="s">
        <v>13</v>
      </c>
      <c r="E515" s="142" t="s">
        <v>1768</v>
      </c>
      <c r="F515" s="143">
        <v>45453</v>
      </c>
      <c r="G515" s="143"/>
      <c r="H515" s="142" t="s">
        <v>23</v>
      </c>
      <c r="I515" s="522"/>
      <c r="J515" s="522"/>
      <c r="K515" s="522"/>
      <c r="L515" s="393"/>
      <c r="M515" s="443">
        <f>Таблица4[[#This Row],[Количество хлыстов]]-Таблица4[[#This Row],[Готово, хл]]-Таблица4[[#This Row],[Вывезено, хл]]</f>
        <v>247</v>
      </c>
      <c r="N515" s="564">
        <f>Таблица4[[#This Row],[Площадь общая, м2]]/28</f>
        <v>3.5285714285714285</v>
      </c>
      <c r="O515" s="142"/>
      <c r="P515" s="280">
        <v>4</v>
      </c>
      <c r="Q515" s="525" t="s">
        <v>1767</v>
      </c>
      <c r="R515" s="525">
        <v>988</v>
      </c>
      <c r="S515" s="526">
        <v>247</v>
      </c>
      <c r="T515" s="525">
        <v>0.1</v>
      </c>
      <c r="U515" s="525">
        <v>0.37</v>
      </c>
      <c r="V515" s="525">
        <v>98.8</v>
      </c>
      <c r="W515" s="525">
        <v>365.56</v>
      </c>
      <c r="X515" s="525">
        <v>12.84</v>
      </c>
      <c r="Y515" s="525">
        <v>46.7</v>
      </c>
      <c r="Z515" s="525">
        <v>467</v>
      </c>
      <c r="AA515" s="527">
        <v>46139.6</v>
      </c>
    </row>
    <row r="516" spans="1:27" s="939" customFormat="1" ht="17.45" customHeight="1" x14ac:dyDescent="0.25">
      <c r="A516" s="924" t="s">
        <v>4678</v>
      </c>
      <c r="B516" s="925" t="s">
        <v>5156</v>
      </c>
      <c r="C516" s="925"/>
      <c r="D516" s="926" t="s">
        <v>34</v>
      </c>
      <c r="E516" s="926" t="s">
        <v>16</v>
      </c>
      <c r="F516" s="927">
        <v>45453</v>
      </c>
      <c r="G516" s="927"/>
      <c r="H516" s="926"/>
      <c r="I516" s="928"/>
      <c r="J516" s="928"/>
      <c r="K516" s="928"/>
      <c r="L516" s="937">
        <f>175+183</f>
        <v>358</v>
      </c>
      <c r="M516" s="930">
        <f>Таблица4[[#This Row],[Количество хлыстов]]-Таблица4[[#This Row],[Готово, хл]]-Таблица4[[#This Row],[Вывезено, хл]]</f>
        <v>5</v>
      </c>
      <c r="N516" s="940">
        <f>((Таблица4[[#This Row],[Осталось сделать, хлыст]]*Таблица4[[#This Row],[длина]])*Таблица4[[#This Row],[Периметр]])/28</f>
        <v>0.17046428571428571</v>
      </c>
      <c r="O516" s="926"/>
      <c r="P516" s="938">
        <v>6</v>
      </c>
      <c r="Q516" s="933" t="s">
        <v>2845</v>
      </c>
      <c r="R516" s="933">
        <v>2178</v>
      </c>
      <c r="S516" s="934">
        <v>363</v>
      </c>
      <c r="T516" s="933">
        <v>0.15909999999999999</v>
      </c>
      <c r="U516" s="933">
        <v>0.26</v>
      </c>
      <c r="V516" s="933">
        <v>346.51979999999998</v>
      </c>
      <c r="W516" s="933">
        <v>566.28</v>
      </c>
      <c r="X516" s="933">
        <v>45.05</v>
      </c>
      <c r="Y516" s="933">
        <v>90.69</v>
      </c>
      <c r="Z516" s="933">
        <v>570</v>
      </c>
      <c r="AA516" s="935">
        <v>197516.29</v>
      </c>
    </row>
    <row r="517" spans="1:27" ht="17.45" hidden="1" customHeight="1" x14ac:dyDescent="0.25">
      <c r="A517" s="147" t="s">
        <v>4678</v>
      </c>
      <c r="B517" s="521">
        <v>344</v>
      </c>
      <c r="C517" s="521"/>
      <c r="D517" s="142" t="s">
        <v>34</v>
      </c>
      <c r="E517" s="142" t="s">
        <v>328</v>
      </c>
      <c r="F517" s="143">
        <v>45453</v>
      </c>
      <c r="G517" s="143"/>
      <c r="H517" s="142" t="s">
        <v>23</v>
      </c>
      <c r="I517" s="522"/>
      <c r="J517" s="522"/>
      <c r="K517" s="522"/>
      <c r="L517" s="393">
        <v>104</v>
      </c>
      <c r="M517" s="443">
        <f>Таблица4[[#This Row],[Количество хлыстов]]-Таблица4[[#This Row],[Готово, хл]]-Таблица4[[#This Row],[Вывезено, хл]]</f>
        <v>6</v>
      </c>
      <c r="N517" s="673">
        <f>((Таблица4[[#This Row],[Осталось сделать, хлыст]]*Таблица4[[#This Row],[длина]])*Таблица4[[#This Row],[Периметр]])/28</f>
        <v>0.39754285714285714</v>
      </c>
      <c r="O517" s="142"/>
      <c r="P517" s="280">
        <v>6</v>
      </c>
      <c r="Q517" s="525" t="s">
        <v>4813</v>
      </c>
      <c r="R517" s="525">
        <v>660</v>
      </c>
      <c r="S517" s="526">
        <v>110</v>
      </c>
      <c r="T517" s="525">
        <v>0.30919999999999997</v>
      </c>
      <c r="U517" s="525">
        <v>1.101</v>
      </c>
      <c r="V517" s="525">
        <v>204.072</v>
      </c>
      <c r="W517" s="525">
        <v>726.66</v>
      </c>
      <c r="X517" s="525">
        <v>26.53</v>
      </c>
      <c r="Y517" s="525">
        <v>134.5</v>
      </c>
      <c r="Z517" s="525">
        <v>435</v>
      </c>
      <c r="AA517" s="527">
        <v>88771.32</v>
      </c>
    </row>
    <row r="518" spans="1:27" ht="17.25" hidden="1" customHeight="1" x14ac:dyDescent="0.25">
      <c r="A518" s="147" t="s">
        <v>4678</v>
      </c>
      <c r="B518" s="521">
        <v>345</v>
      </c>
      <c r="C518" s="521"/>
      <c r="D518" s="142" t="s">
        <v>34</v>
      </c>
      <c r="E518" s="142" t="s">
        <v>19</v>
      </c>
      <c r="F518" s="143">
        <v>45453</v>
      </c>
      <c r="G518" s="143"/>
      <c r="H518" s="142" t="s">
        <v>23</v>
      </c>
      <c r="I518" s="522"/>
      <c r="J518" s="522"/>
      <c r="K518" s="522"/>
      <c r="L518" s="393">
        <f>189+25+76</f>
        <v>290</v>
      </c>
      <c r="M518" s="443">
        <f>Таблица4[[#This Row],[Количество хлыстов]]-Таблица4[[#This Row],[Готово, хл]]-Таблица4[[#This Row],[Вывезено, хл]]</f>
        <v>0</v>
      </c>
      <c r="N518" s="673">
        <f>((Таблица4[[#This Row],[Осталось сделать, хлыст]]*Таблица4[[#This Row],[длина]])*Таблица4[[#This Row],[Периметр]])/28</f>
        <v>0</v>
      </c>
      <c r="O518" s="142" t="s">
        <v>5192</v>
      </c>
      <c r="P518" s="280">
        <v>3.6</v>
      </c>
      <c r="Q518" s="525" t="s">
        <v>5158</v>
      </c>
      <c r="R518" s="525">
        <v>1044</v>
      </c>
      <c r="S518" s="526">
        <v>290</v>
      </c>
      <c r="T518" s="525">
        <v>0.3402</v>
      </c>
      <c r="U518" s="525">
        <v>1.4530000000000001</v>
      </c>
      <c r="V518" s="525">
        <v>355.16879999999998</v>
      </c>
      <c r="W518" s="525">
        <v>1516.932</v>
      </c>
      <c r="X518" s="525">
        <v>46.17</v>
      </c>
      <c r="Y518" s="525">
        <v>113.97</v>
      </c>
      <c r="Z518" s="525">
        <v>335</v>
      </c>
      <c r="AA518" s="527">
        <v>118981.55</v>
      </c>
    </row>
    <row r="519" spans="1:27" ht="17.45" hidden="1" customHeight="1" x14ac:dyDescent="0.25">
      <c r="A519" s="147" t="s">
        <v>4678</v>
      </c>
      <c r="B519" s="521">
        <v>346</v>
      </c>
      <c r="C519" s="521"/>
      <c r="D519" s="142" t="s">
        <v>34</v>
      </c>
      <c r="E519" s="142" t="s">
        <v>79</v>
      </c>
      <c r="F519" s="143">
        <v>45453</v>
      </c>
      <c r="G519" s="143"/>
      <c r="H519" s="142" t="s">
        <v>23</v>
      </c>
      <c r="I519" s="522"/>
      <c r="J519" s="522"/>
      <c r="K519" s="522"/>
      <c r="L519" s="393">
        <v>56</v>
      </c>
      <c r="M519" s="443">
        <f>Таблица4[[#This Row],[Количество хлыстов]]-Таблица4[[#This Row],[Готово, хл]]-Таблица4[[#This Row],[Вывезено, хл]]</f>
        <v>0</v>
      </c>
      <c r="N519" s="673">
        <f>((Таблица4[[#This Row],[Осталось сделать, хлыст]]*Таблица4[[#This Row],[длина]])*Таблица4[[#This Row],[Периметр]])/28</f>
        <v>0</v>
      </c>
      <c r="O519" s="142"/>
      <c r="P519" s="280">
        <v>6</v>
      </c>
      <c r="Q519" s="525" t="s">
        <v>4590</v>
      </c>
      <c r="R519" s="525">
        <v>336</v>
      </c>
      <c r="S519" s="526">
        <v>56</v>
      </c>
      <c r="T519" s="525">
        <v>0.45550000000000002</v>
      </c>
      <c r="U519" s="525">
        <v>1.6990000000000001</v>
      </c>
      <c r="V519" s="525">
        <v>153.048</v>
      </c>
      <c r="W519" s="525">
        <v>570.86400000000003</v>
      </c>
      <c r="X519" s="525">
        <v>19.899999999999999</v>
      </c>
      <c r="Y519" s="525">
        <v>168.54</v>
      </c>
      <c r="Z519" s="525">
        <v>370</v>
      </c>
      <c r="AA519" s="527">
        <v>56627.76</v>
      </c>
    </row>
    <row r="520" spans="1:27" ht="17.25" hidden="1" customHeight="1" x14ac:dyDescent="0.25">
      <c r="A520" s="147" t="s">
        <v>4678</v>
      </c>
      <c r="B520" s="521">
        <v>347</v>
      </c>
      <c r="C520" s="521"/>
      <c r="D520" s="142" t="s">
        <v>34</v>
      </c>
      <c r="E520" s="142" t="s">
        <v>3404</v>
      </c>
      <c r="F520" s="143">
        <v>45453</v>
      </c>
      <c r="G520" s="143"/>
      <c r="H520" s="142" t="s">
        <v>23</v>
      </c>
      <c r="I520" s="522"/>
      <c r="J520" s="522"/>
      <c r="K520" s="522">
        <f>195+182</f>
        <v>377</v>
      </c>
      <c r="L520" s="393"/>
      <c r="M520" s="443">
        <f>Таблица4[[#This Row],[Количество хлыстов]]-Таблица4[[#This Row],[Готово, хл]]-Таблица4[[#This Row],[Вывезено, хл]]</f>
        <v>6</v>
      </c>
      <c r="N520" s="673">
        <f>((Таблица4[[#This Row],[Осталось сделать, хлыст]]*Таблица4[[#This Row],[длина]])*Таблица4[[#This Row],[Периметр]])/28</f>
        <v>0.12985714285714287</v>
      </c>
      <c r="O520" s="142"/>
      <c r="P520" s="280">
        <v>6</v>
      </c>
      <c r="Q520" s="525" t="s">
        <v>4582</v>
      </c>
      <c r="R520" s="525">
        <v>2298</v>
      </c>
      <c r="S520" s="526">
        <v>383</v>
      </c>
      <c r="T520" s="525">
        <v>0.10100000000000001</v>
      </c>
      <c r="U520" s="525">
        <v>0.30599999999999999</v>
      </c>
      <c r="V520" s="525">
        <v>232.09800000000001</v>
      </c>
      <c r="W520" s="525">
        <v>703.18799999999999</v>
      </c>
      <c r="X520" s="525">
        <v>30.17</v>
      </c>
      <c r="Y520" s="525">
        <v>37.369999999999997</v>
      </c>
      <c r="Z520" s="525">
        <v>370</v>
      </c>
      <c r="AA520" s="527">
        <v>85876.26</v>
      </c>
    </row>
    <row r="521" spans="1:27" ht="17.45" hidden="1" customHeight="1" x14ac:dyDescent="0.25">
      <c r="A521" s="147" t="s">
        <v>4678</v>
      </c>
      <c r="B521" s="521">
        <v>348</v>
      </c>
      <c r="C521" s="521"/>
      <c r="D521" s="142" t="s">
        <v>34</v>
      </c>
      <c r="E521" s="142" t="s">
        <v>45</v>
      </c>
      <c r="F521" s="143">
        <v>45453</v>
      </c>
      <c r="G521" s="143"/>
      <c r="H521" s="142" t="s">
        <v>23</v>
      </c>
      <c r="I521" s="522"/>
      <c r="J521" s="522"/>
      <c r="K521" s="522"/>
      <c r="L521" s="393"/>
      <c r="M521" s="443">
        <f>Таблица4[[#This Row],[Количество хлыстов]]-Таблица4[[#This Row],[Готово, хл]]-Таблица4[[#This Row],[Вывезено, хл]]</f>
        <v>97</v>
      </c>
      <c r="N521" s="564">
        <f>Таблица4[[#This Row],[Площадь общая, м2]]/28</f>
        <v>4.9511571428571424</v>
      </c>
      <c r="O521" s="142"/>
      <c r="P521" s="280">
        <v>6</v>
      </c>
      <c r="Q521" s="525" t="s">
        <v>2564</v>
      </c>
      <c r="R521" s="525">
        <v>582</v>
      </c>
      <c r="S521" s="526">
        <v>97</v>
      </c>
      <c r="T521" s="525">
        <v>0.2382</v>
      </c>
      <c r="U521" s="525">
        <v>0.89100000000000001</v>
      </c>
      <c r="V521" s="525">
        <v>138.63239999999999</v>
      </c>
      <c r="W521" s="525">
        <v>518.56200000000001</v>
      </c>
      <c r="X521" s="525">
        <v>18.02</v>
      </c>
      <c r="Y521" s="525">
        <v>103.62</v>
      </c>
      <c r="Z521" s="525">
        <v>435</v>
      </c>
      <c r="AA521" s="527">
        <v>60305.09</v>
      </c>
    </row>
    <row r="522" spans="1:27" ht="17.45" customHeight="1" x14ac:dyDescent="0.25">
      <c r="A522" s="147" t="s">
        <v>4678</v>
      </c>
      <c r="B522" s="712">
        <v>349</v>
      </c>
      <c r="C522" s="712" t="s">
        <v>4753</v>
      </c>
      <c r="D522" s="159" t="s">
        <v>13</v>
      </c>
      <c r="E522" s="159" t="s">
        <v>458</v>
      </c>
      <c r="F522" s="168">
        <v>45453</v>
      </c>
      <c r="G522" s="168">
        <v>45576</v>
      </c>
      <c r="H522" s="142"/>
      <c r="I522" s="522"/>
      <c r="J522" s="522"/>
      <c r="K522" s="522"/>
      <c r="L522" s="393">
        <f>203+204+203+210+188+203</f>
        <v>1211</v>
      </c>
      <c r="M522" s="443">
        <f>Таблица4[[#This Row],[Количество хлыстов]]-Таблица4[[#This Row],[Готово, хл]]-Таблица4[[#This Row],[Вывезено, хл]]</f>
        <v>289</v>
      </c>
      <c r="N522" s="673">
        <f>Таблица4[[#This Row],[Осталось сделать, хлыст]]/12</f>
        <v>24.083333333333332</v>
      </c>
      <c r="O522" s="142" t="s">
        <v>5262</v>
      </c>
      <c r="P522" s="280"/>
      <c r="Q522" s="525" t="s">
        <v>5161</v>
      </c>
      <c r="R522" s="525">
        <v>1500</v>
      </c>
      <c r="S522" s="526">
        <v>1500</v>
      </c>
      <c r="T522" s="525">
        <v>3</v>
      </c>
      <c r="U522" s="525">
        <v>3.2040000000000002</v>
      </c>
      <c r="V522" s="525">
        <v>4500</v>
      </c>
      <c r="W522" s="525">
        <v>4806</v>
      </c>
      <c r="X522" s="525">
        <v>585</v>
      </c>
      <c r="Y522" s="525">
        <v>1188</v>
      </c>
      <c r="Z522" s="525">
        <v>396</v>
      </c>
      <c r="AA522" s="527">
        <v>1782000</v>
      </c>
    </row>
    <row r="523" spans="1:27" ht="17.45" hidden="1" customHeight="1" x14ac:dyDescent="0.25">
      <c r="A523" s="147" t="s">
        <v>4678</v>
      </c>
      <c r="B523" s="309">
        <v>350</v>
      </c>
      <c r="C523" s="521"/>
      <c r="D523" s="142" t="s">
        <v>34</v>
      </c>
      <c r="E523" s="142" t="s">
        <v>45</v>
      </c>
      <c r="F523" s="143">
        <v>45453</v>
      </c>
      <c r="G523" s="143"/>
      <c r="H523" s="142" t="s">
        <v>23</v>
      </c>
      <c r="I523" s="522"/>
      <c r="J523" s="522"/>
      <c r="K523" s="522">
        <v>96</v>
      </c>
      <c r="L523" s="393"/>
      <c r="M523" s="443">
        <f>Таблица4[[#This Row],[Количество хлыстов]]-Таблица4[[#This Row],[Готово, хл]]-Таблица4[[#This Row],[Вывезено, хл]]</f>
        <v>0</v>
      </c>
      <c r="N523" s="673">
        <f>((Таблица4[[#This Row],[Осталось сделать, хлыст]]*Таблица4[[#This Row],[длина]])*Таблица4[[#This Row],[Периметр]])/28</f>
        <v>0</v>
      </c>
      <c r="O523" s="142"/>
      <c r="P523" s="280">
        <v>3</v>
      </c>
      <c r="Q523" s="525" t="s">
        <v>5159</v>
      </c>
      <c r="R523" s="525">
        <v>288</v>
      </c>
      <c r="S523" s="526">
        <v>96</v>
      </c>
      <c r="T523" s="525">
        <v>0.36620000000000003</v>
      </c>
      <c r="U523" s="525">
        <v>2.0230000000000001</v>
      </c>
      <c r="V523" s="525">
        <v>105.46559999999999</v>
      </c>
      <c r="W523" s="525">
        <v>582.62400000000002</v>
      </c>
      <c r="X523" s="525">
        <v>13.71</v>
      </c>
      <c r="Y523" s="525" t="s">
        <v>17</v>
      </c>
      <c r="Z523" s="525" t="s">
        <v>17</v>
      </c>
      <c r="AA523" s="527" t="s">
        <v>17</v>
      </c>
    </row>
    <row r="524" spans="1:27" ht="17.45" hidden="1" customHeight="1" x14ac:dyDescent="0.25">
      <c r="A524" s="147" t="s">
        <v>4678</v>
      </c>
      <c r="B524" s="521">
        <v>352</v>
      </c>
      <c r="C524" s="521"/>
      <c r="D524" s="142" t="s">
        <v>34</v>
      </c>
      <c r="E524" s="142" t="s">
        <v>3404</v>
      </c>
      <c r="F524" s="143">
        <v>45456</v>
      </c>
      <c r="G524" s="143"/>
      <c r="H524" s="142" t="s">
        <v>23</v>
      </c>
      <c r="I524" s="522"/>
      <c r="J524" s="522"/>
      <c r="K524" s="522"/>
      <c r="L524" s="393">
        <f>365+5</f>
        <v>370</v>
      </c>
      <c r="M524" s="443">
        <f>Таблица4[[#This Row],[Количество хлыстов]]-Таблица4[[#This Row],[Готово, хл]]-Таблица4[[#This Row],[Вывезено, хл]]</f>
        <v>0</v>
      </c>
      <c r="N524" s="673">
        <f>((Таблица4[[#This Row],[Осталось сделать, хлыст]]*Таблица4[[#This Row],[длина]])*Таблица4[[#This Row],[Периметр]])/28</f>
        <v>0</v>
      </c>
      <c r="O524" s="142" t="s">
        <v>3116</v>
      </c>
      <c r="P524" s="280">
        <v>6</v>
      </c>
      <c r="Q524" s="525" t="s">
        <v>4582</v>
      </c>
      <c r="R524" s="525">
        <v>2220</v>
      </c>
      <c r="S524" s="526">
        <v>370</v>
      </c>
      <c r="T524" s="525">
        <v>0.10100000000000001</v>
      </c>
      <c r="U524" s="525">
        <v>0.30599999999999999</v>
      </c>
      <c r="V524" s="525">
        <v>224.22</v>
      </c>
      <c r="W524" s="525">
        <v>679.32</v>
      </c>
      <c r="X524" s="525">
        <v>29.15</v>
      </c>
      <c r="Y524" s="525">
        <v>37.369999999999997</v>
      </c>
      <c r="Z524" s="525">
        <v>370</v>
      </c>
      <c r="AA524" s="527">
        <v>82961.399999999994</v>
      </c>
    </row>
    <row r="525" spans="1:27" ht="17.25" hidden="1" customHeight="1" x14ac:dyDescent="0.25">
      <c r="A525" s="147" t="s">
        <v>4678</v>
      </c>
      <c r="B525" s="521">
        <v>353</v>
      </c>
      <c r="C525" s="521"/>
      <c r="D525" s="142" t="s">
        <v>34</v>
      </c>
      <c r="E525" s="142" t="s">
        <v>19</v>
      </c>
      <c r="F525" s="143">
        <v>45456</v>
      </c>
      <c r="G525" s="143"/>
      <c r="H525" s="142" t="s">
        <v>23</v>
      </c>
      <c r="I525" s="522"/>
      <c r="J525" s="522"/>
      <c r="K525" s="522">
        <v>23</v>
      </c>
      <c r="L525" s="393">
        <f>6+239</f>
        <v>245</v>
      </c>
      <c r="M525" s="443">
        <f>Таблица4[[#This Row],[Количество хлыстов]]-Таблица4[[#This Row],[Готово, хл]]-Таблица4[[#This Row],[Вывезено, хл]]</f>
        <v>9</v>
      </c>
      <c r="N525" s="673">
        <f>((Таблица4[[#This Row],[Осталось сделать, хлыст]]*Таблица4[[#This Row],[длина]])*Таблица4[[#This Row],[Периметр]])/28</f>
        <v>0.39366000000000001</v>
      </c>
      <c r="O525" s="142" t="s">
        <v>5191</v>
      </c>
      <c r="P525" s="280">
        <v>3.6</v>
      </c>
      <c r="Q525" s="525" t="s">
        <v>5158</v>
      </c>
      <c r="R525" s="525">
        <v>997.2</v>
      </c>
      <c r="S525" s="526">
        <v>277</v>
      </c>
      <c r="T525" s="525">
        <v>0.3402</v>
      </c>
      <c r="U525" s="525">
        <v>1.4530000000000001</v>
      </c>
      <c r="V525" s="525">
        <v>339.24740000000003</v>
      </c>
      <c r="W525" s="525">
        <v>1448.9315999999999</v>
      </c>
      <c r="X525" s="525">
        <v>44.1</v>
      </c>
      <c r="Y525" s="525">
        <v>136.76</v>
      </c>
      <c r="Z525" s="525">
        <v>402</v>
      </c>
      <c r="AA525" s="527">
        <v>136377.47</v>
      </c>
    </row>
    <row r="526" spans="1:27" ht="17.45" hidden="1" customHeight="1" x14ac:dyDescent="0.25">
      <c r="A526" s="147" t="s">
        <v>4939</v>
      </c>
      <c r="B526" s="521">
        <v>354</v>
      </c>
      <c r="C526" s="521"/>
      <c r="D526" s="142" t="s">
        <v>13</v>
      </c>
      <c r="E526" s="142" t="s">
        <v>4725</v>
      </c>
      <c r="F526" s="143">
        <v>45457</v>
      </c>
      <c r="G526" s="143">
        <v>45491</v>
      </c>
      <c r="H526" s="142" t="s">
        <v>23</v>
      </c>
      <c r="I526" s="522"/>
      <c r="J526" s="522"/>
      <c r="K526" s="522">
        <v>139</v>
      </c>
      <c r="L526" s="393"/>
      <c r="M526" s="443">
        <f>Таблица4[[#This Row],[Количество хлыстов]]-Таблица4[[#This Row],[Готово, хл]]-Таблица4[[#This Row],[Вывезено, хл]]</f>
        <v>0</v>
      </c>
      <c r="N526" s="673">
        <f>((Таблица4[[#This Row],[Осталось сделать, хлыст]]*Таблица4[[#This Row],[длина]])*Таблица4[[#This Row],[Периметр]])/28</f>
        <v>0</v>
      </c>
      <c r="O526" s="142"/>
      <c r="P526" s="280">
        <v>6</v>
      </c>
      <c r="Q526" s="525" t="s">
        <v>5162</v>
      </c>
      <c r="R526" s="525">
        <v>834</v>
      </c>
      <c r="S526" s="526">
        <v>139</v>
      </c>
      <c r="T526" s="525">
        <v>0.60040000000000004</v>
      </c>
      <c r="U526" s="525">
        <v>2.5739999999999998</v>
      </c>
      <c r="V526" s="525">
        <v>500.73360000000002</v>
      </c>
      <c r="W526" s="525">
        <v>2146.7159999999999</v>
      </c>
      <c r="X526" s="525">
        <v>65.099999999999994</v>
      </c>
      <c r="Y526" s="525">
        <v>192.13</v>
      </c>
      <c r="Z526" s="525">
        <v>320</v>
      </c>
      <c r="AA526" s="527">
        <v>160234.75</v>
      </c>
    </row>
    <row r="527" spans="1:27" ht="17.45" hidden="1" customHeight="1" x14ac:dyDescent="0.25">
      <c r="A527" s="147" t="s">
        <v>4939</v>
      </c>
      <c r="B527" s="521">
        <v>354</v>
      </c>
      <c r="C527" s="521"/>
      <c r="D527" s="142" t="s">
        <v>13</v>
      </c>
      <c r="E527" s="142" t="s">
        <v>4725</v>
      </c>
      <c r="F527" s="143">
        <v>45457</v>
      </c>
      <c r="G527" s="143">
        <v>45491</v>
      </c>
      <c r="H527" s="142" t="s">
        <v>23</v>
      </c>
      <c r="I527" s="522"/>
      <c r="J527" s="522"/>
      <c r="K527" s="522">
        <v>61</v>
      </c>
      <c r="L527" s="393"/>
      <c r="M527" s="443">
        <f>Таблица4[[#This Row],[Количество хлыстов]]-Таблица4[[#This Row],[Готово, хл]]-Таблица4[[#This Row],[Вывезено, хл]]</f>
        <v>2</v>
      </c>
      <c r="N527" s="673">
        <f>((Таблица4[[#This Row],[Осталось сделать, хлыст]]*Таблица4[[#This Row],[длина]])*Таблица4[[#This Row],[Периметр]])/28</f>
        <v>0.14425714285714286</v>
      </c>
      <c r="O527" s="142" t="s">
        <v>549</v>
      </c>
      <c r="P527" s="280">
        <v>6</v>
      </c>
      <c r="Q527" s="525" t="s">
        <v>4748</v>
      </c>
      <c r="R527" s="525">
        <v>378</v>
      </c>
      <c r="S527" s="526">
        <v>63</v>
      </c>
      <c r="T527" s="525">
        <v>0.33660000000000001</v>
      </c>
      <c r="U527" s="525">
        <v>1.2350000000000001</v>
      </c>
      <c r="V527" s="525">
        <v>127.23480000000001</v>
      </c>
      <c r="W527" s="525">
        <v>466.83</v>
      </c>
      <c r="X527" s="525">
        <v>16.54</v>
      </c>
      <c r="Y527" s="525">
        <v>107.71</v>
      </c>
      <c r="Z527" s="525">
        <v>320</v>
      </c>
      <c r="AA527" s="527">
        <v>40715.14</v>
      </c>
    </row>
    <row r="528" spans="1:27" ht="17.45" hidden="1" customHeight="1" x14ac:dyDescent="0.25">
      <c r="A528" s="147" t="s">
        <v>4939</v>
      </c>
      <c r="B528" s="521">
        <v>355</v>
      </c>
      <c r="C528" s="521"/>
      <c r="D528" s="142" t="s">
        <v>13</v>
      </c>
      <c r="E528" s="142" t="s">
        <v>4725</v>
      </c>
      <c r="F528" s="143">
        <v>45457</v>
      </c>
      <c r="G528" s="143">
        <v>45491</v>
      </c>
      <c r="H528" s="142" t="s">
        <v>23</v>
      </c>
      <c r="I528" s="522"/>
      <c r="J528" s="522"/>
      <c r="K528" s="522">
        <v>150</v>
      </c>
      <c r="L528" s="393"/>
      <c r="M528" s="443">
        <f>Таблица4[[#This Row],[Количество хлыстов]]-Таблица4[[#This Row],[Готово, хл]]-Таблица4[[#This Row],[Вывезено, хл]]</f>
        <v>0</v>
      </c>
      <c r="N528" s="673">
        <f>((Таблица4[[#This Row],[Осталось сделать, хлыст]]*Таблица4[[#This Row],[длина]])*Таблица4[[#This Row],[Периметр]])/28</f>
        <v>0</v>
      </c>
      <c r="O528" s="142"/>
      <c r="P528" s="280">
        <v>6</v>
      </c>
      <c r="Q528" s="525" t="s">
        <v>4727</v>
      </c>
      <c r="R528" s="525">
        <v>900</v>
      </c>
      <c r="S528" s="526">
        <v>150</v>
      </c>
      <c r="T528" s="525">
        <v>0.1938</v>
      </c>
      <c r="U528" s="525">
        <v>0.63600000000000001</v>
      </c>
      <c r="V528" s="525">
        <v>174.42</v>
      </c>
      <c r="W528" s="525">
        <v>572.4</v>
      </c>
      <c r="X528" s="525">
        <v>22.67</v>
      </c>
      <c r="Y528" s="525">
        <v>62.02</v>
      </c>
      <c r="Z528" s="525">
        <v>320</v>
      </c>
      <c r="AA528" s="527">
        <v>55814.400000000001</v>
      </c>
    </row>
    <row r="529" spans="1:27" ht="17.45" hidden="1" customHeight="1" x14ac:dyDescent="0.25">
      <c r="A529" s="147" t="s">
        <v>4939</v>
      </c>
      <c r="B529" s="625">
        <v>359</v>
      </c>
      <c r="C529" s="625"/>
      <c r="D529" s="162" t="s">
        <v>13</v>
      </c>
      <c r="E529" s="162" t="s">
        <v>556</v>
      </c>
      <c r="F529" s="168">
        <v>45457</v>
      </c>
      <c r="G529" s="168"/>
      <c r="H529" s="445" t="s">
        <v>23</v>
      </c>
      <c r="I529" s="522"/>
      <c r="J529" s="522"/>
      <c r="K529" s="522"/>
      <c r="L529" s="393">
        <v>650</v>
      </c>
      <c r="M529" s="443">
        <f>Таблица4[[#This Row],[Количество хлыстов]]-Таблица4[[#This Row],[Готово, хл]]-Таблица4[[#This Row],[Вывезено, хл]]</f>
        <v>0</v>
      </c>
      <c r="N529" s="673">
        <f>((Таблица4[[#This Row],[Осталось сделать, хлыст]]*Таблица4[[#This Row],[длина]])*Таблица4[[#This Row],[Периметр]])/28</f>
        <v>0</v>
      </c>
      <c r="O529" s="142"/>
      <c r="P529" s="280">
        <v>6</v>
      </c>
      <c r="Q529" s="525" t="s">
        <v>2608</v>
      </c>
      <c r="R529" s="525">
        <v>3900</v>
      </c>
      <c r="S529" s="526">
        <v>650</v>
      </c>
      <c r="T529" s="525">
        <v>0.31</v>
      </c>
      <c r="U529" s="525">
        <v>0.69199999999999995</v>
      </c>
      <c r="V529" s="525">
        <v>1209</v>
      </c>
      <c r="W529" s="525">
        <v>2698.8</v>
      </c>
      <c r="X529" s="525">
        <v>157.16999999999999</v>
      </c>
      <c r="Y529" s="525">
        <v>99.2</v>
      </c>
      <c r="Z529" s="525">
        <v>320</v>
      </c>
      <c r="AA529" s="527">
        <v>386880</v>
      </c>
    </row>
    <row r="530" spans="1:27" s="421" customFormat="1" ht="17.45" hidden="1" customHeight="1" x14ac:dyDescent="0.25">
      <c r="A530" s="419" t="s">
        <v>4978</v>
      </c>
      <c r="B530" s="617">
        <v>362</v>
      </c>
      <c r="C530" s="617"/>
      <c r="D530" s="618" t="s">
        <v>13</v>
      </c>
      <c r="E530" s="618" t="s">
        <v>4870</v>
      </c>
      <c r="F530" s="619">
        <v>45457</v>
      </c>
      <c r="G530" s="619"/>
      <c r="H530" s="618" t="s">
        <v>23</v>
      </c>
      <c r="I530" s="620"/>
      <c r="J530" s="620"/>
      <c r="K530" s="620"/>
      <c r="L530" s="677">
        <v>630</v>
      </c>
      <c r="M530" s="691">
        <f>Таблица4[[#This Row],[Количество хлыстов]]-Таблица4[[#This Row],[Готово, хл]]-Таблица4[[#This Row],[Вывезено, хл]]</f>
        <v>0</v>
      </c>
      <c r="N530" s="654"/>
      <c r="O530" s="618"/>
      <c r="P530" s="692">
        <v>2.7</v>
      </c>
      <c r="Q530" s="622" t="s">
        <v>4869</v>
      </c>
      <c r="R530" s="622">
        <v>1701</v>
      </c>
      <c r="S530" s="623">
        <v>630</v>
      </c>
      <c r="T530" s="622">
        <v>7.2999999999999995E-2</v>
      </c>
      <c r="U530" s="622">
        <v>0.121</v>
      </c>
      <c r="V530" s="622">
        <v>124.173</v>
      </c>
      <c r="W530" s="622">
        <v>205.821</v>
      </c>
      <c r="X530" s="622">
        <v>16.14</v>
      </c>
      <c r="Y530" s="622">
        <v>18.03</v>
      </c>
      <c r="Z530" s="622">
        <v>247</v>
      </c>
      <c r="AA530" s="624">
        <v>30670.73</v>
      </c>
    </row>
    <row r="531" spans="1:27" ht="17.45" hidden="1" customHeight="1" x14ac:dyDescent="0.25">
      <c r="A531" s="147" t="s">
        <v>4678</v>
      </c>
      <c r="B531" s="521">
        <v>365</v>
      </c>
      <c r="C531" s="521" t="s">
        <v>4753</v>
      </c>
      <c r="D531" s="142" t="s">
        <v>34</v>
      </c>
      <c r="E531" s="142" t="s">
        <v>4467</v>
      </c>
      <c r="F531" s="143">
        <v>45461</v>
      </c>
      <c r="G531" s="143"/>
      <c r="H531" s="142" t="s">
        <v>23</v>
      </c>
      <c r="I531" s="522"/>
      <c r="J531" s="522"/>
      <c r="K531" s="522"/>
      <c r="L531" s="393"/>
      <c r="M531" s="443">
        <f>Таблица4[[#This Row],[Количество хлыстов]]-Таблица4[[#This Row],[Готово, хл]]-Таблица4[[#This Row],[Вывезено, хл]]</f>
        <v>44</v>
      </c>
      <c r="N531" s="564">
        <f>Таблица4[[#This Row],[Площадь общая, м2]]/28</f>
        <v>2.204707142857143</v>
      </c>
      <c r="O531" s="142"/>
      <c r="P531" s="280">
        <v>6.05</v>
      </c>
      <c r="Q531" s="525" t="s">
        <v>5134</v>
      </c>
      <c r="R531" s="525">
        <v>266.2</v>
      </c>
      <c r="S531" s="526">
        <v>44</v>
      </c>
      <c r="T531" s="525">
        <v>0.2319</v>
      </c>
      <c r="U531" s="525">
        <v>0.84599999999999997</v>
      </c>
      <c r="V531" s="525">
        <v>61.7318</v>
      </c>
      <c r="W531" s="525">
        <v>225.20519999999999</v>
      </c>
      <c r="X531" s="525">
        <v>8.0299999999999994</v>
      </c>
      <c r="Y531" s="525">
        <v>257.60000000000002</v>
      </c>
      <c r="Z531" s="525">
        <v>1110.82</v>
      </c>
      <c r="AA531" s="527">
        <v>68573.119999999995</v>
      </c>
    </row>
    <row r="532" spans="1:27" ht="17.45" hidden="1" customHeight="1" x14ac:dyDescent="0.25">
      <c r="A532" s="147" t="s">
        <v>4678</v>
      </c>
      <c r="B532" s="521">
        <v>365</v>
      </c>
      <c r="C532" s="521" t="s">
        <v>4753</v>
      </c>
      <c r="D532" s="142" t="s">
        <v>34</v>
      </c>
      <c r="E532" s="142" t="s">
        <v>4467</v>
      </c>
      <c r="F532" s="143">
        <v>45461</v>
      </c>
      <c r="G532" s="143"/>
      <c r="H532" s="142" t="s">
        <v>23</v>
      </c>
      <c r="I532" s="522"/>
      <c r="J532" s="522"/>
      <c r="K532" s="522"/>
      <c r="L532" s="393"/>
      <c r="M532" s="443">
        <f>Таблица4[[#This Row],[Количество хлыстов]]-Таблица4[[#This Row],[Готово, хл]]-Таблица4[[#This Row],[Вывезено, хл]]</f>
        <v>11</v>
      </c>
      <c r="N532" s="564">
        <f>Таблица4[[#This Row],[Площадь общая, м2]]/28</f>
        <v>0.73537857142857133</v>
      </c>
      <c r="O532" s="142"/>
      <c r="P532" s="280">
        <v>6.05</v>
      </c>
      <c r="Q532" s="525" t="s">
        <v>5135</v>
      </c>
      <c r="R532" s="525">
        <v>66.55</v>
      </c>
      <c r="S532" s="526">
        <v>11</v>
      </c>
      <c r="T532" s="525">
        <v>0.30940000000000001</v>
      </c>
      <c r="U532" s="525">
        <v>1.49</v>
      </c>
      <c r="V532" s="525">
        <v>20.590599999999998</v>
      </c>
      <c r="W532" s="525">
        <v>99.159499999999994</v>
      </c>
      <c r="X532" s="525">
        <v>2.68</v>
      </c>
      <c r="Y532" s="525">
        <v>257.60000000000002</v>
      </c>
      <c r="Z532" s="525">
        <v>832.58</v>
      </c>
      <c r="AA532" s="527">
        <v>17143.28</v>
      </c>
    </row>
    <row r="533" spans="1:27" ht="17.45" hidden="1" customHeight="1" x14ac:dyDescent="0.25">
      <c r="A533" s="147" t="s">
        <v>4678</v>
      </c>
      <c r="B533" s="521">
        <v>365</v>
      </c>
      <c r="C533" s="521" t="s">
        <v>4753</v>
      </c>
      <c r="D533" s="142" t="s">
        <v>34</v>
      </c>
      <c r="E533" s="142" t="s">
        <v>4467</v>
      </c>
      <c r="F533" s="143">
        <v>45461</v>
      </c>
      <c r="G533" s="143"/>
      <c r="H533" s="142" t="s">
        <v>23</v>
      </c>
      <c r="I533" s="522"/>
      <c r="J533" s="522"/>
      <c r="K533" s="522"/>
      <c r="L533" s="393"/>
      <c r="M533" s="443">
        <f>Таблица4[[#This Row],[Количество хлыстов]]-Таблица4[[#This Row],[Готово, хл]]-Таблица4[[#This Row],[Вывезено, хл]]</f>
        <v>20</v>
      </c>
      <c r="N533" s="564">
        <f>Таблица4[[#This Row],[Площадь общая, м2]]/28</f>
        <v>2.0483571428571428</v>
      </c>
      <c r="O533" s="142"/>
      <c r="P533" s="280">
        <v>6.05</v>
      </c>
      <c r="Q533" s="525" t="s">
        <v>5164</v>
      </c>
      <c r="R533" s="525">
        <v>121</v>
      </c>
      <c r="S533" s="526">
        <v>20</v>
      </c>
      <c r="T533" s="525">
        <v>0.47399999999999998</v>
      </c>
      <c r="U533" s="525">
        <v>2.613</v>
      </c>
      <c r="V533" s="525">
        <v>57.353999999999999</v>
      </c>
      <c r="W533" s="525">
        <v>316.173</v>
      </c>
      <c r="X533" s="525">
        <v>7.46</v>
      </c>
      <c r="Y533" s="525">
        <v>257.60000000000002</v>
      </c>
      <c r="Z533" s="525">
        <v>543.46</v>
      </c>
      <c r="AA533" s="527">
        <v>31169.599999999999</v>
      </c>
    </row>
    <row r="534" spans="1:27" ht="17.45" hidden="1" customHeight="1" x14ac:dyDescent="0.25">
      <c r="A534" s="147" t="s">
        <v>4678</v>
      </c>
      <c r="B534" s="521">
        <v>365</v>
      </c>
      <c r="C534" s="521" t="s">
        <v>4753</v>
      </c>
      <c r="D534" s="142" t="s">
        <v>34</v>
      </c>
      <c r="E534" s="142" t="s">
        <v>4467</v>
      </c>
      <c r="F534" s="143">
        <v>45461</v>
      </c>
      <c r="G534" s="143"/>
      <c r="H534" s="142" t="s">
        <v>23</v>
      </c>
      <c r="I534" s="522"/>
      <c r="J534" s="522"/>
      <c r="K534" s="522"/>
      <c r="L534" s="393"/>
      <c r="M534" s="443">
        <f>Таблица4[[#This Row],[Количество хлыстов]]-Таблица4[[#This Row],[Готово, хл]]-Таблица4[[#This Row],[Вывезено, хл]]</f>
        <v>28</v>
      </c>
      <c r="N534" s="564">
        <f>Таблица4[[#This Row],[Площадь общая, м2]]/28</f>
        <v>2.0951142857142857</v>
      </c>
      <c r="O534" s="142"/>
      <c r="P534" s="280">
        <v>6.05</v>
      </c>
      <c r="Q534" s="525" t="s">
        <v>5165</v>
      </c>
      <c r="R534" s="525">
        <v>169.4</v>
      </c>
      <c r="S534" s="526">
        <v>28</v>
      </c>
      <c r="T534" s="525">
        <v>0.3463</v>
      </c>
      <c r="U534" s="525">
        <v>1.8260000000000001</v>
      </c>
      <c r="V534" s="525">
        <v>58.663200000000003</v>
      </c>
      <c r="W534" s="525">
        <v>309.32440000000003</v>
      </c>
      <c r="X534" s="525">
        <v>7.63</v>
      </c>
      <c r="Y534" s="525">
        <v>257.60000000000002</v>
      </c>
      <c r="Z534" s="525">
        <v>743.86</v>
      </c>
      <c r="AA534" s="527">
        <v>43637.440000000002</v>
      </c>
    </row>
    <row r="535" spans="1:27" ht="17.45" hidden="1" customHeight="1" x14ac:dyDescent="0.25">
      <c r="A535" s="147" t="s">
        <v>4678</v>
      </c>
      <c r="B535" s="521">
        <v>365</v>
      </c>
      <c r="C535" s="521" t="s">
        <v>4753</v>
      </c>
      <c r="D535" s="142" t="s">
        <v>34</v>
      </c>
      <c r="E535" s="142" t="s">
        <v>4467</v>
      </c>
      <c r="F535" s="143">
        <v>45461</v>
      </c>
      <c r="G535" s="143"/>
      <c r="H535" s="142" t="s">
        <v>23</v>
      </c>
      <c r="I535" s="522"/>
      <c r="J535" s="522"/>
      <c r="K535" s="522"/>
      <c r="L535" s="393"/>
      <c r="M535" s="443">
        <f>Таблица4[[#This Row],[Количество хлыстов]]-Таблица4[[#This Row],[Готово, хл]]-Таблица4[[#This Row],[Вывезено, хл]]</f>
        <v>18</v>
      </c>
      <c r="N535" s="564">
        <f>Таблица4[[#This Row],[Площадь общая, м2]]/28</f>
        <v>2.0811571428571427</v>
      </c>
      <c r="O535" s="142"/>
      <c r="P535" s="280">
        <v>6.05</v>
      </c>
      <c r="Q535" s="525" t="s">
        <v>5166</v>
      </c>
      <c r="R535" s="525">
        <v>108.9</v>
      </c>
      <c r="S535" s="526">
        <v>18</v>
      </c>
      <c r="T535" s="525">
        <v>0.53510000000000002</v>
      </c>
      <c r="U535" s="525">
        <v>2.891</v>
      </c>
      <c r="V535" s="525">
        <v>58.272399999999998</v>
      </c>
      <c r="W535" s="525">
        <v>314.82990000000001</v>
      </c>
      <c r="X535" s="525">
        <v>7.58</v>
      </c>
      <c r="Y535" s="525">
        <v>257.60000000000002</v>
      </c>
      <c r="Z535" s="525">
        <v>481.41</v>
      </c>
      <c r="AA535" s="527">
        <v>28052.639999999999</v>
      </c>
    </row>
    <row r="536" spans="1:27" ht="17.45" hidden="1" customHeight="1" x14ac:dyDescent="0.25">
      <c r="A536" s="147" t="s">
        <v>4678</v>
      </c>
      <c r="B536" s="521">
        <v>365</v>
      </c>
      <c r="C536" s="521" t="s">
        <v>4753</v>
      </c>
      <c r="D536" s="142" t="s">
        <v>34</v>
      </c>
      <c r="E536" s="142" t="s">
        <v>4467</v>
      </c>
      <c r="F536" s="143">
        <v>45461</v>
      </c>
      <c r="G536" s="143"/>
      <c r="H536" s="142" t="s">
        <v>23</v>
      </c>
      <c r="I536" s="522"/>
      <c r="J536" s="522"/>
      <c r="K536" s="522"/>
      <c r="L536" s="393"/>
      <c r="M536" s="443">
        <f>Таблица4[[#This Row],[Количество хлыстов]]-Таблица4[[#This Row],[Готово, хл]]-Таблица4[[#This Row],[Вывезено, хл]]</f>
        <v>13</v>
      </c>
      <c r="N536" s="564">
        <f>Таблица4[[#This Row],[Площадь общая, м2]]/28</f>
        <v>1.3311499999999998</v>
      </c>
      <c r="O536" s="142"/>
      <c r="P536" s="280">
        <v>6.05</v>
      </c>
      <c r="Q536" s="525" t="s">
        <v>5167</v>
      </c>
      <c r="R536" s="525">
        <v>78.650000000000006</v>
      </c>
      <c r="S536" s="526">
        <v>13</v>
      </c>
      <c r="T536" s="525">
        <v>0.47389999999999999</v>
      </c>
      <c r="U536" s="525">
        <v>2.5030000000000001</v>
      </c>
      <c r="V536" s="525">
        <v>37.272199999999998</v>
      </c>
      <c r="W536" s="525">
        <v>196.86099999999999</v>
      </c>
      <c r="X536" s="525">
        <v>4.8499999999999996</v>
      </c>
      <c r="Y536" s="525">
        <v>257.60000000000002</v>
      </c>
      <c r="Z536" s="525">
        <v>543.57000000000005</v>
      </c>
      <c r="AA536" s="527">
        <v>20260.240000000002</v>
      </c>
    </row>
    <row r="537" spans="1:27" ht="17.45" hidden="1" customHeight="1" x14ac:dyDescent="0.25">
      <c r="A537" s="147" t="s">
        <v>4678</v>
      </c>
      <c r="B537" s="521">
        <v>366</v>
      </c>
      <c r="C537" s="521" t="s">
        <v>4753</v>
      </c>
      <c r="D537" s="142" t="s">
        <v>34</v>
      </c>
      <c r="E537" s="142" t="s">
        <v>5169</v>
      </c>
      <c r="F537" s="143">
        <v>45461</v>
      </c>
      <c r="G537" s="143"/>
      <c r="H537" s="142" t="s">
        <v>23</v>
      </c>
      <c r="I537" s="522"/>
      <c r="J537" s="522"/>
      <c r="K537" s="522"/>
      <c r="L537" s="393"/>
      <c r="M537" s="443">
        <f>Таблица4[[#This Row],[Количество хлыстов]]-Таблица4[[#This Row],[Готово, хл]]-Таблица4[[#This Row],[Вывезено, хл]]</f>
        <v>16</v>
      </c>
      <c r="N537" s="564">
        <f>Таблица4[[#This Row],[Площадь общая, м2]]/28</f>
        <v>0.86160000000000003</v>
      </c>
      <c r="O537" s="142"/>
      <c r="P537" s="280">
        <v>6</v>
      </c>
      <c r="Q537" s="525" t="s">
        <v>5168</v>
      </c>
      <c r="R537" s="525">
        <v>96</v>
      </c>
      <c r="S537" s="526">
        <v>16</v>
      </c>
      <c r="T537" s="525">
        <v>0.25130000000000002</v>
      </c>
      <c r="U537" s="525">
        <v>1.9670000000000001</v>
      </c>
      <c r="V537" s="525">
        <v>24.1248</v>
      </c>
      <c r="W537" s="525">
        <v>188.83199999999999</v>
      </c>
      <c r="X537" s="525">
        <v>3.14</v>
      </c>
      <c r="Y537" s="525">
        <v>335.8</v>
      </c>
      <c r="Z537" s="525">
        <v>1336.25</v>
      </c>
      <c r="AA537" s="527">
        <v>32236.799999999999</v>
      </c>
    </row>
    <row r="538" spans="1:27" ht="17.45" hidden="1" customHeight="1" x14ac:dyDescent="0.25">
      <c r="A538" s="147" t="s">
        <v>4678</v>
      </c>
      <c r="B538" s="521">
        <v>363</v>
      </c>
      <c r="C538" s="521" t="s">
        <v>4753</v>
      </c>
      <c r="D538" s="142" t="s">
        <v>4858</v>
      </c>
      <c r="E538" s="142" t="s">
        <v>3918</v>
      </c>
      <c r="F538" s="143">
        <v>45463</v>
      </c>
      <c r="G538" s="143"/>
      <c r="H538" s="142" t="s">
        <v>23</v>
      </c>
      <c r="I538" s="522"/>
      <c r="J538" s="522"/>
      <c r="K538" s="522"/>
      <c r="L538" s="393"/>
      <c r="M538" s="443">
        <f>Таблица4[[#This Row],[Количество хлыстов]]-Таблица4[[#This Row],[Готово, хл]]-Таблица4[[#This Row],[Вывезено, хл]]</f>
        <v>9</v>
      </c>
      <c r="N538" s="673">
        <f>((Таблица4[[#This Row],[Осталось сделать, хлыст]]*Таблица4[[#This Row],[длина]])*Таблица4[[#This Row],[Периметр]])/28</f>
        <v>1.0973571428571429</v>
      </c>
      <c r="O538" s="142"/>
      <c r="P538" s="280">
        <v>6</v>
      </c>
      <c r="Q538" s="525" t="s">
        <v>5010</v>
      </c>
      <c r="R538" s="525">
        <v>54</v>
      </c>
      <c r="S538" s="526">
        <v>9</v>
      </c>
      <c r="T538" s="525">
        <v>0.56899999999999995</v>
      </c>
      <c r="U538" s="525">
        <v>1.2270000000000001</v>
      </c>
      <c r="V538" s="525">
        <v>30.725999999999999</v>
      </c>
      <c r="W538" s="525">
        <v>66.257999999999996</v>
      </c>
      <c r="X538" s="525">
        <v>3.99</v>
      </c>
      <c r="Y538" s="525">
        <v>251.11</v>
      </c>
      <c r="Z538" s="525">
        <v>441.32</v>
      </c>
      <c r="AA538" s="527">
        <v>13560</v>
      </c>
    </row>
    <row r="539" spans="1:27" ht="17.45" hidden="1" customHeight="1" x14ac:dyDescent="0.25">
      <c r="A539" s="147" t="s">
        <v>4678</v>
      </c>
      <c r="B539" s="521">
        <v>363</v>
      </c>
      <c r="C539" s="521" t="s">
        <v>4753</v>
      </c>
      <c r="D539" s="142" t="s">
        <v>4858</v>
      </c>
      <c r="E539" s="142" t="s">
        <v>3918</v>
      </c>
      <c r="F539" s="143">
        <v>45463</v>
      </c>
      <c r="G539" s="143"/>
      <c r="H539" s="142" t="s">
        <v>23</v>
      </c>
      <c r="I539" s="522"/>
      <c r="J539" s="522"/>
      <c r="K539" s="522"/>
      <c r="L539" s="393"/>
      <c r="M539" s="443">
        <f>Таблица4[[#This Row],[Количество хлыстов]]-Таблица4[[#This Row],[Готово, хл]]-Таблица4[[#This Row],[Вывезено, хл]]</f>
        <v>9</v>
      </c>
      <c r="N539" s="673">
        <f>((Таблица4[[#This Row],[Осталось сделать, хлыст]]*Таблица4[[#This Row],[длина]])*Таблица4[[#This Row],[Периметр]])/28</f>
        <v>0.47635714285714281</v>
      </c>
      <c r="O539" s="142"/>
      <c r="P539" s="280">
        <v>6</v>
      </c>
      <c r="Q539" s="525" t="s">
        <v>5011</v>
      </c>
      <c r="R539" s="525">
        <v>54</v>
      </c>
      <c r="S539" s="526">
        <v>9</v>
      </c>
      <c r="T539" s="525">
        <v>0.247</v>
      </c>
      <c r="U539" s="525">
        <v>1.6439999999999999</v>
      </c>
      <c r="V539" s="525">
        <v>13.337999999999999</v>
      </c>
      <c r="W539" s="525">
        <v>88.775999999999996</v>
      </c>
      <c r="X539" s="525">
        <v>1.73</v>
      </c>
      <c r="Y539" s="525">
        <v>223.33</v>
      </c>
      <c r="Z539" s="525">
        <v>904.18</v>
      </c>
      <c r="AA539" s="527">
        <v>12060</v>
      </c>
    </row>
    <row r="540" spans="1:27" s="421" customFormat="1" ht="17.45" hidden="1" customHeight="1" x14ac:dyDescent="0.25">
      <c r="A540" s="419" t="s">
        <v>4978</v>
      </c>
      <c r="B540" s="617">
        <v>367</v>
      </c>
      <c r="C540" s="617"/>
      <c r="D540" s="618" t="s">
        <v>13</v>
      </c>
      <c r="E540" s="618" t="s">
        <v>557</v>
      </c>
      <c r="F540" s="619">
        <v>45467</v>
      </c>
      <c r="G540" s="619"/>
      <c r="H540" s="142" t="s">
        <v>23</v>
      </c>
      <c r="I540" s="620"/>
      <c r="J540" s="620"/>
      <c r="K540" s="620">
        <v>238</v>
      </c>
      <c r="L540" s="677"/>
      <c r="M540" s="691">
        <f>Таблица4[[#This Row],[Количество хлыстов]]-Таблица4[[#This Row],[Готово, хл]]-Таблица4[[#This Row],[Вывезено, хл]]</f>
        <v>0</v>
      </c>
      <c r="N540" s="673"/>
      <c r="O540" s="618"/>
      <c r="P540" s="692">
        <v>2.4500000000000002</v>
      </c>
      <c r="Q540" s="622" t="s">
        <v>3942</v>
      </c>
      <c r="R540" s="622">
        <v>583.1</v>
      </c>
      <c r="S540" s="623">
        <v>238</v>
      </c>
      <c r="T540" s="622">
        <v>0.1507</v>
      </c>
      <c r="U540" s="622">
        <v>0.39300000000000002</v>
      </c>
      <c r="V540" s="622">
        <v>87.873199999999997</v>
      </c>
      <c r="W540" s="622">
        <v>229.1583</v>
      </c>
      <c r="X540" s="622">
        <v>11.42</v>
      </c>
      <c r="Y540" s="622">
        <v>44.31</v>
      </c>
      <c r="Z540" s="622">
        <v>294</v>
      </c>
      <c r="AA540" s="624">
        <v>25834.71</v>
      </c>
    </row>
    <row r="541" spans="1:27" ht="17.45" hidden="1" customHeight="1" x14ac:dyDescent="0.25">
      <c r="A541" s="147" t="s">
        <v>4678</v>
      </c>
      <c r="B541" s="521">
        <v>368</v>
      </c>
      <c r="C541" s="521"/>
      <c r="D541" s="142" t="s">
        <v>13</v>
      </c>
      <c r="E541" s="142" t="s">
        <v>556</v>
      </c>
      <c r="F541" s="143">
        <v>45467</v>
      </c>
      <c r="G541" s="143"/>
      <c r="H541" s="445" t="s">
        <v>23</v>
      </c>
      <c r="I541" s="522"/>
      <c r="J541" s="522"/>
      <c r="K541" s="522"/>
      <c r="L541" s="393">
        <f>150+300+89</f>
        <v>539</v>
      </c>
      <c r="M541" s="443">
        <f>Таблица4[[#This Row],[Количество хлыстов]]-Таблица4[[#This Row],[Готово, хл]]-Таблица4[[#This Row],[Вывезено, хл]]</f>
        <v>12</v>
      </c>
      <c r="N541" s="673">
        <f>((Таблица4[[#This Row],[Осталось сделать, хлыст]]*Таблица4[[#This Row],[длина]])*Таблица4[[#This Row],[Периметр]])/28</f>
        <v>0.79714285714285715</v>
      </c>
      <c r="O541" s="142" t="s">
        <v>5251</v>
      </c>
      <c r="P541" s="280">
        <v>6</v>
      </c>
      <c r="Q541" s="525" t="s">
        <v>2608</v>
      </c>
      <c r="R541" s="525">
        <v>3306</v>
      </c>
      <c r="S541" s="526">
        <v>551</v>
      </c>
      <c r="T541" s="525">
        <v>0.31</v>
      </c>
      <c r="U541" s="525">
        <v>0.69199999999999995</v>
      </c>
      <c r="V541" s="525">
        <v>1024.8599999999999</v>
      </c>
      <c r="W541" s="525">
        <v>2287.752</v>
      </c>
      <c r="X541" s="525">
        <v>133.22999999999999</v>
      </c>
      <c r="Y541" s="525">
        <v>134.85</v>
      </c>
      <c r="Z541" s="525">
        <v>435</v>
      </c>
      <c r="AA541" s="527">
        <v>445814.1</v>
      </c>
    </row>
    <row r="542" spans="1:27" s="421" customFormat="1" ht="17.45" hidden="1" customHeight="1" x14ac:dyDescent="0.25">
      <c r="A542" s="419" t="s">
        <v>4978</v>
      </c>
      <c r="B542" s="617">
        <v>369</v>
      </c>
      <c r="C542" s="617"/>
      <c r="D542" s="618" t="s">
        <v>13</v>
      </c>
      <c r="E542" s="618" t="s">
        <v>556</v>
      </c>
      <c r="F542" s="619">
        <v>45467</v>
      </c>
      <c r="G542" s="619"/>
      <c r="H542" s="618" t="s">
        <v>23</v>
      </c>
      <c r="I542" s="620"/>
      <c r="J542" s="620"/>
      <c r="K542" s="620"/>
      <c r="L542" s="677">
        <f>604+21</f>
        <v>625</v>
      </c>
      <c r="M542" s="691">
        <f>Таблица4[[#This Row],[Количество хлыстов]]-Таблица4[[#This Row],[Готово, хл]]-Таблица4[[#This Row],[Вывезено, хл]]</f>
        <v>0</v>
      </c>
      <c r="N542" s="673"/>
      <c r="O542" s="618"/>
      <c r="P542" s="692">
        <v>3</v>
      </c>
      <c r="Q542" s="622" t="s">
        <v>5170</v>
      </c>
      <c r="R542" s="622">
        <v>1875</v>
      </c>
      <c r="S542" s="623">
        <v>625</v>
      </c>
      <c r="T542" s="622">
        <v>0.20200000000000001</v>
      </c>
      <c r="U542" s="622">
        <v>0.51400000000000001</v>
      </c>
      <c r="V542" s="622">
        <v>378.75</v>
      </c>
      <c r="W542" s="622">
        <v>963.75</v>
      </c>
      <c r="X542" s="622">
        <v>49.24</v>
      </c>
      <c r="Y542" s="622">
        <v>61.81</v>
      </c>
      <c r="Z542" s="622">
        <v>306</v>
      </c>
      <c r="AA542" s="624">
        <v>115897.5</v>
      </c>
    </row>
    <row r="543" spans="1:27" ht="17.45" hidden="1" customHeight="1" x14ac:dyDescent="0.25">
      <c r="A543" s="147" t="s">
        <v>4678</v>
      </c>
      <c r="B543" s="521">
        <v>371</v>
      </c>
      <c r="C543" s="521" t="s">
        <v>4753</v>
      </c>
      <c r="D543" s="142" t="s">
        <v>13</v>
      </c>
      <c r="E543" s="142" t="s">
        <v>5171</v>
      </c>
      <c r="F543" s="143">
        <v>45468</v>
      </c>
      <c r="G543" s="143">
        <v>45482</v>
      </c>
      <c r="H543" s="142" t="s">
        <v>23</v>
      </c>
      <c r="I543" s="522"/>
      <c r="J543" s="522"/>
      <c r="K543" s="522"/>
      <c r="L543" s="393"/>
      <c r="M543" s="443">
        <f>Таблица4[[#This Row],[Количество хлыстов]]-Таблица4[[#This Row],[Готово, хл]]-Таблица4[[#This Row],[Вывезено, хл]]</f>
        <v>74</v>
      </c>
      <c r="N543" s="673">
        <f>((Таблица4[[#This Row],[Осталось сделать, хлыст]]*Таблица4[[#This Row],[длина]])*Таблица4[[#This Row],[Периметр]])/30</f>
        <v>16.428000000000001</v>
      </c>
      <c r="O543" s="142"/>
      <c r="P543" s="280">
        <v>6</v>
      </c>
      <c r="Q543" s="525" t="s">
        <v>5172</v>
      </c>
      <c r="R543" s="525">
        <v>444</v>
      </c>
      <c r="S543" s="526">
        <v>74</v>
      </c>
      <c r="T543" s="525">
        <v>1.1100000000000001</v>
      </c>
      <c r="U543" s="525">
        <v>3.88</v>
      </c>
      <c r="V543" s="525">
        <v>492.84</v>
      </c>
      <c r="W543" s="525">
        <v>1722.72</v>
      </c>
      <c r="X543" s="525">
        <v>64.069999999999993</v>
      </c>
      <c r="Y543" s="525">
        <v>422</v>
      </c>
      <c r="Z543" s="525">
        <v>380.18</v>
      </c>
      <c r="AA543" s="527">
        <v>172176</v>
      </c>
    </row>
    <row r="544" spans="1:27" ht="17.45" hidden="1" customHeight="1" x14ac:dyDescent="0.25">
      <c r="A544" s="147" t="s">
        <v>4678</v>
      </c>
      <c r="B544" s="521">
        <v>371</v>
      </c>
      <c r="C544" s="521" t="s">
        <v>4753</v>
      </c>
      <c r="D544" s="142" t="s">
        <v>13</v>
      </c>
      <c r="E544" s="142" t="s">
        <v>5171</v>
      </c>
      <c r="F544" s="143">
        <v>45468</v>
      </c>
      <c r="G544" s="143">
        <v>45482</v>
      </c>
      <c r="H544" s="142" t="s">
        <v>23</v>
      </c>
      <c r="I544" s="522"/>
      <c r="J544" s="522"/>
      <c r="K544" s="522"/>
      <c r="L544" s="393"/>
      <c r="M544" s="443">
        <f>Таблица4[[#This Row],[Количество хлыстов]]-Таблица4[[#This Row],[Готово, хл]]-Таблица4[[#This Row],[Вывезено, хл]]</f>
        <v>12</v>
      </c>
      <c r="N544" s="673">
        <f>((Таблица4[[#This Row],[Осталось сделать, хлыст]]*Таблица4[[#This Row],[длина]])*Таблица4[[#This Row],[Периметр]])/30</f>
        <v>1.968</v>
      </c>
      <c r="O544" s="142"/>
      <c r="P544" s="280">
        <v>4</v>
      </c>
      <c r="Q544" s="525" t="s">
        <v>5182</v>
      </c>
      <c r="R544" s="525">
        <v>48</v>
      </c>
      <c r="S544" s="526">
        <v>12</v>
      </c>
      <c r="T544" s="525">
        <v>1.23</v>
      </c>
      <c r="U544" s="525">
        <v>4.9000000000000004</v>
      </c>
      <c r="V544" s="525">
        <v>59.04</v>
      </c>
      <c r="W544" s="525">
        <v>235.2</v>
      </c>
      <c r="X544" s="525">
        <v>7.68</v>
      </c>
      <c r="Y544" s="525">
        <v>495</v>
      </c>
      <c r="Z544" s="525">
        <v>402.44</v>
      </c>
      <c r="AA544" s="527">
        <v>8910</v>
      </c>
    </row>
    <row r="545" spans="1:27" ht="17.45" hidden="1" customHeight="1" x14ac:dyDescent="0.25">
      <c r="A545" s="147" t="s">
        <v>4678</v>
      </c>
      <c r="B545" s="625">
        <v>371</v>
      </c>
      <c r="C545" s="625" t="s">
        <v>4753</v>
      </c>
      <c r="D545" s="162" t="s">
        <v>13</v>
      </c>
      <c r="E545" s="162" t="s">
        <v>5171</v>
      </c>
      <c r="F545" s="168">
        <v>45468</v>
      </c>
      <c r="G545" s="168">
        <v>45482</v>
      </c>
      <c r="H545" s="162" t="s">
        <v>23</v>
      </c>
      <c r="I545" s="522"/>
      <c r="J545" s="522"/>
      <c r="K545" s="522"/>
      <c r="L545" s="393">
        <v>600</v>
      </c>
      <c r="M545" s="443">
        <f>Таблица4[[#This Row],[Количество хлыстов]]-Таблица4[[#This Row],[Готово, хл]]-Таблица4[[#This Row],[Вывезено, хл]]</f>
        <v>0</v>
      </c>
      <c r="N545" s="673">
        <f>((Таблица4[[#This Row],[Осталось сделать, хлыст]]*Таблица4[[#This Row],[длина]])*Таблица4[[#This Row],[Периметр]])/30</f>
        <v>0</v>
      </c>
      <c r="O545" s="142"/>
      <c r="P545" s="280">
        <v>6</v>
      </c>
      <c r="Q545" s="525" t="s">
        <v>5173</v>
      </c>
      <c r="R545" s="525">
        <v>3600</v>
      </c>
      <c r="S545" s="526">
        <v>600</v>
      </c>
      <c r="T545" s="525">
        <v>0.23</v>
      </c>
      <c r="U545" s="525">
        <v>0.90500000000000003</v>
      </c>
      <c r="V545" s="525">
        <v>828</v>
      </c>
      <c r="W545" s="525">
        <v>3258</v>
      </c>
      <c r="X545" s="525">
        <v>107.64</v>
      </c>
      <c r="Y545" s="525">
        <v>96.66</v>
      </c>
      <c r="Z545" s="525">
        <v>420.28</v>
      </c>
      <c r="AA545" s="527">
        <v>284192</v>
      </c>
    </row>
    <row r="546" spans="1:27" ht="17.45" hidden="1" customHeight="1" x14ac:dyDescent="0.25">
      <c r="A546" s="147" t="s">
        <v>4678</v>
      </c>
      <c r="B546" s="625">
        <v>371</v>
      </c>
      <c r="C546" s="625" t="s">
        <v>4753</v>
      </c>
      <c r="D546" s="162" t="s">
        <v>13</v>
      </c>
      <c r="E546" s="162" t="s">
        <v>5171</v>
      </c>
      <c r="F546" s="168">
        <v>45468</v>
      </c>
      <c r="G546" s="168">
        <v>45482</v>
      </c>
      <c r="H546" s="162" t="s">
        <v>23</v>
      </c>
      <c r="I546" s="522"/>
      <c r="J546" s="522"/>
      <c r="K546" s="522"/>
      <c r="L546" s="393">
        <v>24</v>
      </c>
      <c r="M546" s="443">
        <f>Таблица4[[#This Row],[Количество хлыстов]]-Таблица4[[#This Row],[Готово, хл]]-Таблица4[[#This Row],[Вывезено, хл]]</f>
        <v>0</v>
      </c>
      <c r="N546" s="673">
        <f>((Таблица4[[#This Row],[Осталось сделать, хлыст]]*Таблица4[[#This Row],[длина]])*Таблица4[[#This Row],[Периметр]])/28</f>
        <v>0</v>
      </c>
      <c r="O546" s="142"/>
      <c r="P546" s="280">
        <v>4.5999999999999996</v>
      </c>
      <c r="Q546" s="525" t="s">
        <v>5183</v>
      </c>
      <c r="R546" s="525">
        <v>110.4</v>
      </c>
      <c r="S546" s="526">
        <v>24</v>
      </c>
      <c r="T546" s="525">
        <v>0.09</v>
      </c>
      <c r="U546" s="525">
        <v>2.39</v>
      </c>
      <c r="V546" s="525">
        <v>9.9359999999999999</v>
      </c>
      <c r="W546" s="525">
        <v>263.85599999999999</v>
      </c>
      <c r="X546" s="525">
        <v>1.29</v>
      </c>
      <c r="Y546" s="525"/>
      <c r="Z546" s="525"/>
      <c r="AA546" s="527"/>
    </row>
    <row r="547" spans="1:27" ht="17.45" hidden="1" customHeight="1" x14ac:dyDescent="0.25">
      <c r="A547" s="147" t="s">
        <v>4678</v>
      </c>
      <c r="B547" s="521">
        <v>372</v>
      </c>
      <c r="C547" s="521"/>
      <c r="D547" s="142" t="s">
        <v>34</v>
      </c>
      <c r="E547" s="142" t="s">
        <v>19</v>
      </c>
      <c r="F547" s="143">
        <v>45468</v>
      </c>
      <c r="G547" s="143"/>
      <c r="H547" s="142" t="s">
        <v>23</v>
      </c>
      <c r="I547" s="522"/>
      <c r="J547" s="522"/>
      <c r="K547" s="522">
        <v>176</v>
      </c>
      <c r="L547" s="393"/>
      <c r="M547" s="443">
        <f>Таблица4[[#This Row],[Количество хлыстов]]-Таблица4[[#This Row],[Готово, хл]]-Таблица4[[#This Row],[Вывезено, хл]]</f>
        <v>0</v>
      </c>
      <c r="N547" s="673">
        <f>((Таблица4[[#This Row],[Осталось сделать, хлыст]]*Таблица4[[#This Row],[длина]])*Таблица4[[#This Row],[Периметр]])/28</f>
        <v>0</v>
      </c>
      <c r="O547" s="142"/>
      <c r="P547" s="280">
        <v>3.6</v>
      </c>
      <c r="Q547" s="525" t="s">
        <v>5158</v>
      </c>
      <c r="R547" s="525">
        <v>633.6</v>
      </c>
      <c r="S547" s="526">
        <v>176</v>
      </c>
      <c r="T547" s="525">
        <v>0.3402</v>
      </c>
      <c r="U547" s="525">
        <v>1.4530000000000001</v>
      </c>
      <c r="V547" s="525">
        <v>215.55070000000001</v>
      </c>
      <c r="W547" s="525">
        <v>920.62080000000003</v>
      </c>
      <c r="X547" s="525">
        <v>28.02</v>
      </c>
      <c r="Y547" s="525">
        <v>136.76</v>
      </c>
      <c r="Z547" s="525">
        <v>402</v>
      </c>
      <c r="AA547" s="527">
        <v>86651.39</v>
      </c>
    </row>
    <row r="548" spans="1:27" s="939" customFormat="1" ht="17.45" customHeight="1" x14ac:dyDescent="0.25">
      <c r="A548" s="924" t="s">
        <v>4678</v>
      </c>
      <c r="B548" s="925">
        <v>373</v>
      </c>
      <c r="C548" s="925"/>
      <c r="D548" s="926" t="s">
        <v>34</v>
      </c>
      <c r="E548" s="926" t="s">
        <v>3404</v>
      </c>
      <c r="F548" s="927">
        <v>45468</v>
      </c>
      <c r="G548" s="927"/>
      <c r="H548" s="926"/>
      <c r="I548" s="928"/>
      <c r="J548" s="928"/>
      <c r="K548" s="928"/>
      <c r="L548" s="937"/>
      <c r="M548" s="930">
        <f>Таблица4[[#This Row],[Количество хлыстов]]-Таблица4[[#This Row],[Готово, хл]]-Таблица4[[#This Row],[Вывезено, хл]]</f>
        <v>151</v>
      </c>
      <c r="N548" s="940">
        <f>((Таблица4[[#This Row],[Осталось сделать, хлыст]]*Таблица4[[#This Row],[длина]])*Таблица4[[#This Row],[Периметр]])/28</f>
        <v>8.8788</v>
      </c>
      <c r="O548" s="926"/>
      <c r="P548" s="938">
        <v>6</v>
      </c>
      <c r="Q548" s="933" t="s">
        <v>5003</v>
      </c>
      <c r="R548" s="933">
        <v>906</v>
      </c>
      <c r="S548" s="934">
        <v>151</v>
      </c>
      <c r="T548" s="933">
        <v>0.27439999999999998</v>
      </c>
      <c r="U548" s="933">
        <v>0.56100000000000005</v>
      </c>
      <c r="V548" s="933">
        <v>248.60640000000001</v>
      </c>
      <c r="W548" s="933">
        <v>508.26600000000002</v>
      </c>
      <c r="X548" s="933">
        <v>32.32</v>
      </c>
      <c r="Y548" s="933">
        <v>101.53</v>
      </c>
      <c r="Z548" s="933">
        <v>370</v>
      </c>
      <c r="AA548" s="935">
        <v>91984.37</v>
      </c>
    </row>
    <row r="549" spans="1:27" ht="17.45" hidden="1" customHeight="1" x14ac:dyDescent="0.25">
      <c r="A549" s="147" t="s">
        <v>4678</v>
      </c>
      <c r="B549" s="521">
        <v>374</v>
      </c>
      <c r="C549" s="521"/>
      <c r="D549" s="142" t="s">
        <v>34</v>
      </c>
      <c r="E549" s="142" t="s">
        <v>5175</v>
      </c>
      <c r="F549" s="143">
        <v>45468</v>
      </c>
      <c r="G549" s="143"/>
      <c r="H549" s="142" t="s">
        <v>23</v>
      </c>
      <c r="I549" s="522"/>
      <c r="J549" s="522"/>
      <c r="K549" s="522">
        <v>226</v>
      </c>
      <c r="L549" s="393"/>
      <c r="M549" s="443">
        <f>Таблица4[[#This Row],[Количество хлыстов]]-Таблица4[[#This Row],[Готово, хл]]-Таблица4[[#This Row],[Вывезено, хл]]</f>
        <v>0</v>
      </c>
      <c r="N549" s="673">
        <f>((Таблица4[[#This Row],[Осталось сделать, хлыст]]*Таблица4[[#This Row],[длина]])*Таблица4[[#This Row],[Периметр]])/28</f>
        <v>0</v>
      </c>
      <c r="O549" s="142"/>
      <c r="P549" s="280">
        <v>6.05</v>
      </c>
      <c r="Q549" s="525" t="s">
        <v>5174</v>
      </c>
      <c r="R549" s="525">
        <v>1367.3</v>
      </c>
      <c r="S549" s="526">
        <v>226</v>
      </c>
      <c r="T549" s="525">
        <v>0.30980000000000002</v>
      </c>
      <c r="U549" s="525">
        <v>0.78400000000000003</v>
      </c>
      <c r="V549" s="525">
        <v>423.58949999999999</v>
      </c>
      <c r="W549" s="525">
        <v>1071.9631999999999</v>
      </c>
      <c r="X549" s="525">
        <v>55.07</v>
      </c>
      <c r="Y549" s="525">
        <v>134.76</v>
      </c>
      <c r="Z549" s="525">
        <v>435</v>
      </c>
      <c r="AA549" s="527">
        <v>184261.45</v>
      </c>
    </row>
    <row r="550" spans="1:27" s="939" customFormat="1" ht="17.45" hidden="1" customHeight="1" x14ac:dyDescent="0.25">
      <c r="A550" s="924" t="s">
        <v>4678</v>
      </c>
      <c r="B550" s="925" t="s">
        <v>5176</v>
      </c>
      <c r="C550" s="925"/>
      <c r="D550" s="926" t="s">
        <v>34</v>
      </c>
      <c r="E550" s="926" t="s">
        <v>16</v>
      </c>
      <c r="F550" s="927">
        <v>45468</v>
      </c>
      <c r="G550" s="927"/>
      <c r="H550" s="926" t="s">
        <v>23</v>
      </c>
      <c r="I550" s="928"/>
      <c r="J550" s="928"/>
      <c r="K550" s="928"/>
      <c r="L550" s="937">
        <v>67</v>
      </c>
      <c r="M550" s="930">
        <f>Таблица4[[#This Row],[Количество хлыстов]]-Таблица4[[#This Row],[Готово, хл]]-Таблица4[[#This Row],[Вывезено, хл]]</f>
        <v>0</v>
      </c>
      <c r="N550" s="940">
        <f>((Таблица4[[#This Row],[Осталось сделать, хлыст]]*Таблица4[[#This Row],[длина]])*Таблица4[[#This Row],[Периметр]])/28</f>
        <v>0</v>
      </c>
      <c r="O550" s="926"/>
      <c r="P550" s="938">
        <v>6</v>
      </c>
      <c r="Q550" s="933" t="s">
        <v>5177</v>
      </c>
      <c r="R550" s="933">
        <v>402</v>
      </c>
      <c r="S550" s="934">
        <v>67</v>
      </c>
      <c r="T550" s="933">
        <v>0.56989999999999996</v>
      </c>
      <c r="U550" s="933">
        <v>1.304</v>
      </c>
      <c r="V550" s="933">
        <v>229.09979999999999</v>
      </c>
      <c r="W550" s="933">
        <v>524.20799999999997</v>
      </c>
      <c r="X550" s="933">
        <v>29.78</v>
      </c>
      <c r="Y550" s="933">
        <v>324.83999999999997</v>
      </c>
      <c r="Z550" s="933">
        <v>570</v>
      </c>
      <c r="AA550" s="935">
        <v>130586.89</v>
      </c>
    </row>
    <row r="551" spans="1:27" s="939" customFormat="1" ht="17.45" customHeight="1" x14ac:dyDescent="0.25">
      <c r="A551" s="924" t="s">
        <v>4678</v>
      </c>
      <c r="B551" s="925" t="s">
        <v>5178</v>
      </c>
      <c r="C551" s="925"/>
      <c r="D551" s="926" t="s">
        <v>34</v>
      </c>
      <c r="E551" s="926" t="s">
        <v>16</v>
      </c>
      <c r="F551" s="927">
        <v>45468</v>
      </c>
      <c r="G551" s="927"/>
      <c r="H551" s="926"/>
      <c r="I551" s="928"/>
      <c r="J551" s="928"/>
      <c r="K551" s="928"/>
      <c r="L551" s="937">
        <v>124</v>
      </c>
      <c r="M551" s="930">
        <f>Таблица4[[#This Row],[Количество хлыстов]]-Таблица4[[#This Row],[Готово, хл]]-Таблица4[[#This Row],[Вывезено, хл]]</f>
        <v>252</v>
      </c>
      <c r="N551" s="940">
        <f>((Таблица4[[#This Row],[Осталось сделать, хлыст]]*Таблица4[[#This Row],[длина]])*Таблица4[[#This Row],[Периметр]])/28</f>
        <v>18.889199999999999</v>
      </c>
      <c r="O551" s="934"/>
      <c r="P551" s="938">
        <v>6</v>
      </c>
      <c r="Q551" s="933" t="s">
        <v>2730</v>
      </c>
      <c r="R551" s="933">
        <v>2256</v>
      </c>
      <c r="S551" s="934">
        <v>376</v>
      </c>
      <c r="T551" s="933">
        <v>0.3498</v>
      </c>
      <c r="U551" s="933">
        <v>1.425</v>
      </c>
      <c r="V551" s="933">
        <v>789.14880000000005</v>
      </c>
      <c r="W551" s="933">
        <v>3214.8</v>
      </c>
      <c r="X551" s="933">
        <v>102.59</v>
      </c>
      <c r="Y551" s="933">
        <v>152.16</v>
      </c>
      <c r="Z551" s="933">
        <v>435</v>
      </c>
      <c r="AA551" s="935">
        <v>343279.73</v>
      </c>
    </row>
    <row r="552" spans="1:27" s="939" customFormat="1" ht="17.45" customHeight="1" x14ac:dyDescent="0.25">
      <c r="A552" s="924" t="s">
        <v>4678</v>
      </c>
      <c r="B552" s="925">
        <v>375</v>
      </c>
      <c r="C552" s="925"/>
      <c r="D552" s="926" t="s">
        <v>34</v>
      </c>
      <c r="E552" s="926" t="s">
        <v>45</v>
      </c>
      <c r="F552" s="927">
        <v>45468</v>
      </c>
      <c r="G552" s="927"/>
      <c r="H552" s="926"/>
      <c r="I552" s="928"/>
      <c r="J552" s="928"/>
      <c r="K552" s="928"/>
      <c r="L552" s="937"/>
      <c r="M552" s="930">
        <f>Таблица4[[#This Row],[Количество хлыстов]]-Таблица4[[#This Row],[Готово, хл]]-Таблица4[[#This Row],[Вывезено, хл]]</f>
        <v>93</v>
      </c>
      <c r="N552" s="940">
        <f>((Таблица4[[#This Row],[Осталось сделать, хлыст]]*Таблица4[[#This Row],[длина]])*Таблица4[[#This Row],[Периметр]])/28</f>
        <v>3.6608785714285714</v>
      </c>
      <c r="O552" s="926"/>
      <c r="P552" s="938">
        <v>6</v>
      </c>
      <c r="Q552" s="933" t="s">
        <v>4856</v>
      </c>
      <c r="R552" s="933">
        <v>558</v>
      </c>
      <c r="S552" s="934">
        <v>93</v>
      </c>
      <c r="T552" s="933">
        <v>0.1837</v>
      </c>
      <c r="U552" s="933">
        <v>0.83599999999999997</v>
      </c>
      <c r="V552" s="933">
        <v>102.5046</v>
      </c>
      <c r="W552" s="933">
        <v>466.488</v>
      </c>
      <c r="X552" s="933">
        <v>13.33</v>
      </c>
      <c r="Y552" s="933">
        <v>94.61</v>
      </c>
      <c r="Z552" s="933">
        <v>515</v>
      </c>
      <c r="AA552" s="935">
        <v>52789.87</v>
      </c>
    </row>
    <row r="553" spans="1:27" s="939" customFormat="1" ht="17.45" customHeight="1" x14ac:dyDescent="0.25">
      <c r="A553" s="924" t="s">
        <v>4678</v>
      </c>
      <c r="B553" s="925">
        <v>376</v>
      </c>
      <c r="C553" s="925"/>
      <c r="D553" s="926" t="s">
        <v>34</v>
      </c>
      <c r="E553" s="926" t="s">
        <v>45</v>
      </c>
      <c r="F553" s="927">
        <v>45468</v>
      </c>
      <c r="G553" s="927"/>
      <c r="H553" s="926"/>
      <c r="I553" s="928"/>
      <c r="J553" s="928"/>
      <c r="K553" s="928"/>
      <c r="L553" s="937">
        <f>27+33</f>
        <v>60</v>
      </c>
      <c r="M553" s="930">
        <f>Таблица4[[#This Row],[Количество хлыстов]]-Таблица4[[#This Row],[Готово, хл]]-Таблица4[[#This Row],[Вывезено, хл]]</f>
        <v>87</v>
      </c>
      <c r="N553" s="940">
        <f>((Таблица4[[#This Row],[Осталось сделать, хлыст]]*Таблица4[[#This Row],[длина]])*Таблица4[[#This Row],[Периметр]])/28</f>
        <v>9.5637546428571429</v>
      </c>
      <c r="O553" s="926"/>
      <c r="P553" s="938">
        <v>3.1</v>
      </c>
      <c r="Q553" s="933" t="s">
        <v>5179</v>
      </c>
      <c r="R553" s="933">
        <v>455.7</v>
      </c>
      <c r="S553" s="934">
        <v>147</v>
      </c>
      <c r="T553" s="933">
        <v>0.9929</v>
      </c>
      <c r="U553" s="933">
        <v>4.5880000000000001</v>
      </c>
      <c r="V553" s="933">
        <v>452.46449999999999</v>
      </c>
      <c r="W553" s="933">
        <v>2090.7516000000001</v>
      </c>
      <c r="X553" s="933">
        <v>58.82</v>
      </c>
      <c r="Y553" s="933">
        <v>392.2</v>
      </c>
      <c r="Z553" s="933">
        <v>395</v>
      </c>
      <c r="AA553" s="935">
        <v>178723.49</v>
      </c>
    </row>
    <row r="554" spans="1:27" s="421" customFormat="1" ht="17.45" customHeight="1" x14ac:dyDescent="0.25">
      <c r="A554" s="419" t="s">
        <v>4978</v>
      </c>
      <c r="B554" s="617">
        <v>377</v>
      </c>
      <c r="C554" s="617" t="s">
        <v>4753</v>
      </c>
      <c r="D554" s="618" t="s">
        <v>13</v>
      </c>
      <c r="E554" s="618" t="s">
        <v>557</v>
      </c>
      <c r="F554" s="619">
        <v>45469</v>
      </c>
      <c r="G554" s="619"/>
      <c r="H554" s="618" t="s">
        <v>2057</v>
      </c>
      <c r="I554" s="620"/>
      <c r="J554" s="620"/>
      <c r="K554" s="620"/>
      <c r="L554" s="677"/>
      <c r="M554" s="691">
        <f>Таблица4[[#This Row],[Количество хлыстов]]-Таблица4[[#This Row],[Готово, хл]]-Таблица4[[#This Row],[Вывезено, хл]]</f>
        <v>380</v>
      </c>
      <c r="N554" s="673"/>
      <c r="O554" s="618" t="s">
        <v>5180</v>
      </c>
      <c r="P554" s="692">
        <v>5.0999999999999996</v>
      </c>
      <c r="Q554" s="622" t="s">
        <v>5181</v>
      </c>
      <c r="R554" s="622">
        <v>1938</v>
      </c>
      <c r="S554" s="623">
        <v>380</v>
      </c>
      <c r="T554" s="622">
        <v>0.34789999999999999</v>
      </c>
      <c r="U554" s="622">
        <v>1.643</v>
      </c>
      <c r="V554" s="622">
        <v>674.23019999999997</v>
      </c>
      <c r="W554" s="622">
        <v>3184.134</v>
      </c>
      <c r="X554" s="622">
        <v>87.65</v>
      </c>
      <c r="Y554" s="622"/>
      <c r="Z554" s="622"/>
      <c r="AA554" s="624"/>
    </row>
    <row r="555" spans="1:27" ht="17.45" hidden="1" customHeight="1" x14ac:dyDescent="0.25">
      <c r="A555" s="147" t="s">
        <v>4678</v>
      </c>
      <c r="B555" s="625">
        <v>378</v>
      </c>
      <c r="C555" s="625"/>
      <c r="D555" s="162" t="s">
        <v>13</v>
      </c>
      <c r="E555" s="162" t="s">
        <v>892</v>
      </c>
      <c r="F555" s="168">
        <v>45470</v>
      </c>
      <c r="G555" s="168"/>
      <c r="H555" s="142" t="s">
        <v>23</v>
      </c>
      <c r="I555" s="522"/>
      <c r="J555" s="522"/>
      <c r="K555" s="522"/>
      <c r="L555" s="393">
        <f>243+170</f>
        <v>413</v>
      </c>
      <c r="M555" s="443">
        <f>Таблица4[[#This Row],[Количество хлыстов]]-Таблица4[[#This Row],[Готово, хл]]-Таблица4[[#This Row],[Вывезено, хл]]</f>
        <v>11</v>
      </c>
      <c r="N555" s="673">
        <f>((Таблица4[[#This Row],[Осталось сделать, хлыст]]*Таблица4[[#This Row],[длина]])*Таблица4[[#This Row],[Периметр]])/28</f>
        <v>0.46345160714285721</v>
      </c>
      <c r="O555" s="142" t="s">
        <v>5155</v>
      </c>
      <c r="P555" s="280">
        <v>4.45</v>
      </c>
      <c r="Q555" s="525" t="s">
        <v>4276</v>
      </c>
      <c r="R555" s="525">
        <v>1886.8</v>
      </c>
      <c r="S555" s="526">
        <v>424</v>
      </c>
      <c r="T555" s="525">
        <v>0.2651</v>
      </c>
      <c r="U555" s="525">
        <v>0.82099999999999995</v>
      </c>
      <c r="V555" s="525">
        <v>500.19069999999999</v>
      </c>
      <c r="W555" s="525">
        <v>1549.0627999999999</v>
      </c>
      <c r="X555" s="525">
        <v>65.02</v>
      </c>
      <c r="Y555" s="525">
        <v>126.98</v>
      </c>
      <c r="Z555" s="525">
        <v>479</v>
      </c>
      <c r="AA555" s="527">
        <v>239591.34</v>
      </c>
    </row>
    <row r="556" spans="1:27" ht="17.45" hidden="1" customHeight="1" x14ac:dyDescent="0.25">
      <c r="A556" s="147" t="s">
        <v>4678</v>
      </c>
      <c r="B556" s="521">
        <v>378</v>
      </c>
      <c r="C556" s="521"/>
      <c r="D556" s="142" t="s">
        <v>13</v>
      </c>
      <c r="E556" s="142" t="s">
        <v>892</v>
      </c>
      <c r="F556" s="143">
        <v>45470</v>
      </c>
      <c r="G556" s="168"/>
      <c r="H556" s="162" t="s">
        <v>23</v>
      </c>
      <c r="I556" s="522"/>
      <c r="J556" s="522"/>
      <c r="K556" s="522">
        <f>63+63+63+63+63+48</f>
        <v>363</v>
      </c>
      <c r="L556" s="393">
        <f>126+48+63+63+63+113</f>
        <v>476</v>
      </c>
      <c r="M556" s="443">
        <f>Таблица4[[#This Row],[Количество хлыстов]]-Таблица4[[#This Row],[Готово, хл]]-Таблица4[[#This Row],[Вывезено, хл]]</f>
        <v>6</v>
      </c>
      <c r="N556" s="673">
        <f>((Таблица4[[#This Row],[Осталось сделать, хлыст]]*Таблица4[[#This Row],[длина]])*Таблица4[[#This Row],[Периметр]])/28</f>
        <v>0.28687607142857141</v>
      </c>
      <c r="O556" s="142" t="s">
        <v>5155</v>
      </c>
      <c r="P556" s="280">
        <v>5.05</v>
      </c>
      <c r="Q556" s="525" t="s">
        <v>4275</v>
      </c>
      <c r="R556" s="525">
        <v>4267.25</v>
      </c>
      <c r="S556" s="526">
        <v>845</v>
      </c>
      <c r="T556" s="525">
        <v>0.2651</v>
      </c>
      <c r="U556" s="525">
        <v>0.82099999999999995</v>
      </c>
      <c r="V556" s="525">
        <v>1131.248</v>
      </c>
      <c r="W556" s="525">
        <v>3503.4123</v>
      </c>
      <c r="X556" s="525">
        <v>147.06</v>
      </c>
      <c r="Y556" s="525">
        <v>107.37</v>
      </c>
      <c r="Z556" s="525">
        <v>405</v>
      </c>
      <c r="AA556" s="527">
        <v>458174.63</v>
      </c>
    </row>
    <row r="557" spans="1:27" ht="17.45" hidden="1" customHeight="1" x14ac:dyDescent="0.25">
      <c r="A557" s="147" t="s">
        <v>4678</v>
      </c>
      <c r="B557" s="521">
        <v>379</v>
      </c>
      <c r="C557" s="521"/>
      <c r="D557" s="142" t="s">
        <v>13</v>
      </c>
      <c r="E557" s="142" t="s">
        <v>5101</v>
      </c>
      <c r="F557" s="143">
        <v>45470</v>
      </c>
      <c r="G557" s="143"/>
      <c r="H557" s="142" t="s">
        <v>23</v>
      </c>
      <c r="I557" s="522"/>
      <c r="J557" s="522"/>
      <c r="K557" s="522"/>
      <c r="L557" s="393">
        <v>50</v>
      </c>
      <c r="M557" s="443">
        <f>Таблица4[[#This Row],[Количество хлыстов]]-Таблица4[[#This Row],[Готово, хл]]-Таблица4[[#This Row],[Вывезено, хл]]</f>
        <v>0</v>
      </c>
      <c r="N557" s="673">
        <f>((Таблица4[[#This Row],[Осталось сделать, хлыст]]*Таблица4[[#This Row],[длина]])*Таблица4[[#This Row],[Периметр]])/28</f>
        <v>0</v>
      </c>
      <c r="O557" s="142"/>
      <c r="P557" s="280">
        <v>5</v>
      </c>
      <c r="Q557" s="525" t="s">
        <v>5184</v>
      </c>
      <c r="R557" s="525">
        <v>250</v>
      </c>
      <c r="S557" s="526">
        <v>50</v>
      </c>
      <c r="T557" s="525">
        <v>0.21659999999999999</v>
      </c>
      <c r="U557" s="525">
        <v>0.47399999999999998</v>
      </c>
      <c r="V557" s="525">
        <v>54.15</v>
      </c>
      <c r="W557" s="525">
        <v>118.5</v>
      </c>
      <c r="X557" s="525">
        <v>7.04</v>
      </c>
      <c r="Y557" s="525">
        <v>94.22</v>
      </c>
      <c r="Z557" s="525">
        <v>435</v>
      </c>
      <c r="AA557" s="527">
        <v>23555.25</v>
      </c>
    </row>
    <row r="558" spans="1:27" ht="17.45" hidden="1" customHeight="1" x14ac:dyDescent="0.25">
      <c r="A558" s="147" t="s">
        <v>4678</v>
      </c>
      <c r="B558" s="521">
        <v>380</v>
      </c>
      <c r="C558" s="521" t="s">
        <v>4753</v>
      </c>
      <c r="D558" s="142" t="s">
        <v>34</v>
      </c>
      <c r="E558" s="142" t="s">
        <v>5185</v>
      </c>
      <c r="F558" s="143">
        <v>45470</v>
      </c>
      <c r="G558" s="143"/>
      <c r="H558" s="142" t="s">
        <v>23</v>
      </c>
      <c r="I558" s="522"/>
      <c r="J558" s="522"/>
      <c r="K558" s="522"/>
      <c r="L558" s="393">
        <v>120</v>
      </c>
      <c r="M558" s="443">
        <f>Таблица4[[#This Row],[Количество хлыстов]]-Таблица4[[#This Row],[Готово, хл]]-Таблица4[[#This Row],[Вывезено, хл]]</f>
        <v>0</v>
      </c>
      <c r="N558" s="673">
        <f>((Таблица4[[#This Row],[Осталось сделать, хлыст]]*Таблица4[[#This Row],[длина]])*Таблица4[[#This Row],[Периметр]])/28</f>
        <v>0</v>
      </c>
      <c r="O558" s="142"/>
      <c r="P558" s="280">
        <v>6</v>
      </c>
      <c r="Q558" s="525" t="s">
        <v>5186</v>
      </c>
      <c r="R558" s="525">
        <v>720</v>
      </c>
      <c r="S558" s="526">
        <v>120</v>
      </c>
      <c r="T558" s="525">
        <v>0.109</v>
      </c>
      <c r="U558" s="525">
        <v>0.27</v>
      </c>
      <c r="V558" s="525">
        <v>78.48</v>
      </c>
      <c r="W558" s="525">
        <v>194.4</v>
      </c>
      <c r="X558" s="525">
        <v>10.199999999999999</v>
      </c>
      <c r="Y558" s="525">
        <v>99</v>
      </c>
      <c r="Z558" s="525">
        <v>908.26</v>
      </c>
      <c r="AA558" s="527">
        <v>71280</v>
      </c>
    </row>
    <row r="559" spans="1:27" ht="17.45" hidden="1" customHeight="1" x14ac:dyDescent="0.25">
      <c r="A559" s="147" t="s">
        <v>4678</v>
      </c>
      <c r="B559" s="521">
        <v>380</v>
      </c>
      <c r="C559" s="521" t="s">
        <v>4753</v>
      </c>
      <c r="D559" s="142" t="s">
        <v>34</v>
      </c>
      <c r="E559" s="142" t="s">
        <v>5185</v>
      </c>
      <c r="F559" s="143">
        <v>45470</v>
      </c>
      <c r="G559" s="143"/>
      <c r="H559" s="142" t="s">
        <v>23</v>
      </c>
      <c r="I559" s="522"/>
      <c r="J559" s="522"/>
      <c r="K559" s="522"/>
      <c r="L559" s="393">
        <v>120</v>
      </c>
      <c r="M559" s="443">
        <f>Таблица4[[#This Row],[Количество хлыстов]]-Таблица4[[#This Row],[Готово, хл]]-Таблица4[[#This Row],[Вывезено, хл]]</f>
        <v>0</v>
      </c>
      <c r="N559" s="673">
        <f>((Таблица4[[#This Row],[Осталось сделать, хлыст]]*Таблица4[[#This Row],[длина]])*Таблица4[[#This Row],[Периметр]])/28</f>
        <v>0</v>
      </c>
      <c r="O559" s="142"/>
      <c r="P559" s="280">
        <v>6</v>
      </c>
      <c r="Q559" s="525" t="s">
        <v>5187</v>
      </c>
      <c r="R559" s="525">
        <v>720</v>
      </c>
      <c r="S559" s="526">
        <v>120</v>
      </c>
      <c r="T559" s="525">
        <v>0.16</v>
      </c>
      <c r="U559" s="525">
        <v>0.626</v>
      </c>
      <c r="V559" s="525">
        <v>115.2</v>
      </c>
      <c r="W559" s="525">
        <v>450.72</v>
      </c>
      <c r="X559" s="525">
        <v>14.98</v>
      </c>
      <c r="Y559" s="525">
        <v>165</v>
      </c>
      <c r="Z559" s="525">
        <v>1031.25</v>
      </c>
      <c r="AA559" s="527">
        <v>118800</v>
      </c>
    </row>
    <row r="560" spans="1:27" ht="17.45" hidden="1" customHeight="1" x14ac:dyDescent="0.25">
      <c r="A560" s="147" t="s">
        <v>4678</v>
      </c>
      <c r="B560" s="625">
        <v>381</v>
      </c>
      <c r="C560" s="625" t="s">
        <v>4753</v>
      </c>
      <c r="D560" s="162" t="s">
        <v>13</v>
      </c>
      <c r="E560" s="162" t="s">
        <v>43</v>
      </c>
      <c r="F560" s="168">
        <v>45471</v>
      </c>
      <c r="G560" s="168">
        <v>45498</v>
      </c>
      <c r="H560" s="142" t="s">
        <v>23</v>
      </c>
      <c r="I560" s="522"/>
      <c r="J560" s="522"/>
      <c r="K560" s="522"/>
      <c r="L560" s="393"/>
      <c r="M560" s="443">
        <f>Таблица4[[#This Row],[Количество хлыстов]]-Таблица4[[#This Row],[Готово, хл]]-Таблица4[[#This Row],[Вывезено, хл]]</f>
        <v>160</v>
      </c>
      <c r="N560" s="673">
        <f>((Таблица4[[#This Row],[Осталось сделать, хлыст]]*Таблица4[[#This Row],[длина]])*Таблица4[[#This Row],[Периметр]])/28</f>
        <v>1.9525714285714286</v>
      </c>
      <c r="O560" s="142"/>
      <c r="P560" s="280">
        <v>5.0999999999999996</v>
      </c>
      <c r="Q560" s="525" t="s">
        <v>5188</v>
      </c>
      <c r="R560" s="525">
        <v>816</v>
      </c>
      <c r="S560" s="526">
        <v>160</v>
      </c>
      <c r="T560" s="525">
        <v>6.7000000000000004E-2</v>
      </c>
      <c r="U560" s="525">
        <v>9.8000000000000004E-2</v>
      </c>
      <c r="V560" s="525">
        <v>54.671999999999997</v>
      </c>
      <c r="W560" s="525">
        <v>79.968000000000004</v>
      </c>
      <c r="X560" s="525">
        <v>7.11</v>
      </c>
      <c r="Y560" s="525">
        <v>55.81</v>
      </c>
      <c r="Z560" s="525">
        <v>832.97</v>
      </c>
      <c r="AA560" s="527">
        <v>45540</v>
      </c>
    </row>
    <row r="561" spans="1:27" ht="17.45" hidden="1" customHeight="1" x14ac:dyDescent="0.25">
      <c r="A561" s="147" t="s">
        <v>4678</v>
      </c>
      <c r="B561" s="625">
        <v>381</v>
      </c>
      <c r="C561" s="625" t="s">
        <v>4753</v>
      </c>
      <c r="D561" s="162" t="s">
        <v>13</v>
      </c>
      <c r="E561" s="162" t="s">
        <v>43</v>
      </c>
      <c r="F561" s="168">
        <v>45471</v>
      </c>
      <c r="G561" s="168">
        <v>45498</v>
      </c>
      <c r="H561" s="142" t="s">
        <v>23</v>
      </c>
      <c r="I561" s="522"/>
      <c r="J561" s="522"/>
      <c r="K561" s="522"/>
      <c r="L561" s="393"/>
      <c r="M561" s="443">
        <f>Таблица4[[#This Row],[Количество хлыстов]]-Таблица4[[#This Row],[Готово, хл]]-Таблица4[[#This Row],[Вывезено, хл]]</f>
        <v>200</v>
      </c>
      <c r="N561" s="673">
        <f>((Таблица4[[#This Row],[Осталось сделать, хлыст]]*Таблица4[[#This Row],[длина]])*Таблица4[[#This Row],[Периметр]])/28</f>
        <v>0.94285714285714284</v>
      </c>
      <c r="O561" s="142"/>
      <c r="P561" s="280">
        <v>3</v>
      </c>
      <c r="Q561" s="525" t="s">
        <v>5189</v>
      </c>
      <c r="R561" s="525">
        <v>600</v>
      </c>
      <c r="S561" s="526">
        <v>200</v>
      </c>
      <c r="T561" s="525">
        <v>4.3999999999999997E-2</v>
      </c>
      <c r="U561" s="525">
        <v>4.8000000000000001E-2</v>
      </c>
      <c r="V561" s="525">
        <v>26.4</v>
      </c>
      <c r="W561" s="525">
        <v>28.8</v>
      </c>
      <c r="X561" s="525">
        <v>3.43</v>
      </c>
      <c r="Y561" s="525">
        <v>36.86</v>
      </c>
      <c r="Z561" s="525">
        <v>837.73</v>
      </c>
      <c r="AA561" s="527">
        <v>22116</v>
      </c>
    </row>
    <row r="562" spans="1:27" ht="17.45" hidden="1" customHeight="1" x14ac:dyDescent="0.25">
      <c r="A562" s="147" t="s">
        <v>4678</v>
      </c>
      <c r="B562" s="521">
        <v>382</v>
      </c>
      <c r="C562" s="521" t="s">
        <v>4753</v>
      </c>
      <c r="D562" s="142" t="s">
        <v>13</v>
      </c>
      <c r="E562" s="142" t="s">
        <v>292</v>
      </c>
      <c r="F562" s="143">
        <v>45477</v>
      </c>
      <c r="G562" s="168">
        <v>45517</v>
      </c>
      <c r="H562" s="162" t="s">
        <v>23</v>
      </c>
      <c r="I562" s="522"/>
      <c r="J562" s="522"/>
      <c r="K562" s="522">
        <v>120</v>
      </c>
      <c r="L562" s="393"/>
      <c r="M562" s="443">
        <f>Таблица4[[#This Row],[Количество хлыстов]]-Таблица4[[#This Row],[Готово, хл]]-Таблица4[[#This Row],[Вывезено, хл]]</f>
        <v>0</v>
      </c>
      <c r="N562" s="673">
        <v>2</v>
      </c>
      <c r="O562" s="142"/>
      <c r="P562" s="280">
        <v>5</v>
      </c>
      <c r="Q562" s="525" t="s">
        <v>5202</v>
      </c>
      <c r="R562" s="525">
        <v>600</v>
      </c>
      <c r="S562" s="526">
        <v>120</v>
      </c>
      <c r="T562" s="525">
        <v>4.5499999999999999E-2</v>
      </c>
      <c r="U562" s="525">
        <v>0.16</v>
      </c>
      <c r="V562" s="525">
        <v>27.3</v>
      </c>
      <c r="W562" s="525">
        <v>96</v>
      </c>
      <c r="X562" s="525">
        <v>3.55</v>
      </c>
      <c r="Y562" s="525">
        <v>70.400000000000006</v>
      </c>
      <c r="Z562" s="525">
        <v>1547.25</v>
      </c>
      <c r="AA562" s="527">
        <v>42240</v>
      </c>
    </row>
    <row r="563" spans="1:27" s="421" customFormat="1" ht="17.45" hidden="1" customHeight="1" x14ac:dyDescent="0.25">
      <c r="A563" s="419" t="s">
        <v>4978</v>
      </c>
      <c r="B563" s="617">
        <v>383</v>
      </c>
      <c r="C563" s="617"/>
      <c r="D563" s="618" t="s">
        <v>34</v>
      </c>
      <c r="E563" s="618" t="s">
        <v>4807</v>
      </c>
      <c r="F563" s="619">
        <v>45474</v>
      </c>
      <c r="G563" s="619"/>
      <c r="H563" s="618" t="s">
        <v>23</v>
      </c>
      <c r="I563" s="620"/>
      <c r="J563" s="620"/>
      <c r="K563" s="620"/>
      <c r="L563" s="677">
        <f>3+528</f>
        <v>531</v>
      </c>
      <c r="M563" s="691">
        <f>Таблица4[[#This Row],[Количество хлыстов]]-Таблица4[[#This Row],[Готово, хл]]-Таблица4[[#This Row],[Вывезено, хл]]</f>
        <v>0</v>
      </c>
      <c r="N563" s="673">
        <f>((Таблица4[[#This Row],[Осталось сделать, хлыст]]*Таблица4[[#This Row],[длина]])*Таблица4[[#This Row],[Периметр]])/28</f>
        <v>0</v>
      </c>
      <c r="O563" s="618" t="s">
        <v>2657</v>
      </c>
      <c r="P563" s="692"/>
      <c r="Q563" s="622" t="s">
        <v>4806</v>
      </c>
      <c r="R563" s="622">
        <v>2814.3</v>
      </c>
      <c r="S563" s="623">
        <v>531</v>
      </c>
      <c r="T563" s="622">
        <v>0.22270000000000001</v>
      </c>
      <c r="U563" s="622">
        <v>0.52700000000000002</v>
      </c>
      <c r="V563" s="622">
        <v>626.74459999999999</v>
      </c>
      <c r="W563" s="622">
        <v>1483.1360999999999</v>
      </c>
      <c r="X563" s="622">
        <v>81.48</v>
      </c>
      <c r="Y563" s="622">
        <v>73.209999999999994</v>
      </c>
      <c r="Z563" s="622">
        <v>328.75</v>
      </c>
      <c r="AA563" s="624">
        <v>206042.29</v>
      </c>
    </row>
    <row r="564" spans="1:27" s="421" customFormat="1" ht="17.45" hidden="1" customHeight="1" x14ac:dyDescent="0.25">
      <c r="A564" s="419" t="s">
        <v>4978</v>
      </c>
      <c r="B564" s="617">
        <v>383</v>
      </c>
      <c r="C564" s="617"/>
      <c r="D564" s="618" t="s">
        <v>34</v>
      </c>
      <c r="E564" s="618" t="s">
        <v>4807</v>
      </c>
      <c r="F564" s="619">
        <v>45474</v>
      </c>
      <c r="G564" s="619"/>
      <c r="H564" s="618" t="s">
        <v>23</v>
      </c>
      <c r="I564" s="620"/>
      <c r="J564" s="620"/>
      <c r="K564" s="620"/>
      <c r="L564" s="677">
        <v>190</v>
      </c>
      <c r="M564" s="691">
        <f>Таблица4[[#This Row],[Количество хлыстов]]-Таблица4[[#This Row],[Готово, хл]]-Таблица4[[#This Row],[Вывезено, хл]]</f>
        <v>0</v>
      </c>
      <c r="N564" s="673"/>
      <c r="O564" s="618"/>
      <c r="P564" s="692"/>
      <c r="Q564" s="622" t="s">
        <v>4804</v>
      </c>
      <c r="R564" s="622">
        <v>1140</v>
      </c>
      <c r="S564" s="623">
        <v>190</v>
      </c>
      <c r="T564" s="622">
        <v>0.27610000000000001</v>
      </c>
      <c r="U564" s="622">
        <v>0.93400000000000005</v>
      </c>
      <c r="V564" s="622">
        <v>314.75400000000002</v>
      </c>
      <c r="W564" s="622">
        <v>1064.76</v>
      </c>
      <c r="X564" s="622">
        <v>40.92</v>
      </c>
      <c r="Y564" s="622">
        <v>90.77</v>
      </c>
      <c r="Z564" s="622">
        <v>328.75</v>
      </c>
      <c r="AA564" s="624">
        <v>103475.38</v>
      </c>
    </row>
    <row r="565" spans="1:27" s="421" customFormat="1" ht="17.45" hidden="1" customHeight="1" x14ac:dyDescent="0.25">
      <c r="A565" s="419" t="s">
        <v>4978</v>
      </c>
      <c r="B565" s="617">
        <v>384</v>
      </c>
      <c r="C565" s="617"/>
      <c r="D565" s="618" t="s">
        <v>34</v>
      </c>
      <c r="E565" s="618" t="s">
        <v>4718</v>
      </c>
      <c r="F565" s="619">
        <v>45474</v>
      </c>
      <c r="G565" s="619"/>
      <c r="H565" s="618" t="s">
        <v>23</v>
      </c>
      <c r="I565" s="620"/>
      <c r="J565" s="620"/>
      <c r="K565" s="620">
        <v>1589</v>
      </c>
      <c r="L565" s="677"/>
      <c r="M565" s="691">
        <f>Таблица4[[#This Row],[Количество хлыстов]]-Таблица4[[#This Row],[Готово, хл]]-Таблица4[[#This Row],[Вывезено, хл]]</f>
        <v>0</v>
      </c>
      <c r="N565" s="673"/>
      <c r="O565" s="618"/>
      <c r="P565" s="692"/>
      <c r="Q565" s="622" t="s">
        <v>4717</v>
      </c>
      <c r="R565" s="622">
        <v>3178</v>
      </c>
      <c r="S565" s="623">
        <v>1589</v>
      </c>
      <c r="T565" s="622">
        <v>0.13039999999999999</v>
      </c>
      <c r="U565" s="622">
        <v>0.19400000000000001</v>
      </c>
      <c r="V565" s="622">
        <v>414.41120000000001</v>
      </c>
      <c r="W565" s="622">
        <v>616.53200000000004</v>
      </c>
      <c r="X565" s="622">
        <v>53.87</v>
      </c>
      <c r="Y565" s="622">
        <v>43.49</v>
      </c>
      <c r="Z565" s="622">
        <v>333.5</v>
      </c>
      <c r="AA565" s="624">
        <v>138206.14000000001</v>
      </c>
    </row>
    <row r="566" spans="1:27" ht="17.45" hidden="1" customHeight="1" x14ac:dyDescent="0.25">
      <c r="A566" s="147" t="s">
        <v>4678</v>
      </c>
      <c r="B566" s="521">
        <v>385</v>
      </c>
      <c r="C566" s="521" t="s">
        <v>4753</v>
      </c>
      <c r="D566" s="142" t="s">
        <v>34</v>
      </c>
      <c r="E566" s="142" t="s">
        <v>861</v>
      </c>
      <c r="F566" s="143">
        <v>45475</v>
      </c>
      <c r="G566" s="143"/>
      <c r="H566" s="142" t="s">
        <v>23</v>
      </c>
      <c r="I566" s="522"/>
      <c r="J566" s="522"/>
      <c r="K566" s="522">
        <v>440</v>
      </c>
      <c r="L566" s="393"/>
      <c r="M566" s="443">
        <f>Таблица4[[#This Row],[Количество хлыстов]]-Таблица4[[#This Row],[Готово, хл]]-Таблица4[[#This Row],[Вывезено, хл]]</f>
        <v>0</v>
      </c>
      <c r="N566" s="673">
        <f>((Таблица4[[#This Row],[Осталось сделать, хлыст]]*Таблица4[[#This Row],[длина]])*Таблица4[[#This Row],[Периметр]])/28</f>
        <v>0</v>
      </c>
      <c r="O566" s="142"/>
      <c r="P566" s="280"/>
      <c r="Q566" s="525" t="s">
        <v>5083</v>
      </c>
      <c r="R566" s="525">
        <v>440</v>
      </c>
      <c r="S566" s="526">
        <v>440</v>
      </c>
      <c r="T566" s="525">
        <v>0.66020000000000001</v>
      </c>
      <c r="U566" s="525">
        <v>2.6480000000000001</v>
      </c>
      <c r="V566" s="525">
        <v>290.488</v>
      </c>
      <c r="W566" s="525">
        <v>1165.1199999999999</v>
      </c>
      <c r="X566" s="525">
        <v>37.76</v>
      </c>
      <c r="Y566" s="525">
        <v>599.24</v>
      </c>
      <c r="Z566" s="525">
        <v>907.67</v>
      </c>
      <c r="AA566" s="527">
        <v>263667</v>
      </c>
    </row>
    <row r="567" spans="1:27" ht="17.45" hidden="1" customHeight="1" x14ac:dyDescent="0.25">
      <c r="A567" s="147" t="s">
        <v>4678</v>
      </c>
      <c r="B567" s="521">
        <v>385</v>
      </c>
      <c r="C567" s="521" t="s">
        <v>4753</v>
      </c>
      <c r="D567" s="142" t="s">
        <v>34</v>
      </c>
      <c r="E567" s="142" t="s">
        <v>861</v>
      </c>
      <c r="F567" s="143">
        <v>45475</v>
      </c>
      <c r="G567" s="143"/>
      <c r="H567" s="142" t="s">
        <v>23</v>
      </c>
      <c r="I567" s="522"/>
      <c r="J567" s="522"/>
      <c r="K567" s="522">
        <v>242</v>
      </c>
      <c r="L567" s="393"/>
      <c r="M567" s="443">
        <f>Таблица4[[#This Row],[Количество хлыстов]]-Таблица4[[#This Row],[Готово, хл]]-Таблица4[[#This Row],[Вывезено, хл]]</f>
        <v>0</v>
      </c>
      <c r="N567" s="673">
        <f>((Таблица4[[#This Row],[Осталось сделать, хлыст]]*Таблица4[[#This Row],[длина]])*Таблица4[[#This Row],[Периметр]])/28</f>
        <v>0</v>
      </c>
      <c r="O567" s="142"/>
      <c r="P567" s="280"/>
      <c r="Q567" s="525" t="s">
        <v>5084</v>
      </c>
      <c r="R567" s="525">
        <v>242</v>
      </c>
      <c r="S567" s="526">
        <v>242</v>
      </c>
      <c r="T567" s="525">
        <v>0.44479999999999997</v>
      </c>
      <c r="U567" s="525">
        <v>1.784</v>
      </c>
      <c r="V567" s="525">
        <v>107.6416</v>
      </c>
      <c r="W567" s="525">
        <v>431.72800000000001</v>
      </c>
      <c r="X567" s="525">
        <v>13.99</v>
      </c>
      <c r="Y567" s="525">
        <v>455.7</v>
      </c>
      <c r="Z567" s="525">
        <v>1024.5</v>
      </c>
      <c r="AA567" s="527">
        <v>110279</v>
      </c>
    </row>
    <row r="568" spans="1:27" s="421" customFormat="1" ht="17.45" hidden="1" customHeight="1" x14ac:dyDescent="0.25">
      <c r="A568" s="419" t="s">
        <v>4978</v>
      </c>
      <c r="B568" s="617">
        <v>386</v>
      </c>
      <c r="C568" s="617"/>
      <c r="D568" s="618" t="s">
        <v>13</v>
      </c>
      <c r="E568" s="618" t="s">
        <v>556</v>
      </c>
      <c r="F568" s="619">
        <v>45476</v>
      </c>
      <c r="G568" s="619"/>
      <c r="H568" s="618" t="s">
        <v>23</v>
      </c>
      <c r="I568" s="620"/>
      <c r="J568" s="620"/>
      <c r="K568" s="620"/>
      <c r="L568" s="677">
        <v>694</v>
      </c>
      <c r="M568" s="691">
        <f>Таблица4[[#This Row],[Количество хлыстов]]-Таблица4[[#This Row],[Готово, хл]]-Таблица4[[#This Row],[Вывезено, хл]]</f>
        <v>0</v>
      </c>
      <c r="N568" s="673"/>
      <c r="O568" s="618"/>
      <c r="P568" s="692">
        <v>3</v>
      </c>
      <c r="Q568" s="622" t="s">
        <v>5170</v>
      </c>
      <c r="R568" s="622">
        <v>2082</v>
      </c>
      <c r="S568" s="623">
        <v>694</v>
      </c>
      <c r="T568" s="622">
        <v>0.20200000000000001</v>
      </c>
      <c r="U568" s="622">
        <v>0.51400000000000001</v>
      </c>
      <c r="V568" s="622">
        <v>420.56400000000002</v>
      </c>
      <c r="W568" s="622">
        <v>1070.1479999999999</v>
      </c>
      <c r="X568" s="622">
        <v>54.67</v>
      </c>
      <c r="Y568" s="622">
        <v>64.44</v>
      </c>
      <c r="Z568" s="622">
        <v>319</v>
      </c>
      <c r="AA568" s="624">
        <v>134164.07999999999</v>
      </c>
    </row>
    <row r="569" spans="1:27" s="421" customFormat="1" ht="17.45" hidden="1" customHeight="1" x14ac:dyDescent="0.25">
      <c r="A569" s="419" t="s">
        <v>4978</v>
      </c>
      <c r="B569" s="617">
        <v>387</v>
      </c>
      <c r="C569" s="617"/>
      <c r="D569" s="618" t="s">
        <v>13</v>
      </c>
      <c r="E569" s="618" t="s">
        <v>556</v>
      </c>
      <c r="F569" s="619">
        <v>45476</v>
      </c>
      <c r="G569" s="619"/>
      <c r="H569" s="618" t="s">
        <v>23</v>
      </c>
      <c r="I569" s="620"/>
      <c r="J569" s="620"/>
      <c r="K569" s="620"/>
      <c r="L569" s="677">
        <v>151</v>
      </c>
      <c r="M569" s="691">
        <f>Таблица4[[#This Row],[Количество хлыстов]]-Таблица4[[#This Row],[Готово, хл]]-Таблица4[[#This Row],[Вывезено, хл]]</f>
        <v>0</v>
      </c>
      <c r="N569" s="673"/>
      <c r="O569" s="618"/>
      <c r="P569" s="692">
        <v>3</v>
      </c>
      <c r="Q569" s="622" t="s">
        <v>5193</v>
      </c>
      <c r="R569" s="622">
        <v>453</v>
      </c>
      <c r="S569" s="623">
        <v>151</v>
      </c>
      <c r="T569" s="622">
        <v>0.25569999999999998</v>
      </c>
      <c r="U569" s="622">
        <v>1.3</v>
      </c>
      <c r="V569" s="622">
        <v>115.8321</v>
      </c>
      <c r="W569" s="622">
        <v>588.9</v>
      </c>
      <c r="X569" s="622">
        <v>15.06</v>
      </c>
      <c r="Y569" s="622">
        <v>81.569999999999993</v>
      </c>
      <c r="Z569" s="622">
        <v>319</v>
      </c>
      <c r="AA569" s="624">
        <v>36950.44</v>
      </c>
    </row>
    <row r="570" spans="1:27" ht="17.45" hidden="1" customHeight="1" x14ac:dyDescent="0.25">
      <c r="A570" s="147" t="s">
        <v>4678</v>
      </c>
      <c r="B570" s="521">
        <v>388</v>
      </c>
      <c r="C570" s="521" t="s">
        <v>4753</v>
      </c>
      <c r="D570" s="142" t="s">
        <v>13</v>
      </c>
      <c r="E570" s="142" t="s">
        <v>30</v>
      </c>
      <c r="F570" s="143">
        <v>45476</v>
      </c>
      <c r="G570" s="143">
        <v>45513</v>
      </c>
      <c r="H570" s="618" t="s">
        <v>23</v>
      </c>
      <c r="I570" s="522"/>
      <c r="J570" s="522"/>
      <c r="K570" s="522"/>
      <c r="L570" s="522">
        <f>44+42</f>
        <v>86</v>
      </c>
      <c r="M570" s="443">
        <f>Таблица4[[#This Row],[Количество хлыстов]]-Таблица4[[#This Row],[Готово, хл]]-Таблица4[[#This Row],[Вывезено, хл]]</f>
        <v>0</v>
      </c>
      <c r="N570" s="673">
        <v>27</v>
      </c>
      <c r="O570" s="142"/>
      <c r="P570" s="280"/>
      <c r="Q570" s="525" t="s">
        <v>5056</v>
      </c>
      <c r="R570" s="525">
        <v>86</v>
      </c>
      <c r="S570" s="526">
        <v>86</v>
      </c>
      <c r="T570" s="525">
        <v>1.587</v>
      </c>
      <c r="U570" s="525">
        <v>20.561</v>
      </c>
      <c r="V570" s="525">
        <v>136.482</v>
      </c>
      <c r="W570" s="525">
        <v>1768.2460000000001</v>
      </c>
      <c r="X570" s="525">
        <v>17.739999999999998</v>
      </c>
      <c r="Y570" s="525">
        <v>2750</v>
      </c>
      <c r="Z570" s="525">
        <v>1732.83</v>
      </c>
      <c r="AA570" s="527">
        <v>236500</v>
      </c>
    </row>
    <row r="571" spans="1:27" ht="17.45" hidden="1" customHeight="1" x14ac:dyDescent="0.25">
      <c r="A571" s="147" t="s">
        <v>4678</v>
      </c>
      <c r="B571" s="521">
        <v>388</v>
      </c>
      <c r="C571" s="521" t="s">
        <v>4753</v>
      </c>
      <c r="D571" s="142" t="s">
        <v>13</v>
      </c>
      <c r="E571" s="142" t="s">
        <v>30</v>
      </c>
      <c r="F571" s="143">
        <v>45476</v>
      </c>
      <c r="G571" s="143">
        <v>45513</v>
      </c>
      <c r="H571" s="618" t="s">
        <v>23</v>
      </c>
      <c r="I571" s="522"/>
      <c r="J571" s="522"/>
      <c r="K571" s="522"/>
      <c r="L571" s="522">
        <f>40+16</f>
        <v>56</v>
      </c>
      <c r="M571" s="443">
        <f>Таблица4[[#This Row],[Количество хлыстов]]-Таблица4[[#This Row],[Готово, хл]]-Таблица4[[#This Row],[Вывезено, хл]]</f>
        <v>0</v>
      </c>
      <c r="N571" s="673">
        <f>((Таблица4[[#This Row],[Осталось сделать, хлыст]]*Таблица4[[#This Row],[длина]])*Таблица4[[#This Row],[Периметр]])/28</f>
        <v>0</v>
      </c>
      <c r="O571" s="142"/>
      <c r="P571" s="280"/>
      <c r="Q571" s="525" t="s">
        <v>5058</v>
      </c>
      <c r="R571" s="525">
        <v>56</v>
      </c>
      <c r="S571" s="526">
        <v>56</v>
      </c>
      <c r="T571" s="525">
        <v>1.6279999999999999</v>
      </c>
      <c r="U571" s="525">
        <v>21.094999999999999</v>
      </c>
      <c r="V571" s="525">
        <v>91.168000000000006</v>
      </c>
      <c r="W571" s="525">
        <v>1181.32</v>
      </c>
      <c r="X571" s="525">
        <v>11.85</v>
      </c>
      <c r="Y571" s="525">
        <v>2700</v>
      </c>
      <c r="Z571" s="525">
        <v>1658.48</v>
      </c>
      <c r="AA571" s="527">
        <v>151200</v>
      </c>
    </row>
    <row r="572" spans="1:27" ht="17.45" hidden="1" customHeight="1" x14ac:dyDescent="0.25">
      <c r="A572" s="147" t="s">
        <v>4678</v>
      </c>
      <c r="B572" s="521">
        <v>388</v>
      </c>
      <c r="C572" s="521" t="s">
        <v>4753</v>
      </c>
      <c r="D572" s="142" t="s">
        <v>13</v>
      </c>
      <c r="E572" s="142" t="s">
        <v>30</v>
      </c>
      <c r="F572" s="143">
        <v>45476</v>
      </c>
      <c r="G572" s="143">
        <v>45513</v>
      </c>
      <c r="H572" s="618" t="s">
        <v>23</v>
      </c>
      <c r="I572" s="522"/>
      <c r="J572" s="522"/>
      <c r="K572" s="522"/>
      <c r="L572" s="522">
        <v>2</v>
      </c>
      <c r="M572" s="443">
        <f>Таблица4[[#This Row],[Количество хлыстов]]-Таблица4[[#This Row],[Готово, хл]]-Таблица4[[#This Row],[Вывезено, хл]]</f>
        <v>0</v>
      </c>
      <c r="N572" s="673">
        <f>((Таблица4[[#This Row],[Осталось сделать, хлыст]]*Таблица4[[#This Row],[длина]])*Таблица4[[#This Row],[Периметр]])/28</f>
        <v>0</v>
      </c>
      <c r="O572" s="142"/>
      <c r="P572" s="280"/>
      <c r="Q572" s="525" t="s">
        <v>5057</v>
      </c>
      <c r="R572" s="525">
        <v>2</v>
      </c>
      <c r="S572" s="526">
        <v>2</v>
      </c>
      <c r="T572" s="525">
        <v>1.6140000000000001</v>
      </c>
      <c r="U572" s="525">
        <v>20.91</v>
      </c>
      <c r="V572" s="525">
        <v>3.2280000000000002</v>
      </c>
      <c r="W572" s="525">
        <v>41.82</v>
      </c>
      <c r="X572" s="525">
        <v>0.42</v>
      </c>
      <c r="Y572" s="525">
        <v>2600</v>
      </c>
      <c r="Z572" s="525">
        <v>1610.9</v>
      </c>
      <c r="AA572" s="527">
        <v>5200</v>
      </c>
    </row>
    <row r="573" spans="1:27" ht="17.45" hidden="1" customHeight="1" x14ac:dyDescent="0.25">
      <c r="A573" s="147" t="s">
        <v>4678</v>
      </c>
      <c r="B573" s="521">
        <v>388</v>
      </c>
      <c r="C573" s="521" t="s">
        <v>4753</v>
      </c>
      <c r="D573" s="142" t="s">
        <v>13</v>
      </c>
      <c r="E573" s="142" t="s">
        <v>30</v>
      </c>
      <c r="F573" s="143">
        <v>45476</v>
      </c>
      <c r="G573" s="143">
        <v>45513</v>
      </c>
      <c r="H573" s="618" t="s">
        <v>23</v>
      </c>
      <c r="I573" s="522"/>
      <c r="J573" s="522"/>
      <c r="K573" s="522"/>
      <c r="L573" s="522"/>
      <c r="M573" s="443">
        <f>Таблица4[[#This Row],[Количество хлыстов]]-Таблица4[[#This Row],[Готово, хл]]-Таблица4[[#This Row],[Вывезено, хл]]</f>
        <v>6</v>
      </c>
      <c r="N573" s="673">
        <f>((Таблица4[[#This Row],[Осталось сделать, хлыст]]*Таблица4[[#This Row],[длина]])*Таблица4[[#This Row],[Периметр]])/28</f>
        <v>0</v>
      </c>
      <c r="O573" s="142" t="s">
        <v>5257</v>
      </c>
      <c r="P573" s="280"/>
      <c r="Q573" s="525" t="s">
        <v>5055</v>
      </c>
      <c r="R573" s="525">
        <v>6</v>
      </c>
      <c r="S573" s="526">
        <v>6</v>
      </c>
      <c r="T573" s="525">
        <v>1.5660000000000001</v>
      </c>
      <c r="U573" s="525">
        <v>20.294</v>
      </c>
      <c r="V573" s="525">
        <v>9.3960000000000008</v>
      </c>
      <c r="W573" s="525">
        <v>121.764</v>
      </c>
      <c r="X573" s="525">
        <v>1.22</v>
      </c>
      <c r="Y573" s="525">
        <v>2500</v>
      </c>
      <c r="Z573" s="525">
        <v>1596.42</v>
      </c>
      <c r="AA573" s="527">
        <v>15000</v>
      </c>
    </row>
    <row r="574" spans="1:27" ht="17.45" hidden="1" customHeight="1" x14ac:dyDescent="0.25">
      <c r="A574" s="147" t="s">
        <v>4678</v>
      </c>
      <c r="B574" s="521">
        <v>388</v>
      </c>
      <c r="C574" s="521" t="s">
        <v>4753</v>
      </c>
      <c r="D574" s="142" t="s">
        <v>13</v>
      </c>
      <c r="E574" s="142" t="s">
        <v>30</v>
      </c>
      <c r="F574" s="143">
        <v>45476</v>
      </c>
      <c r="G574" s="143">
        <v>45513</v>
      </c>
      <c r="H574" s="159" t="s">
        <v>23</v>
      </c>
      <c r="I574" s="522"/>
      <c r="J574" s="522"/>
      <c r="K574" s="522"/>
      <c r="L574" s="522">
        <v>4</v>
      </c>
      <c r="M574" s="443">
        <f>Таблица4[[#This Row],[Количество хлыстов]]-Таблица4[[#This Row],[Готово, хл]]-Таблица4[[#This Row],[Вывезено, хл]]</f>
        <v>0</v>
      </c>
      <c r="N574" s="673">
        <f>((Таблица4[[#This Row],[Осталось сделать, хлыст]]*Таблица4[[#This Row],[длина]])*Таблица4[[#This Row],[Периметр]])/28</f>
        <v>0</v>
      </c>
      <c r="O574" s="142"/>
      <c r="P574" s="280"/>
      <c r="Q574" s="525" t="s">
        <v>5139</v>
      </c>
      <c r="R574" s="525">
        <v>4</v>
      </c>
      <c r="S574" s="526">
        <v>4</v>
      </c>
      <c r="T574" s="525">
        <v>0.317</v>
      </c>
      <c r="U574" s="525">
        <v>4.1079999999999997</v>
      </c>
      <c r="V574" s="525">
        <v>1.268</v>
      </c>
      <c r="W574" s="525">
        <v>16.431999999999999</v>
      </c>
      <c r="X574" s="525">
        <v>0.16</v>
      </c>
      <c r="Y574" s="525">
        <v>2400</v>
      </c>
      <c r="Z574" s="525">
        <v>7570.98</v>
      </c>
      <c r="AA574" s="527">
        <v>9600</v>
      </c>
    </row>
    <row r="575" spans="1:27" ht="17.45" hidden="1" customHeight="1" x14ac:dyDescent="0.25">
      <c r="A575" s="147" t="s">
        <v>4678</v>
      </c>
      <c r="B575" s="521">
        <v>388</v>
      </c>
      <c r="C575" s="521" t="s">
        <v>4753</v>
      </c>
      <c r="D575" s="142" t="s">
        <v>13</v>
      </c>
      <c r="E575" s="142" t="s">
        <v>30</v>
      </c>
      <c r="F575" s="143">
        <v>45476</v>
      </c>
      <c r="G575" s="143">
        <v>45513</v>
      </c>
      <c r="H575" s="159" t="s">
        <v>23</v>
      </c>
      <c r="I575" s="522"/>
      <c r="J575" s="522"/>
      <c r="K575" s="522"/>
      <c r="L575" s="522">
        <v>4</v>
      </c>
      <c r="M575" s="443">
        <f>Таблица4[[#This Row],[Количество хлыстов]]-Таблица4[[#This Row],[Готово, хл]]-Таблица4[[#This Row],[Вывезено, хл]]</f>
        <v>8</v>
      </c>
      <c r="N575" s="673">
        <f>((Таблица4[[#This Row],[Осталось сделать, хлыст]]*Таблица4[[#This Row],[длина]])*Таблица4[[#This Row],[Периметр]])/28</f>
        <v>0</v>
      </c>
      <c r="O575" s="142" t="s">
        <v>5256</v>
      </c>
      <c r="P575" s="280"/>
      <c r="Q575" s="525" t="s">
        <v>5054</v>
      </c>
      <c r="R575" s="525">
        <v>12</v>
      </c>
      <c r="S575" s="526">
        <v>12</v>
      </c>
      <c r="T575" s="525">
        <v>1.4490000000000001</v>
      </c>
      <c r="U575" s="525">
        <v>18.774000000000001</v>
      </c>
      <c r="V575" s="525">
        <v>17.388000000000002</v>
      </c>
      <c r="W575" s="525">
        <v>225.28800000000001</v>
      </c>
      <c r="X575" s="525">
        <v>2.2599999999999998</v>
      </c>
      <c r="Y575" s="525">
        <v>2300</v>
      </c>
      <c r="Z575" s="525">
        <v>1587.3</v>
      </c>
      <c r="AA575" s="527">
        <v>27600</v>
      </c>
    </row>
    <row r="576" spans="1:27" ht="17.45" hidden="1" customHeight="1" x14ac:dyDescent="0.25">
      <c r="A576" s="147" t="s">
        <v>4678</v>
      </c>
      <c r="B576" s="521">
        <v>388</v>
      </c>
      <c r="C576" s="521" t="s">
        <v>4753</v>
      </c>
      <c r="D576" s="142" t="s">
        <v>13</v>
      </c>
      <c r="E576" s="142" t="s">
        <v>30</v>
      </c>
      <c r="F576" s="143">
        <v>45476</v>
      </c>
      <c r="G576" s="143">
        <v>45513</v>
      </c>
      <c r="H576" s="159" t="s">
        <v>23</v>
      </c>
      <c r="I576" s="522"/>
      <c r="J576" s="522"/>
      <c r="K576" s="522"/>
      <c r="L576" s="522">
        <v>4</v>
      </c>
      <c r="M576" s="443">
        <f>Таблица4[[#This Row],[Количество хлыстов]]-Таблица4[[#This Row],[Готово, хл]]-Таблица4[[#This Row],[Вывезено, хл]]</f>
        <v>0</v>
      </c>
      <c r="N576" s="673">
        <f>((Таблица4[[#This Row],[Осталось сделать, хлыст]]*Таблица4[[#This Row],[длина]])*Таблица4[[#This Row],[Периметр]])/28</f>
        <v>0</v>
      </c>
      <c r="O576" s="142"/>
      <c r="P576" s="280"/>
      <c r="Q576" s="525" t="s">
        <v>5136</v>
      </c>
      <c r="R576" s="525">
        <v>4</v>
      </c>
      <c r="S576" s="526">
        <v>4</v>
      </c>
      <c r="T576" s="525">
        <v>0.317</v>
      </c>
      <c r="U576" s="525">
        <v>4.1079999999999997</v>
      </c>
      <c r="V576" s="525">
        <v>1.268</v>
      </c>
      <c r="W576" s="525">
        <v>16.431999999999999</v>
      </c>
      <c r="X576" s="525">
        <v>0.16</v>
      </c>
      <c r="Y576" s="525">
        <v>2350</v>
      </c>
      <c r="Z576" s="525">
        <v>7413.25</v>
      </c>
      <c r="AA576" s="527">
        <v>9400</v>
      </c>
    </row>
    <row r="577" spans="1:27" ht="17.45" hidden="1" customHeight="1" x14ac:dyDescent="0.25">
      <c r="A577" s="147" t="s">
        <v>4678</v>
      </c>
      <c r="B577" s="521">
        <v>388</v>
      </c>
      <c r="C577" s="521" t="s">
        <v>4753</v>
      </c>
      <c r="D577" s="142" t="s">
        <v>13</v>
      </c>
      <c r="E577" s="142" t="s">
        <v>30</v>
      </c>
      <c r="F577" s="143">
        <v>45476</v>
      </c>
      <c r="G577" s="143">
        <v>45513</v>
      </c>
      <c r="H577" s="159" t="s">
        <v>23</v>
      </c>
      <c r="I577" s="522"/>
      <c r="J577" s="522"/>
      <c r="K577" s="522"/>
      <c r="L577" s="522">
        <v>4</v>
      </c>
      <c r="M577" s="443">
        <f>Таблица4[[#This Row],[Количество хлыстов]]-Таблица4[[#This Row],[Готово, хл]]-Таблица4[[#This Row],[Вывезено, хл]]</f>
        <v>0</v>
      </c>
      <c r="N577" s="673">
        <f>((Таблица4[[#This Row],[Осталось сделать, хлыст]]*Таблица4[[#This Row],[длина]])*Таблица4[[#This Row],[Периметр]])/28</f>
        <v>0</v>
      </c>
      <c r="O577" s="142"/>
      <c r="P577" s="280"/>
      <c r="Q577" s="525" t="s">
        <v>5137</v>
      </c>
      <c r="R577" s="525">
        <v>4</v>
      </c>
      <c r="S577" s="526">
        <v>4</v>
      </c>
      <c r="T577" s="525">
        <v>0.317</v>
      </c>
      <c r="U577" s="525">
        <v>4.1079999999999997</v>
      </c>
      <c r="V577" s="525">
        <v>1.268</v>
      </c>
      <c r="W577" s="525">
        <v>16.431999999999999</v>
      </c>
      <c r="X577" s="525">
        <v>0.16</v>
      </c>
      <c r="Y577" s="525">
        <v>2000</v>
      </c>
      <c r="Z577" s="525">
        <v>6309.15</v>
      </c>
      <c r="AA577" s="527">
        <v>8000</v>
      </c>
    </row>
    <row r="578" spans="1:27" ht="17.45" hidden="1" customHeight="1" x14ac:dyDescent="0.25">
      <c r="A578" s="147" t="s">
        <v>4678</v>
      </c>
      <c r="B578" s="521">
        <v>388</v>
      </c>
      <c r="C578" s="521" t="s">
        <v>4753</v>
      </c>
      <c r="D578" s="142" t="s">
        <v>13</v>
      </c>
      <c r="E578" s="142" t="s">
        <v>30</v>
      </c>
      <c r="F578" s="143">
        <v>45476</v>
      </c>
      <c r="G578" s="143"/>
      <c r="H578" s="159" t="s">
        <v>23</v>
      </c>
      <c r="I578" s="522"/>
      <c r="J578" s="522"/>
      <c r="K578" s="522"/>
      <c r="L578" s="522">
        <v>2</v>
      </c>
      <c r="M578" s="443">
        <v>1</v>
      </c>
      <c r="N578" s="673">
        <f>((Таблица4[[#This Row],[Осталось сделать, хлыст]]*Таблица4[[#This Row],[длина]])*Таблица4[[#This Row],[Периметр]])/28</f>
        <v>0</v>
      </c>
      <c r="O578" s="142"/>
      <c r="P578" s="280"/>
      <c r="Q578" s="525" t="s">
        <v>5053</v>
      </c>
      <c r="R578" s="525">
        <v>2</v>
      </c>
      <c r="S578" s="526">
        <v>1</v>
      </c>
      <c r="T578" s="525">
        <v>1.3320000000000001</v>
      </c>
      <c r="U578" s="525">
        <v>17.254000000000001</v>
      </c>
      <c r="V578" s="525">
        <v>2.6640000000000001</v>
      </c>
      <c r="W578" s="525">
        <v>34.508000000000003</v>
      </c>
      <c r="X578" s="525">
        <v>0.35</v>
      </c>
      <c r="Y578" s="525">
        <v>2200</v>
      </c>
      <c r="Z578" s="525">
        <v>1651.65</v>
      </c>
      <c r="AA578" s="527">
        <v>4400</v>
      </c>
    </row>
    <row r="579" spans="1:27" ht="17.45" hidden="1" customHeight="1" x14ac:dyDescent="0.25">
      <c r="A579" s="147" t="s">
        <v>4678</v>
      </c>
      <c r="B579" s="521">
        <v>388</v>
      </c>
      <c r="C579" s="521" t="s">
        <v>4753</v>
      </c>
      <c r="D579" s="142" t="s">
        <v>13</v>
      </c>
      <c r="E579" s="142" t="s">
        <v>30</v>
      </c>
      <c r="F579" s="143">
        <v>45476</v>
      </c>
      <c r="G579" s="143"/>
      <c r="H579" s="159" t="s">
        <v>23</v>
      </c>
      <c r="I579" s="522"/>
      <c r="J579" s="522"/>
      <c r="K579" s="522"/>
      <c r="L579" s="522">
        <v>2</v>
      </c>
      <c r="M579" s="443">
        <v>1</v>
      </c>
      <c r="N579" s="673">
        <f>((Таблица4[[#This Row],[Осталось сделать, хлыст]]*Таблица4[[#This Row],[длина]])*Таблица4[[#This Row],[Периметр]])/28</f>
        <v>0</v>
      </c>
      <c r="O579" s="142"/>
      <c r="P579" s="280"/>
      <c r="Q579" s="525" t="s">
        <v>5052</v>
      </c>
      <c r="R579" s="525">
        <v>2</v>
      </c>
      <c r="S579" s="526">
        <v>1</v>
      </c>
      <c r="T579" s="525">
        <v>1.2529999999999999</v>
      </c>
      <c r="U579" s="525">
        <v>16.227</v>
      </c>
      <c r="V579" s="525">
        <v>2.5059999999999998</v>
      </c>
      <c r="W579" s="525">
        <v>32.454000000000001</v>
      </c>
      <c r="X579" s="525">
        <v>0.33</v>
      </c>
      <c r="Y579" s="525">
        <v>1900</v>
      </c>
      <c r="Z579" s="525">
        <v>1516.36</v>
      </c>
      <c r="AA579" s="527">
        <v>3800</v>
      </c>
    </row>
    <row r="580" spans="1:27" ht="17.45" hidden="1" customHeight="1" x14ac:dyDescent="0.25">
      <c r="A580" s="147" t="s">
        <v>4678</v>
      </c>
      <c r="B580" s="521">
        <v>388</v>
      </c>
      <c r="C580" s="521" t="s">
        <v>4753</v>
      </c>
      <c r="D580" s="142" t="s">
        <v>13</v>
      </c>
      <c r="E580" s="142" t="s">
        <v>30</v>
      </c>
      <c r="F580" s="143">
        <v>45476</v>
      </c>
      <c r="G580" s="143"/>
      <c r="H580" s="159" t="s">
        <v>23</v>
      </c>
      <c r="I580" s="522"/>
      <c r="J580" s="522"/>
      <c r="K580" s="522"/>
      <c r="L580" s="522">
        <v>18</v>
      </c>
      <c r="M580" s="443">
        <f>Таблица4[[#This Row],[Количество хлыстов]]-Таблица4[[#This Row],[Готово, хл]]-Таблица4[[#This Row],[Вывезено, хл]]</f>
        <v>0</v>
      </c>
      <c r="N580" s="673">
        <f>((Таблица4[[#This Row],[Осталось сделать, хлыст]]*Таблица4[[#This Row],[длина]])*Таблица4[[#This Row],[Периметр]])/28</f>
        <v>0</v>
      </c>
      <c r="O580" s="142"/>
      <c r="P580" s="280"/>
      <c r="Q580" s="525" t="s">
        <v>5051</v>
      </c>
      <c r="R580" s="525">
        <v>18</v>
      </c>
      <c r="S580" s="526">
        <v>18</v>
      </c>
      <c r="T580" s="525">
        <v>0.97799999999999998</v>
      </c>
      <c r="U580" s="525">
        <v>12.673999999999999</v>
      </c>
      <c r="V580" s="525">
        <v>17.603999999999999</v>
      </c>
      <c r="W580" s="525">
        <v>228.13200000000001</v>
      </c>
      <c r="X580" s="525">
        <v>2.29</v>
      </c>
      <c r="Y580" s="525">
        <v>1611</v>
      </c>
      <c r="Z580" s="525">
        <v>1647.24</v>
      </c>
      <c r="AA580" s="527">
        <v>28998</v>
      </c>
    </row>
    <row r="581" spans="1:27" ht="17.45" hidden="1" customHeight="1" x14ac:dyDescent="0.25">
      <c r="A581" s="147" t="s">
        <v>4678</v>
      </c>
      <c r="B581" s="521">
        <v>388</v>
      </c>
      <c r="C581" s="521" t="s">
        <v>4753</v>
      </c>
      <c r="D581" s="142" t="s">
        <v>13</v>
      </c>
      <c r="E581" s="142" t="s">
        <v>30</v>
      </c>
      <c r="F581" s="143">
        <v>45476</v>
      </c>
      <c r="G581" s="143"/>
      <c r="H581" s="142" t="s">
        <v>23</v>
      </c>
      <c r="I581" s="522"/>
      <c r="J581" s="522"/>
      <c r="K581" s="522"/>
      <c r="L581" s="522">
        <v>14</v>
      </c>
      <c r="M581" s="443">
        <f>Таблица4[[#This Row],[Количество хлыстов]]-Таблица4[[#This Row],[Готово, хл]]-Таблица4[[#This Row],[Вывезено, хл]]</f>
        <v>0</v>
      </c>
      <c r="N581" s="673">
        <f>((Таблица4[[#This Row],[Осталось сделать, хлыст]]*Таблица4[[#This Row],[длина]])*Таблица4[[#This Row],[Периметр]])/28</f>
        <v>0</v>
      </c>
      <c r="O581" s="142"/>
      <c r="P581" s="280"/>
      <c r="Q581" s="525" t="s">
        <v>5047</v>
      </c>
      <c r="R581" s="525">
        <v>14</v>
      </c>
      <c r="S581" s="526">
        <v>14</v>
      </c>
      <c r="T581" s="525">
        <v>0.34</v>
      </c>
      <c r="U581" s="525">
        <v>4.3959999999999999</v>
      </c>
      <c r="V581" s="525">
        <v>4.76</v>
      </c>
      <c r="W581" s="525">
        <v>61.543999999999997</v>
      </c>
      <c r="X581" s="525">
        <v>0.62</v>
      </c>
      <c r="Y581" s="525">
        <v>800</v>
      </c>
      <c r="Z581" s="525">
        <v>2352.94</v>
      </c>
      <c r="AA581" s="527">
        <v>11200</v>
      </c>
    </row>
    <row r="582" spans="1:27" ht="17.45" hidden="1" customHeight="1" x14ac:dyDescent="0.25">
      <c r="A582" s="147" t="s">
        <v>4678</v>
      </c>
      <c r="B582" s="521">
        <v>388</v>
      </c>
      <c r="C582" s="521" t="s">
        <v>4753</v>
      </c>
      <c r="D582" s="142" t="s">
        <v>13</v>
      </c>
      <c r="E582" s="142" t="s">
        <v>30</v>
      </c>
      <c r="F582" s="143">
        <v>45476</v>
      </c>
      <c r="G582" s="143"/>
      <c r="H582" s="142" t="s">
        <v>23</v>
      </c>
      <c r="I582" s="522"/>
      <c r="J582" s="522"/>
      <c r="K582" s="522"/>
      <c r="L582" s="522">
        <v>2</v>
      </c>
      <c r="M582" s="443">
        <f>Таблица4[[#This Row],[Количество хлыстов]]-Таблица4[[#This Row],[Готово, хл]]-Таблица4[[#This Row],[Вывезено, хл]]</f>
        <v>0</v>
      </c>
      <c r="N582" s="673">
        <f>((Таблица4[[#This Row],[Осталось сделать, хлыст]]*Таблица4[[#This Row],[длина]])*Таблица4[[#This Row],[Периметр]])/28</f>
        <v>0</v>
      </c>
      <c r="O582" s="142"/>
      <c r="P582" s="280"/>
      <c r="Q582" s="525" t="s">
        <v>5048</v>
      </c>
      <c r="R582" s="525">
        <v>2</v>
      </c>
      <c r="S582" s="526">
        <v>2</v>
      </c>
      <c r="T582" s="525">
        <v>0.432</v>
      </c>
      <c r="U582" s="525">
        <v>5.5910000000000002</v>
      </c>
      <c r="V582" s="525">
        <v>0.86399999999999999</v>
      </c>
      <c r="W582" s="525">
        <v>11.182</v>
      </c>
      <c r="X582" s="525">
        <v>0.11</v>
      </c>
      <c r="Y582" s="525">
        <v>700</v>
      </c>
      <c r="Z582" s="525">
        <v>1620.37</v>
      </c>
      <c r="AA582" s="527">
        <v>1400</v>
      </c>
    </row>
    <row r="583" spans="1:27" ht="17.45" hidden="1" customHeight="1" x14ac:dyDescent="0.25">
      <c r="A583" s="147" t="s">
        <v>4678</v>
      </c>
      <c r="B583" s="521">
        <v>388</v>
      </c>
      <c r="C583" s="521" t="s">
        <v>4753</v>
      </c>
      <c r="D583" s="142" t="s">
        <v>13</v>
      </c>
      <c r="E583" s="142" t="s">
        <v>30</v>
      </c>
      <c r="F583" s="143">
        <v>45476</v>
      </c>
      <c r="G583" s="143"/>
      <c r="H583" s="142" t="s">
        <v>23</v>
      </c>
      <c r="I583" s="522"/>
      <c r="J583" s="522"/>
      <c r="K583" s="522"/>
      <c r="L583" s="522">
        <v>56</v>
      </c>
      <c r="M583" s="443">
        <f>Таблица4[[#This Row],[Количество хлыстов]]-Таблица4[[#This Row],[Готово, хл]]-Таблица4[[#This Row],[Вывезено, хл]]</f>
        <v>0</v>
      </c>
      <c r="N583" s="673">
        <f>((Таблица4[[#This Row],[Осталось сделать, хлыст]]*Таблица4[[#This Row],[длина]])*Таблица4[[#This Row],[Периметр]])/28</f>
        <v>0</v>
      </c>
      <c r="O583" s="142"/>
      <c r="P583" s="280"/>
      <c r="Q583" s="525" t="s">
        <v>5049</v>
      </c>
      <c r="R583" s="525">
        <v>56</v>
      </c>
      <c r="S583" s="526">
        <v>56</v>
      </c>
      <c r="T583" s="525">
        <v>0.435</v>
      </c>
      <c r="U583" s="525">
        <v>5.6280000000000001</v>
      </c>
      <c r="V583" s="525">
        <v>24.36</v>
      </c>
      <c r="W583" s="525">
        <v>315.16800000000001</v>
      </c>
      <c r="X583" s="525">
        <v>3.17</v>
      </c>
      <c r="Y583" s="525">
        <v>900</v>
      </c>
      <c r="Z583" s="525">
        <v>2068.9699999999998</v>
      </c>
      <c r="AA583" s="527">
        <v>50400</v>
      </c>
    </row>
    <row r="584" spans="1:27" ht="17.45" hidden="1" customHeight="1" x14ac:dyDescent="0.25">
      <c r="A584" s="147" t="s">
        <v>4678</v>
      </c>
      <c r="B584" s="521">
        <v>388</v>
      </c>
      <c r="C584" s="521" t="s">
        <v>4753</v>
      </c>
      <c r="D584" s="142" t="s">
        <v>13</v>
      </c>
      <c r="E584" s="142" t="s">
        <v>30</v>
      </c>
      <c r="F584" s="143">
        <v>45476</v>
      </c>
      <c r="G584" s="143"/>
      <c r="H584" s="142" t="s">
        <v>23</v>
      </c>
      <c r="I584" s="522"/>
      <c r="J584" s="522"/>
      <c r="K584" s="522"/>
      <c r="L584" s="522">
        <v>4</v>
      </c>
      <c r="M584" s="443">
        <f>Таблица4[[#This Row],[Количество хлыстов]]-Таблица4[[#This Row],[Готово, хл]]-Таблица4[[#This Row],[Вывезено, хл]]</f>
        <v>0</v>
      </c>
      <c r="N584" s="673">
        <f>((Таблица4[[#This Row],[Осталось сделать, хлыст]]*Таблица4[[#This Row],[длина]])*Таблица4[[#This Row],[Периметр]])/28</f>
        <v>0</v>
      </c>
      <c r="O584" s="142"/>
      <c r="P584" s="280"/>
      <c r="Q584" s="525" t="s">
        <v>5138</v>
      </c>
      <c r="R584" s="525">
        <v>4</v>
      </c>
      <c r="S584" s="526">
        <v>4</v>
      </c>
      <c r="T584" s="525">
        <v>0.317</v>
      </c>
      <c r="U584" s="525">
        <v>4.1079999999999997</v>
      </c>
      <c r="V584" s="525">
        <v>1.268</v>
      </c>
      <c r="W584" s="525">
        <v>16.431999999999999</v>
      </c>
      <c r="X584" s="525">
        <v>0.16</v>
      </c>
      <c r="Y584" s="525">
        <v>1200</v>
      </c>
      <c r="Z584" s="525">
        <v>3785.49</v>
      </c>
      <c r="AA584" s="527">
        <v>4800</v>
      </c>
    </row>
    <row r="585" spans="1:27" ht="17.45" hidden="1" customHeight="1" x14ac:dyDescent="0.25">
      <c r="A585" s="147" t="s">
        <v>4678</v>
      </c>
      <c r="B585" s="521">
        <v>388</v>
      </c>
      <c r="C585" s="521" t="s">
        <v>4753</v>
      </c>
      <c r="D585" s="142" t="s">
        <v>13</v>
      </c>
      <c r="E585" s="142" t="s">
        <v>30</v>
      </c>
      <c r="F585" s="143">
        <v>45476</v>
      </c>
      <c r="G585" s="143"/>
      <c r="H585" s="142" t="s">
        <v>23</v>
      </c>
      <c r="I585" s="522"/>
      <c r="J585" s="522"/>
      <c r="K585" s="522"/>
      <c r="L585" s="522">
        <v>6</v>
      </c>
      <c r="M585" s="443">
        <f>Таблица4[[#This Row],[Количество хлыстов]]-Таблица4[[#This Row],[Готово, хл]]-Таблица4[[#This Row],[Вывезено, хл]]</f>
        <v>4</v>
      </c>
      <c r="N585" s="673">
        <f>((Таблица4[[#This Row],[Осталось сделать, хлыст]]*Таблица4[[#This Row],[длина]])*Таблица4[[#This Row],[Периметр]])/28</f>
        <v>0</v>
      </c>
      <c r="O585" s="142" t="s">
        <v>5256</v>
      </c>
      <c r="P585" s="280"/>
      <c r="Q585" s="525" t="s">
        <v>5045</v>
      </c>
      <c r="R585" s="525">
        <v>6</v>
      </c>
      <c r="S585" s="526">
        <v>10</v>
      </c>
      <c r="T585" s="525">
        <v>0.222</v>
      </c>
      <c r="U585" s="525">
        <v>2.8759999999999999</v>
      </c>
      <c r="V585" s="525">
        <v>1.3320000000000001</v>
      </c>
      <c r="W585" s="525">
        <v>17.256</v>
      </c>
      <c r="X585" s="525">
        <v>0.17</v>
      </c>
      <c r="Y585" s="525">
        <v>500</v>
      </c>
      <c r="Z585" s="525">
        <v>2252.25</v>
      </c>
      <c r="AA585" s="527">
        <v>3000</v>
      </c>
    </row>
    <row r="586" spans="1:27" ht="17.45" hidden="1" customHeight="1" x14ac:dyDescent="0.25">
      <c r="A586" s="147" t="s">
        <v>4678</v>
      </c>
      <c r="B586" s="521">
        <v>388</v>
      </c>
      <c r="C586" s="521" t="s">
        <v>4753</v>
      </c>
      <c r="D586" s="142" t="s">
        <v>13</v>
      </c>
      <c r="E586" s="142" t="s">
        <v>30</v>
      </c>
      <c r="F586" s="143">
        <v>45476</v>
      </c>
      <c r="G586" s="143"/>
      <c r="H586" s="142" t="s">
        <v>23</v>
      </c>
      <c r="I586" s="522"/>
      <c r="J586" s="522"/>
      <c r="K586" s="522"/>
      <c r="L586" s="522">
        <v>216</v>
      </c>
      <c r="M586" s="443">
        <f>Таблица4[[#This Row],[Количество хлыстов]]-Таблица4[[#This Row],[Готово, хл]]-Таблица4[[#This Row],[Вывезено, хл]]</f>
        <v>4</v>
      </c>
      <c r="N586" s="673">
        <f>((Таблица4[[#This Row],[Осталось сделать, хлыст]]*Таблица4[[#This Row],[длина]])*Таблица4[[#This Row],[Периметр]])/28</f>
        <v>0</v>
      </c>
      <c r="O586" s="142" t="s">
        <v>5256</v>
      </c>
      <c r="P586" s="280"/>
      <c r="Q586" s="525" t="s">
        <v>5044</v>
      </c>
      <c r="R586" s="525">
        <v>216</v>
      </c>
      <c r="S586" s="526">
        <v>220</v>
      </c>
      <c r="T586" s="525">
        <v>9.6000000000000002E-2</v>
      </c>
      <c r="U586" s="525">
        <v>1.2330000000000001</v>
      </c>
      <c r="V586" s="525">
        <v>20.736000000000001</v>
      </c>
      <c r="W586" s="525">
        <v>266.32799999999997</v>
      </c>
      <c r="X586" s="525">
        <v>2.7</v>
      </c>
      <c r="Y586" s="525">
        <v>400</v>
      </c>
      <c r="Z586" s="525">
        <v>4166.67</v>
      </c>
      <c r="AA586" s="527">
        <v>86400</v>
      </c>
    </row>
    <row r="587" spans="1:27" ht="17.45" customHeight="1" x14ac:dyDescent="0.25">
      <c r="A587" s="147" t="s">
        <v>4678</v>
      </c>
      <c r="B587" s="912">
        <v>389</v>
      </c>
      <c r="C587" s="912" t="s">
        <v>4753</v>
      </c>
      <c r="D587" s="149" t="s">
        <v>13</v>
      </c>
      <c r="E587" s="149" t="s">
        <v>30</v>
      </c>
      <c r="F587" s="275">
        <v>45476</v>
      </c>
      <c r="G587" s="143">
        <v>45576</v>
      </c>
      <c r="H587" s="142" t="s">
        <v>2078</v>
      </c>
      <c r="I587" s="522"/>
      <c r="J587" s="522"/>
      <c r="K587" s="522"/>
      <c r="L587" s="393"/>
      <c r="M587" s="443">
        <f>Таблица4[[#This Row],[Количество хлыстов]]-Таблица4[[#This Row],[Готово, хл]]-Таблица4[[#This Row],[Вывезено, хл]]</f>
        <v>240</v>
      </c>
      <c r="N587" s="673">
        <v>5</v>
      </c>
      <c r="O587" s="142"/>
      <c r="P587" s="280"/>
      <c r="Q587" s="525" t="s">
        <v>5059</v>
      </c>
      <c r="R587" s="525"/>
      <c r="S587" s="526">
        <v>240</v>
      </c>
      <c r="T587" s="525">
        <v>0.60599999999999998</v>
      </c>
      <c r="U587" s="525">
        <v>0.8</v>
      </c>
      <c r="V587" s="525">
        <v>145.44</v>
      </c>
      <c r="W587" s="525">
        <v>192</v>
      </c>
      <c r="X587" s="525">
        <v>18.91</v>
      </c>
      <c r="Y587" s="525">
        <v>495.29</v>
      </c>
      <c r="Z587" s="525">
        <v>817.31</v>
      </c>
      <c r="AA587" s="527">
        <v>118870</v>
      </c>
    </row>
    <row r="588" spans="1:27" ht="17.45" customHeight="1" x14ac:dyDescent="0.25">
      <c r="A588" s="147" t="s">
        <v>4678</v>
      </c>
      <c r="B588" s="912">
        <v>390</v>
      </c>
      <c r="C588" s="912" t="s">
        <v>4753</v>
      </c>
      <c r="D588" s="149" t="s">
        <v>13</v>
      </c>
      <c r="E588" s="149" t="s">
        <v>30</v>
      </c>
      <c r="F588" s="275">
        <v>45476</v>
      </c>
      <c r="G588" s="143">
        <v>45576</v>
      </c>
      <c r="H588" s="142" t="s">
        <v>2078</v>
      </c>
      <c r="I588" s="522"/>
      <c r="J588" s="522"/>
      <c r="K588" s="522"/>
      <c r="L588" s="393"/>
      <c r="M588" s="443">
        <f>Таблица4[[#This Row],[Количество хлыстов]]-Таблица4[[#This Row],[Готово, хл]]-Таблица4[[#This Row],[Вывезено, хл]]</f>
        <v>16</v>
      </c>
      <c r="N588" s="673">
        <v>14</v>
      </c>
      <c r="O588" s="142"/>
      <c r="P588" s="280"/>
      <c r="Q588" s="525" t="s">
        <v>5194</v>
      </c>
      <c r="R588" s="525">
        <v>16</v>
      </c>
      <c r="S588" s="526">
        <v>16</v>
      </c>
      <c r="T588" s="525">
        <v>4.21</v>
      </c>
      <c r="U588" s="525">
        <v>8.4190000000000005</v>
      </c>
      <c r="V588" s="525">
        <v>67.36</v>
      </c>
      <c r="W588" s="525">
        <v>134.70400000000001</v>
      </c>
      <c r="X588" s="525">
        <v>8.76</v>
      </c>
      <c r="Y588" s="525">
        <v>5200</v>
      </c>
      <c r="Z588" s="525">
        <v>1235.1500000000001</v>
      </c>
      <c r="AA588" s="527">
        <v>83200</v>
      </c>
    </row>
    <row r="589" spans="1:27" ht="17.45" customHeight="1" x14ac:dyDescent="0.25">
      <c r="A589" s="147" t="s">
        <v>4678</v>
      </c>
      <c r="B589" s="912">
        <v>390</v>
      </c>
      <c r="C589" s="912" t="s">
        <v>4753</v>
      </c>
      <c r="D589" s="149" t="s">
        <v>13</v>
      </c>
      <c r="E589" s="149" t="s">
        <v>30</v>
      </c>
      <c r="F589" s="275">
        <v>45476</v>
      </c>
      <c r="G589" s="143">
        <v>45576</v>
      </c>
      <c r="H589" s="142" t="s">
        <v>2078</v>
      </c>
      <c r="I589" s="522"/>
      <c r="J589" s="522"/>
      <c r="K589" s="522"/>
      <c r="L589" s="393"/>
      <c r="M589" s="443">
        <f>Таблица4[[#This Row],[Количество хлыстов]]-Таблица4[[#This Row],[Готово, хл]]-Таблица4[[#This Row],[Вывезено, хл]]</f>
        <v>16</v>
      </c>
      <c r="N589" s="673">
        <f>((Таблица4[[#This Row],[Осталось сделать, хлыст]]*Таблица4[[#This Row],[длина]])*Таблица4[[#This Row],[Периметр]])/28</f>
        <v>0</v>
      </c>
      <c r="O589" s="142"/>
      <c r="P589" s="280"/>
      <c r="Q589" s="525" t="s">
        <v>5195</v>
      </c>
      <c r="R589" s="525">
        <v>16</v>
      </c>
      <c r="S589" s="526">
        <v>16</v>
      </c>
      <c r="T589" s="525">
        <v>4.78</v>
      </c>
      <c r="U589" s="525">
        <v>9.5649999999999995</v>
      </c>
      <c r="V589" s="525">
        <v>76.48</v>
      </c>
      <c r="W589" s="525">
        <v>153.04</v>
      </c>
      <c r="X589" s="525">
        <v>9.94</v>
      </c>
      <c r="Y589" s="525">
        <v>4100</v>
      </c>
      <c r="Z589" s="525">
        <v>857.74</v>
      </c>
      <c r="AA589" s="527">
        <v>65600</v>
      </c>
    </row>
    <row r="590" spans="1:27" ht="17.45" customHeight="1" x14ac:dyDescent="0.25">
      <c r="A590" s="147" t="s">
        <v>4678</v>
      </c>
      <c r="B590" s="912">
        <v>390</v>
      </c>
      <c r="C590" s="912" t="s">
        <v>4753</v>
      </c>
      <c r="D590" s="149" t="s">
        <v>13</v>
      </c>
      <c r="E590" s="149" t="s">
        <v>30</v>
      </c>
      <c r="F590" s="275">
        <v>45476</v>
      </c>
      <c r="G590" s="143">
        <v>45576</v>
      </c>
      <c r="H590" s="142" t="s">
        <v>2078</v>
      </c>
      <c r="I590" s="522"/>
      <c r="J590" s="522"/>
      <c r="K590" s="522"/>
      <c r="L590" s="393"/>
      <c r="M590" s="443">
        <f>Таблица4[[#This Row],[Количество хлыстов]]-Таблица4[[#This Row],[Готово, хл]]-Таблица4[[#This Row],[Вывезено, хл]]</f>
        <v>16</v>
      </c>
      <c r="N590" s="673">
        <f>((Таблица4[[#This Row],[Осталось сделать, хлыст]]*Таблица4[[#This Row],[длина]])*Таблица4[[#This Row],[Периметр]])/28</f>
        <v>0</v>
      </c>
      <c r="O590" s="142"/>
      <c r="P590" s="280"/>
      <c r="Q590" s="525" t="s">
        <v>5196</v>
      </c>
      <c r="R590" s="525">
        <v>16</v>
      </c>
      <c r="S590" s="526">
        <v>16</v>
      </c>
      <c r="T590" s="525">
        <v>3.07</v>
      </c>
      <c r="U590" s="525">
        <v>6.1360000000000001</v>
      </c>
      <c r="V590" s="525">
        <v>49.12</v>
      </c>
      <c r="W590" s="525">
        <v>98.176000000000002</v>
      </c>
      <c r="X590" s="525">
        <v>6.39</v>
      </c>
      <c r="Y590" s="525">
        <v>3600</v>
      </c>
      <c r="Z590" s="525">
        <v>1172.6400000000001</v>
      </c>
      <c r="AA590" s="527">
        <v>57600</v>
      </c>
    </row>
    <row r="591" spans="1:27" ht="17.45" customHeight="1" x14ac:dyDescent="0.25">
      <c r="A591" s="147" t="s">
        <v>4678</v>
      </c>
      <c r="B591" s="912">
        <v>390</v>
      </c>
      <c r="C591" s="912" t="s">
        <v>4753</v>
      </c>
      <c r="D591" s="149" t="s">
        <v>13</v>
      </c>
      <c r="E591" s="149" t="s">
        <v>30</v>
      </c>
      <c r="F591" s="275">
        <v>45476</v>
      </c>
      <c r="G591" s="143">
        <v>45576</v>
      </c>
      <c r="H591" s="142" t="s">
        <v>2078</v>
      </c>
      <c r="I591" s="522"/>
      <c r="J591" s="522"/>
      <c r="K591" s="522"/>
      <c r="L591" s="393"/>
      <c r="M591" s="443">
        <f>Таблица4[[#This Row],[Количество хлыстов]]-Таблица4[[#This Row],[Готово, хл]]-Таблица4[[#This Row],[Вывезено, хл]]</f>
        <v>16</v>
      </c>
      <c r="N591" s="673">
        <f>((Таблица4[[#This Row],[Осталось сделать, хлыст]]*Таблица4[[#This Row],[длина]])*Таблица4[[#This Row],[Периметр]])/28</f>
        <v>0</v>
      </c>
      <c r="O591" s="142"/>
      <c r="P591" s="280"/>
      <c r="Q591" s="525" t="s">
        <v>5197</v>
      </c>
      <c r="R591" s="525">
        <v>16</v>
      </c>
      <c r="S591" s="526">
        <v>16</v>
      </c>
      <c r="T591" s="525">
        <v>2</v>
      </c>
      <c r="U591" s="525">
        <v>3.9780000000000002</v>
      </c>
      <c r="V591" s="525">
        <v>32</v>
      </c>
      <c r="W591" s="525">
        <v>63.648000000000003</v>
      </c>
      <c r="X591" s="525">
        <v>4.16</v>
      </c>
      <c r="Y591" s="525">
        <v>3300</v>
      </c>
      <c r="Z591" s="525">
        <v>1650</v>
      </c>
      <c r="AA591" s="527">
        <v>52800</v>
      </c>
    </row>
    <row r="592" spans="1:27" ht="17.25" customHeight="1" x14ac:dyDescent="0.25">
      <c r="A592" s="147" t="s">
        <v>4678</v>
      </c>
      <c r="B592" s="912">
        <v>390</v>
      </c>
      <c r="C592" s="912" t="s">
        <v>4753</v>
      </c>
      <c r="D592" s="149" t="s">
        <v>13</v>
      </c>
      <c r="E592" s="149" t="s">
        <v>30</v>
      </c>
      <c r="F592" s="275">
        <v>45476</v>
      </c>
      <c r="G592" s="143">
        <v>45576</v>
      </c>
      <c r="H592" s="142" t="s">
        <v>2078</v>
      </c>
      <c r="I592" s="522"/>
      <c r="J592" s="522"/>
      <c r="K592" s="522"/>
      <c r="L592" s="393"/>
      <c r="M592" s="443">
        <f>Таблица4[[#This Row],[Количество хлыстов]]-Таблица4[[#This Row],[Готово, хл]]-Таблица4[[#This Row],[Вывезено, хл]]</f>
        <v>16</v>
      </c>
      <c r="N592" s="673">
        <f>((Таблица4[[#This Row],[Осталось сделать, хлыст]]*Таблица4[[#This Row],[длина]])*Таблица4[[#This Row],[Периметр]])/28</f>
        <v>0</v>
      </c>
      <c r="O592" s="142"/>
      <c r="P592" s="280"/>
      <c r="Q592" s="525" t="s">
        <v>5198</v>
      </c>
      <c r="R592" s="525">
        <v>16</v>
      </c>
      <c r="S592" s="526">
        <v>16</v>
      </c>
      <c r="T592" s="525">
        <v>1.24</v>
      </c>
      <c r="U592" s="525">
        <v>2.46</v>
      </c>
      <c r="V592" s="525">
        <v>19.84</v>
      </c>
      <c r="W592" s="525">
        <v>39.36</v>
      </c>
      <c r="X592" s="525">
        <v>2.58</v>
      </c>
      <c r="Y592" s="525">
        <v>3100</v>
      </c>
      <c r="Z592" s="525">
        <v>2500</v>
      </c>
      <c r="AA592" s="527">
        <v>49600</v>
      </c>
    </row>
    <row r="593" spans="1:27" ht="17.45" customHeight="1" x14ac:dyDescent="0.25">
      <c r="A593" s="147" t="s">
        <v>4678</v>
      </c>
      <c r="B593" s="912">
        <v>391</v>
      </c>
      <c r="C593" s="912" t="s">
        <v>4753</v>
      </c>
      <c r="D593" s="149" t="s">
        <v>13</v>
      </c>
      <c r="E593" s="149" t="s">
        <v>30</v>
      </c>
      <c r="F593" s="275">
        <v>45476</v>
      </c>
      <c r="G593" s="143">
        <v>45576</v>
      </c>
      <c r="H593" s="142" t="s">
        <v>2078</v>
      </c>
      <c r="I593" s="522"/>
      <c r="J593" s="522"/>
      <c r="K593" s="522"/>
      <c r="L593" s="393"/>
      <c r="M593" s="443">
        <f>Таблица4[[#This Row],[Количество хлыстов]]-Таблица4[[#This Row],[Готово, хл]]-Таблица4[[#This Row],[Вывезено, хл]]</f>
        <v>84</v>
      </c>
      <c r="N593" s="673">
        <v>4</v>
      </c>
      <c r="O593" s="142"/>
      <c r="P593" s="280"/>
      <c r="Q593" s="525" t="s">
        <v>5140</v>
      </c>
      <c r="R593" s="525">
        <v>84</v>
      </c>
      <c r="S593" s="526">
        <v>84</v>
      </c>
      <c r="T593" s="525">
        <v>0.19</v>
      </c>
      <c r="U593" s="525">
        <v>0.89700000000000002</v>
      </c>
      <c r="V593" s="525">
        <v>15.96</v>
      </c>
      <c r="W593" s="525">
        <v>75.347999999999999</v>
      </c>
      <c r="X593" s="525">
        <v>2.0699999999999998</v>
      </c>
      <c r="Y593" s="525">
        <v>225</v>
      </c>
      <c r="Z593" s="525">
        <v>1184.21</v>
      </c>
      <c r="AA593" s="527">
        <v>18900</v>
      </c>
    </row>
    <row r="594" spans="1:27" ht="17.45" customHeight="1" x14ac:dyDescent="0.25">
      <c r="A594" s="147" t="s">
        <v>4678</v>
      </c>
      <c r="B594" s="912">
        <v>391</v>
      </c>
      <c r="C594" s="912" t="s">
        <v>4753</v>
      </c>
      <c r="D594" s="149" t="s">
        <v>13</v>
      </c>
      <c r="E594" s="149" t="s">
        <v>30</v>
      </c>
      <c r="F594" s="275">
        <v>45476</v>
      </c>
      <c r="G594" s="143">
        <v>45576</v>
      </c>
      <c r="H594" s="142" t="s">
        <v>2078</v>
      </c>
      <c r="I594" s="522"/>
      <c r="J594" s="522"/>
      <c r="K594" s="522"/>
      <c r="L594" s="393"/>
      <c r="M594" s="443">
        <f>Таблица4[[#This Row],[Количество хлыстов]]-Таблица4[[#This Row],[Готово, хл]]-Таблица4[[#This Row],[Вывезено, хл]]</f>
        <v>84</v>
      </c>
      <c r="N594" s="673">
        <f>((Таблица4[[#This Row],[Осталось сделать, хлыст]]*Таблица4[[#This Row],[длина]])*Таблица4[[#This Row],[Периметр]])/28</f>
        <v>0</v>
      </c>
      <c r="O594" s="142"/>
      <c r="P594" s="280"/>
      <c r="Q594" s="525" t="s">
        <v>5141</v>
      </c>
      <c r="R594" s="525">
        <v>84</v>
      </c>
      <c r="S594" s="526">
        <v>84</v>
      </c>
      <c r="T594" s="525">
        <v>0.188</v>
      </c>
      <c r="U594" s="525">
        <v>0.84199999999999997</v>
      </c>
      <c r="V594" s="525">
        <v>15.792</v>
      </c>
      <c r="W594" s="525">
        <v>70.727999999999994</v>
      </c>
      <c r="X594" s="525">
        <v>2.0499999999999998</v>
      </c>
      <c r="Y594" s="525">
        <v>225</v>
      </c>
      <c r="Z594" s="525">
        <v>1196.81</v>
      </c>
      <c r="AA594" s="527">
        <v>18900</v>
      </c>
    </row>
    <row r="595" spans="1:27" ht="17.45" customHeight="1" x14ac:dyDescent="0.25">
      <c r="A595" s="147" t="s">
        <v>4678</v>
      </c>
      <c r="B595" s="912">
        <v>391</v>
      </c>
      <c r="C595" s="912" t="s">
        <v>4753</v>
      </c>
      <c r="D595" s="149" t="s">
        <v>13</v>
      </c>
      <c r="E595" s="149" t="s">
        <v>30</v>
      </c>
      <c r="F595" s="275">
        <v>45476</v>
      </c>
      <c r="G595" s="143">
        <v>45576</v>
      </c>
      <c r="H595" s="142" t="s">
        <v>2078</v>
      </c>
      <c r="I595" s="522"/>
      <c r="J595" s="522"/>
      <c r="K595" s="522"/>
      <c r="L595" s="393"/>
      <c r="M595" s="443">
        <f>Таблица4[[#This Row],[Количество хлыстов]]-Таблица4[[#This Row],[Готово, хл]]-Таблица4[[#This Row],[Вывезено, хл]]</f>
        <v>18</v>
      </c>
      <c r="N595" s="673">
        <f>((Таблица4[[#This Row],[Осталось сделать, хлыст]]*Таблица4[[#This Row],[длина]])*Таблица4[[#This Row],[Периметр]])/28</f>
        <v>0</v>
      </c>
      <c r="O595" s="142"/>
      <c r="P595" s="280"/>
      <c r="Q595" s="525" t="s">
        <v>5142</v>
      </c>
      <c r="R595" s="525">
        <v>18</v>
      </c>
      <c r="S595" s="526">
        <v>18</v>
      </c>
      <c r="T595" s="525">
        <v>0.216</v>
      </c>
      <c r="U595" s="525">
        <v>1.0189999999999999</v>
      </c>
      <c r="V595" s="525">
        <v>3.8879999999999999</v>
      </c>
      <c r="W595" s="525">
        <v>18.341999999999999</v>
      </c>
      <c r="X595" s="525">
        <v>0.51</v>
      </c>
      <c r="Y595" s="525">
        <v>304</v>
      </c>
      <c r="Z595" s="525">
        <v>1407.41</v>
      </c>
      <c r="AA595" s="527">
        <v>5472</v>
      </c>
    </row>
    <row r="596" spans="1:27" ht="17.45" customHeight="1" x14ac:dyDescent="0.25">
      <c r="A596" s="147" t="s">
        <v>4678</v>
      </c>
      <c r="B596" s="912">
        <v>391</v>
      </c>
      <c r="C596" s="912" t="s">
        <v>4753</v>
      </c>
      <c r="D596" s="149" t="s">
        <v>13</v>
      </c>
      <c r="E596" s="149" t="s">
        <v>30</v>
      </c>
      <c r="F596" s="275">
        <v>45476</v>
      </c>
      <c r="G596" s="143">
        <v>45576</v>
      </c>
      <c r="H596" s="142" t="s">
        <v>2078</v>
      </c>
      <c r="I596" s="522"/>
      <c r="J596" s="522"/>
      <c r="K596" s="522"/>
      <c r="L596" s="393"/>
      <c r="M596" s="443">
        <f>Таблица4[[#This Row],[Количество хлыстов]]-Таблица4[[#This Row],[Готово, хл]]-Таблица4[[#This Row],[Вывезено, хл]]</f>
        <v>18</v>
      </c>
      <c r="N596" s="673">
        <f>((Таблица4[[#This Row],[Осталось сделать, хлыст]]*Таблица4[[#This Row],[длина]])*Таблица4[[#This Row],[Периметр]])/28</f>
        <v>0</v>
      </c>
      <c r="O596" s="142"/>
      <c r="P596" s="280"/>
      <c r="Q596" s="525" t="s">
        <v>5143</v>
      </c>
      <c r="R596" s="525">
        <v>18</v>
      </c>
      <c r="S596" s="526">
        <v>18</v>
      </c>
      <c r="T596" s="525">
        <v>0.21299999999999999</v>
      </c>
      <c r="U596" s="525">
        <v>0.95699999999999996</v>
      </c>
      <c r="V596" s="525">
        <v>3.8340000000000001</v>
      </c>
      <c r="W596" s="525">
        <v>17.225999999999999</v>
      </c>
      <c r="X596" s="525">
        <v>0.5</v>
      </c>
      <c r="Y596" s="525">
        <v>304</v>
      </c>
      <c r="Z596" s="525">
        <v>1427.23</v>
      </c>
      <c r="AA596" s="527">
        <v>5472</v>
      </c>
    </row>
    <row r="597" spans="1:27" ht="17.45" customHeight="1" x14ac:dyDescent="0.25">
      <c r="A597" s="147" t="s">
        <v>4678</v>
      </c>
      <c r="B597" s="912">
        <v>391</v>
      </c>
      <c r="C597" s="912" t="s">
        <v>4753</v>
      </c>
      <c r="D597" s="149" t="s">
        <v>13</v>
      </c>
      <c r="E597" s="149" t="s">
        <v>30</v>
      </c>
      <c r="F597" s="275">
        <v>45476</v>
      </c>
      <c r="G597" s="143">
        <v>45576</v>
      </c>
      <c r="H597" s="142" t="s">
        <v>2078</v>
      </c>
      <c r="I597" s="522"/>
      <c r="J597" s="522"/>
      <c r="K597" s="522"/>
      <c r="L597" s="393"/>
      <c r="M597" s="443">
        <f>Таблица4[[#This Row],[Количество хлыстов]]-Таблица4[[#This Row],[Готово, хл]]-Таблица4[[#This Row],[Вывезено, хл]]</f>
        <v>204</v>
      </c>
      <c r="N597" s="673">
        <f>((Таблица4[[#This Row],[Осталось сделать, хлыст]]*Таблица4[[#This Row],[длина]])*Таблица4[[#This Row],[Периметр]])/28</f>
        <v>0</v>
      </c>
      <c r="O597" s="142"/>
      <c r="P597" s="280"/>
      <c r="Q597" s="525" t="s">
        <v>5144</v>
      </c>
      <c r="R597" s="525">
        <v>204</v>
      </c>
      <c r="S597" s="526">
        <v>204</v>
      </c>
      <c r="T597" s="525">
        <v>0.27</v>
      </c>
      <c r="U597" s="525">
        <v>1.272</v>
      </c>
      <c r="V597" s="525">
        <v>55.08</v>
      </c>
      <c r="W597" s="525">
        <v>259.488</v>
      </c>
      <c r="X597" s="525">
        <v>7.16</v>
      </c>
      <c r="Y597" s="525">
        <v>320</v>
      </c>
      <c r="Z597" s="525">
        <v>1185.19</v>
      </c>
      <c r="AA597" s="527">
        <v>65280</v>
      </c>
    </row>
    <row r="598" spans="1:27" ht="17.45" customHeight="1" x14ac:dyDescent="0.25">
      <c r="A598" s="147" t="s">
        <v>4678</v>
      </c>
      <c r="B598" s="912">
        <v>391</v>
      </c>
      <c r="C598" s="912" t="s">
        <v>4753</v>
      </c>
      <c r="D598" s="149" t="s">
        <v>13</v>
      </c>
      <c r="E598" s="149" t="s">
        <v>30</v>
      </c>
      <c r="F598" s="275">
        <v>45476</v>
      </c>
      <c r="G598" s="143">
        <v>45576</v>
      </c>
      <c r="H598" s="142" t="s">
        <v>2078</v>
      </c>
      <c r="I598" s="522"/>
      <c r="J598" s="522"/>
      <c r="K598" s="522"/>
      <c r="L598" s="393"/>
      <c r="M598" s="443">
        <f>Таблица4[[#This Row],[Количество хлыстов]]-Таблица4[[#This Row],[Готово, хл]]-Таблица4[[#This Row],[Вывезено, хл]]</f>
        <v>204</v>
      </c>
      <c r="N598" s="673">
        <f>((Таблица4[[#This Row],[Осталось сделать, хлыст]]*Таблица4[[#This Row],[длина]])*Таблица4[[#This Row],[Периметр]])/28</f>
        <v>0</v>
      </c>
      <c r="O598" s="142"/>
      <c r="P598" s="280"/>
      <c r="Q598" s="525" t="s">
        <v>5145</v>
      </c>
      <c r="R598" s="525">
        <v>204</v>
      </c>
      <c r="S598" s="526">
        <v>204</v>
      </c>
      <c r="T598" s="525">
        <v>0.26600000000000001</v>
      </c>
      <c r="U598" s="525">
        <v>1.194</v>
      </c>
      <c r="V598" s="525">
        <v>54.264000000000003</v>
      </c>
      <c r="W598" s="525">
        <v>243.57599999999999</v>
      </c>
      <c r="X598" s="525">
        <v>7.05</v>
      </c>
      <c r="Y598" s="525">
        <v>320</v>
      </c>
      <c r="Z598" s="525">
        <v>1203.01</v>
      </c>
      <c r="AA598" s="527">
        <v>65280</v>
      </c>
    </row>
    <row r="599" spans="1:27" ht="17.45" hidden="1" customHeight="1" x14ac:dyDescent="0.25">
      <c r="A599" s="147" t="s">
        <v>4678</v>
      </c>
      <c r="B599" s="521">
        <v>392</v>
      </c>
      <c r="C599" s="521"/>
      <c r="D599" s="142" t="s">
        <v>34</v>
      </c>
      <c r="E599" s="142" t="s">
        <v>893</v>
      </c>
      <c r="F599" s="143">
        <v>45476</v>
      </c>
      <c r="G599" s="143"/>
      <c r="H599" s="142" t="s">
        <v>23</v>
      </c>
      <c r="I599" s="522"/>
      <c r="J599" s="522"/>
      <c r="K599" s="522">
        <v>65</v>
      </c>
      <c r="L599" s="393"/>
      <c r="M599" s="443">
        <f>Таблица4[[#This Row],[Количество хлыстов]]-Таблица4[[#This Row],[Готово, хл]]-Таблица4[[#This Row],[Вывезено, хл]]</f>
        <v>0</v>
      </c>
      <c r="N599" s="673">
        <f>((Таблица4[[#This Row],[Осталось сделать, хлыст]]*Таблица4[[#This Row],[длина]])*Таблица4[[#This Row],[Периметр]])/28</f>
        <v>0</v>
      </c>
      <c r="O599" s="142"/>
      <c r="P599" s="280">
        <v>6</v>
      </c>
      <c r="Q599" s="525" t="s">
        <v>4682</v>
      </c>
      <c r="R599" s="525">
        <v>390</v>
      </c>
      <c r="S599" s="526">
        <v>65</v>
      </c>
      <c r="T599" s="525">
        <v>0.35859999999999997</v>
      </c>
      <c r="U599" s="525">
        <v>1.518</v>
      </c>
      <c r="V599" s="525">
        <v>139.85400000000001</v>
      </c>
      <c r="W599" s="525">
        <v>592.02</v>
      </c>
      <c r="X599" s="525">
        <v>18.18</v>
      </c>
      <c r="Y599" s="525">
        <v>141.65</v>
      </c>
      <c r="Z599" s="525">
        <v>395</v>
      </c>
      <c r="AA599" s="527">
        <v>55242.33</v>
      </c>
    </row>
    <row r="600" spans="1:27" ht="17.45" hidden="1" customHeight="1" x14ac:dyDescent="0.25">
      <c r="A600" s="147" t="s">
        <v>4678</v>
      </c>
      <c r="B600" s="521">
        <v>393</v>
      </c>
      <c r="C600" s="521"/>
      <c r="D600" s="142" t="s">
        <v>34</v>
      </c>
      <c r="E600" s="142" t="s">
        <v>328</v>
      </c>
      <c r="F600" s="143">
        <v>45476</v>
      </c>
      <c r="G600" s="143"/>
      <c r="H600" s="142" t="s">
        <v>23</v>
      </c>
      <c r="I600" s="522"/>
      <c r="J600" s="522"/>
      <c r="K600" s="522"/>
      <c r="L600" s="393">
        <f>350+6</f>
        <v>356</v>
      </c>
      <c r="M600" s="443">
        <f>Таблица4[[#This Row],[Количество хлыстов]]-Таблица4[[#This Row],[Готово, хл]]-Таблица4[[#This Row],[Вывезено, хл]]</f>
        <v>0</v>
      </c>
      <c r="N600" s="673">
        <f>((Таблица4[[#This Row],[Осталось сделать, хлыст]]*Таблица4[[#This Row],[длина]])*Таблица4[[#This Row],[Периметр]])/28</f>
        <v>0</v>
      </c>
      <c r="O600" s="142" t="s">
        <v>5324</v>
      </c>
      <c r="P600" s="280">
        <v>6</v>
      </c>
      <c r="Q600" s="525" t="s">
        <v>4813</v>
      </c>
      <c r="R600" s="525">
        <v>2136</v>
      </c>
      <c r="S600" s="526">
        <v>356</v>
      </c>
      <c r="T600" s="525">
        <v>0.30919999999999997</v>
      </c>
      <c r="U600" s="525">
        <v>1.101</v>
      </c>
      <c r="V600" s="525">
        <v>660.45119999999997</v>
      </c>
      <c r="W600" s="525">
        <v>2351.7359999999999</v>
      </c>
      <c r="X600" s="525">
        <v>85.86</v>
      </c>
      <c r="Y600" s="525">
        <v>134.5</v>
      </c>
      <c r="Z600" s="525">
        <v>435</v>
      </c>
      <c r="AA600" s="527">
        <v>287292</v>
      </c>
    </row>
    <row r="601" spans="1:27" ht="17.45" hidden="1" customHeight="1" x14ac:dyDescent="0.25">
      <c r="A601" s="147" t="s">
        <v>4678</v>
      </c>
      <c r="B601" s="521">
        <v>394</v>
      </c>
      <c r="C601" s="521"/>
      <c r="D601" s="142" t="s">
        <v>34</v>
      </c>
      <c r="E601" s="142" t="s">
        <v>19</v>
      </c>
      <c r="F601" s="143">
        <v>45476</v>
      </c>
      <c r="G601" s="143"/>
      <c r="H601" s="142" t="s">
        <v>23</v>
      </c>
      <c r="I601" s="522"/>
      <c r="J601" s="522"/>
      <c r="K601" s="522">
        <v>136</v>
      </c>
      <c r="L601" s="393">
        <f>1+147</f>
        <v>148</v>
      </c>
      <c r="M601" s="443">
        <f>Таблица4[[#This Row],[Количество хлыстов]]-Таблица4[[#This Row],[Готово, хл]]-Таблица4[[#This Row],[Вывезено, хл]]</f>
        <v>0</v>
      </c>
      <c r="N601" s="673">
        <f>((Таблица4[[#This Row],[Осталось сделать, хлыст]]*Таблица4[[#This Row],[длина]])*Таблица4[[#This Row],[Периметр]])/28</f>
        <v>0</v>
      </c>
      <c r="O601" s="142" t="s">
        <v>559</v>
      </c>
      <c r="P601" s="280">
        <v>3.6</v>
      </c>
      <c r="Q601" s="525" t="s">
        <v>5158</v>
      </c>
      <c r="R601" s="525">
        <v>1022.4</v>
      </c>
      <c r="S601" s="526">
        <v>284</v>
      </c>
      <c r="T601" s="525">
        <v>0.3402</v>
      </c>
      <c r="U601" s="525">
        <v>1.4530000000000001</v>
      </c>
      <c r="V601" s="525">
        <v>347.82049999999998</v>
      </c>
      <c r="W601" s="525">
        <v>1485.5472</v>
      </c>
      <c r="X601" s="525">
        <v>45.22</v>
      </c>
      <c r="Y601" s="525">
        <v>136.76</v>
      </c>
      <c r="Z601" s="525">
        <v>402</v>
      </c>
      <c r="AA601" s="527">
        <v>139823.82999999999</v>
      </c>
    </row>
    <row r="602" spans="1:27" ht="17.45" hidden="1" customHeight="1" x14ac:dyDescent="0.25">
      <c r="A602" s="147" t="s">
        <v>4678</v>
      </c>
      <c r="B602" s="521">
        <v>395</v>
      </c>
      <c r="C602" s="521"/>
      <c r="D602" s="142" t="s">
        <v>34</v>
      </c>
      <c r="E602" s="142" t="s">
        <v>3404</v>
      </c>
      <c r="F602" s="143">
        <v>45476</v>
      </c>
      <c r="G602" s="143"/>
      <c r="H602" s="142" t="s">
        <v>23</v>
      </c>
      <c r="I602" s="522"/>
      <c r="J602" s="522"/>
      <c r="K602" s="522">
        <f>458+19+4</f>
        <v>481</v>
      </c>
      <c r="L602" s="393"/>
      <c r="M602" s="443">
        <f>Таблица4[[#This Row],[Количество хлыстов]]-Таблица4[[#This Row],[Готово, хл]]-Таблица4[[#This Row],[Вывезено, хл]]</f>
        <v>0</v>
      </c>
      <c r="N602" s="673">
        <f>((Таблица4[[#This Row],[Осталось сделать, хлыст]]*Таблица4[[#This Row],[длина]])*Таблица4[[#This Row],[Периметр]])/28</f>
        <v>0</v>
      </c>
      <c r="O602" s="142" t="s">
        <v>3080</v>
      </c>
      <c r="P602" s="280">
        <v>6</v>
      </c>
      <c r="Q602" s="525" t="s">
        <v>4582</v>
      </c>
      <c r="R602" s="525">
        <v>2886</v>
      </c>
      <c r="S602" s="526">
        <v>481</v>
      </c>
      <c r="T602" s="525">
        <v>0.10100000000000001</v>
      </c>
      <c r="U602" s="525">
        <v>0.30599999999999999</v>
      </c>
      <c r="V602" s="525">
        <v>291.48599999999999</v>
      </c>
      <c r="W602" s="525">
        <v>883.11599999999999</v>
      </c>
      <c r="X602" s="525">
        <v>37.89</v>
      </c>
      <c r="Y602" s="525">
        <v>44.14</v>
      </c>
      <c r="Z602" s="525">
        <v>437</v>
      </c>
      <c r="AA602" s="527">
        <v>127379.38</v>
      </c>
    </row>
    <row r="603" spans="1:27" ht="17.45" hidden="1" customHeight="1" x14ac:dyDescent="0.25">
      <c r="A603" s="147" t="s">
        <v>4678</v>
      </c>
      <c r="B603" s="521" t="s">
        <v>5200</v>
      </c>
      <c r="C603" s="521"/>
      <c r="D603" s="142" t="s">
        <v>34</v>
      </c>
      <c r="E603" s="142" t="s">
        <v>5201</v>
      </c>
      <c r="F603" s="143">
        <v>45476</v>
      </c>
      <c r="G603" s="143"/>
      <c r="H603" s="142" t="s">
        <v>23</v>
      </c>
      <c r="I603" s="522"/>
      <c r="J603" s="522"/>
      <c r="K603" s="522"/>
      <c r="L603" s="393"/>
      <c r="M603" s="443">
        <f>Таблица4[[#This Row],[Количество хлыстов]]-Таблица4[[#This Row],[Готово, хл]]-Таблица4[[#This Row],[Вывезено, хл]]</f>
        <v>45</v>
      </c>
      <c r="N603" s="673">
        <f>((Таблица4[[#This Row],[Осталось сделать, хлыст]]*Таблица4[[#This Row],[длина]])*Таблица4[[#This Row],[Периметр]])/28</f>
        <v>1.0193464285714287</v>
      </c>
      <c r="O603" s="142"/>
      <c r="P603" s="280">
        <v>3.1</v>
      </c>
      <c r="Q603" s="525" t="s">
        <v>5199</v>
      </c>
      <c r="R603" s="525">
        <v>139.5</v>
      </c>
      <c r="S603" s="526">
        <v>45</v>
      </c>
      <c r="T603" s="525">
        <v>0.2046</v>
      </c>
      <c r="U603" s="525">
        <v>0.92700000000000005</v>
      </c>
      <c r="V603" s="525">
        <v>28.541699999999999</v>
      </c>
      <c r="W603" s="525">
        <v>129.31649999999999</v>
      </c>
      <c r="X603" s="525">
        <v>3.71</v>
      </c>
      <c r="Y603" s="525">
        <v>101.89</v>
      </c>
      <c r="Z603" s="525">
        <v>498</v>
      </c>
      <c r="AA603" s="527">
        <v>14213.77</v>
      </c>
    </row>
    <row r="604" spans="1:27" ht="17.45" hidden="1" customHeight="1" x14ac:dyDescent="0.25">
      <c r="A604" s="147" t="s">
        <v>4678</v>
      </c>
      <c r="B604" s="521">
        <v>396</v>
      </c>
      <c r="C604" s="521" t="s">
        <v>4753</v>
      </c>
      <c r="D604" s="142" t="s">
        <v>13</v>
      </c>
      <c r="E604" s="142" t="s">
        <v>3791</v>
      </c>
      <c r="F604" s="143">
        <v>45478</v>
      </c>
      <c r="G604" s="143">
        <v>45509</v>
      </c>
      <c r="H604" s="142" t="s">
        <v>23</v>
      </c>
      <c r="I604" s="522"/>
      <c r="J604" s="522"/>
      <c r="K604" s="522"/>
      <c r="L604" s="393">
        <v>100</v>
      </c>
      <c r="M604" s="443">
        <f>Таблица4[[#This Row],[Количество хлыстов]]-Таблица4[[#This Row],[Готово, хл]]-Таблица4[[#This Row],[Вывезено, хл]]</f>
        <v>100</v>
      </c>
      <c r="N604" s="673">
        <v>4</v>
      </c>
      <c r="O604" s="142" t="s">
        <v>5247</v>
      </c>
      <c r="P604" s="280">
        <v>5</v>
      </c>
      <c r="Q604" s="525" t="s">
        <v>5204</v>
      </c>
      <c r="R604" s="525">
        <v>1000</v>
      </c>
      <c r="S604" s="526">
        <v>200</v>
      </c>
      <c r="T604" s="525">
        <v>0.08</v>
      </c>
      <c r="U604" s="525">
        <v>0.16</v>
      </c>
      <c r="V604" s="525">
        <v>80</v>
      </c>
      <c r="W604" s="525">
        <v>160</v>
      </c>
      <c r="X604" s="525">
        <v>10.4</v>
      </c>
      <c r="Y604" s="525">
        <v>91.92</v>
      </c>
      <c r="Z604" s="525">
        <v>1149</v>
      </c>
      <c r="AA604" s="527">
        <v>91920</v>
      </c>
    </row>
    <row r="605" spans="1:27" ht="17.45" hidden="1" customHeight="1" x14ac:dyDescent="0.25">
      <c r="A605" s="147" t="s">
        <v>4678</v>
      </c>
      <c r="B605" s="521">
        <v>397</v>
      </c>
      <c r="C605" s="521" t="s">
        <v>4753</v>
      </c>
      <c r="D605" s="142" t="s">
        <v>34</v>
      </c>
      <c r="E605" s="142" t="s">
        <v>5206</v>
      </c>
      <c r="F605" s="143">
        <v>45478</v>
      </c>
      <c r="G605" s="143"/>
      <c r="H605" s="142" t="s">
        <v>23</v>
      </c>
      <c r="I605" s="522"/>
      <c r="J605" s="522"/>
      <c r="K605" s="522"/>
      <c r="L605" s="393"/>
      <c r="M605" s="443">
        <f>Таблица4[[#This Row],[Количество хлыстов]]-Таблица4[[#This Row],[Готово, хл]]-Таблица4[[#This Row],[Вывезено, хл]]</f>
        <v>33</v>
      </c>
      <c r="N605" s="478">
        <f>(Таблица4[[#This Row],[Осталось сделать, хлыст]]*Таблица4[[#This Row],[длина]]*Таблица4[[#This Row],[Периметр]])/28</f>
        <v>1.1785714285714286</v>
      </c>
      <c r="O605" s="142"/>
      <c r="P605" s="280">
        <v>2</v>
      </c>
      <c r="Q605" s="525" t="s">
        <v>5205</v>
      </c>
      <c r="R605" s="525">
        <v>66</v>
      </c>
      <c r="S605" s="526">
        <v>33</v>
      </c>
      <c r="T605" s="525">
        <v>0.5</v>
      </c>
      <c r="U605" s="525">
        <v>2.6669999999999998</v>
      </c>
      <c r="V605" s="525">
        <v>33</v>
      </c>
      <c r="W605" s="525">
        <v>176.02199999999999</v>
      </c>
      <c r="X605" s="525">
        <v>4.29</v>
      </c>
      <c r="Y605" s="525">
        <v>319.08999999999997</v>
      </c>
      <c r="Z605" s="525">
        <v>638.17999999999995</v>
      </c>
      <c r="AA605" s="527">
        <v>21060</v>
      </c>
    </row>
    <row r="606" spans="1:27" ht="17.45" hidden="1" customHeight="1" x14ac:dyDescent="0.25">
      <c r="A606" s="147" t="s">
        <v>4678</v>
      </c>
      <c r="B606" s="521">
        <v>398</v>
      </c>
      <c r="C606" s="521"/>
      <c r="D606" s="142" t="s">
        <v>13</v>
      </c>
      <c r="E606" s="142" t="s">
        <v>4247</v>
      </c>
      <c r="F606" s="143">
        <v>45478</v>
      </c>
      <c r="G606" s="143"/>
      <c r="H606" s="142" t="s">
        <v>23</v>
      </c>
      <c r="I606" s="522"/>
      <c r="J606" s="522"/>
      <c r="K606" s="522"/>
      <c r="L606" s="393">
        <v>145</v>
      </c>
      <c r="M606" s="443">
        <f>Таблица4[[#This Row],[Количество хлыстов]]-Таблица4[[#This Row],[Готово, хл]]-Таблица4[[#This Row],[Вывезено, хл]]</f>
        <v>3</v>
      </c>
      <c r="N606" s="673">
        <f>((Таблица4[[#This Row],[Осталось сделать, хлыст]]*Таблица4[[#This Row],[длина]])*Таблица4[[#This Row],[Периметр]])/28</f>
        <v>0.1062857142857143</v>
      </c>
      <c r="O606" s="142"/>
      <c r="P606" s="280">
        <v>3.2</v>
      </c>
      <c r="Q606" s="525" t="s">
        <v>4459</v>
      </c>
      <c r="R606" s="525">
        <v>473.6</v>
      </c>
      <c r="S606" s="526">
        <v>148</v>
      </c>
      <c r="T606" s="525">
        <v>0.31</v>
      </c>
      <c r="U606" s="525">
        <v>1.2010000000000001</v>
      </c>
      <c r="V606" s="525">
        <v>146.816</v>
      </c>
      <c r="W606" s="525">
        <v>568.79359999999997</v>
      </c>
      <c r="X606" s="525">
        <v>19.09</v>
      </c>
      <c r="Y606" s="525">
        <v>159.96</v>
      </c>
      <c r="Z606" s="525">
        <v>516</v>
      </c>
      <c r="AA606" s="527">
        <v>75757.06</v>
      </c>
    </row>
    <row r="607" spans="1:27" ht="17.45" hidden="1" customHeight="1" x14ac:dyDescent="0.25">
      <c r="A607" s="147" t="s">
        <v>4678</v>
      </c>
      <c r="B607" s="521">
        <v>399</v>
      </c>
      <c r="C607" s="521"/>
      <c r="D607" s="142" t="s">
        <v>13</v>
      </c>
      <c r="E607" s="142" t="s">
        <v>4247</v>
      </c>
      <c r="F607" s="143">
        <v>45478</v>
      </c>
      <c r="G607" s="143"/>
      <c r="H607" s="142" t="s">
        <v>23</v>
      </c>
      <c r="I607" s="522"/>
      <c r="J607" s="522"/>
      <c r="K607" s="522"/>
      <c r="L607" s="393">
        <v>99</v>
      </c>
      <c r="M607" s="443">
        <f>Таблица4[[#This Row],[Количество хлыстов]]-Таблица4[[#This Row],[Готово, хл]]-Таблица4[[#This Row],[Вывезено, хл]]</f>
        <v>0</v>
      </c>
      <c r="N607" s="673">
        <f>((Таблица4[[#This Row],[Осталось сделать, хлыст]]*Таблица4[[#This Row],[длина]])*Таблица4[[#This Row],[Периметр]])/28</f>
        <v>0</v>
      </c>
      <c r="O607" s="142"/>
      <c r="P607" s="280">
        <v>4.4000000000000004</v>
      </c>
      <c r="Q607" s="525" t="s">
        <v>4662</v>
      </c>
      <c r="R607" s="525">
        <v>435.6</v>
      </c>
      <c r="S607" s="526">
        <v>99</v>
      </c>
      <c r="T607" s="525">
        <v>0.31</v>
      </c>
      <c r="U607" s="525">
        <v>1.2010000000000001</v>
      </c>
      <c r="V607" s="525">
        <v>135.036</v>
      </c>
      <c r="W607" s="525">
        <v>523.15560000000005</v>
      </c>
      <c r="X607" s="525">
        <v>17.55</v>
      </c>
      <c r="Y607" s="525">
        <v>159.96</v>
      </c>
      <c r="Z607" s="525">
        <v>516</v>
      </c>
      <c r="AA607" s="527">
        <v>69678.58</v>
      </c>
    </row>
    <row r="608" spans="1:27" ht="17.45" hidden="1" customHeight="1" x14ac:dyDescent="0.25">
      <c r="A608" s="147" t="s">
        <v>4678</v>
      </c>
      <c r="B608" s="625">
        <v>400</v>
      </c>
      <c r="C608" s="625"/>
      <c r="D608" s="162" t="s">
        <v>13</v>
      </c>
      <c r="E608" s="162" t="s">
        <v>3819</v>
      </c>
      <c r="F608" s="168">
        <v>45478</v>
      </c>
      <c r="G608" s="143"/>
      <c r="H608" s="142" t="s">
        <v>23</v>
      </c>
      <c r="I608" s="522"/>
      <c r="J608" s="522"/>
      <c r="K608" s="522">
        <v>49</v>
      </c>
      <c r="L608" s="393"/>
      <c r="M608" s="443">
        <f>Таблица4[[#This Row],[Количество хлыстов]]-Таблица4[[#This Row],[Готово, хл]]-Таблица4[[#This Row],[Вывезено, хл]]</f>
        <v>0</v>
      </c>
      <c r="N608" s="673">
        <f>((Таблица4[[#This Row],[Осталось сделать, хлыст]]*Таблица4[[#This Row],[длина]])*Таблица4[[#This Row],[Периметр]])/28</f>
        <v>0</v>
      </c>
      <c r="O608" s="142"/>
      <c r="P608" s="280">
        <v>6</v>
      </c>
      <c r="Q608" s="525" t="s">
        <v>5162</v>
      </c>
      <c r="R608" s="525">
        <v>294</v>
      </c>
      <c r="S608" s="526">
        <v>49</v>
      </c>
      <c r="T608" s="525">
        <v>0.60040000000000004</v>
      </c>
      <c r="U608" s="525">
        <v>2.5739999999999998</v>
      </c>
      <c r="V608" s="525">
        <v>176.51759999999999</v>
      </c>
      <c r="W608" s="525">
        <v>756.75599999999997</v>
      </c>
      <c r="X608" s="525">
        <v>22.95</v>
      </c>
      <c r="Y608" s="525">
        <v>261.17</v>
      </c>
      <c r="Z608" s="525">
        <v>435</v>
      </c>
      <c r="AA608" s="527">
        <v>76785.16</v>
      </c>
    </row>
    <row r="609" spans="1:27" ht="17.45" customHeight="1" x14ac:dyDescent="0.25">
      <c r="A609" s="147" t="s">
        <v>4678</v>
      </c>
      <c r="B609" s="901">
        <v>400</v>
      </c>
      <c r="C609" s="946"/>
      <c r="D609" s="947" t="s">
        <v>4858</v>
      </c>
      <c r="E609" s="947" t="s">
        <v>4734</v>
      </c>
      <c r="F609" s="948">
        <v>45478</v>
      </c>
      <c r="G609" s="904"/>
      <c r="H609" s="142"/>
      <c r="I609" s="903"/>
      <c r="J609" s="903"/>
      <c r="K609" s="903">
        <v>55</v>
      </c>
      <c r="L609" s="393"/>
      <c r="M609" s="443">
        <f>Таблица4[[#This Row],[Количество хлыстов]]-Таблица4[[#This Row],[Готово, хл]]-Таблица4[[#This Row],[Вывезено, хл]]</f>
        <v>93</v>
      </c>
      <c r="N609" s="673">
        <f>((Таблица4[[#This Row],[Осталось сделать, хлыст]]*Таблица4[[#This Row],[длина]])*Таблица4[[#This Row],[Периметр]])/28</f>
        <v>3.8621571428571428</v>
      </c>
      <c r="O609" s="142"/>
      <c r="P609" s="280">
        <v>6</v>
      </c>
      <c r="Q609" s="525" t="s">
        <v>4727</v>
      </c>
      <c r="R609" s="525">
        <v>888</v>
      </c>
      <c r="S609" s="526">
        <v>148</v>
      </c>
      <c r="T609" s="525">
        <v>0.1938</v>
      </c>
      <c r="U609" s="525">
        <v>0.63600000000000001</v>
      </c>
      <c r="V609" s="525">
        <v>172.09440000000001</v>
      </c>
      <c r="W609" s="525">
        <v>564.76800000000003</v>
      </c>
      <c r="X609" s="525">
        <v>22.37</v>
      </c>
      <c r="Y609" s="525">
        <v>84.3</v>
      </c>
      <c r="Z609" s="525">
        <v>435</v>
      </c>
      <c r="AA609" s="527">
        <v>74861.06</v>
      </c>
    </row>
    <row r="610" spans="1:27" ht="17.45" hidden="1" customHeight="1" x14ac:dyDescent="0.25">
      <c r="A610" s="147" t="s">
        <v>4678</v>
      </c>
      <c r="B610" s="521" t="s">
        <v>5208</v>
      </c>
      <c r="C610" s="521"/>
      <c r="D610" s="142" t="s">
        <v>34</v>
      </c>
      <c r="E610" s="142" t="s">
        <v>16</v>
      </c>
      <c r="F610" s="143">
        <v>45481</v>
      </c>
      <c r="G610" s="143"/>
      <c r="H610" s="142" t="s">
        <v>23</v>
      </c>
      <c r="I610" s="522"/>
      <c r="J610" s="522"/>
      <c r="K610" s="522"/>
      <c r="L610" s="393">
        <v>97</v>
      </c>
      <c r="M610" s="443">
        <f>Таблица4[[#This Row],[Количество хлыстов]]-Таблица4[[#This Row],[Готово, хл]]-Таблица4[[#This Row],[Вывезено, хл]]</f>
        <v>7</v>
      </c>
      <c r="N610" s="673">
        <f>((Таблица4[[#This Row],[Осталось сделать, хлыст]]*Таблица4[[#This Row],[длина]])*Таблица4[[#This Row],[Периметр]])/28</f>
        <v>0.44955000000000001</v>
      </c>
      <c r="O610" s="142"/>
      <c r="P610" s="280">
        <v>6</v>
      </c>
      <c r="Q610" s="525" t="s">
        <v>2423</v>
      </c>
      <c r="R610" s="525">
        <v>624</v>
      </c>
      <c r="S610" s="526">
        <v>104</v>
      </c>
      <c r="T610" s="525">
        <v>0.29970000000000002</v>
      </c>
      <c r="U610" s="525">
        <v>1.6739999999999999</v>
      </c>
      <c r="V610" s="525">
        <v>187.0128</v>
      </c>
      <c r="W610" s="525">
        <v>1044.576</v>
      </c>
      <c r="X610" s="525">
        <v>24.31</v>
      </c>
      <c r="Y610" s="525">
        <v>130.37</v>
      </c>
      <c r="Z610" s="525">
        <v>435</v>
      </c>
      <c r="AA610" s="527">
        <v>81350.570000000007</v>
      </c>
    </row>
    <row r="611" spans="1:27" s="939" customFormat="1" ht="17.45" customHeight="1" x14ac:dyDescent="0.25">
      <c r="A611" s="924" t="s">
        <v>4678</v>
      </c>
      <c r="B611" s="925" t="s">
        <v>3537</v>
      </c>
      <c r="C611" s="925"/>
      <c r="D611" s="926" t="s">
        <v>34</v>
      </c>
      <c r="E611" s="926" t="s">
        <v>16</v>
      </c>
      <c r="F611" s="927">
        <v>45481</v>
      </c>
      <c r="G611" s="927"/>
      <c r="H611" s="926"/>
      <c r="I611" s="928"/>
      <c r="J611" s="928"/>
      <c r="K611" s="928"/>
      <c r="L611" s="937"/>
      <c r="M611" s="930">
        <f>Таблица4[[#This Row],[Количество хлыстов]]-Таблица4[[#This Row],[Готово, хл]]-Таблица4[[#This Row],[Вывезено, хл]]</f>
        <v>190</v>
      </c>
      <c r="N611" s="940">
        <f>((Таблица4[[#This Row],[Осталось сделать, хлыст]]*Таблица4[[#This Row],[длина]])*Таблица4[[#This Row],[Периметр]])/28</f>
        <v>14.241857142857143</v>
      </c>
      <c r="O611" s="926"/>
      <c r="P611" s="938">
        <v>6</v>
      </c>
      <c r="Q611" s="933" t="s">
        <v>2730</v>
      </c>
      <c r="R611" s="933">
        <v>1140</v>
      </c>
      <c r="S611" s="934">
        <v>190</v>
      </c>
      <c r="T611" s="933">
        <v>0.3498</v>
      </c>
      <c r="U611" s="933">
        <v>1.425</v>
      </c>
      <c r="V611" s="933">
        <v>398.77199999999999</v>
      </c>
      <c r="W611" s="933">
        <v>1624.5</v>
      </c>
      <c r="X611" s="933">
        <v>51.84</v>
      </c>
      <c r="Y611" s="933">
        <v>152.16</v>
      </c>
      <c r="Z611" s="933">
        <v>435</v>
      </c>
      <c r="AA611" s="935">
        <v>173465.82</v>
      </c>
    </row>
    <row r="612" spans="1:27" ht="17.45" hidden="1" customHeight="1" x14ac:dyDescent="0.25">
      <c r="A612" s="147" t="s">
        <v>4678</v>
      </c>
      <c r="B612" s="521">
        <v>403</v>
      </c>
      <c r="C612" s="521" t="s">
        <v>4753</v>
      </c>
      <c r="D612" s="142" t="s">
        <v>13</v>
      </c>
      <c r="E612" s="142" t="s">
        <v>292</v>
      </c>
      <c r="F612" s="143">
        <v>45504</v>
      </c>
      <c r="G612" s="168">
        <v>45519</v>
      </c>
      <c r="H612" s="162" t="s">
        <v>23</v>
      </c>
      <c r="I612" s="522"/>
      <c r="J612" s="522"/>
      <c r="K612" s="522">
        <v>480</v>
      </c>
      <c r="L612" s="393"/>
      <c r="M612" s="443">
        <f>Таблица4[[#This Row],[Количество хлыстов]]-Таблица4[[#This Row],[Готово, хл]]-Таблица4[[#This Row],[Вывезено, хл]]</f>
        <v>0</v>
      </c>
      <c r="N612" s="564">
        <v>4</v>
      </c>
      <c r="O612" s="142"/>
      <c r="P612" s="280"/>
      <c r="Q612" s="525" t="s">
        <v>5259</v>
      </c>
      <c r="R612" s="525">
        <v>2400</v>
      </c>
      <c r="S612" s="526">
        <v>480</v>
      </c>
      <c r="T612" s="525">
        <v>5.3999999999999999E-2</v>
      </c>
      <c r="U612" s="525">
        <v>0.16</v>
      </c>
      <c r="V612" s="525">
        <v>129.6</v>
      </c>
      <c r="W612" s="525">
        <v>328.8</v>
      </c>
      <c r="X612" s="525">
        <v>16.850000000000001</v>
      </c>
      <c r="Y612" s="525">
        <v>44.79</v>
      </c>
      <c r="Z612" s="525">
        <v>829.48</v>
      </c>
      <c r="AA612" s="527">
        <v>107500</v>
      </c>
    </row>
    <row r="613" spans="1:27" s="421" customFormat="1" ht="17.45" hidden="1" customHeight="1" x14ac:dyDescent="0.25">
      <c r="A613" s="419" t="s">
        <v>4978</v>
      </c>
      <c r="B613" s="617">
        <v>404</v>
      </c>
      <c r="C613" s="617"/>
      <c r="D613" s="618" t="s">
        <v>13</v>
      </c>
      <c r="E613" s="618" t="s">
        <v>4725</v>
      </c>
      <c r="F613" s="619">
        <v>45483</v>
      </c>
      <c r="G613" s="619"/>
      <c r="H613" s="618" t="s">
        <v>23</v>
      </c>
      <c r="I613" s="620"/>
      <c r="J613" s="620"/>
      <c r="K613" s="620">
        <v>117</v>
      </c>
      <c r="L613" s="677"/>
      <c r="M613" s="691">
        <f>Таблица4[[#This Row],[Количество хлыстов]]-Таблица4[[#This Row],[Готово, хл]]-Таблица4[[#This Row],[Вывезено, хл]]</f>
        <v>0</v>
      </c>
      <c r="N613" s="713"/>
      <c r="O613" s="618"/>
      <c r="P613" s="692">
        <v>6</v>
      </c>
      <c r="Q613" s="622" t="s">
        <v>4834</v>
      </c>
      <c r="R613" s="622">
        <v>702</v>
      </c>
      <c r="S613" s="623">
        <v>117</v>
      </c>
      <c r="T613" s="622">
        <v>0.42199999999999999</v>
      </c>
      <c r="U613" s="622">
        <v>1.389</v>
      </c>
      <c r="V613" s="622">
        <v>296.24400000000003</v>
      </c>
      <c r="W613" s="622">
        <v>975.07799999999997</v>
      </c>
      <c r="X613" s="622">
        <v>38.51</v>
      </c>
      <c r="Y613" s="622">
        <v>99.17</v>
      </c>
      <c r="Z613" s="622">
        <v>235</v>
      </c>
      <c r="AA613" s="624">
        <v>69617.34</v>
      </c>
    </row>
    <row r="614" spans="1:27" ht="17.45" hidden="1" customHeight="1" x14ac:dyDescent="0.25">
      <c r="A614" s="147" t="s">
        <v>4678</v>
      </c>
      <c r="B614" s="521">
        <v>405</v>
      </c>
      <c r="C614" s="521"/>
      <c r="D614" s="142" t="s">
        <v>13</v>
      </c>
      <c r="E614" s="142" t="s">
        <v>2973</v>
      </c>
      <c r="F614" s="143">
        <v>45483</v>
      </c>
      <c r="G614" s="143">
        <v>45506</v>
      </c>
      <c r="H614" s="142" t="s">
        <v>23</v>
      </c>
      <c r="I614" s="522"/>
      <c r="J614" s="522"/>
      <c r="K614" s="522"/>
      <c r="L614" s="393">
        <v>16</v>
      </c>
      <c r="M614" s="443">
        <f>Таблица4[[#This Row],[Количество хлыстов]]-Таблица4[[#This Row],[Готово, хл]]-Таблица4[[#This Row],[Вывезено, хл]]</f>
        <v>0</v>
      </c>
      <c r="N614" s="673">
        <f>((Таблица4[[#This Row],[Осталось сделать, хлыст]]*Таблица4[[#This Row],[длина]])*Таблица4[[#This Row],[Периметр]])/28</f>
        <v>0</v>
      </c>
      <c r="O614" s="142"/>
      <c r="P614" s="280">
        <v>4.9000000000000004</v>
      </c>
      <c r="Q614" s="525" t="s">
        <v>1751</v>
      </c>
      <c r="R614" s="525">
        <v>78.400000000000006</v>
      </c>
      <c r="S614" s="526">
        <v>16</v>
      </c>
      <c r="T614" s="525">
        <v>0.66659999999999997</v>
      </c>
      <c r="U614" s="525">
        <v>1.994</v>
      </c>
      <c r="V614" s="525">
        <v>52.261400000000002</v>
      </c>
      <c r="W614" s="525">
        <v>156.3296</v>
      </c>
      <c r="X614" s="525">
        <v>6.79</v>
      </c>
      <c r="Y614" s="525">
        <v>289.97000000000003</v>
      </c>
      <c r="Z614" s="525">
        <v>435</v>
      </c>
      <c r="AA614" s="527">
        <v>22733.73</v>
      </c>
    </row>
    <row r="615" spans="1:27" ht="17.45" hidden="1" customHeight="1" x14ac:dyDescent="0.25">
      <c r="A615" s="171" t="s">
        <v>4678</v>
      </c>
      <c r="B615" s="625">
        <v>406</v>
      </c>
      <c r="C615" s="625"/>
      <c r="D615" s="162" t="s">
        <v>13</v>
      </c>
      <c r="E615" s="162" t="s">
        <v>156</v>
      </c>
      <c r="F615" s="168">
        <v>45483</v>
      </c>
      <c r="G615" s="143"/>
      <c r="H615" s="142" t="s">
        <v>23</v>
      </c>
      <c r="I615" s="522"/>
      <c r="J615" s="522"/>
      <c r="K615" s="522">
        <v>71</v>
      </c>
      <c r="L615" s="393"/>
      <c r="M615" s="443">
        <f>Таблица4[[#This Row],[Количество хлыстов]]-Таблица4[[#This Row],[Готово, хл]]-Таблица4[[#This Row],[Вывезено, хл]]</f>
        <v>0</v>
      </c>
      <c r="N615" s="673">
        <f>((Таблица4[[#This Row],[Осталось сделать, хлыст]]*Таблица4[[#This Row],[длина]])*Таблица4[[#This Row],[Периметр]])/28</f>
        <v>0</v>
      </c>
      <c r="O615" s="142"/>
      <c r="P615" s="280">
        <v>6</v>
      </c>
      <c r="Q615" s="525" t="s">
        <v>5209</v>
      </c>
      <c r="R615" s="525">
        <v>426</v>
      </c>
      <c r="S615" s="526">
        <v>71</v>
      </c>
      <c r="T615" s="525">
        <v>0.33</v>
      </c>
      <c r="U615" s="525">
        <v>1.278</v>
      </c>
      <c r="V615" s="525">
        <v>140.58000000000001</v>
      </c>
      <c r="W615" s="525">
        <v>544.428</v>
      </c>
      <c r="X615" s="525">
        <v>18.28</v>
      </c>
      <c r="Y615" s="525">
        <v>132</v>
      </c>
      <c r="Z615" s="525">
        <v>400</v>
      </c>
      <c r="AA615" s="527">
        <v>56232</v>
      </c>
    </row>
    <row r="616" spans="1:27" s="421" customFormat="1" ht="17.45" hidden="1" customHeight="1" x14ac:dyDescent="0.25">
      <c r="A616" s="419" t="s">
        <v>4978</v>
      </c>
      <c r="B616" s="617">
        <v>407</v>
      </c>
      <c r="C616" s="617"/>
      <c r="D616" s="618" t="s">
        <v>13</v>
      </c>
      <c r="E616" s="618" t="s">
        <v>556</v>
      </c>
      <c r="F616" s="619">
        <v>45483</v>
      </c>
      <c r="G616" s="619"/>
      <c r="H616" s="618" t="s">
        <v>23</v>
      </c>
      <c r="I616" s="620"/>
      <c r="J616" s="620"/>
      <c r="K616" s="620"/>
      <c r="L616" s="677">
        <v>791</v>
      </c>
      <c r="M616" s="691">
        <f>Таблица4[[#This Row],[Количество хлыстов]]-Таблица4[[#This Row],[Готово, хл]]-Таблица4[[#This Row],[Вывезено, хл]]</f>
        <v>0</v>
      </c>
      <c r="N616" s="713"/>
      <c r="O616" s="618"/>
      <c r="P616" s="692">
        <v>3</v>
      </c>
      <c r="Q616" s="622" t="s">
        <v>5170</v>
      </c>
      <c r="R616" s="622">
        <v>2373</v>
      </c>
      <c r="S616" s="623">
        <v>791</v>
      </c>
      <c r="T616" s="622">
        <v>0.20200000000000001</v>
      </c>
      <c r="U616" s="622">
        <v>0.51400000000000001</v>
      </c>
      <c r="V616" s="622">
        <v>479.346</v>
      </c>
      <c r="W616" s="622">
        <v>1219.722</v>
      </c>
      <c r="X616" s="622">
        <v>62.32</v>
      </c>
      <c r="Y616" s="622">
        <v>64.44</v>
      </c>
      <c r="Z616" s="622">
        <v>319</v>
      </c>
      <c r="AA616" s="624">
        <v>152916.12</v>
      </c>
    </row>
    <row r="617" spans="1:27" s="421" customFormat="1" ht="17.45" hidden="1" customHeight="1" x14ac:dyDescent="0.25">
      <c r="A617" s="419" t="s">
        <v>4978</v>
      </c>
      <c r="B617" s="617">
        <v>408</v>
      </c>
      <c r="C617" s="617"/>
      <c r="D617" s="618" t="s">
        <v>13</v>
      </c>
      <c r="E617" s="618" t="s">
        <v>557</v>
      </c>
      <c r="F617" s="619">
        <v>45483</v>
      </c>
      <c r="G617" s="619"/>
      <c r="H617" s="618" t="s">
        <v>23</v>
      </c>
      <c r="I617" s="620"/>
      <c r="J617" s="620"/>
      <c r="K617" s="620">
        <v>430</v>
      </c>
      <c r="L617" s="677"/>
      <c r="M617" s="691">
        <f>Таблица4[[#This Row],[Количество хлыстов]]-Таблица4[[#This Row],[Готово, хл]]-Таблица4[[#This Row],[Вывезено, хл]]</f>
        <v>0</v>
      </c>
      <c r="N617" s="713"/>
      <c r="O617" s="618"/>
      <c r="P617" s="692">
        <v>2.4500000000000002</v>
      </c>
      <c r="Q617" s="622" t="s">
        <v>3942</v>
      </c>
      <c r="R617" s="622">
        <v>1053.5</v>
      </c>
      <c r="S617" s="623">
        <v>430</v>
      </c>
      <c r="T617" s="622">
        <v>0.1507</v>
      </c>
      <c r="U617" s="622">
        <v>0.39300000000000002</v>
      </c>
      <c r="V617" s="622">
        <v>158.76249999999999</v>
      </c>
      <c r="W617" s="622">
        <v>414.02550000000002</v>
      </c>
      <c r="X617" s="622">
        <v>20.64</v>
      </c>
      <c r="Y617" s="622">
        <v>44.31</v>
      </c>
      <c r="Z617" s="622">
        <v>294</v>
      </c>
      <c r="AA617" s="624">
        <v>46680.59</v>
      </c>
    </row>
    <row r="618" spans="1:27" s="421" customFormat="1" ht="17.45" hidden="1" customHeight="1" x14ac:dyDescent="0.25">
      <c r="A618" s="419" t="s">
        <v>4978</v>
      </c>
      <c r="B618" s="617">
        <v>409</v>
      </c>
      <c r="C618" s="617"/>
      <c r="D618" s="618" t="s">
        <v>34</v>
      </c>
      <c r="E618" s="618" t="s">
        <v>4807</v>
      </c>
      <c r="F618" s="619">
        <v>45483</v>
      </c>
      <c r="G618" s="619"/>
      <c r="H618" s="618" t="s">
        <v>23</v>
      </c>
      <c r="I618" s="620"/>
      <c r="J618" s="620"/>
      <c r="K618" s="620">
        <v>3</v>
      </c>
      <c r="L618" s="677">
        <f>256+3</f>
        <v>259</v>
      </c>
      <c r="M618" s="691">
        <f>Таблица4[[#This Row],[Количество хлыстов]]-Таблица4[[#This Row],[Готово, хл]]-Таблица4[[#This Row],[Вывезено, хл]]</f>
        <v>0</v>
      </c>
      <c r="N618" s="713">
        <f>((Таблица4[[#This Row],[Осталось сделать, хлыст]]*Таблица4[[#This Row],[длина]])*Таблица4[[#This Row],[Периметр]])/28</f>
        <v>0</v>
      </c>
      <c r="O618" s="618" t="s">
        <v>2657</v>
      </c>
      <c r="P618" s="692"/>
      <c r="Q618" s="622" t="s">
        <v>4898</v>
      </c>
      <c r="R618" s="622">
        <v>1467.2</v>
      </c>
      <c r="S618" s="623">
        <v>262</v>
      </c>
      <c r="T618" s="622">
        <v>0.1734</v>
      </c>
      <c r="U618" s="622">
        <v>0.38200000000000001</v>
      </c>
      <c r="V618" s="622">
        <v>254.41249999999999</v>
      </c>
      <c r="W618" s="622">
        <v>560.47040000000004</v>
      </c>
      <c r="X618" s="622">
        <v>33.07</v>
      </c>
      <c r="Y618" s="622">
        <v>57.01</v>
      </c>
      <c r="Z618" s="622">
        <v>328.75</v>
      </c>
      <c r="AA618" s="624">
        <v>83638.100000000006</v>
      </c>
    </row>
    <row r="619" spans="1:27" ht="17.45" hidden="1" customHeight="1" x14ac:dyDescent="0.25">
      <c r="A619" s="147" t="s">
        <v>4678</v>
      </c>
      <c r="B619" s="521">
        <v>410</v>
      </c>
      <c r="C619" s="521"/>
      <c r="D619" s="142" t="s">
        <v>13</v>
      </c>
      <c r="E619" s="142" t="s">
        <v>657</v>
      </c>
      <c r="F619" s="143">
        <v>45484</v>
      </c>
      <c r="G619" s="143">
        <v>45506</v>
      </c>
      <c r="H619" s="142" t="s">
        <v>23</v>
      </c>
      <c r="I619" s="522"/>
      <c r="J619" s="522"/>
      <c r="K619" s="522">
        <v>102</v>
      </c>
      <c r="L619" s="393"/>
      <c r="M619" s="443">
        <f>Таблица4[[#This Row],[Количество хлыстов]]-Таблица4[[#This Row],[Готово, хл]]-Таблица4[[#This Row],[Вывезено, хл]]</f>
        <v>0</v>
      </c>
      <c r="N619" s="673">
        <f>((Таблица4[[#This Row],[Осталось сделать, хлыст]]*Таблица4[[#This Row],[длина]])*Таблица4[[#This Row],[Периметр]])/28</f>
        <v>0</v>
      </c>
      <c r="O619" s="142"/>
      <c r="P619" s="280">
        <v>5.8</v>
      </c>
      <c r="Q619" s="525" t="s">
        <v>2963</v>
      </c>
      <c r="R619" s="525">
        <v>591.6</v>
      </c>
      <c r="S619" s="526">
        <v>102</v>
      </c>
      <c r="T619" s="525">
        <v>0.1724</v>
      </c>
      <c r="U619" s="525">
        <v>0.41499999999999998</v>
      </c>
      <c r="V619" s="525">
        <v>101.9918</v>
      </c>
      <c r="W619" s="525">
        <v>245.51400000000001</v>
      </c>
      <c r="X619" s="525">
        <v>13.26</v>
      </c>
      <c r="Y619" s="525">
        <v>74.989999999999995</v>
      </c>
      <c r="Z619" s="525">
        <v>435</v>
      </c>
      <c r="AA619" s="527">
        <v>44366.45</v>
      </c>
    </row>
    <row r="620" spans="1:27" ht="17.45" hidden="1" customHeight="1" x14ac:dyDescent="0.25">
      <c r="A620" s="147" t="s">
        <v>4678</v>
      </c>
      <c r="B620" s="521">
        <v>411</v>
      </c>
      <c r="C620" s="521"/>
      <c r="D620" s="142" t="s">
        <v>34</v>
      </c>
      <c r="E620" s="142" t="s">
        <v>3404</v>
      </c>
      <c r="F620" s="143">
        <v>45484</v>
      </c>
      <c r="G620" s="143"/>
      <c r="H620" s="142" t="s">
        <v>23</v>
      </c>
      <c r="I620" s="522"/>
      <c r="J620" s="522"/>
      <c r="K620" s="522">
        <f>231+231</f>
        <v>462</v>
      </c>
      <c r="L620" s="393"/>
      <c r="M620" s="443">
        <f>Таблица4[[#This Row],[Количество хлыстов]]-Таблица4[[#This Row],[Готово, хл]]-Таблица4[[#This Row],[Вывезено, хл]]</f>
        <v>0</v>
      </c>
      <c r="N620" s="673">
        <f>((Таблица4[[#This Row],[Осталось сделать, хлыст]]*Таблица4[[#This Row],[длина]])*Таблица4[[#This Row],[Периметр]])/28</f>
        <v>0</v>
      </c>
      <c r="O620" s="142"/>
      <c r="P620" s="280">
        <v>6</v>
      </c>
      <c r="Q620" s="525" t="s">
        <v>4582</v>
      </c>
      <c r="R620" s="525">
        <v>2772</v>
      </c>
      <c r="S620" s="526">
        <v>462</v>
      </c>
      <c r="T620" s="525">
        <v>0.10100000000000001</v>
      </c>
      <c r="U620" s="525">
        <v>0.30599999999999999</v>
      </c>
      <c r="V620" s="525">
        <v>279.97199999999998</v>
      </c>
      <c r="W620" s="525">
        <v>848.23199999999997</v>
      </c>
      <c r="X620" s="525">
        <v>36.4</v>
      </c>
      <c r="Y620" s="525">
        <v>44.14</v>
      </c>
      <c r="Z620" s="525">
        <v>437</v>
      </c>
      <c r="AA620" s="527">
        <v>122347.76</v>
      </c>
    </row>
    <row r="621" spans="1:27" ht="17.45" hidden="1" customHeight="1" x14ac:dyDescent="0.25">
      <c r="A621" s="147" t="s">
        <v>4678</v>
      </c>
      <c r="B621" s="521">
        <v>411</v>
      </c>
      <c r="C621" s="521"/>
      <c r="D621" s="142" t="s">
        <v>34</v>
      </c>
      <c r="E621" s="142" t="s">
        <v>3404</v>
      </c>
      <c r="F621" s="143">
        <v>45484</v>
      </c>
      <c r="G621" s="143"/>
      <c r="H621" s="142" t="s">
        <v>23</v>
      </c>
      <c r="I621" s="522"/>
      <c r="J621" s="522"/>
      <c r="K621" s="522">
        <f>100+104</f>
        <v>204</v>
      </c>
      <c r="L621" s="393"/>
      <c r="M621" s="443">
        <f>Таблица4[[#This Row],[Количество хлыстов]]-Таблица4[[#This Row],[Готово, хл]]-Таблица4[[#This Row],[Вывезено, хл]]</f>
        <v>0</v>
      </c>
      <c r="N621" s="673">
        <f>((Таблица4[[#This Row],[Осталось сделать, хлыст]]*Таблица4[[#This Row],[длина]])*Таблица4[[#This Row],[Периметр]])/28</f>
        <v>0</v>
      </c>
      <c r="O621" s="142"/>
      <c r="P621" s="280">
        <v>6</v>
      </c>
      <c r="Q621" s="525" t="s">
        <v>4378</v>
      </c>
      <c r="R621" s="525">
        <v>1224</v>
      </c>
      <c r="S621" s="526">
        <v>204</v>
      </c>
      <c r="T621" s="525">
        <v>0.25169999999999998</v>
      </c>
      <c r="U621" s="525">
        <v>0.56699999999999995</v>
      </c>
      <c r="V621" s="525">
        <v>308.08080000000001</v>
      </c>
      <c r="W621" s="525">
        <v>694.00800000000004</v>
      </c>
      <c r="X621" s="525">
        <v>40.049999999999997</v>
      </c>
      <c r="Y621" s="525">
        <v>93.13</v>
      </c>
      <c r="Z621" s="525">
        <v>370</v>
      </c>
      <c r="AA621" s="527">
        <v>113989.9</v>
      </c>
    </row>
    <row r="622" spans="1:27" s="939" customFormat="1" ht="17.45" customHeight="1" x14ac:dyDescent="0.25">
      <c r="A622" s="924" t="s">
        <v>4678</v>
      </c>
      <c r="B622" s="925">
        <v>411</v>
      </c>
      <c r="C622" s="925"/>
      <c r="D622" s="926" t="s">
        <v>34</v>
      </c>
      <c r="E622" s="926" t="s">
        <v>3404</v>
      </c>
      <c r="F622" s="927">
        <v>45484</v>
      </c>
      <c r="G622" s="927"/>
      <c r="H622" s="926"/>
      <c r="I622" s="928"/>
      <c r="J622" s="928"/>
      <c r="K622" s="928"/>
      <c r="L622" s="937"/>
      <c r="M622" s="930">
        <f>Таблица4[[#This Row],[Количество хлыстов]]-Таблица4[[#This Row],[Готово, хл]]-Таблица4[[#This Row],[Вывезено, хл]]</f>
        <v>128</v>
      </c>
      <c r="N622" s="940">
        <f>((Таблица4[[#This Row],[Осталось сделать, хлыст]]*Таблица4[[#This Row],[длина]])*Таблица4[[#This Row],[Периметр]])/28</f>
        <v>8.4342857142857142</v>
      </c>
      <c r="O622" s="926"/>
      <c r="P622" s="938">
        <v>6</v>
      </c>
      <c r="Q622" s="933" t="s">
        <v>4998</v>
      </c>
      <c r="R622" s="933">
        <v>768</v>
      </c>
      <c r="S622" s="934">
        <v>128</v>
      </c>
      <c r="T622" s="933">
        <v>0.3075</v>
      </c>
      <c r="U622" s="933">
        <v>0.85</v>
      </c>
      <c r="V622" s="933">
        <v>236.16</v>
      </c>
      <c r="W622" s="933">
        <v>652.79999999999995</v>
      </c>
      <c r="X622" s="933">
        <v>30.7</v>
      </c>
      <c r="Y622" s="933">
        <v>113.78</v>
      </c>
      <c r="Z622" s="933">
        <v>370</v>
      </c>
      <c r="AA622" s="935">
        <v>87379.199999999997</v>
      </c>
    </row>
    <row r="623" spans="1:27" s="939" customFormat="1" ht="17.45" customHeight="1" x14ac:dyDescent="0.25">
      <c r="A623" s="924" t="s">
        <v>4678</v>
      </c>
      <c r="B623" s="925">
        <v>412</v>
      </c>
      <c r="C623" s="925"/>
      <c r="D623" s="926" t="s">
        <v>34</v>
      </c>
      <c r="E623" s="926" t="s">
        <v>328</v>
      </c>
      <c r="F623" s="927">
        <v>45484</v>
      </c>
      <c r="G623" s="927"/>
      <c r="H623" s="926"/>
      <c r="I623" s="928"/>
      <c r="J623" s="928"/>
      <c r="K623" s="928"/>
      <c r="L623" s="937">
        <v>145</v>
      </c>
      <c r="M623" s="930">
        <f>Таблица4[[#This Row],[Количество хлыстов]]-Таблица4[[#This Row],[Готово, хл]]-Таблица4[[#This Row],[Вывезено, хл]]</f>
        <v>4</v>
      </c>
      <c r="N623" s="940">
        <f>((Таблица4[[#This Row],[Осталось сделать, хлыст]]*Таблица4[[#This Row],[длина]])*Таблица4[[#This Row],[Периметр]])/28</f>
        <v>0.26502857142857145</v>
      </c>
      <c r="O623" s="926" t="s">
        <v>5249</v>
      </c>
      <c r="P623" s="938">
        <v>6</v>
      </c>
      <c r="Q623" s="933" t="s">
        <v>4813</v>
      </c>
      <c r="R623" s="933">
        <v>894</v>
      </c>
      <c r="S623" s="934">
        <v>149</v>
      </c>
      <c r="T623" s="933">
        <v>0.30919999999999997</v>
      </c>
      <c r="U623" s="933">
        <v>1.101</v>
      </c>
      <c r="V623" s="933">
        <v>276.4248</v>
      </c>
      <c r="W623" s="933">
        <v>984.29399999999998</v>
      </c>
      <c r="X623" s="933">
        <v>35.94</v>
      </c>
      <c r="Y623" s="933">
        <v>134.5</v>
      </c>
      <c r="Z623" s="933">
        <v>435</v>
      </c>
      <c r="AA623" s="935">
        <v>120243</v>
      </c>
    </row>
    <row r="624" spans="1:27" ht="17.45" hidden="1" customHeight="1" x14ac:dyDescent="0.25">
      <c r="A624" s="147" t="s">
        <v>4678</v>
      </c>
      <c r="B624" s="521">
        <v>413</v>
      </c>
      <c r="C624" s="521"/>
      <c r="D624" s="142" t="s">
        <v>34</v>
      </c>
      <c r="E624" s="142" t="s">
        <v>19</v>
      </c>
      <c r="F624" s="143">
        <v>45484</v>
      </c>
      <c r="G624" s="148"/>
      <c r="H624" s="145" t="s">
        <v>23</v>
      </c>
      <c r="I624" s="645"/>
      <c r="J624" s="645"/>
      <c r="K624" s="645">
        <v>405</v>
      </c>
      <c r="L624" s="394"/>
      <c r="M624" s="443">
        <f>Таблица4[[#This Row],[Количество хлыстов]]-Таблица4[[#This Row],[Готово, хл]]-Таблица4[[#This Row],[Вывезено, хл]]</f>
        <v>0</v>
      </c>
      <c r="N624" s="673">
        <f>((Таблица4[[#This Row],[Осталось сделать, хлыст]]*Таблица4[[#This Row],[длина]])*Таблица4[[#This Row],[Периметр]])/28</f>
        <v>0</v>
      </c>
      <c r="O624" s="145"/>
      <c r="P624" s="280">
        <v>3.6</v>
      </c>
      <c r="Q624" s="280" t="s">
        <v>5158</v>
      </c>
      <c r="R624" s="280">
        <v>1458</v>
      </c>
      <c r="S624" s="322">
        <v>405</v>
      </c>
      <c r="T624" s="280">
        <v>0.3402</v>
      </c>
      <c r="U624" s="280">
        <v>1.4530000000000001</v>
      </c>
      <c r="V624" s="280">
        <v>496.01159999999999</v>
      </c>
      <c r="W624" s="280">
        <v>2118.4740000000002</v>
      </c>
      <c r="X624" s="280">
        <v>64.48</v>
      </c>
      <c r="Y624" s="280">
        <v>136.76</v>
      </c>
      <c r="Z624" s="280">
        <v>402</v>
      </c>
      <c r="AA624" s="397">
        <v>199396.08</v>
      </c>
    </row>
    <row r="625" spans="1:27" s="939" customFormat="1" ht="17.45" customHeight="1" x14ac:dyDescent="0.25">
      <c r="A625" s="924" t="s">
        <v>4678</v>
      </c>
      <c r="B625" s="925" t="s">
        <v>5210</v>
      </c>
      <c r="C625" s="925"/>
      <c r="D625" s="926" t="s">
        <v>34</v>
      </c>
      <c r="E625" s="926" t="s">
        <v>16</v>
      </c>
      <c r="F625" s="927">
        <v>45484</v>
      </c>
      <c r="G625" s="927"/>
      <c r="H625" s="926"/>
      <c r="I625" s="928"/>
      <c r="J625" s="928"/>
      <c r="K625" s="928"/>
      <c r="L625" s="937">
        <v>14</v>
      </c>
      <c r="M625" s="930">
        <f>Таблица4[[#This Row],[Количество хлыстов]]-Таблица4[[#This Row],[Готово, хл]]-Таблица4[[#This Row],[Вывезено, хл]]</f>
        <v>39</v>
      </c>
      <c r="N625" s="940">
        <f>((Таблица4[[#This Row],[Осталось сделать, хлыст]]*Таблица4[[#This Row],[длина]])*Таблица4[[#This Row],[Периметр]])/28</f>
        <v>4.7627357142857134</v>
      </c>
      <c r="O625" s="926"/>
      <c r="P625" s="938">
        <v>6</v>
      </c>
      <c r="Q625" s="933" t="s">
        <v>2581</v>
      </c>
      <c r="R625" s="933">
        <v>318</v>
      </c>
      <c r="S625" s="934">
        <v>53</v>
      </c>
      <c r="T625" s="933">
        <v>0.56989999999999996</v>
      </c>
      <c r="U625" s="933">
        <v>1.304</v>
      </c>
      <c r="V625" s="933">
        <v>181.22819999999999</v>
      </c>
      <c r="W625" s="933">
        <v>414.67200000000003</v>
      </c>
      <c r="X625" s="933">
        <v>23.56</v>
      </c>
      <c r="Y625" s="933">
        <v>324.83999999999997</v>
      </c>
      <c r="Z625" s="933">
        <v>570</v>
      </c>
      <c r="AA625" s="935">
        <v>103299.12</v>
      </c>
    </row>
    <row r="626" spans="1:27" s="939" customFormat="1" ht="17.45" customHeight="1" x14ac:dyDescent="0.25">
      <c r="A626" s="924" t="s">
        <v>4678</v>
      </c>
      <c r="B626" s="925" t="s">
        <v>3579</v>
      </c>
      <c r="C626" s="925"/>
      <c r="D626" s="926" t="s">
        <v>34</v>
      </c>
      <c r="E626" s="926" t="s">
        <v>16</v>
      </c>
      <c r="F626" s="927">
        <v>45484</v>
      </c>
      <c r="G626" s="927"/>
      <c r="H626" s="926"/>
      <c r="I626" s="928"/>
      <c r="J626" s="928"/>
      <c r="K626" s="928"/>
      <c r="L626" s="937"/>
      <c r="M626" s="930">
        <f>Таблица4[[#This Row],[Количество хлыстов]]-Таблица4[[#This Row],[Готово, хл]]-Таблица4[[#This Row],[Вывезено, хл]]</f>
        <v>325</v>
      </c>
      <c r="N626" s="940">
        <f>((Таблица4[[#This Row],[Осталось сделать, хлыст]]*Таблица4[[#This Row],[длина]])*Таблица4[[#This Row],[Периметр]])/28</f>
        <v>24.361071428571428</v>
      </c>
      <c r="O626" s="926"/>
      <c r="P626" s="938">
        <v>6</v>
      </c>
      <c r="Q626" s="933" t="s">
        <v>2730</v>
      </c>
      <c r="R626" s="933">
        <v>1950</v>
      </c>
      <c r="S626" s="934">
        <v>325</v>
      </c>
      <c r="T626" s="933">
        <v>0.3498</v>
      </c>
      <c r="U626" s="933">
        <v>1.425</v>
      </c>
      <c r="V626" s="933">
        <v>682.11</v>
      </c>
      <c r="W626" s="933">
        <v>2778.75</v>
      </c>
      <c r="X626" s="933">
        <v>88.67</v>
      </c>
      <c r="Y626" s="933">
        <v>152.16</v>
      </c>
      <c r="Z626" s="933">
        <v>435</v>
      </c>
      <c r="AA626" s="935">
        <v>296712</v>
      </c>
    </row>
    <row r="627" spans="1:27" s="939" customFormat="1" ht="17.45" customHeight="1" x14ac:dyDescent="0.25">
      <c r="A627" s="924" t="s">
        <v>4678</v>
      </c>
      <c r="B627" s="925" t="s">
        <v>3580</v>
      </c>
      <c r="C627" s="925"/>
      <c r="D627" s="926" t="s">
        <v>34</v>
      </c>
      <c r="E627" s="926" t="s">
        <v>16</v>
      </c>
      <c r="F627" s="927">
        <v>45484</v>
      </c>
      <c r="G627" s="927"/>
      <c r="H627" s="926"/>
      <c r="I627" s="928"/>
      <c r="J627" s="928"/>
      <c r="K627" s="928"/>
      <c r="L627" s="937"/>
      <c r="M627" s="930">
        <f>Таблица4[[#This Row],[Количество хлыстов]]-Таблица4[[#This Row],[Готово, хл]]-Таблица4[[#This Row],[Вывезено, хл]]</f>
        <v>146</v>
      </c>
      <c r="N627" s="940">
        <f>((Таблица4[[#This Row],[Осталось сделать, хлыст]]*Таблица4[[#This Row],[длина]])*Таблица4[[#This Row],[Периметр]])/28</f>
        <v>22.15654285714286</v>
      </c>
      <c r="O627" s="926"/>
      <c r="P627" s="938">
        <v>6</v>
      </c>
      <c r="Q627" s="933" t="s">
        <v>2469</v>
      </c>
      <c r="R627" s="933">
        <v>876</v>
      </c>
      <c r="S627" s="934">
        <v>146</v>
      </c>
      <c r="T627" s="933">
        <v>0.70820000000000005</v>
      </c>
      <c r="U627" s="933">
        <v>3.4609999999999999</v>
      </c>
      <c r="V627" s="933">
        <v>620.38319999999999</v>
      </c>
      <c r="W627" s="933">
        <v>3031.8359999999998</v>
      </c>
      <c r="X627" s="933">
        <v>80.650000000000006</v>
      </c>
      <c r="Y627" s="933">
        <v>308.07</v>
      </c>
      <c r="Z627" s="933">
        <v>435</v>
      </c>
      <c r="AA627" s="935">
        <v>269866.69</v>
      </c>
    </row>
    <row r="628" spans="1:27" ht="17.45" hidden="1" customHeight="1" x14ac:dyDescent="0.25">
      <c r="A628" s="171" t="s">
        <v>4678</v>
      </c>
      <c r="B628" s="625">
        <v>401</v>
      </c>
      <c r="C628" s="625"/>
      <c r="D628" s="162" t="s">
        <v>13</v>
      </c>
      <c r="E628" s="162" t="s">
        <v>289</v>
      </c>
      <c r="F628" s="168">
        <v>45484</v>
      </c>
      <c r="G628" s="143">
        <v>45505</v>
      </c>
      <c r="H628" s="142" t="s">
        <v>23</v>
      </c>
      <c r="I628" s="522"/>
      <c r="J628" s="522"/>
      <c r="K628" s="522"/>
      <c r="L628" s="393">
        <v>24</v>
      </c>
      <c r="M628" s="443">
        <f>Таблица4[[#This Row],[Количество хлыстов]]-Таблица4[[#This Row],[Готово, хл]]-Таблица4[[#This Row],[Вывезено, хл]]</f>
        <v>0</v>
      </c>
      <c r="N628" s="673">
        <v>2</v>
      </c>
      <c r="O628" s="142"/>
      <c r="P628" s="280"/>
      <c r="Q628" s="525" t="s">
        <v>5118</v>
      </c>
      <c r="R628" s="525">
        <v>24</v>
      </c>
      <c r="S628" s="526">
        <v>24</v>
      </c>
      <c r="T628" s="525">
        <v>0.45</v>
      </c>
      <c r="U628" s="525">
        <v>2.6</v>
      </c>
      <c r="V628" s="525">
        <v>10.8</v>
      </c>
      <c r="W628" s="525">
        <v>62.4</v>
      </c>
      <c r="X628" s="525">
        <v>1.4</v>
      </c>
      <c r="Y628" s="525">
        <v>2769.17</v>
      </c>
      <c r="Z628" s="525">
        <v>6153.7</v>
      </c>
      <c r="AA628" s="527">
        <v>66460</v>
      </c>
    </row>
    <row r="629" spans="1:27" ht="17.45" hidden="1" customHeight="1" x14ac:dyDescent="0.25">
      <c r="A629" s="147" t="s">
        <v>4678</v>
      </c>
      <c r="B629" s="521">
        <v>414</v>
      </c>
      <c r="C629" s="521"/>
      <c r="D629" s="142" t="s">
        <v>34</v>
      </c>
      <c r="E629" s="142" t="s">
        <v>861</v>
      </c>
      <c r="F629" s="143">
        <v>45488</v>
      </c>
      <c r="G629" s="143"/>
      <c r="H629" s="142" t="s">
        <v>23</v>
      </c>
      <c r="I629" s="522"/>
      <c r="J629" s="522"/>
      <c r="K629" s="522">
        <f>42+46</f>
        <v>88</v>
      </c>
      <c r="L629" s="393"/>
      <c r="M629" s="443">
        <f>Таблица4[[#This Row],[Количество хлыстов]]-Таблица4[[#This Row],[Готово, хл]]-Таблица4[[#This Row],[Вывезено, хл]]</f>
        <v>0</v>
      </c>
      <c r="N629" s="673">
        <f>((Таблица4[[#This Row],[Осталось сделать, хлыст]]*Таблица4[[#This Row],[длина]])*Таблица4[[#This Row],[Периметр]])/28</f>
        <v>0</v>
      </c>
      <c r="O629" s="142"/>
      <c r="P629" s="280">
        <v>6</v>
      </c>
      <c r="Q629" s="525" t="s">
        <v>4393</v>
      </c>
      <c r="R629" s="525">
        <v>528</v>
      </c>
      <c r="S629" s="526">
        <v>88</v>
      </c>
      <c r="T629" s="525">
        <v>0.47389999999999999</v>
      </c>
      <c r="U629" s="525">
        <v>1.355</v>
      </c>
      <c r="V629" s="525">
        <v>250.2192</v>
      </c>
      <c r="W629" s="525">
        <v>715.44</v>
      </c>
      <c r="X629" s="525">
        <v>32.53</v>
      </c>
      <c r="Y629" s="525">
        <v>187.19</v>
      </c>
      <c r="Z629" s="525">
        <v>395</v>
      </c>
      <c r="AA629" s="527">
        <v>98836.58</v>
      </c>
    </row>
    <row r="630" spans="1:27" s="939" customFormat="1" ht="17.45" customHeight="1" x14ac:dyDescent="0.25">
      <c r="A630" s="924" t="s">
        <v>4678</v>
      </c>
      <c r="B630" s="925">
        <v>415</v>
      </c>
      <c r="C630" s="925"/>
      <c r="D630" s="926" t="s">
        <v>34</v>
      </c>
      <c r="E630" s="926" t="s">
        <v>3404</v>
      </c>
      <c r="F630" s="927">
        <v>45488</v>
      </c>
      <c r="G630" s="927"/>
      <c r="H630" s="926" t="s">
        <v>18</v>
      </c>
      <c r="I630" s="928"/>
      <c r="J630" s="928"/>
      <c r="K630" s="928">
        <v>271</v>
      </c>
      <c r="L630" s="937"/>
      <c r="M630" s="930">
        <f>Таблица4[[#This Row],[Количество хлыстов]]-Таблица4[[#This Row],[Готово, хл]]-Таблица4[[#This Row],[Вывезено, хл]]</f>
        <v>157</v>
      </c>
      <c r="N630" s="940">
        <f>((Таблица4[[#This Row],[Осталось сделать, хлыст]]*Таблица4[[#This Row],[длина]])*Таблица4[[#This Row],[Периметр]])/28</f>
        <v>3.3979285714285719</v>
      </c>
      <c r="O630" s="926"/>
      <c r="P630" s="938">
        <v>6</v>
      </c>
      <c r="Q630" s="933" t="s">
        <v>4582</v>
      </c>
      <c r="R630" s="933">
        <v>2568</v>
      </c>
      <c r="S630" s="934">
        <v>428</v>
      </c>
      <c r="T630" s="933">
        <v>0.10100000000000001</v>
      </c>
      <c r="U630" s="933">
        <v>0.30599999999999999</v>
      </c>
      <c r="V630" s="933">
        <v>259.36799999999999</v>
      </c>
      <c r="W630" s="933">
        <v>785.80799999999999</v>
      </c>
      <c r="X630" s="933">
        <v>33.72</v>
      </c>
      <c r="Y630" s="933">
        <v>44.14</v>
      </c>
      <c r="Z630" s="933">
        <v>437</v>
      </c>
      <c r="AA630" s="935">
        <v>113343.82</v>
      </c>
    </row>
    <row r="631" spans="1:27" ht="17.45" hidden="1" customHeight="1" x14ac:dyDescent="0.25">
      <c r="A631" s="147" t="s">
        <v>4678</v>
      </c>
      <c r="B631" s="521">
        <v>415</v>
      </c>
      <c r="C631" s="521"/>
      <c r="D631" s="142" t="s">
        <v>34</v>
      </c>
      <c r="E631" s="142" t="s">
        <v>3404</v>
      </c>
      <c r="F631" s="143">
        <v>45488</v>
      </c>
      <c r="G631" s="143"/>
      <c r="H631" s="142" t="s">
        <v>23</v>
      </c>
      <c r="I631" s="522"/>
      <c r="J631" s="522"/>
      <c r="K631" s="522"/>
      <c r="L631" s="393">
        <v>185</v>
      </c>
      <c r="M631" s="443">
        <f>Таблица4[[#This Row],[Количество хлыстов]]-Таблица4[[#This Row],[Готово, хл]]-Таблица4[[#This Row],[Вывезено, хл]]</f>
        <v>0</v>
      </c>
      <c r="N631" s="673">
        <f>((Таблица4[[#This Row],[Осталось сделать, хлыст]]*Таблица4[[#This Row],[длина]])*Таблица4[[#This Row],[Периметр]])/28</f>
        <v>0</v>
      </c>
      <c r="O631" s="142"/>
      <c r="P631" s="280">
        <v>6</v>
      </c>
      <c r="Q631" s="525" t="s">
        <v>4378</v>
      </c>
      <c r="R631" s="525">
        <v>1110</v>
      </c>
      <c r="S631" s="526">
        <v>185</v>
      </c>
      <c r="T631" s="525">
        <v>0.25169999999999998</v>
      </c>
      <c r="U631" s="525">
        <v>0.56699999999999995</v>
      </c>
      <c r="V631" s="525">
        <v>279.387</v>
      </c>
      <c r="W631" s="525">
        <v>629.37</v>
      </c>
      <c r="X631" s="525">
        <v>36.32</v>
      </c>
      <c r="Y631" s="525">
        <v>93.13</v>
      </c>
      <c r="Z631" s="525">
        <v>370</v>
      </c>
      <c r="AA631" s="527">
        <v>103373.19</v>
      </c>
    </row>
    <row r="632" spans="1:27" ht="17.45" hidden="1" customHeight="1" x14ac:dyDescent="0.25">
      <c r="A632" s="147" t="s">
        <v>4678</v>
      </c>
      <c r="B632" s="521" t="s">
        <v>5212</v>
      </c>
      <c r="C632" s="521"/>
      <c r="D632" s="142" t="s">
        <v>34</v>
      </c>
      <c r="E632" s="142" t="s">
        <v>16</v>
      </c>
      <c r="F632" s="143">
        <v>45488</v>
      </c>
      <c r="G632" s="143"/>
      <c r="H632" s="142" t="s">
        <v>23</v>
      </c>
      <c r="I632" s="522"/>
      <c r="J632" s="522"/>
      <c r="K632" s="522"/>
      <c r="L632" s="393">
        <f>250+18</f>
        <v>268</v>
      </c>
      <c r="M632" s="443">
        <f>Таблица4[[#This Row],[Количество хлыстов]]-Таблица4[[#This Row],[Готово, хл]]-Таблица4[[#This Row],[Вывезено, хл]]</f>
        <v>0</v>
      </c>
      <c r="N632" s="673">
        <f>((Таблица4[[#This Row],[Осталось сделать, хлыст]]*Таблица4[[#This Row],[длина]])*Таблица4[[#This Row],[Периметр]])/28</f>
        <v>0</v>
      </c>
      <c r="O632" s="142" t="s">
        <v>5286</v>
      </c>
      <c r="P632" s="280">
        <v>6</v>
      </c>
      <c r="Q632" s="525" t="s">
        <v>2423</v>
      </c>
      <c r="R632" s="525">
        <v>1608</v>
      </c>
      <c r="S632" s="526">
        <v>268</v>
      </c>
      <c r="T632" s="525">
        <v>0.29970000000000002</v>
      </c>
      <c r="U632" s="525">
        <v>1.6739999999999999</v>
      </c>
      <c r="V632" s="525">
        <v>481.91759999999999</v>
      </c>
      <c r="W632" s="525">
        <v>2691.7919999999999</v>
      </c>
      <c r="X632" s="525">
        <v>62.65</v>
      </c>
      <c r="Y632" s="525">
        <v>130.37</v>
      </c>
      <c r="Z632" s="525">
        <v>435</v>
      </c>
      <c r="AA632" s="527">
        <v>209634.96</v>
      </c>
    </row>
    <row r="633" spans="1:27" ht="17.45" customHeight="1" x14ac:dyDescent="0.25">
      <c r="A633" s="147" t="s">
        <v>4678</v>
      </c>
      <c r="B633" s="521">
        <v>416</v>
      </c>
      <c r="C633" s="521" t="s">
        <v>4753</v>
      </c>
      <c r="D633" s="142" t="s">
        <v>4858</v>
      </c>
      <c r="E633" s="142" t="s">
        <v>2399</v>
      </c>
      <c r="F633" s="143">
        <v>45488</v>
      </c>
      <c r="G633" s="143"/>
      <c r="H633" s="142" t="s">
        <v>18</v>
      </c>
      <c r="I633" s="522"/>
      <c r="J633" s="522"/>
      <c r="K633" s="522"/>
      <c r="L633" s="393"/>
      <c r="M633" s="443">
        <f>Таблица4[[#This Row],[Количество хлыстов]]-Таблица4[[#This Row],[Готово, хл]]-Таблица4[[#This Row],[Вывезено, хл]]</f>
        <v>400</v>
      </c>
      <c r="N633" s="564">
        <v>2</v>
      </c>
      <c r="O633" s="142"/>
      <c r="P633" s="280"/>
      <c r="Q633" s="525" t="s">
        <v>5214</v>
      </c>
      <c r="R633" s="525">
        <v>567.20000000000005</v>
      </c>
      <c r="S633" s="526">
        <v>400</v>
      </c>
      <c r="T633" s="525">
        <v>0.05</v>
      </c>
      <c r="U633" s="525">
        <v>0.12</v>
      </c>
      <c r="V633" s="525">
        <v>28.36</v>
      </c>
      <c r="W633" s="525">
        <v>68.063999999999993</v>
      </c>
      <c r="X633" s="525">
        <v>3.69</v>
      </c>
      <c r="Y633" s="525">
        <v>82.1</v>
      </c>
      <c r="Z633" s="525">
        <v>1642</v>
      </c>
      <c r="AA633" s="527">
        <v>46567.12</v>
      </c>
    </row>
    <row r="634" spans="1:27" ht="17.45" customHeight="1" x14ac:dyDescent="0.25">
      <c r="A634" s="147" t="s">
        <v>4678</v>
      </c>
      <c r="B634" s="521">
        <v>416</v>
      </c>
      <c r="C634" s="521" t="s">
        <v>4753</v>
      </c>
      <c r="D634" s="142" t="s">
        <v>4858</v>
      </c>
      <c r="E634" s="142" t="s">
        <v>5213</v>
      </c>
      <c r="F634" s="143">
        <v>45488</v>
      </c>
      <c r="G634" s="143"/>
      <c r="H634" s="142" t="s">
        <v>18</v>
      </c>
      <c r="I634" s="522"/>
      <c r="J634" s="522"/>
      <c r="K634" s="522"/>
      <c r="L634" s="393"/>
      <c r="M634" s="443">
        <f>Таблица4[[#This Row],[Количество хлыстов]]-Таблица4[[#This Row],[Готово, хл]]-Таблица4[[#This Row],[Вывезено, хл]]</f>
        <v>1200</v>
      </c>
      <c r="N634" s="564">
        <v>8</v>
      </c>
      <c r="O634" s="142"/>
      <c r="P634" s="280"/>
      <c r="Q634" s="525" t="s">
        <v>5215</v>
      </c>
      <c r="R634" s="525">
        <v>2262</v>
      </c>
      <c r="S634" s="526">
        <v>1200</v>
      </c>
      <c r="T634" s="525">
        <v>0.05</v>
      </c>
      <c r="U634" s="525">
        <v>0.16</v>
      </c>
      <c r="V634" s="525">
        <v>113.1</v>
      </c>
      <c r="W634" s="525">
        <v>361.92</v>
      </c>
      <c r="X634" s="525">
        <v>14.7</v>
      </c>
      <c r="Y634" s="525">
        <v>91.8</v>
      </c>
      <c r="Z634" s="525">
        <v>1836</v>
      </c>
      <c r="AA634" s="527">
        <v>207651.6</v>
      </c>
    </row>
    <row r="635" spans="1:27" ht="17.45" hidden="1" customHeight="1" x14ac:dyDescent="0.25">
      <c r="A635" s="147" t="s">
        <v>4678</v>
      </c>
      <c r="B635" s="521">
        <v>417</v>
      </c>
      <c r="C635" s="521"/>
      <c r="D635" s="145" t="s">
        <v>34</v>
      </c>
      <c r="E635" s="145" t="s">
        <v>79</v>
      </c>
      <c r="F635" s="148">
        <v>45488</v>
      </c>
      <c r="G635" s="148"/>
      <c r="H635" s="145" t="s">
        <v>23</v>
      </c>
      <c r="I635" s="645"/>
      <c r="J635" s="645"/>
      <c r="K635" s="645">
        <f>150+133</f>
        <v>283</v>
      </c>
      <c r="L635" s="394">
        <v>12</v>
      </c>
      <c r="M635" s="443">
        <f>Таблица4[[#This Row],[Количество хлыстов]]-Таблица4[[#This Row],[Готово, хл]]-Таблица4[[#This Row],[Вывезено, хл]]</f>
        <v>0</v>
      </c>
      <c r="N635" s="564">
        <f>Таблица4[[#This Row],[Площадь общая, м2]]/28</f>
        <v>12.788250000000001</v>
      </c>
      <c r="O635" s="145" t="s">
        <v>5223</v>
      </c>
      <c r="P635" s="280"/>
      <c r="Q635" s="280" t="s">
        <v>78</v>
      </c>
      <c r="R635" s="280">
        <v>1770</v>
      </c>
      <c r="S635" s="322">
        <v>295</v>
      </c>
      <c r="T635" s="280">
        <v>0.20230000000000001</v>
      </c>
      <c r="U635" s="280">
        <v>0.499</v>
      </c>
      <c r="V635" s="280">
        <v>358.07100000000003</v>
      </c>
      <c r="W635" s="280">
        <v>883.23</v>
      </c>
      <c r="X635" s="280">
        <v>46.55</v>
      </c>
      <c r="Y635" s="280">
        <v>74.849999999999994</v>
      </c>
      <c r="Z635" s="280">
        <v>370</v>
      </c>
      <c r="AA635" s="397">
        <v>132486.26999999999</v>
      </c>
    </row>
    <row r="636" spans="1:27" ht="17.45" hidden="1" customHeight="1" x14ac:dyDescent="0.25">
      <c r="A636" s="171" t="s">
        <v>4678</v>
      </c>
      <c r="B636" s="625">
        <v>419</v>
      </c>
      <c r="C636" s="625"/>
      <c r="D636" s="163" t="s">
        <v>13</v>
      </c>
      <c r="E636" s="142" t="s">
        <v>4734</v>
      </c>
      <c r="F636" s="172">
        <v>45490</v>
      </c>
      <c r="G636" s="148"/>
      <c r="H636" s="145" t="s">
        <v>677</v>
      </c>
      <c r="I636" s="645"/>
      <c r="J636" s="645"/>
      <c r="K636" s="645"/>
      <c r="L636" s="394"/>
      <c r="M636" s="443">
        <f>Таблица4[[#This Row],[Количество хлыстов]]-Таблица4[[#This Row],[Готово, хл]]-Таблица4[[#This Row],[Вывезено, хл]]</f>
        <v>18</v>
      </c>
      <c r="N636" s="673">
        <f>((Таблица4[[#This Row],[Осталось сделать, хлыст]]*Таблица4[[#This Row],[длина]])*Таблица4[[#This Row],[Периметр]])/28</f>
        <v>2.3158285714285718</v>
      </c>
      <c r="O636" s="145"/>
      <c r="P636" s="280">
        <v>6</v>
      </c>
      <c r="Q636" s="280" t="s">
        <v>5216</v>
      </c>
      <c r="R636" s="280">
        <v>108</v>
      </c>
      <c r="S636" s="322">
        <v>18</v>
      </c>
      <c r="T636" s="280">
        <v>0.60040000000000004</v>
      </c>
      <c r="U636" s="280">
        <v>2.5739999999999998</v>
      </c>
      <c r="V636" s="280">
        <v>64.843199999999996</v>
      </c>
      <c r="W636" s="280">
        <v>277.99200000000002</v>
      </c>
      <c r="X636" s="280">
        <v>8.43</v>
      </c>
      <c r="Y636" s="280">
        <v>243.16</v>
      </c>
      <c r="Z636" s="280">
        <v>405</v>
      </c>
      <c r="AA636" s="397">
        <v>26261.279999999999</v>
      </c>
    </row>
    <row r="637" spans="1:27" s="421" customFormat="1" ht="17.45" hidden="1" customHeight="1" x14ac:dyDescent="0.25">
      <c r="A637" s="419" t="s">
        <v>4978</v>
      </c>
      <c r="B637" s="617">
        <v>420</v>
      </c>
      <c r="C637" s="617"/>
      <c r="D637" s="618" t="s">
        <v>34</v>
      </c>
      <c r="E637" s="618" t="s">
        <v>4807</v>
      </c>
      <c r="F637" s="619">
        <v>45490</v>
      </c>
      <c r="G637" s="619"/>
      <c r="H637" s="618" t="s">
        <v>23</v>
      </c>
      <c r="I637" s="620"/>
      <c r="J637" s="620"/>
      <c r="K637" s="620"/>
      <c r="L637" s="677">
        <f>694+6</f>
        <v>700</v>
      </c>
      <c r="M637" s="691">
        <f>Таблица4[[#This Row],[Количество хлыстов]]-Таблица4[[#This Row],[Готово, хл]]-Таблица4[[#This Row],[Вывезено, хл]]</f>
        <v>0</v>
      </c>
      <c r="N637" s="713"/>
      <c r="O637" s="618" t="s">
        <v>4401</v>
      </c>
      <c r="P637" s="692">
        <v>5.3</v>
      </c>
      <c r="Q637" s="622" t="s">
        <v>4806</v>
      </c>
      <c r="R637" s="622">
        <v>3710</v>
      </c>
      <c r="S637" s="623">
        <v>700</v>
      </c>
      <c r="T637" s="622">
        <v>0.22270000000000001</v>
      </c>
      <c r="U637" s="622">
        <v>0.52700000000000002</v>
      </c>
      <c r="V637" s="622">
        <v>826.21699999999998</v>
      </c>
      <c r="W637" s="622">
        <v>1955.17</v>
      </c>
      <c r="X637" s="622">
        <v>107.41</v>
      </c>
      <c r="Y637" s="622">
        <v>73.209999999999994</v>
      </c>
      <c r="Z637" s="622">
        <v>328.75</v>
      </c>
      <c r="AA637" s="624">
        <v>271618.84000000003</v>
      </c>
    </row>
    <row r="638" spans="1:27" s="421" customFormat="1" ht="17.45" customHeight="1" x14ac:dyDescent="0.25">
      <c r="A638" s="419" t="s">
        <v>4978</v>
      </c>
      <c r="B638" s="617">
        <v>420</v>
      </c>
      <c r="C638" s="617"/>
      <c r="D638" s="618" t="s">
        <v>34</v>
      </c>
      <c r="E638" s="618" t="s">
        <v>4807</v>
      </c>
      <c r="F638" s="619">
        <v>45490</v>
      </c>
      <c r="G638" s="619"/>
      <c r="H638" s="618"/>
      <c r="I638" s="620"/>
      <c r="J638" s="620"/>
      <c r="K638" s="620"/>
      <c r="L638" s="677">
        <v>140</v>
      </c>
      <c r="M638" s="691">
        <f>Таблица4[[#This Row],[Количество хлыстов]]-Таблица4[[#This Row],[Готово, хл]]-Таблица4[[#This Row],[Вывезено, хл]]</f>
        <v>8</v>
      </c>
      <c r="N638" s="713"/>
      <c r="O638" s="618"/>
      <c r="P638" s="692"/>
      <c r="Q638" s="622" t="s">
        <v>4989</v>
      </c>
      <c r="R638" s="622">
        <v>851</v>
      </c>
      <c r="S638" s="623">
        <v>148</v>
      </c>
      <c r="T638" s="622">
        <v>0.32119999999999999</v>
      </c>
      <c r="U638" s="622">
        <v>0.622</v>
      </c>
      <c r="V638" s="622">
        <v>273.34120000000001</v>
      </c>
      <c r="W638" s="622">
        <v>529.322</v>
      </c>
      <c r="X638" s="622">
        <v>35.53</v>
      </c>
      <c r="Y638" s="622">
        <v>73.209999999999994</v>
      </c>
      <c r="Z638" s="622">
        <v>328.75</v>
      </c>
      <c r="AA638" s="624">
        <v>62301.71</v>
      </c>
    </row>
    <row r="639" spans="1:27" s="421" customFormat="1" ht="17.45" hidden="1" customHeight="1" x14ac:dyDescent="0.25">
      <c r="A639" s="419" t="s">
        <v>4978</v>
      </c>
      <c r="B639" s="617">
        <v>420</v>
      </c>
      <c r="C639" s="617"/>
      <c r="D639" s="618" t="s">
        <v>34</v>
      </c>
      <c r="E639" s="618" t="s">
        <v>4807</v>
      </c>
      <c r="F639" s="619">
        <v>45490</v>
      </c>
      <c r="G639" s="619"/>
      <c r="H639" s="618" t="s">
        <v>23</v>
      </c>
      <c r="I639" s="620"/>
      <c r="J639" s="620"/>
      <c r="K639" s="620"/>
      <c r="L639" s="677">
        <f>69+1</f>
        <v>70</v>
      </c>
      <c r="M639" s="691">
        <f>Таблица4[[#This Row],[Количество хлыстов]]-Таблица4[[#This Row],[Готово, хл]]-Таблица4[[#This Row],[Вывезено, хл]]</f>
        <v>0</v>
      </c>
      <c r="N639" s="713"/>
      <c r="O639" s="618" t="s">
        <v>559</v>
      </c>
      <c r="P639" s="692">
        <v>5.95</v>
      </c>
      <c r="Q639" s="622" t="s">
        <v>4805</v>
      </c>
      <c r="R639" s="622">
        <v>416.5</v>
      </c>
      <c r="S639" s="623">
        <v>70</v>
      </c>
      <c r="T639" s="622">
        <v>0.58020000000000005</v>
      </c>
      <c r="U639" s="622">
        <v>1.306</v>
      </c>
      <c r="V639" s="622">
        <v>241.6533</v>
      </c>
      <c r="W639" s="622">
        <v>543.94899999999996</v>
      </c>
      <c r="X639" s="622">
        <v>31.41</v>
      </c>
      <c r="Y639" s="622">
        <v>73.209999999999994</v>
      </c>
      <c r="Z639" s="622">
        <v>328.75</v>
      </c>
      <c r="AA639" s="624">
        <v>30491.97</v>
      </c>
    </row>
    <row r="640" spans="1:27" s="421" customFormat="1" ht="17.45" hidden="1" customHeight="1" x14ac:dyDescent="0.25">
      <c r="A640" s="419" t="s">
        <v>4978</v>
      </c>
      <c r="B640" s="617" t="s">
        <v>5219</v>
      </c>
      <c r="C640" s="617"/>
      <c r="D640" s="618" t="s">
        <v>34</v>
      </c>
      <c r="E640" s="618" t="s">
        <v>5218</v>
      </c>
      <c r="F640" s="619">
        <v>45490</v>
      </c>
      <c r="G640" s="619"/>
      <c r="H640" s="618" t="s">
        <v>23</v>
      </c>
      <c r="I640" s="620"/>
      <c r="J640" s="620"/>
      <c r="K640" s="620"/>
      <c r="L640" s="677"/>
      <c r="M640" s="691">
        <f>Таблица4[[#This Row],[Количество хлыстов]]-Таблица4[[#This Row],[Готово, хл]]-Таблица4[[#This Row],[Вывезено, хл]]</f>
        <v>12</v>
      </c>
      <c r="N640" s="713"/>
      <c r="O640" s="618"/>
      <c r="P640" s="692"/>
      <c r="Q640" s="622" t="s">
        <v>5217</v>
      </c>
      <c r="R640" s="622">
        <v>72</v>
      </c>
      <c r="S640" s="623">
        <v>12</v>
      </c>
      <c r="T640" s="622">
        <v>0.1396</v>
      </c>
      <c r="U640" s="622">
        <v>0.22700000000000001</v>
      </c>
      <c r="V640" s="622">
        <v>10.0512</v>
      </c>
      <c r="W640" s="622">
        <v>16.344000000000001</v>
      </c>
      <c r="X640" s="622">
        <v>1.31</v>
      </c>
      <c r="Y640" s="622">
        <v>56.25</v>
      </c>
      <c r="Z640" s="622">
        <v>402.94</v>
      </c>
      <c r="AA640" s="624">
        <v>4050</v>
      </c>
    </row>
    <row r="641" spans="1:27" s="939" customFormat="1" ht="17.25" customHeight="1" x14ac:dyDescent="0.25">
      <c r="A641" s="924" t="s">
        <v>4678</v>
      </c>
      <c r="B641" s="925">
        <v>421</v>
      </c>
      <c r="C641" s="925"/>
      <c r="D641" s="926" t="s">
        <v>34</v>
      </c>
      <c r="E641" s="926" t="s">
        <v>3404</v>
      </c>
      <c r="F641" s="927">
        <v>45491</v>
      </c>
      <c r="G641" s="927"/>
      <c r="H641" s="926"/>
      <c r="I641" s="928"/>
      <c r="J641" s="928"/>
      <c r="K641" s="928"/>
      <c r="L641" s="937"/>
      <c r="M641" s="930">
        <f>Таблица4[[#This Row],[Количество хлыстов]]-Таблица4[[#This Row],[Готово, хл]]-Таблица4[[#This Row],[Вывезено, хл]]</f>
        <v>67</v>
      </c>
      <c r="N641" s="940">
        <f>((Таблица4[[#This Row],[Осталось сделать, хлыст]]*Таблица4[[#This Row],[длина]])*Таблица4[[#This Row],[Периметр]])/28</f>
        <v>2.7034500000000001</v>
      </c>
      <c r="O641" s="926" t="s">
        <v>5260</v>
      </c>
      <c r="P641" s="938">
        <v>6</v>
      </c>
      <c r="Q641" s="933" t="s">
        <v>5220</v>
      </c>
      <c r="R641" s="933">
        <v>402</v>
      </c>
      <c r="S641" s="934">
        <v>67</v>
      </c>
      <c r="T641" s="933">
        <v>0.1883</v>
      </c>
      <c r="U641" s="933">
        <v>0.318</v>
      </c>
      <c r="V641" s="933">
        <v>75.696600000000004</v>
      </c>
      <c r="W641" s="933">
        <v>127.836</v>
      </c>
      <c r="X641" s="933">
        <v>9.84</v>
      </c>
      <c r="Y641" s="933">
        <v>114.3</v>
      </c>
      <c r="Z641" s="933">
        <v>607</v>
      </c>
      <c r="AA641" s="935">
        <v>45947.839999999997</v>
      </c>
    </row>
    <row r="642" spans="1:27" ht="17.25" hidden="1" customHeight="1" x14ac:dyDescent="0.25">
      <c r="A642" s="147" t="s">
        <v>4678</v>
      </c>
      <c r="B642" s="521">
        <v>422</v>
      </c>
      <c r="C642" s="521"/>
      <c r="D642" s="142" t="s">
        <v>13</v>
      </c>
      <c r="E642" s="142" t="s">
        <v>892</v>
      </c>
      <c r="F642" s="143">
        <v>45492</v>
      </c>
      <c r="G642" s="168"/>
      <c r="H642" s="142" t="s">
        <v>23</v>
      </c>
      <c r="I642" s="522"/>
      <c r="J642" s="522"/>
      <c r="K642" s="522">
        <f>90+35</f>
        <v>125</v>
      </c>
      <c r="L642" s="393"/>
      <c r="M642" s="443">
        <f>Таблица4[[#This Row],[Количество хлыстов]]-Таблица4[[#This Row],[Готово, хл]]-Таблица4[[#This Row],[Вывезено, хл]]</f>
        <v>10</v>
      </c>
      <c r="N642" s="673">
        <f>((Таблица4[[#This Row],[Осталось сделать, хлыст]]*Таблица4[[#This Row],[длина]])*Таблица4[[#This Row],[Периметр]])/28</f>
        <v>0.42131964285714291</v>
      </c>
      <c r="O642" s="142" t="s">
        <v>5267</v>
      </c>
      <c r="P642" s="280">
        <v>4.45</v>
      </c>
      <c r="Q642" s="525" t="s">
        <v>4276</v>
      </c>
      <c r="R642" s="525">
        <v>600.75</v>
      </c>
      <c r="S642" s="526">
        <v>135</v>
      </c>
      <c r="T642" s="525">
        <v>0.2651</v>
      </c>
      <c r="U642" s="525">
        <v>0.82099999999999995</v>
      </c>
      <c r="V642" s="525">
        <v>159.25880000000001</v>
      </c>
      <c r="W642" s="525">
        <v>493.2158</v>
      </c>
      <c r="X642" s="525">
        <v>20.7</v>
      </c>
      <c r="Y642" s="525">
        <v>136.53</v>
      </c>
      <c r="Z642" s="525">
        <v>515</v>
      </c>
      <c r="AA642" s="527">
        <v>82018.289999999994</v>
      </c>
    </row>
    <row r="643" spans="1:27" ht="17.25" customHeight="1" x14ac:dyDescent="0.25">
      <c r="A643" s="147" t="s">
        <v>4678</v>
      </c>
      <c r="B643" s="912">
        <v>423</v>
      </c>
      <c r="C643" s="912" t="s">
        <v>4753</v>
      </c>
      <c r="D643" s="149" t="s">
        <v>13</v>
      </c>
      <c r="E643" s="149" t="s">
        <v>30</v>
      </c>
      <c r="F643" s="275">
        <v>45496</v>
      </c>
      <c r="G643" s="143">
        <v>45576</v>
      </c>
      <c r="H643" s="142" t="s">
        <v>2078</v>
      </c>
      <c r="I643" s="522"/>
      <c r="J643" s="522"/>
      <c r="K643" s="522"/>
      <c r="L643" s="393"/>
      <c r="M643" s="443">
        <f>Таблица4[[#This Row],[Количество хлыстов]]-Таблица4[[#This Row],[Готово, хл]]-Таблица4[[#This Row],[Вывезено, хл]]</f>
        <v>198</v>
      </c>
      <c r="N643" s="564">
        <f>Таблица4[[#This Row],[Площадь общая, м2]]/28</f>
        <v>4.2852857142857141</v>
      </c>
      <c r="O643" s="142"/>
      <c r="P643" s="280">
        <v>3</v>
      </c>
      <c r="Q643" s="525" t="s">
        <v>5059</v>
      </c>
      <c r="R643" s="525"/>
      <c r="S643" s="526">
        <v>198</v>
      </c>
      <c r="T643" s="525">
        <v>0.60599999999999998</v>
      </c>
      <c r="U643" s="525">
        <v>0.8</v>
      </c>
      <c r="V643" s="525">
        <v>119.988</v>
      </c>
      <c r="W643" s="525">
        <v>158.4</v>
      </c>
      <c r="X643" s="525">
        <v>15.6</v>
      </c>
      <c r="Y643" s="525">
        <v>500.45</v>
      </c>
      <c r="Z643" s="525">
        <v>825.83</v>
      </c>
      <c r="AA643" s="527">
        <v>99090</v>
      </c>
    </row>
    <row r="644" spans="1:27" ht="17.45" hidden="1" customHeight="1" x14ac:dyDescent="0.25">
      <c r="A644" s="147" t="s">
        <v>4678</v>
      </c>
      <c r="B644" s="521">
        <v>424</v>
      </c>
      <c r="C644" s="521"/>
      <c r="D644" s="142" t="s">
        <v>13</v>
      </c>
      <c r="E644" s="142" t="s">
        <v>5222</v>
      </c>
      <c r="F644" s="143">
        <v>45496</v>
      </c>
      <c r="G644" s="143">
        <v>45509</v>
      </c>
      <c r="H644" s="142" t="s">
        <v>23</v>
      </c>
      <c r="I644" s="522"/>
      <c r="J644" s="522"/>
      <c r="K644" s="522"/>
      <c r="L644" s="393">
        <v>253</v>
      </c>
      <c r="M644" s="443">
        <f>Таблица4[[#This Row],[Количество хлыстов]]-Таблица4[[#This Row],[Готово, хл]]-Таблица4[[#This Row],[Вывезено, хл]]</f>
        <v>4</v>
      </c>
      <c r="N644" s="673">
        <f>((Таблица4[[#This Row],[Осталось сделать, хлыст]]*Таблица4[[#This Row],[длина]])*Таблица4[[#This Row],[Периметр]])/28</f>
        <v>0.28851428571428572</v>
      </c>
      <c r="O644" s="142" t="s">
        <v>5086</v>
      </c>
      <c r="P644" s="280">
        <v>6</v>
      </c>
      <c r="Q644" s="525" t="s">
        <v>4748</v>
      </c>
      <c r="R644" s="525">
        <v>1542</v>
      </c>
      <c r="S644" s="526">
        <v>257</v>
      </c>
      <c r="T644" s="525">
        <v>0.33660000000000001</v>
      </c>
      <c r="U644" s="525">
        <v>1.2350000000000001</v>
      </c>
      <c r="V644" s="525">
        <v>519.03719999999998</v>
      </c>
      <c r="W644" s="525">
        <v>1904.37</v>
      </c>
      <c r="X644" s="525">
        <v>67.47</v>
      </c>
      <c r="Y644" s="525">
        <v>136.32</v>
      </c>
      <c r="Z644" s="525">
        <v>405</v>
      </c>
      <c r="AA644" s="527">
        <v>210210.07</v>
      </c>
    </row>
    <row r="645" spans="1:27" ht="17.45" hidden="1" customHeight="1" x14ac:dyDescent="0.25">
      <c r="A645" s="147" t="s">
        <v>4678</v>
      </c>
      <c r="B645" s="521">
        <v>425</v>
      </c>
      <c r="C645" s="521"/>
      <c r="D645" s="142" t="s">
        <v>13</v>
      </c>
      <c r="E645" s="142" t="s">
        <v>156</v>
      </c>
      <c r="F645" s="143">
        <v>45496</v>
      </c>
      <c r="G645" s="143">
        <v>45506</v>
      </c>
      <c r="H645" s="142" t="s">
        <v>23</v>
      </c>
      <c r="I645" s="522"/>
      <c r="J645" s="522"/>
      <c r="K645" s="522"/>
      <c r="L645" s="393">
        <v>864</v>
      </c>
      <c r="M645" s="443">
        <f>Таблица4[[#This Row],[Количество хлыстов]]-Таблица4[[#This Row],[Готово, хл]]-Таблица4[[#This Row],[Вывезено, хл]]</f>
        <v>0</v>
      </c>
      <c r="N645" s="673">
        <f>((Таблица4[[#This Row],[Осталось сделать, хлыст]]*Таблица4[[#This Row],[длина]])*Таблица4[[#This Row],[Периметр]])/28</f>
        <v>0</v>
      </c>
      <c r="O645" s="142"/>
      <c r="P645" s="280">
        <v>3</v>
      </c>
      <c r="Q645" s="525" t="s">
        <v>2234</v>
      </c>
      <c r="R645" s="525">
        <v>2592</v>
      </c>
      <c r="S645" s="526">
        <v>864</v>
      </c>
      <c r="T645" s="525">
        <v>5.3600000000000002E-2</v>
      </c>
      <c r="U645" s="525">
        <v>0.20200000000000001</v>
      </c>
      <c r="V645" s="525">
        <v>138.93119999999999</v>
      </c>
      <c r="W645" s="525">
        <v>523.58399999999995</v>
      </c>
      <c r="X645" s="525">
        <v>18.059999999999999</v>
      </c>
      <c r="Y645" s="525">
        <v>27.6</v>
      </c>
      <c r="Z645" s="525">
        <v>515</v>
      </c>
      <c r="AA645" s="527">
        <v>71539.199999999997</v>
      </c>
    </row>
    <row r="646" spans="1:27" ht="17.45" hidden="1" customHeight="1" x14ac:dyDescent="0.25">
      <c r="A646" s="147" t="s">
        <v>4678</v>
      </c>
      <c r="B646" s="521">
        <v>426</v>
      </c>
      <c r="C646" s="521"/>
      <c r="D646" s="142" t="s">
        <v>13</v>
      </c>
      <c r="E646" s="142" t="s">
        <v>2973</v>
      </c>
      <c r="F646" s="143">
        <v>45496</v>
      </c>
      <c r="G646" s="143">
        <v>45506</v>
      </c>
      <c r="H646" s="142" t="s">
        <v>23</v>
      </c>
      <c r="I646" s="522"/>
      <c r="J646" s="522"/>
      <c r="K646" s="522"/>
      <c r="L646" s="393">
        <v>27</v>
      </c>
      <c r="M646" s="443">
        <f>Таблица4[[#This Row],[Количество хлыстов]]-Таблица4[[#This Row],[Готово, хл]]-Таблица4[[#This Row],[Вывезено, хл]]</f>
        <v>5</v>
      </c>
      <c r="N646" s="673">
        <f>((Таблица4[[#This Row],[Осталось сделать, хлыст]]*Таблица4[[#This Row],[длина]])*Таблица4[[#This Row],[Периметр]])/28</f>
        <v>0.58327499999999988</v>
      </c>
      <c r="O646" s="142" t="s">
        <v>4761</v>
      </c>
      <c r="P646" s="280">
        <v>4.9000000000000004</v>
      </c>
      <c r="Q646" s="525" t="s">
        <v>1751</v>
      </c>
      <c r="R646" s="525">
        <v>156.80000000000001</v>
      </c>
      <c r="S646" s="526">
        <v>32</v>
      </c>
      <c r="T646" s="525">
        <v>0.66659999999999997</v>
      </c>
      <c r="U646" s="525">
        <v>1.994</v>
      </c>
      <c r="V646" s="525">
        <v>104.52290000000001</v>
      </c>
      <c r="W646" s="525">
        <v>312.6592</v>
      </c>
      <c r="X646" s="525">
        <v>13.59</v>
      </c>
      <c r="Y646" s="525">
        <v>289.97000000000003</v>
      </c>
      <c r="Z646" s="525">
        <v>435</v>
      </c>
      <c r="AA646" s="527">
        <v>45467.45</v>
      </c>
    </row>
    <row r="647" spans="1:27" ht="17.45" hidden="1" customHeight="1" x14ac:dyDescent="0.25">
      <c r="A647" s="147" t="s">
        <v>4678</v>
      </c>
      <c r="B647" s="521">
        <v>428</v>
      </c>
      <c r="C647" s="521" t="s">
        <v>4753</v>
      </c>
      <c r="D647" s="142" t="s">
        <v>34</v>
      </c>
      <c r="E647" s="142" t="s">
        <v>4467</v>
      </c>
      <c r="F647" s="143">
        <v>45497</v>
      </c>
      <c r="G647" s="143"/>
      <c r="H647" s="142" t="s">
        <v>23</v>
      </c>
      <c r="I647" s="522"/>
      <c r="J647" s="522"/>
      <c r="K647" s="522"/>
      <c r="L647" s="393"/>
      <c r="M647" s="443">
        <f>Таблица4[[#This Row],[Количество хлыстов]]-Таблица4[[#This Row],[Готово, хл]]-Таблица4[[#This Row],[Вывезено, хл]]</f>
        <v>44</v>
      </c>
      <c r="N647" s="673">
        <f>((Таблица4[[#This Row],[Осталось сделать, хлыст]]*Таблица4[[#This Row],[длина]])*Таблица4[[#This Row],[Периметр]])/28</f>
        <v>2.2047064285714284</v>
      </c>
      <c r="O647" s="142"/>
      <c r="P647" s="280">
        <v>6.05</v>
      </c>
      <c r="Q647" s="525" t="s">
        <v>5134</v>
      </c>
      <c r="R647" s="525">
        <v>266.2</v>
      </c>
      <c r="S647" s="526">
        <v>44</v>
      </c>
      <c r="T647" s="525">
        <v>0.2319</v>
      </c>
      <c r="U647" s="525">
        <v>0.84599999999999997</v>
      </c>
      <c r="V647" s="525">
        <v>61.7318</v>
      </c>
      <c r="W647" s="525">
        <v>225.20519999999999</v>
      </c>
      <c r="X647" s="525">
        <v>8.0299999999999994</v>
      </c>
      <c r="Y647" s="525">
        <v>192.41</v>
      </c>
      <c r="Z647" s="525">
        <v>829.72</v>
      </c>
      <c r="AA647" s="527">
        <v>51220</v>
      </c>
    </row>
    <row r="648" spans="1:27" ht="17.45" hidden="1" customHeight="1" x14ac:dyDescent="0.25">
      <c r="A648" s="147" t="s">
        <v>4678</v>
      </c>
      <c r="B648" s="521">
        <v>428</v>
      </c>
      <c r="C648" s="521" t="s">
        <v>4753</v>
      </c>
      <c r="D648" s="142" t="s">
        <v>34</v>
      </c>
      <c r="E648" s="142" t="s">
        <v>4467</v>
      </c>
      <c r="F648" s="143">
        <v>45497</v>
      </c>
      <c r="G648" s="143"/>
      <c r="H648" s="142" t="s">
        <v>23</v>
      </c>
      <c r="I648" s="522"/>
      <c r="J648" s="522"/>
      <c r="K648" s="522"/>
      <c r="L648" s="393"/>
      <c r="M648" s="443">
        <f>Таблица4[[#This Row],[Количество хлыстов]]-Таблица4[[#This Row],[Готово, хл]]-Таблица4[[#This Row],[Вывезено, хл]]</f>
        <v>24</v>
      </c>
      <c r="N648" s="673">
        <f>((Таблица4[[#This Row],[Осталось сделать, хлыст]]*Таблица4[[#This Row],[длина]])*Таблица4[[#This Row],[Периметр]])/28</f>
        <v>1.6044599999999998</v>
      </c>
      <c r="O648" s="142"/>
      <c r="P648" s="280">
        <v>6.05</v>
      </c>
      <c r="Q648" s="525" t="s">
        <v>5135</v>
      </c>
      <c r="R648" s="525">
        <v>145.19999999999999</v>
      </c>
      <c r="S648" s="526">
        <v>24</v>
      </c>
      <c r="T648" s="525">
        <v>0.30940000000000001</v>
      </c>
      <c r="U648" s="525">
        <v>1.49</v>
      </c>
      <c r="V648" s="525">
        <v>44.924900000000001</v>
      </c>
      <c r="W648" s="525">
        <v>216.34800000000001</v>
      </c>
      <c r="X648" s="525">
        <v>5.84</v>
      </c>
      <c r="Y648" s="525">
        <v>271.35000000000002</v>
      </c>
      <c r="Z648" s="525">
        <v>877.02</v>
      </c>
      <c r="AA648" s="527">
        <v>39400</v>
      </c>
    </row>
    <row r="649" spans="1:27" ht="17.45" hidden="1" customHeight="1" x14ac:dyDescent="0.25">
      <c r="A649" s="147" t="s">
        <v>4678</v>
      </c>
      <c r="B649" s="521">
        <v>430</v>
      </c>
      <c r="C649" s="521"/>
      <c r="D649" s="142" t="s">
        <v>13</v>
      </c>
      <c r="E649" s="142" t="s">
        <v>657</v>
      </c>
      <c r="F649" s="143">
        <v>45498</v>
      </c>
      <c r="G649" s="143">
        <v>45506</v>
      </c>
      <c r="H649" s="142" t="s">
        <v>23</v>
      </c>
      <c r="I649" s="522"/>
      <c r="J649" s="522"/>
      <c r="K649" s="522">
        <f>49+151+151</f>
        <v>351</v>
      </c>
      <c r="L649" s="393"/>
      <c r="M649" s="443">
        <f>Таблица4[[#This Row],[Количество хлыстов]]-Таблица4[[#This Row],[Готово, хл]]-Таблица4[[#This Row],[Вывезено, хл]]</f>
        <v>0</v>
      </c>
      <c r="N649" s="673">
        <f>((Таблица4[[#This Row],[Осталось сделать, хлыст]]*Таблица4[[#This Row],[длина]])*Таблица4[[#This Row],[Периметр]])/28</f>
        <v>0</v>
      </c>
      <c r="O649" s="142"/>
      <c r="P649" s="280">
        <v>5.8</v>
      </c>
      <c r="Q649" s="525" t="s">
        <v>2963</v>
      </c>
      <c r="R649" s="525">
        <v>2035.8</v>
      </c>
      <c r="S649" s="526">
        <v>351</v>
      </c>
      <c r="T649" s="525">
        <v>0.1724</v>
      </c>
      <c r="U649" s="525">
        <v>0.41499999999999998</v>
      </c>
      <c r="V649" s="525">
        <v>350.97190000000001</v>
      </c>
      <c r="W649" s="525">
        <v>844.85699999999997</v>
      </c>
      <c r="X649" s="525">
        <v>45.63</v>
      </c>
      <c r="Y649" s="525">
        <v>74.989999999999995</v>
      </c>
      <c r="Z649" s="525">
        <v>435</v>
      </c>
      <c r="AA649" s="527">
        <v>152672.79</v>
      </c>
    </row>
    <row r="650" spans="1:27" ht="17.45" hidden="1" customHeight="1" x14ac:dyDescent="0.25">
      <c r="A650" s="147" t="s">
        <v>4678</v>
      </c>
      <c r="B650" s="521">
        <v>431</v>
      </c>
      <c r="C650" s="521"/>
      <c r="D650" s="142" t="s">
        <v>13</v>
      </c>
      <c r="E650" s="142" t="s">
        <v>892</v>
      </c>
      <c r="F650" s="143">
        <v>45499</v>
      </c>
      <c r="G650" s="143">
        <v>45518</v>
      </c>
      <c r="H650" s="142" t="s">
        <v>23</v>
      </c>
      <c r="I650" s="522"/>
      <c r="J650" s="522"/>
      <c r="K650" s="522">
        <v>86</v>
      </c>
      <c r="L650" s="393"/>
      <c r="M650" s="443">
        <f>Таблица4[[#This Row],[Количество хлыстов]]-Таблица4[[#This Row],[Готово, хл]]-Таблица4[[#This Row],[Вывезено, хл]]</f>
        <v>10</v>
      </c>
      <c r="N650" s="673">
        <f>((Таблица4[[#This Row],[Осталось сделать, хлыст]]*Таблица4[[#This Row],[длина]])*Таблица4[[#This Row],[Периметр]])/28</f>
        <v>0.29042321428571427</v>
      </c>
      <c r="O650" s="142" t="s">
        <v>5263</v>
      </c>
      <c r="P650" s="280">
        <v>5.15</v>
      </c>
      <c r="Q650" s="902" t="s">
        <v>1975</v>
      </c>
      <c r="R650" s="525">
        <v>494.4</v>
      </c>
      <c r="S650" s="526">
        <v>96</v>
      </c>
      <c r="T650" s="525">
        <v>0.15790000000000001</v>
      </c>
      <c r="U650" s="525">
        <v>0.309</v>
      </c>
      <c r="V650" s="525">
        <v>78.065799999999996</v>
      </c>
      <c r="W650" s="525">
        <v>152.7696</v>
      </c>
      <c r="X650" s="525">
        <v>10.15</v>
      </c>
      <c r="Y650" s="525">
        <v>68.69</v>
      </c>
      <c r="Z650" s="525">
        <v>435</v>
      </c>
      <c r="AA650" s="527">
        <v>33958.61</v>
      </c>
    </row>
    <row r="651" spans="1:27" ht="17.45" hidden="1" customHeight="1" x14ac:dyDescent="0.25">
      <c r="A651" s="147" t="s">
        <v>4678</v>
      </c>
      <c r="B651" s="521">
        <v>432</v>
      </c>
      <c r="C651" s="521"/>
      <c r="D651" s="142" t="s">
        <v>34</v>
      </c>
      <c r="E651" s="142" t="s">
        <v>19</v>
      </c>
      <c r="F651" s="143">
        <v>45499</v>
      </c>
      <c r="G651" s="143"/>
      <c r="H651" s="142" t="s">
        <v>23</v>
      </c>
      <c r="I651" s="522"/>
      <c r="J651" s="522"/>
      <c r="K651" s="522"/>
      <c r="L651" s="393">
        <f>320+3</f>
        <v>323</v>
      </c>
      <c r="M651" s="443">
        <f>Таблица4[[#This Row],[Количество хлыстов]]-Таблица4[[#This Row],[Готово, хл]]-Таблица4[[#This Row],[Вывезено, хл]]</f>
        <v>0</v>
      </c>
      <c r="N651" s="673">
        <f>((Таблица4[[#This Row],[Осталось сделать, хлыст]]*Таблица4[[#This Row],[длина]])*Таблица4[[#This Row],[Периметр]])/28</f>
        <v>0</v>
      </c>
      <c r="O651" s="142" t="s">
        <v>5278</v>
      </c>
      <c r="P651" s="280">
        <v>3.6</v>
      </c>
      <c r="Q651" s="525" t="s">
        <v>5158</v>
      </c>
      <c r="R651" s="525">
        <v>1162.8</v>
      </c>
      <c r="S651" s="526">
        <v>323</v>
      </c>
      <c r="T651" s="525">
        <v>0.3402</v>
      </c>
      <c r="U651" s="525">
        <v>1.4530000000000001</v>
      </c>
      <c r="V651" s="525">
        <v>395.58460000000002</v>
      </c>
      <c r="W651" s="525">
        <v>1689.5483999999999</v>
      </c>
      <c r="X651" s="525">
        <v>51.43</v>
      </c>
      <c r="Y651" s="525">
        <v>136.76</v>
      </c>
      <c r="Z651" s="525">
        <v>402</v>
      </c>
      <c r="AA651" s="527">
        <v>159024.99</v>
      </c>
    </row>
    <row r="652" spans="1:27" ht="17.45" hidden="1" customHeight="1" x14ac:dyDescent="0.25">
      <c r="A652" s="147" t="s">
        <v>4678</v>
      </c>
      <c r="B652" s="521">
        <v>433</v>
      </c>
      <c r="C652" s="521"/>
      <c r="D652" s="142" t="s">
        <v>34</v>
      </c>
      <c r="E652" s="142" t="s">
        <v>79</v>
      </c>
      <c r="F652" s="143">
        <v>45499</v>
      </c>
      <c r="G652" s="143"/>
      <c r="H652" s="142" t="s">
        <v>677</v>
      </c>
      <c r="I652" s="522"/>
      <c r="J652" s="522"/>
      <c r="K652" s="522"/>
      <c r="L652" s="393"/>
      <c r="M652" s="443">
        <f>Таблица4[[#This Row],[Количество хлыстов]]-Таблица4[[#This Row],[Готово, хл]]-Таблица4[[#This Row],[Вывезено, хл]]</f>
        <v>27</v>
      </c>
      <c r="N652" s="564">
        <f>Таблица4[[#This Row],[Площадь общая, м2]]/28</f>
        <v>1.1802035714285712</v>
      </c>
      <c r="O652" s="142"/>
      <c r="P652" s="280">
        <v>6.05</v>
      </c>
      <c r="Q652" s="525" t="s">
        <v>5319</v>
      </c>
      <c r="R652" s="525">
        <v>163.35</v>
      </c>
      <c r="S652" s="526">
        <v>27</v>
      </c>
      <c r="T652" s="525">
        <v>0.20230000000000001</v>
      </c>
      <c r="U652" s="525">
        <v>0.499</v>
      </c>
      <c r="V652" s="525">
        <v>33.045699999999997</v>
      </c>
      <c r="W652" s="525">
        <v>81.511700000000005</v>
      </c>
      <c r="X652" s="525">
        <v>4.3</v>
      </c>
      <c r="Y652" s="525">
        <v>74.849999999999994</v>
      </c>
      <c r="Z652" s="525">
        <v>370</v>
      </c>
      <c r="AA652" s="527">
        <v>12226.91</v>
      </c>
    </row>
    <row r="653" spans="1:27" s="939" customFormat="1" ht="17.25" customHeight="1" x14ac:dyDescent="0.25">
      <c r="A653" s="924" t="s">
        <v>4678</v>
      </c>
      <c r="B653" s="925">
        <v>434</v>
      </c>
      <c r="C653" s="925"/>
      <c r="D653" s="926" t="s">
        <v>34</v>
      </c>
      <c r="E653" s="926" t="s">
        <v>3404</v>
      </c>
      <c r="F653" s="927">
        <v>45499</v>
      </c>
      <c r="G653" s="927"/>
      <c r="H653" s="926"/>
      <c r="I653" s="928"/>
      <c r="J653" s="928"/>
      <c r="K653" s="928"/>
      <c r="L653" s="937"/>
      <c r="M653" s="930">
        <f>Таблица4[[#This Row],[Количество хлыстов]]-Таблица4[[#This Row],[Готово, хл]]-Таблица4[[#This Row],[Вывезено, хл]]</f>
        <v>364</v>
      </c>
      <c r="N653" s="940">
        <f>((Таблица4[[#This Row],[Осталось сделать, хлыст]]*Таблица4[[#This Row],[длина]])*Таблица4[[#This Row],[Периметр]])/28</f>
        <v>17.128799999999998</v>
      </c>
      <c r="O653" s="926"/>
      <c r="P653" s="938">
        <v>6</v>
      </c>
      <c r="Q653" s="933" t="s">
        <v>4994</v>
      </c>
      <c r="R653" s="933">
        <v>2184</v>
      </c>
      <c r="S653" s="934">
        <v>364</v>
      </c>
      <c r="T653" s="933">
        <v>0.21959999999999999</v>
      </c>
      <c r="U653" s="933">
        <v>0.35</v>
      </c>
      <c r="V653" s="933">
        <v>479.60640000000001</v>
      </c>
      <c r="W653" s="933">
        <v>764.4</v>
      </c>
      <c r="X653" s="933">
        <v>62.35</v>
      </c>
      <c r="Y653" s="933">
        <v>81.25</v>
      </c>
      <c r="Z653" s="933">
        <v>370</v>
      </c>
      <c r="AA653" s="935">
        <v>177454.37</v>
      </c>
    </row>
    <row r="654" spans="1:27" s="939" customFormat="1" ht="17.25" customHeight="1" x14ac:dyDescent="0.25">
      <c r="A654" s="924" t="s">
        <v>4678</v>
      </c>
      <c r="B654" s="925">
        <v>434</v>
      </c>
      <c r="C654" s="925"/>
      <c r="D654" s="926" t="s">
        <v>34</v>
      </c>
      <c r="E654" s="926" t="s">
        <v>3404</v>
      </c>
      <c r="F654" s="927">
        <v>45499</v>
      </c>
      <c r="G654" s="927"/>
      <c r="H654" s="926"/>
      <c r="I654" s="928"/>
      <c r="J654" s="928"/>
      <c r="K654" s="928"/>
      <c r="L654" s="937"/>
      <c r="M654" s="930">
        <f>Таблица4[[#This Row],[Количество хлыстов]]-Таблица4[[#This Row],[Готово, хл]]-Таблица4[[#This Row],[Вывезено, хл]]</f>
        <v>40</v>
      </c>
      <c r="N654" s="940">
        <f>((Таблица4[[#This Row],[Осталось сделать, хлыст]]*Таблица4[[#This Row],[длина]])*Таблица4[[#This Row],[Периметр]])/28</f>
        <v>2.6357142857142857</v>
      </c>
      <c r="O654" s="926"/>
      <c r="P654" s="938">
        <v>6</v>
      </c>
      <c r="Q654" s="933" t="s">
        <v>4998</v>
      </c>
      <c r="R654" s="933">
        <v>240</v>
      </c>
      <c r="S654" s="934">
        <v>40</v>
      </c>
      <c r="T654" s="933">
        <v>0.3075</v>
      </c>
      <c r="U654" s="933">
        <v>0.85</v>
      </c>
      <c r="V654" s="933">
        <v>73.8</v>
      </c>
      <c r="W654" s="933">
        <v>204</v>
      </c>
      <c r="X654" s="933">
        <v>9.59</v>
      </c>
      <c r="Y654" s="933">
        <v>113.78</v>
      </c>
      <c r="Z654" s="933">
        <v>370</v>
      </c>
      <c r="AA654" s="935">
        <v>27306</v>
      </c>
    </row>
    <row r="655" spans="1:27" s="939" customFormat="1" ht="17.45" customHeight="1" x14ac:dyDescent="0.25">
      <c r="A655" s="924" t="s">
        <v>4678</v>
      </c>
      <c r="B655" s="925">
        <v>437</v>
      </c>
      <c r="C655" s="925"/>
      <c r="D655" s="926" t="s">
        <v>34</v>
      </c>
      <c r="E655" s="926" t="s">
        <v>3404</v>
      </c>
      <c r="F655" s="927">
        <v>45502</v>
      </c>
      <c r="G655" s="927"/>
      <c r="H655" s="926"/>
      <c r="I655" s="928"/>
      <c r="J655" s="928"/>
      <c r="K655" s="928"/>
      <c r="L655" s="937">
        <v>85</v>
      </c>
      <c r="M655" s="930">
        <f>Таблица4[[#This Row],[Количество хлыстов]]-Таблица4[[#This Row],[Готово, хл]]-Таблица4[[#This Row],[Вывезено, хл]]</f>
        <v>147</v>
      </c>
      <c r="N655" s="940">
        <f>((Таблица4[[#This Row],[Осталось сделать, хлыст]]*Таблица4[[#This Row],[длина]])*Таблица4[[#This Row],[Периметр]])/28</f>
        <v>7.9285499999999995</v>
      </c>
      <c r="O655" s="926"/>
      <c r="P655" s="938">
        <v>6</v>
      </c>
      <c r="Q655" s="933" t="s">
        <v>4378</v>
      </c>
      <c r="R655" s="933">
        <v>1392</v>
      </c>
      <c r="S655" s="934">
        <v>232</v>
      </c>
      <c r="T655" s="933">
        <v>0.25169999999999998</v>
      </c>
      <c r="U655" s="933">
        <v>0.56699999999999995</v>
      </c>
      <c r="V655" s="933">
        <v>350.3664</v>
      </c>
      <c r="W655" s="933">
        <v>789.26400000000001</v>
      </c>
      <c r="X655" s="933">
        <v>45.55</v>
      </c>
      <c r="Y655" s="933">
        <v>93.13</v>
      </c>
      <c r="Z655" s="933">
        <v>370</v>
      </c>
      <c r="AA655" s="935">
        <v>129635.57</v>
      </c>
    </row>
    <row r="656" spans="1:27" s="939" customFormat="1" ht="17.45" customHeight="1" x14ac:dyDescent="0.25">
      <c r="A656" s="924" t="s">
        <v>4678</v>
      </c>
      <c r="B656" s="925" t="s">
        <v>5224</v>
      </c>
      <c r="C656" s="925"/>
      <c r="D656" s="926" t="s">
        <v>34</v>
      </c>
      <c r="E656" s="926" t="s">
        <v>16</v>
      </c>
      <c r="F656" s="927">
        <v>45502</v>
      </c>
      <c r="G656" s="927"/>
      <c r="H656" s="926"/>
      <c r="I656" s="928"/>
      <c r="J656" s="928"/>
      <c r="K656" s="928"/>
      <c r="L656" s="937"/>
      <c r="M656" s="930">
        <f>Таблица4[[#This Row],[Количество хлыстов]]-Таблица4[[#This Row],[Готово, хл]]-Таблица4[[#This Row],[Вывезено, хл]]</f>
        <v>67</v>
      </c>
      <c r="N656" s="940">
        <f>((Таблица4[[#This Row],[Осталось сделать, хлыст]]*Таблица4[[#This Row],[длина]])*Таблица4[[#This Row],[Периметр]])/28</f>
        <v>8.1821357142857138</v>
      </c>
      <c r="O656" s="926"/>
      <c r="P656" s="938">
        <v>6</v>
      </c>
      <c r="Q656" s="933" t="s">
        <v>2581</v>
      </c>
      <c r="R656" s="933">
        <v>402</v>
      </c>
      <c r="S656" s="934">
        <v>67</v>
      </c>
      <c r="T656" s="933">
        <v>0.56989999999999996</v>
      </c>
      <c r="U656" s="933">
        <v>1.304</v>
      </c>
      <c r="V656" s="933">
        <v>229.09979999999999</v>
      </c>
      <c r="W656" s="933">
        <v>524.20799999999997</v>
      </c>
      <c r="X656" s="933">
        <v>29.78</v>
      </c>
      <c r="Y656" s="933">
        <v>324.83999999999997</v>
      </c>
      <c r="Z656" s="933">
        <v>570</v>
      </c>
      <c r="AA656" s="935">
        <v>130585.68</v>
      </c>
    </row>
    <row r="657" spans="1:27" s="939" customFormat="1" ht="61.5" hidden="1" customHeight="1" x14ac:dyDescent="0.25">
      <c r="A657" s="924" t="s">
        <v>4678</v>
      </c>
      <c r="B657" s="925" t="s">
        <v>5225</v>
      </c>
      <c r="C657" s="925"/>
      <c r="D657" s="926" t="s">
        <v>34</v>
      </c>
      <c r="E657" s="926" t="s">
        <v>16</v>
      </c>
      <c r="F657" s="927">
        <v>45502</v>
      </c>
      <c r="G657" s="927"/>
      <c r="H657" s="926" t="s">
        <v>23</v>
      </c>
      <c r="I657" s="928"/>
      <c r="J657" s="928"/>
      <c r="K657" s="928"/>
      <c r="L657" s="937">
        <f>130+4+2</f>
        <v>136</v>
      </c>
      <c r="M657" s="930">
        <f>Таблица4[[#This Row],[Количество хлыстов]]-Таблица4[[#This Row],[Готово, хл]]-Таблица4[[#This Row],[Вывезено, хл]]</f>
        <v>0</v>
      </c>
      <c r="N657" s="940">
        <f>((Таблица4[[#This Row],[Осталось сделать, хлыст]]*Таблица4[[#This Row],[длина]])*Таблица4[[#This Row],[Периметр]])/28</f>
        <v>0</v>
      </c>
      <c r="O657" s="956" t="s">
        <v>5345</v>
      </c>
      <c r="P657" s="938">
        <v>6</v>
      </c>
      <c r="Q657" s="933" t="s">
        <v>2423</v>
      </c>
      <c r="R657" s="933">
        <v>816</v>
      </c>
      <c r="S657" s="934">
        <v>136</v>
      </c>
      <c r="T657" s="933">
        <v>0.29970000000000002</v>
      </c>
      <c r="U657" s="933">
        <v>1.6739999999999999</v>
      </c>
      <c r="V657" s="933">
        <v>244.55520000000001</v>
      </c>
      <c r="W657" s="933">
        <v>1365.9839999999999</v>
      </c>
      <c r="X657" s="933">
        <v>31.79</v>
      </c>
      <c r="Y657" s="933">
        <v>130.37</v>
      </c>
      <c r="Z657" s="933">
        <v>435</v>
      </c>
      <c r="AA657" s="935">
        <v>106381.92</v>
      </c>
    </row>
    <row r="658" spans="1:27" s="939" customFormat="1" ht="17.45" customHeight="1" x14ac:dyDescent="0.25">
      <c r="A658" s="924" t="s">
        <v>4678</v>
      </c>
      <c r="B658" s="925" t="s">
        <v>5226</v>
      </c>
      <c r="C658" s="925"/>
      <c r="D658" s="926" t="s">
        <v>34</v>
      </c>
      <c r="E658" s="926" t="s">
        <v>16</v>
      </c>
      <c r="F658" s="927">
        <v>45502</v>
      </c>
      <c r="G658" s="927"/>
      <c r="H658" s="926"/>
      <c r="I658" s="928"/>
      <c r="J658" s="928"/>
      <c r="K658" s="928"/>
      <c r="L658" s="937"/>
      <c r="M658" s="930">
        <f>Таблица4[[#This Row],[Количество хлыстов]]-Таблица4[[#This Row],[Готово, хл]]-Таблица4[[#This Row],[Вывезено, хл]]</f>
        <v>166</v>
      </c>
      <c r="N658" s="940">
        <f>((Таблица4[[#This Row],[Осталось сделать, хлыст]]*Таблица4[[#This Row],[длина]])*Таблица4[[#This Row],[Периметр]])/28</f>
        <v>25.191685714285715</v>
      </c>
      <c r="O658" s="926"/>
      <c r="P658" s="938">
        <v>6</v>
      </c>
      <c r="Q658" s="933" t="s">
        <v>2469</v>
      </c>
      <c r="R658" s="933">
        <v>996</v>
      </c>
      <c r="S658" s="934">
        <v>166</v>
      </c>
      <c r="T658" s="933">
        <v>0.70820000000000005</v>
      </c>
      <c r="U658" s="933">
        <v>3.4609999999999999</v>
      </c>
      <c r="V658" s="933">
        <v>705.36720000000003</v>
      </c>
      <c r="W658" s="933">
        <v>3447.1559999999999</v>
      </c>
      <c r="X658" s="933">
        <v>91.7</v>
      </c>
      <c r="Y658" s="933">
        <v>308.07</v>
      </c>
      <c r="Z658" s="933">
        <v>435</v>
      </c>
      <c r="AA658" s="935">
        <v>306837.71999999997</v>
      </c>
    </row>
    <row r="659" spans="1:27" s="421" customFormat="1" ht="17.45" hidden="1" customHeight="1" x14ac:dyDescent="0.25">
      <c r="A659" s="419" t="s">
        <v>4978</v>
      </c>
      <c r="B659" s="617">
        <v>438</v>
      </c>
      <c r="C659" s="617"/>
      <c r="D659" s="618" t="s">
        <v>13</v>
      </c>
      <c r="E659" s="618" t="s">
        <v>556</v>
      </c>
      <c r="F659" s="619">
        <v>45502</v>
      </c>
      <c r="G659" s="619"/>
      <c r="H659" s="618" t="s">
        <v>23</v>
      </c>
      <c r="I659" s="620"/>
      <c r="J659" s="620"/>
      <c r="K659" s="620"/>
      <c r="L659" s="677"/>
      <c r="M659" s="691">
        <f>Таблица4[[#This Row],[Количество хлыстов]]-Таблица4[[#This Row],[Готово, хл]]-Таблица4[[#This Row],[Вывезено, хл]]</f>
        <v>126</v>
      </c>
      <c r="N659" s="691"/>
      <c r="O659" s="618"/>
      <c r="P659" s="692">
        <v>6</v>
      </c>
      <c r="Q659" s="622" t="s">
        <v>5227</v>
      </c>
      <c r="R659" s="622">
        <v>756</v>
      </c>
      <c r="S659" s="623">
        <v>126</v>
      </c>
      <c r="T659" s="622">
        <v>0.33710000000000001</v>
      </c>
      <c r="U659" s="622">
        <v>0.90700000000000003</v>
      </c>
      <c r="V659" s="622">
        <v>254.8476</v>
      </c>
      <c r="W659" s="622">
        <v>685.69200000000001</v>
      </c>
      <c r="X659" s="622">
        <v>33.130000000000003</v>
      </c>
      <c r="Y659" s="622">
        <v>91.02</v>
      </c>
      <c r="Z659" s="622">
        <v>270</v>
      </c>
      <c r="AA659" s="624">
        <v>68808.850000000006</v>
      </c>
    </row>
    <row r="660" spans="1:27" s="421" customFormat="1" ht="17.45" hidden="1" customHeight="1" x14ac:dyDescent="0.25">
      <c r="A660" s="419" t="s">
        <v>4978</v>
      </c>
      <c r="B660" s="617">
        <v>438</v>
      </c>
      <c r="C660" s="617"/>
      <c r="D660" s="618" t="s">
        <v>13</v>
      </c>
      <c r="E660" s="618" t="s">
        <v>556</v>
      </c>
      <c r="F660" s="619">
        <v>45502</v>
      </c>
      <c r="G660" s="619"/>
      <c r="H660" s="618" t="s">
        <v>23</v>
      </c>
      <c r="I660" s="620"/>
      <c r="J660" s="620"/>
      <c r="K660" s="620"/>
      <c r="L660" s="677"/>
      <c r="M660" s="691">
        <f>Таблица4[[#This Row],[Количество хлыстов]]-Таблица4[[#This Row],[Готово, хл]]-Таблица4[[#This Row],[Вывезено, хл]]</f>
        <v>99</v>
      </c>
      <c r="N660" s="691"/>
      <c r="O660" s="618"/>
      <c r="P660" s="692">
        <v>6</v>
      </c>
      <c r="Q660" s="622" t="s">
        <v>5228</v>
      </c>
      <c r="R660" s="622">
        <v>594</v>
      </c>
      <c r="S660" s="623">
        <v>99</v>
      </c>
      <c r="T660" s="622">
        <v>0.46110000000000001</v>
      </c>
      <c r="U660" s="622">
        <v>1.22</v>
      </c>
      <c r="V660" s="622">
        <v>273.89339999999999</v>
      </c>
      <c r="W660" s="622">
        <v>724.68</v>
      </c>
      <c r="X660" s="622">
        <v>35.61</v>
      </c>
      <c r="Y660" s="622">
        <v>124.5</v>
      </c>
      <c r="Z660" s="622">
        <v>270</v>
      </c>
      <c r="AA660" s="624">
        <v>73951.22</v>
      </c>
    </row>
    <row r="661" spans="1:27" s="421" customFormat="1" ht="17.45" hidden="1" customHeight="1" x14ac:dyDescent="0.25">
      <c r="A661" s="419" t="s">
        <v>4978</v>
      </c>
      <c r="B661" s="617">
        <v>438</v>
      </c>
      <c r="C661" s="617"/>
      <c r="D661" s="618" t="s">
        <v>13</v>
      </c>
      <c r="E661" s="618" t="s">
        <v>556</v>
      </c>
      <c r="F661" s="619">
        <v>45502</v>
      </c>
      <c r="G661" s="619"/>
      <c r="H661" s="618" t="s">
        <v>23</v>
      </c>
      <c r="I661" s="620"/>
      <c r="J661" s="620"/>
      <c r="K661" s="620"/>
      <c r="L661" s="677"/>
      <c r="M661" s="691">
        <f>Таблица4[[#This Row],[Количество хлыстов]]-Таблица4[[#This Row],[Готово, хл]]-Таблица4[[#This Row],[Вывезено, хл]]</f>
        <v>67</v>
      </c>
      <c r="N661" s="691"/>
      <c r="O661" s="618"/>
      <c r="P661" s="692">
        <v>6</v>
      </c>
      <c r="Q661" s="622" t="s">
        <v>5229</v>
      </c>
      <c r="R661" s="622">
        <v>402</v>
      </c>
      <c r="S661" s="623">
        <v>67</v>
      </c>
      <c r="T661" s="622">
        <v>0.4511</v>
      </c>
      <c r="U661" s="622">
        <v>1.204</v>
      </c>
      <c r="V661" s="622">
        <v>181.34219999999999</v>
      </c>
      <c r="W661" s="622">
        <v>484.00799999999998</v>
      </c>
      <c r="X661" s="622">
        <v>23.57</v>
      </c>
      <c r="Y661" s="622">
        <v>121.8</v>
      </c>
      <c r="Z661" s="622">
        <v>270</v>
      </c>
      <c r="AA661" s="624">
        <v>48962.39</v>
      </c>
    </row>
    <row r="662" spans="1:27" s="421" customFormat="1" ht="17.45" hidden="1" customHeight="1" x14ac:dyDescent="0.25">
      <c r="A662" s="419" t="s">
        <v>4978</v>
      </c>
      <c r="B662" s="617">
        <v>439</v>
      </c>
      <c r="C662" s="617"/>
      <c r="D662" s="618" t="s">
        <v>13</v>
      </c>
      <c r="E662" s="618" t="s">
        <v>5239</v>
      </c>
      <c r="F662" s="619">
        <v>45502</v>
      </c>
      <c r="G662" s="619"/>
      <c r="H662" s="618" t="s">
        <v>23</v>
      </c>
      <c r="I662" s="620"/>
      <c r="J662" s="620"/>
      <c r="K662" s="620"/>
      <c r="L662" s="677"/>
      <c r="M662" s="691">
        <f>Таблица4[[#This Row],[Количество хлыстов]]-Таблица4[[#This Row],[Готово, хл]]-Таблица4[[#This Row],[Вывезено, хл]]</f>
        <v>66</v>
      </c>
      <c r="N662" s="691"/>
      <c r="O662" s="618"/>
      <c r="P662" s="692">
        <v>6</v>
      </c>
      <c r="Q662" s="622" t="s">
        <v>4834</v>
      </c>
      <c r="R662" s="622">
        <v>396</v>
      </c>
      <c r="S662" s="623">
        <v>66</v>
      </c>
      <c r="T662" s="622">
        <v>0.42199999999999999</v>
      </c>
      <c r="U662" s="622">
        <v>1.389</v>
      </c>
      <c r="V662" s="622">
        <v>167.11199999999999</v>
      </c>
      <c r="W662" s="622">
        <v>550.04399999999998</v>
      </c>
      <c r="X662" s="622">
        <v>21.72</v>
      </c>
      <c r="Y662" s="622">
        <v>99.17</v>
      </c>
      <c r="Z662" s="622">
        <v>235</v>
      </c>
      <c r="AA662" s="624">
        <v>39271.32</v>
      </c>
    </row>
    <row r="663" spans="1:27" ht="17.45" customHeight="1" x14ac:dyDescent="0.25">
      <c r="A663" s="147" t="s">
        <v>4678</v>
      </c>
      <c r="B663" s="521">
        <v>440</v>
      </c>
      <c r="C663" s="521" t="s">
        <v>4753</v>
      </c>
      <c r="D663" s="142" t="s">
        <v>13</v>
      </c>
      <c r="E663" s="142" t="s">
        <v>5230</v>
      </c>
      <c r="F663" s="143">
        <v>45502</v>
      </c>
      <c r="G663" s="143"/>
      <c r="H663" s="142"/>
      <c r="I663" s="522"/>
      <c r="J663" s="522"/>
      <c r="K663" s="522"/>
      <c r="L663" s="393">
        <f>70+420+56</f>
        <v>546</v>
      </c>
      <c r="M663" s="443">
        <f>Таблица4[[#This Row],[Количество хлыстов]]-Таблица4[[#This Row],[Готово, хл]]-Таблица4[[#This Row],[Вывезено, хл]]</f>
        <v>361</v>
      </c>
      <c r="N663" s="673">
        <f>((Таблица4[[#This Row],[Осталось сделать, хлыст]]*Таблица4[[#This Row],[длина]])*Таблица4[[#This Row],[Периметр]])/28</f>
        <v>20.963785714285713</v>
      </c>
      <c r="O663" s="142"/>
      <c r="P663" s="280">
        <v>6</v>
      </c>
      <c r="Q663" s="525" t="s">
        <v>5231</v>
      </c>
      <c r="R663" s="525">
        <v>5442</v>
      </c>
      <c r="S663" s="526">
        <v>907</v>
      </c>
      <c r="T663" s="525">
        <v>0.27100000000000002</v>
      </c>
      <c r="U663" s="525">
        <v>1.2569999999999999</v>
      </c>
      <c r="V663" s="525">
        <v>1474.7819999999999</v>
      </c>
      <c r="W663" s="525">
        <v>6840.5940000000001</v>
      </c>
      <c r="X663" s="525">
        <v>191.72</v>
      </c>
      <c r="Y663" s="525">
        <v>106</v>
      </c>
      <c r="Z663" s="525">
        <v>391.14</v>
      </c>
      <c r="AA663" s="527">
        <v>576840</v>
      </c>
    </row>
    <row r="664" spans="1:27" ht="17.45" hidden="1" customHeight="1" x14ac:dyDescent="0.25">
      <c r="A664" s="171" t="s">
        <v>4678</v>
      </c>
      <c r="B664" s="521">
        <v>441</v>
      </c>
      <c r="C664" s="521"/>
      <c r="D664" s="142" t="s">
        <v>13</v>
      </c>
      <c r="E664" s="142" t="s">
        <v>892</v>
      </c>
      <c r="F664" s="143">
        <v>45503</v>
      </c>
      <c r="G664" s="143"/>
      <c r="H664" s="142" t="s">
        <v>23</v>
      </c>
      <c r="I664" s="522"/>
      <c r="J664" s="522"/>
      <c r="K664" s="522"/>
      <c r="L664" s="393">
        <f>189+163+269+472</f>
        <v>1093</v>
      </c>
      <c r="M664" s="443">
        <f>Таблица4[[#This Row],[Количество хлыстов]]-Таблица4[[#This Row],[Готово, хл]]-Таблица4[[#This Row],[Вывезено, хл]]</f>
        <v>12</v>
      </c>
      <c r="N664" s="673">
        <f>((Таблица4[[#This Row],[Осталось сделать, хлыст]]*Таблица4[[#This Row],[длина]])*Таблица4[[#This Row],[Периметр]])/28</f>
        <v>0.50558357142857147</v>
      </c>
      <c r="O664" s="142" t="s">
        <v>5251</v>
      </c>
      <c r="P664" s="280">
        <v>4.45</v>
      </c>
      <c r="Q664" s="525" t="s">
        <v>4276</v>
      </c>
      <c r="R664" s="525">
        <v>4917.25</v>
      </c>
      <c r="S664" s="526">
        <v>1105</v>
      </c>
      <c r="T664" s="525">
        <v>0.2651</v>
      </c>
      <c r="U664" s="525">
        <v>0.82099999999999995</v>
      </c>
      <c r="V664" s="525">
        <v>1303.5630000000001</v>
      </c>
      <c r="W664" s="525">
        <v>4037.0623000000001</v>
      </c>
      <c r="X664" s="525">
        <v>169.46</v>
      </c>
      <c r="Y664" s="525">
        <v>136.53</v>
      </c>
      <c r="Z664" s="525">
        <v>515</v>
      </c>
      <c r="AA664" s="527">
        <v>671334.93</v>
      </c>
    </row>
    <row r="665" spans="1:27" ht="17.45" hidden="1" customHeight="1" x14ac:dyDescent="0.25">
      <c r="A665" s="171" t="s">
        <v>4678</v>
      </c>
      <c r="B665" s="625">
        <v>441</v>
      </c>
      <c r="C665" s="625"/>
      <c r="D665" s="162" t="s">
        <v>13</v>
      </c>
      <c r="E665" s="162" t="s">
        <v>892</v>
      </c>
      <c r="F665" s="168">
        <v>45503</v>
      </c>
      <c r="G665" s="143"/>
      <c r="H665" s="142" t="s">
        <v>23</v>
      </c>
      <c r="I665" s="522"/>
      <c r="J665" s="522"/>
      <c r="K665" s="522"/>
      <c r="L665" s="393">
        <v>342</v>
      </c>
      <c r="M665" s="443">
        <f>Таблица4[[#This Row],[Количество хлыстов]]-Таблица4[[#This Row],[Готово, хл]]-Таблица4[[#This Row],[Вывезено, хл]]</f>
        <v>20</v>
      </c>
      <c r="N665" s="673">
        <f>((Таблица4[[#This Row],[Осталось сделать, хлыст]]*Таблица4[[#This Row],[длина]])*Таблица4[[#This Row],[Периметр]])/28</f>
        <v>0.95625357142857148</v>
      </c>
      <c r="O665" s="142" t="s">
        <v>5279</v>
      </c>
      <c r="P665" s="280">
        <v>5.05</v>
      </c>
      <c r="Q665" s="525" t="s">
        <v>4275</v>
      </c>
      <c r="R665" s="525">
        <v>1828.1</v>
      </c>
      <c r="S665" s="526">
        <v>362</v>
      </c>
      <c r="T665" s="525">
        <v>0.2651</v>
      </c>
      <c r="U665" s="525">
        <v>0.82099999999999995</v>
      </c>
      <c r="V665" s="525">
        <v>484.6293</v>
      </c>
      <c r="W665" s="525">
        <v>1500.8701000000001</v>
      </c>
      <c r="X665" s="525">
        <v>63</v>
      </c>
      <c r="Y665" s="525">
        <v>136.53</v>
      </c>
      <c r="Z665" s="525">
        <v>515</v>
      </c>
      <c r="AA665" s="527">
        <v>249584.09</v>
      </c>
    </row>
    <row r="666" spans="1:27" ht="17.45" hidden="1" customHeight="1" x14ac:dyDescent="0.25">
      <c r="A666" s="147" t="s">
        <v>4678</v>
      </c>
      <c r="B666" s="521">
        <v>442</v>
      </c>
      <c r="C666" s="521" t="s">
        <v>4753</v>
      </c>
      <c r="D666" s="142" t="s">
        <v>13</v>
      </c>
      <c r="E666" s="142" t="s">
        <v>5238</v>
      </c>
      <c r="F666" s="143">
        <v>45503</v>
      </c>
      <c r="G666" s="143"/>
      <c r="H666" s="142" t="s">
        <v>23</v>
      </c>
      <c r="I666" s="522"/>
      <c r="J666" s="522"/>
      <c r="K666" s="522">
        <v>84</v>
      </c>
      <c r="L666" s="393"/>
      <c r="M666" s="443">
        <f>Таблица4[[#This Row],[Количество хлыстов]]-Таблица4[[#This Row],[Готово, хл]]-Таблица4[[#This Row],[Вывезено, хл]]</f>
        <v>0</v>
      </c>
      <c r="N666" s="673">
        <v>11</v>
      </c>
      <c r="O666" s="142"/>
      <c r="P666" s="280">
        <v>2.2999999999999998</v>
      </c>
      <c r="Q666" s="525" t="s">
        <v>5232</v>
      </c>
      <c r="R666" s="525">
        <v>193.2</v>
      </c>
      <c r="S666" s="526">
        <v>84</v>
      </c>
      <c r="T666" s="525">
        <v>0.41</v>
      </c>
      <c r="U666" s="525">
        <v>1.974</v>
      </c>
      <c r="V666" s="525">
        <v>79.212000000000003</v>
      </c>
      <c r="W666" s="525">
        <v>381.3768</v>
      </c>
      <c r="X666" s="525">
        <v>10.3</v>
      </c>
      <c r="Y666" s="525">
        <v>500</v>
      </c>
      <c r="Z666" s="525">
        <v>1219.51</v>
      </c>
      <c r="AA666" s="527">
        <v>96600</v>
      </c>
    </row>
    <row r="667" spans="1:27" ht="17.45" hidden="1" customHeight="1" x14ac:dyDescent="0.25">
      <c r="A667" s="147" t="s">
        <v>4678</v>
      </c>
      <c r="B667" s="521">
        <v>442</v>
      </c>
      <c r="C667" s="521" t="s">
        <v>4753</v>
      </c>
      <c r="D667" s="142" t="s">
        <v>13</v>
      </c>
      <c r="E667" s="142" t="s">
        <v>5238</v>
      </c>
      <c r="F667" s="143">
        <v>45503</v>
      </c>
      <c r="G667" s="143"/>
      <c r="H667" s="142" t="s">
        <v>23</v>
      </c>
      <c r="I667" s="522"/>
      <c r="J667" s="522"/>
      <c r="K667" s="522">
        <v>4</v>
      </c>
      <c r="L667" s="393"/>
      <c r="M667" s="443">
        <f>Таблица4[[#This Row],[Количество хлыстов]]-Таблица4[[#This Row],[Готово, хл]]-Таблица4[[#This Row],[Вывезено, хл]]</f>
        <v>0</v>
      </c>
      <c r="N667" s="673"/>
      <c r="O667" s="142"/>
      <c r="P667" s="280">
        <v>2.81</v>
      </c>
      <c r="Q667" s="525" t="s">
        <v>5233</v>
      </c>
      <c r="R667" s="525">
        <v>11.24</v>
      </c>
      <c r="S667" s="526">
        <v>4</v>
      </c>
      <c r="T667" s="525">
        <v>0.41</v>
      </c>
      <c r="U667" s="525">
        <v>1.974</v>
      </c>
      <c r="V667" s="525">
        <v>4.6083999999999996</v>
      </c>
      <c r="W667" s="525">
        <v>22.187799999999999</v>
      </c>
      <c r="X667" s="525">
        <v>0.6</v>
      </c>
      <c r="Y667" s="525">
        <v>400</v>
      </c>
      <c r="Z667" s="525">
        <v>975.61</v>
      </c>
      <c r="AA667" s="527">
        <v>4496</v>
      </c>
    </row>
    <row r="668" spans="1:27" ht="17.45" hidden="1" customHeight="1" x14ac:dyDescent="0.25">
      <c r="A668" s="147" t="s">
        <v>4678</v>
      </c>
      <c r="B668" s="521">
        <v>442</v>
      </c>
      <c r="C668" s="521" t="s">
        <v>4753</v>
      </c>
      <c r="D668" s="142" t="s">
        <v>13</v>
      </c>
      <c r="E668" s="142" t="s">
        <v>5238</v>
      </c>
      <c r="F668" s="143">
        <v>45503</v>
      </c>
      <c r="G668" s="143"/>
      <c r="H668" s="142" t="s">
        <v>23</v>
      </c>
      <c r="I668" s="522"/>
      <c r="J668" s="522"/>
      <c r="K668" s="522">
        <v>72</v>
      </c>
      <c r="L668" s="393"/>
      <c r="M668" s="443">
        <f>Таблица4[[#This Row],[Количество хлыстов]]-Таблица4[[#This Row],[Готово, хл]]-Таблица4[[#This Row],[Вывезено, хл]]</f>
        <v>0</v>
      </c>
      <c r="N668" s="673"/>
      <c r="O668" s="142"/>
      <c r="P668" s="280">
        <v>4.8049999999999997</v>
      </c>
      <c r="Q668" s="525" t="s">
        <v>5234</v>
      </c>
      <c r="R668" s="525">
        <v>345.96</v>
      </c>
      <c r="S668" s="526">
        <v>72</v>
      </c>
      <c r="T668" s="525">
        <v>0.41</v>
      </c>
      <c r="U668" s="525">
        <v>1.974</v>
      </c>
      <c r="V668" s="525">
        <v>141.84360000000001</v>
      </c>
      <c r="W668" s="525">
        <v>682.92499999999995</v>
      </c>
      <c r="X668" s="525">
        <v>18.440000000000001</v>
      </c>
      <c r="Y668" s="525">
        <v>200</v>
      </c>
      <c r="Z668" s="525">
        <v>487.8</v>
      </c>
      <c r="AA668" s="527">
        <v>69192</v>
      </c>
    </row>
    <row r="669" spans="1:27" ht="17.45" hidden="1" customHeight="1" x14ac:dyDescent="0.25">
      <c r="A669" s="147" t="s">
        <v>4678</v>
      </c>
      <c r="B669" s="521">
        <v>442</v>
      </c>
      <c r="C669" s="521" t="s">
        <v>4753</v>
      </c>
      <c r="D669" s="142" t="s">
        <v>13</v>
      </c>
      <c r="E669" s="142" t="s">
        <v>5238</v>
      </c>
      <c r="F669" s="143">
        <v>45503</v>
      </c>
      <c r="G669" s="143"/>
      <c r="H669" s="142" t="s">
        <v>23</v>
      </c>
      <c r="I669" s="522"/>
      <c r="J669" s="522"/>
      <c r="K669" s="522">
        <v>24</v>
      </c>
      <c r="L669" s="393"/>
      <c r="M669" s="443">
        <f>Таблица4[[#This Row],[Количество хлыстов]]-Таблица4[[#This Row],[Готово, хл]]-Таблица4[[#This Row],[Вывезено, хл]]</f>
        <v>0</v>
      </c>
      <c r="N669" s="673"/>
      <c r="O669" s="142"/>
      <c r="P669" s="280">
        <v>3</v>
      </c>
      <c r="Q669" s="525" t="s">
        <v>5235</v>
      </c>
      <c r="R669" s="525">
        <v>72</v>
      </c>
      <c r="S669" s="526">
        <v>24</v>
      </c>
      <c r="T669" s="525">
        <v>0.41</v>
      </c>
      <c r="U669" s="525">
        <v>1.974</v>
      </c>
      <c r="V669" s="525">
        <v>29.52</v>
      </c>
      <c r="W669" s="525">
        <v>142.12799999999999</v>
      </c>
      <c r="X669" s="525">
        <v>3.84</v>
      </c>
      <c r="Y669" s="525">
        <v>545</v>
      </c>
      <c r="Z669" s="525">
        <v>1329.27</v>
      </c>
      <c r="AA669" s="527">
        <v>39240</v>
      </c>
    </row>
    <row r="670" spans="1:27" ht="17.45" hidden="1" customHeight="1" x14ac:dyDescent="0.25">
      <c r="A670" s="147" t="s">
        <v>4678</v>
      </c>
      <c r="B670" s="521">
        <v>442</v>
      </c>
      <c r="C670" s="521" t="s">
        <v>4753</v>
      </c>
      <c r="D670" s="142" t="s">
        <v>13</v>
      </c>
      <c r="E670" s="142" t="s">
        <v>5238</v>
      </c>
      <c r="F670" s="143">
        <v>45503</v>
      </c>
      <c r="G670" s="143"/>
      <c r="H670" s="142" t="s">
        <v>23</v>
      </c>
      <c r="I670" s="522"/>
      <c r="J670" s="522"/>
      <c r="K670" s="522">
        <v>4</v>
      </c>
      <c r="L670" s="393"/>
      <c r="M670" s="443">
        <f>Таблица4[[#This Row],[Количество хлыстов]]-Таблица4[[#This Row],[Готово, хл]]-Таблица4[[#This Row],[Вывезено, хл]]</f>
        <v>0</v>
      </c>
      <c r="N670" s="673"/>
      <c r="O670" s="142"/>
      <c r="P670" s="280">
        <v>5.76</v>
      </c>
      <c r="Q670" s="525" t="s">
        <v>5236</v>
      </c>
      <c r="R670" s="525">
        <v>23.056000000000001</v>
      </c>
      <c r="S670" s="526">
        <v>4</v>
      </c>
      <c r="T670" s="525">
        <v>0.54</v>
      </c>
      <c r="U670" s="525">
        <v>3.7120000000000002</v>
      </c>
      <c r="V670" s="525">
        <v>12.450200000000001</v>
      </c>
      <c r="W670" s="525">
        <v>85.5839</v>
      </c>
      <c r="X670" s="525">
        <v>1.62</v>
      </c>
      <c r="Y670" s="525">
        <v>100</v>
      </c>
      <c r="Z670" s="525">
        <v>185.19</v>
      </c>
      <c r="AA670" s="527">
        <v>2305.6</v>
      </c>
    </row>
    <row r="671" spans="1:27" ht="17.45" hidden="1" customHeight="1" x14ac:dyDescent="0.25">
      <c r="A671" s="147" t="s">
        <v>4678</v>
      </c>
      <c r="B671" s="521">
        <v>442</v>
      </c>
      <c r="C671" s="521" t="s">
        <v>4753</v>
      </c>
      <c r="D671" s="142" t="s">
        <v>13</v>
      </c>
      <c r="E671" s="142" t="s">
        <v>5238</v>
      </c>
      <c r="F671" s="143">
        <v>45503</v>
      </c>
      <c r="G671" s="168"/>
      <c r="H671" s="142" t="s">
        <v>23</v>
      </c>
      <c r="I671" s="522"/>
      <c r="J671" s="522"/>
      <c r="K671" s="522">
        <v>4</v>
      </c>
      <c r="L671" s="393"/>
      <c r="M671" s="443">
        <f>Таблица4[[#This Row],[Количество хлыстов]]-Таблица4[[#This Row],[Готово, хл]]-Таблица4[[#This Row],[Вывезено, хл]]</f>
        <v>0</v>
      </c>
      <c r="N671" s="673"/>
      <c r="O671" s="142"/>
      <c r="P671" s="280">
        <v>2.98</v>
      </c>
      <c r="Q671" s="525" t="s">
        <v>5237</v>
      </c>
      <c r="R671" s="525">
        <v>11.92</v>
      </c>
      <c r="S671" s="526">
        <v>4</v>
      </c>
      <c r="T671" s="525">
        <v>0.54</v>
      </c>
      <c r="U671" s="525">
        <v>3.7120000000000002</v>
      </c>
      <c r="V671" s="525">
        <v>6.4367999999999999</v>
      </c>
      <c r="W671" s="525">
        <v>44.247</v>
      </c>
      <c r="X671" s="525">
        <v>0.84</v>
      </c>
      <c r="Y671" s="525">
        <v>100</v>
      </c>
      <c r="Z671" s="525">
        <v>185.19</v>
      </c>
      <c r="AA671" s="527">
        <v>1192</v>
      </c>
    </row>
    <row r="672" spans="1:27" ht="17.45" hidden="1" customHeight="1" x14ac:dyDescent="0.25">
      <c r="A672" s="147" t="s">
        <v>4678</v>
      </c>
      <c r="B672" s="521">
        <v>443</v>
      </c>
      <c r="C672" s="521" t="s">
        <v>4753</v>
      </c>
      <c r="D672" s="142" t="s">
        <v>13</v>
      </c>
      <c r="E672" s="142" t="s">
        <v>37</v>
      </c>
      <c r="F672" s="143">
        <v>45503</v>
      </c>
      <c r="G672" s="143"/>
      <c r="H672" s="142" t="s">
        <v>23</v>
      </c>
      <c r="I672" s="522"/>
      <c r="J672" s="522"/>
      <c r="K672" s="522"/>
      <c r="L672" s="393">
        <v>459</v>
      </c>
      <c r="M672" s="443">
        <f>Таблица4[[#This Row],[Количество хлыстов]]-Таблица4[[#This Row],[Готово, хл]]-Таблица4[[#This Row],[Вывезено, хл]]</f>
        <v>9</v>
      </c>
      <c r="N672" s="673">
        <v>9</v>
      </c>
      <c r="O672" s="142" t="s">
        <v>5316</v>
      </c>
      <c r="P672" s="280">
        <v>3</v>
      </c>
      <c r="Q672" s="525" t="s">
        <v>4864</v>
      </c>
      <c r="R672" s="525">
        <v>1404</v>
      </c>
      <c r="S672" s="526">
        <v>468</v>
      </c>
      <c r="T672" s="525">
        <v>0.16700000000000001</v>
      </c>
      <c r="U672" s="525">
        <v>0.40600000000000003</v>
      </c>
      <c r="V672" s="525">
        <v>234.46799999999999</v>
      </c>
      <c r="W672" s="525">
        <v>570.024</v>
      </c>
      <c r="X672" s="525">
        <v>30.48</v>
      </c>
      <c r="Y672" s="525">
        <v>126</v>
      </c>
      <c r="Z672" s="525">
        <v>754.49</v>
      </c>
      <c r="AA672" s="527">
        <v>176904</v>
      </c>
    </row>
    <row r="673" spans="1:27" ht="17.45" hidden="1" customHeight="1" x14ac:dyDescent="0.25">
      <c r="A673" s="147" t="s">
        <v>4678</v>
      </c>
      <c r="B673" s="521">
        <v>444</v>
      </c>
      <c r="C673" s="521"/>
      <c r="D673" s="142" t="s">
        <v>13</v>
      </c>
      <c r="E673" s="142" t="s">
        <v>4247</v>
      </c>
      <c r="F673" s="143">
        <v>45504</v>
      </c>
      <c r="G673" s="143"/>
      <c r="H673" s="142" t="s">
        <v>23</v>
      </c>
      <c r="I673" s="522"/>
      <c r="J673" s="522"/>
      <c r="K673" s="522"/>
      <c r="L673" s="393">
        <v>99</v>
      </c>
      <c r="M673" s="443">
        <f>Таблица4[[#This Row],[Количество хлыстов]]-Таблица4[[#This Row],[Готово, хл]]-Таблица4[[#This Row],[Вывезено, хл]]</f>
        <v>0</v>
      </c>
      <c r="N673" s="673">
        <f>((Таблица4[[#This Row],[Осталось сделать, хлыст]]*Таблица4[[#This Row],[длина]])*Таблица4[[#This Row],[Периметр]])/28</f>
        <v>0</v>
      </c>
      <c r="O673" s="142"/>
      <c r="P673" s="280">
        <v>6</v>
      </c>
      <c r="Q673" s="525" t="s">
        <v>4461</v>
      </c>
      <c r="R673" s="525">
        <v>594</v>
      </c>
      <c r="S673" s="526">
        <v>99</v>
      </c>
      <c r="T673" s="525">
        <v>0.31</v>
      </c>
      <c r="U673" s="525">
        <v>1.2010000000000001</v>
      </c>
      <c r="V673" s="525">
        <v>184.14</v>
      </c>
      <c r="W673" s="525">
        <v>713.39400000000001</v>
      </c>
      <c r="X673" s="525">
        <v>23.94</v>
      </c>
      <c r="Y673" s="525">
        <v>125.55</v>
      </c>
      <c r="Z673" s="525">
        <v>405</v>
      </c>
      <c r="AA673" s="527">
        <v>74576.7</v>
      </c>
    </row>
    <row r="674" spans="1:27" ht="17.45" hidden="1" customHeight="1" x14ac:dyDescent="0.25">
      <c r="A674" s="147" t="s">
        <v>4678</v>
      </c>
      <c r="B674" s="521">
        <v>445</v>
      </c>
      <c r="C674" s="521" t="s">
        <v>4753</v>
      </c>
      <c r="D674" s="142" t="s">
        <v>13</v>
      </c>
      <c r="E674" s="142" t="s">
        <v>5230</v>
      </c>
      <c r="F674" s="143">
        <v>45504</v>
      </c>
      <c r="G674" s="143"/>
      <c r="H674" s="142" t="s">
        <v>23</v>
      </c>
      <c r="I674" s="522"/>
      <c r="J674" s="522"/>
      <c r="K674" s="522">
        <f>28+28+22</f>
        <v>78</v>
      </c>
      <c r="L674" s="393"/>
      <c r="M674" s="443">
        <f>Таблица4[[#This Row],[Количество хлыстов]]-Таблица4[[#This Row],[Готово, хл]]-Таблица4[[#This Row],[Вывезено, хл]]</f>
        <v>0</v>
      </c>
      <c r="N674" s="673">
        <v>13</v>
      </c>
      <c r="O674" s="142" t="s">
        <v>5246</v>
      </c>
      <c r="P674" s="280">
        <v>6</v>
      </c>
      <c r="Q674" s="525" t="s">
        <v>5240</v>
      </c>
      <c r="R674" s="525">
        <v>468</v>
      </c>
      <c r="S674" s="526">
        <v>78</v>
      </c>
      <c r="T674" s="525">
        <v>0.83199999999999996</v>
      </c>
      <c r="U674" s="525">
        <v>1.9359999999999999</v>
      </c>
      <c r="V674" s="525">
        <v>389.37599999999998</v>
      </c>
      <c r="W674" s="525">
        <v>906.048</v>
      </c>
      <c r="X674" s="525">
        <v>50.62</v>
      </c>
      <c r="Y674" s="525">
        <v>364.17</v>
      </c>
      <c r="Z674" s="525">
        <v>437.7</v>
      </c>
      <c r="AA674" s="527">
        <v>170430</v>
      </c>
    </row>
    <row r="675" spans="1:27" ht="17.45" customHeight="1" x14ac:dyDescent="0.25">
      <c r="A675" s="147" t="s">
        <v>4678</v>
      </c>
      <c r="B675" s="521">
        <v>446</v>
      </c>
      <c r="C675" s="521" t="s">
        <v>4753</v>
      </c>
      <c r="D675" s="142" t="s">
        <v>13</v>
      </c>
      <c r="E675" s="142" t="s">
        <v>30</v>
      </c>
      <c r="F675" s="143">
        <v>45505</v>
      </c>
      <c r="G675" s="143"/>
      <c r="H675" s="142"/>
      <c r="I675" s="522"/>
      <c r="J675" s="522"/>
      <c r="K675" s="522"/>
      <c r="L675" s="393"/>
      <c r="M675" s="443">
        <f>Таблица4[[#This Row],[Количество хлыстов]]-Таблица4[[#This Row],[Готово, хл]]-Таблица4[[#This Row],[Вывезено, хл]]</f>
        <v>6</v>
      </c>
      <c r="N675" s="673">
        <f>((Таблица4[[#This Row],[Осталось сделать, хлыст]]*Таблица4[[#This Row],[длина]])*Таблица4[[#This Row],[Периметр]])/28</f>
        <v>0</v>
      </c>
      <c r="O675" s="142"/>
      <c r="P675" s="280"/>
      <c r="Q675" s="525" t="s">
        <v>5241</v>
      </c>
      <c r="R675" s="525">
        <v>6</v>
      </c>
      <c r="S675" s="526">
        <v>6</v>
      </c>
      <c r="T675" s="525">
        <v>0.22</v>
      </c>
      <c r="U675" s="525">
        <v>0.28000000000000003</v>
      </c>
      <c r="V675" s="525">
        <v>1.32</v>
      </c>
      <c r="W675" s="525">
        <v>1.68</v>
      </c>
      <c r="X675" s="525">
        <v>0.17</v>
      </c>
      <c r="Y675" s="525">
        <v>860</v>
      </c>
      <c r="Z675" s="525">
        <v>3909.09</v>
      </c>
      <c r="AA675" s="527">
        <v>5160</v>
      </c>
    </row>
    <row r="676" spans="1:27" ht="17.45" customHeight="1" x14ac:dyDescent="0.25">
      <c r="A676" s="147" t="s">
        <v>4678</v>
      </c>
      <c r="B676" s="521">
        <v>446</v>
      </c>
      <c r="C676" s="521" t="s">
        <v>4753</v>
      </c>
      <c r="D676" s="142" t="s">
        <v>13</v>
      </c>
      <c r="E676" s="142" t="s">
        <v>30</v>
      </c>
      <c r="F676" s="143">
        <v>45505</v>
      </c>
      <c r="G676" s="143"/>
      <c r="H676" s="142"/>
      <c r="I676" s="522"/>
      <c r="J676" s="522"/>
      <c r="K676" s="522"/>
      <c r="L676" s="393"/>
      <c r="M676" s="443">
        <f>Таблица4[[#This Row],[Количество хлыстов]]-Таблица4[[#This Row],[Готово, хл]]-Таблица4[[#This Row],[Вывезено, хл]]</f>
        <v>4</v>
      </c>
      <c r="N676" s="673">
        <f>((Таблица4[[#This Row],[Осталось сделать, хлыст]]*Таблица4[[#This Row],[длина]])*Таблица4[[#This Row],[Периметр]])/28</f>
        <v>0</v>
      </c>
      <c r="O676" s="142"/>
      <c r="P676" s="280"/>
      <c r="Q676" s="525" t="s">
        <v>5242</v>
      </c>
      <c r="R676" s="525">
        <v>4</v>
      </c>
      <c r="S676" s="526">
        <v>4</v>
      </c>
      <c r="T676" s="525">
        <v>0.88</v>
      </c>
      <c r="U676" s="525">
        <v>1.18</v>
      </c>
      <c r="V676" s="525">
        <v>3.52</v>
      </c>
      <c r="W676" s="525">
        <v>4.72</v>
      </c>
      <c r="X676" s="525">
        <v>0.46</v>
      </c>
      <c r="Y676" s="525">
        <v>916</v>
      </c>
      <c r="Z676" s="525">
        <v>1040.9100000000001</v>
      </c>
      <c r="AA676" s="527">
        <v>3664</v>
      </c>
    </row>
    <row r="677" spans="1:27" ht="17.45" customHeight="1" x14ac:dyDescent="0.25">
      <c r="A677" s="147" t="s">
        <v>4678</v>
      </c>
      <c r="B677" s="521">
        <v>446</v>
      </c>
      <c r="C677" s="521" t="s">
        <v>4753</v>
      </c>
      <c r="D677" s="142" t="s">
        <v>13</v>
      </c>
      <c r="E677" s="142" t="s">
        <v>30</v>
      </c>
      <c r="F677" s="143">
        <v>45505</v>
      </c>
      <c r="G677" s="143"/>
      <c r="H677" s="142"/>
      <c r="I677" s="522"/>
      <c r="J677" s="522"/>
      <c r="K677" s="522"/>
      <c r="L677" s="393"/>
      <c r="M677" s="443">
        <f>Таблица4[[#This Row],[Количество хлыстов]]-Таблица4[[#This Row],[Готово, хл]]-Таблица4[[#This Row],[Вывезено, хл]]</f>
        <v>8</v>
      </c>
      <c r="N677" s="673">
        <f>((Таблица4[[#This Row],[Осталось сделать, хлыст]]*Таблица4[[#This Row],[длина]])*Таблица4[[#This Row],[Периметр]])/28</f>
        <v>0</v>
      </c>
      <c r="O677" s="142"/>
      <c r="P677" s="280"/>
      <c r="Q677" s="525" t="s">
        <v>5243</v>
      </c>
      <c r="R677" s="525">
        <v>8</v>
      </c>
      <c r="S677" s="526">
        <v>8</v>
      </c>
      <c r="T677" s="525">
        <v>0.94</v>
      </c>
      <c r="U677" s="525">
        <v>1.24</v>
      </c>
      <c r="V677" s="525">
        <v>7.52</v>
      </c>
      <c r="W677" s="525">
        <v>9.92</v>
      </c>
      <c r="X677" s="525">
        <v>0.98</v>
      </c>
      <c r="Y677" s="525">
        <v>992</v>
      </c>
      <c r="Z677" s="525">
        <v>1055.32</v>
      </c>
      <c r="AA677" s="527">
        <v>7936</v>
      </c>
    </row>
    <row r="678" spans="1:27" ht="17.45" customHeight="1" x14ac:dyDescent="0.25">
      <c r="A678" s="147" t="s">
        <v>4678</v>
      </c>
      <c r="B678" s="521">
        <v>446</v>
      </c>
      <c r="C678" s="521" t="s">
        <v>4753</v>
      </c>
      <c r="D678" s="142" t="s">
        <v>13</v>
      </c>
      <c r="E678" s="142" t="s">
        <v>30</v>
      </c>
      <c r="F678" s="143">
        <v>45505</v>
      </c>
      <c r="G678" s="143"/>
      <c r="H678" s="142"/>
      <c r="I678" s="522"/>
      <c r="J678" s="522"/>
      <c r="K678" s="522"/>
      <c r="L678" s="393"/>
      <c r="M678" s="443">
        <f>Таблица4[[#This Row],[Количество хлыстов]]-Таблица4[[#This Row],[Готово, хл]]-Таблица4[[#This Row],[Вывезено, хл]]</f>
        <v>4</v>
      </c>
      <c r="N678" s="673">
        <f>((Таблица4[[#This Row],[Осталось сделать, хлыст]]*Таблица4[[#This Row],[длина]])*Таблица4[[#This Row],[Периметр]])/28</f>
        <v>0</v>
      </c>
      <c r="O678" s="142"/>
      <c r="P678" s="280"/>
      <c r="Q678" s="525" t="s">
        <v>5244</v>
      </c>
      <c r="R678" s="525">
        <v>4</v>
      </c>
      <c r="S678" s="526">
        <v>4</v>
      </c>
      <c r="T678" s="525">
        <v>0.98</v>
      </c>
      <c r="U678" s="525">
        <v>1.31</v>
      </c>
      <c r="V678" s="525">
        <v>3.92</v>
      </c>
      <c r="W678" s="525">
        <v>5.24</v>
      </c>
      <c r="X678" s="525">
        <v>0.51</v>
      </c>
      <c r="Y678" s="525">
        <v>1031</v>
      </c>
      <c r="Z678" s="525">
        <v>1052.04</v>
      </c>
      <c r="AA678" s="527">
        <v>4124</v>
      </c>
    </row>
    <row r="679" spans="1:27" ht="17.45" customHeight="1" x14ac:dyDescent="0.25">
      <c r="A679" s="147" t="s">
        <v>4678</v>
      </c>
      <c r="B679" s="521">
        <v>446</v>
      </c>
      <c r="C679" s="521" t="s">
        <v>4753</v>
      </c>
      <c r="D679" s="142" t="s">
        <v>13</v>
      </c>
      <c r="E679" s="142" t="s">
        <v>30</v>
      </c>
      <c r="F679" s="143">
        <v>45505</v>
      </c>
      <c r="G679" s="143"/>
      <c r="H679" s="142"/>
      <c r="I679" s="522"/>
      <c r="J679" s="522"/>
      <c r="K679" s="522"/>
      <c r="L679" s="393"/>
      <c r="M679" s="443">
        <f>Таблица4[[#This Row],[Количество хлыстов]]-Таблица4[[#This Row],[Готово, хл]]-Таблица4[[#This Row],[Вывезено, хл]]</f>
        <v>4</v>
      </c>
      <c r="N679" s="673">
        <f>((Таблица4[[#This Row],[Осталось сделать, хлыст]]*Таблица4[[#This Row],[длина]])*Таблица4[[#This Row],[Периметр]])/28</f>
        <v>0</v>
      </c>
      <c r="O679" s="142"/>
      <c r="P679" s="280"/>
      <c r="Q679" s="525" t="s">
        <v>5245</v>
      </c>
      <c r="R679" s="525">
        <v>4</v>
      </c>
      <c r="S679" s="526">
        <v>4</v>
      </c>
      <c r="T679" s="525">
        <v>0.20200000000000001</v>
      </c>
      <c r="U679" s="525">
        <v>2.4E-2</v>
      </c>
      <c r="V679" s="525">
        <v>0.80800000000000005</v>
      </c>
      <c r="W679" s="525">
        <v>9.6000000000000002E-2</v>
      </c>
      <c r="X679" s="525">
        <v>0.11</v>
      </c>
      <c r="Y679" s="525">
        <v>421</v>
      </c>
      <c r="Z679" s="525">
        <v>2084.16</v>
      </c>
      <c r="AA679" s="527">
        <v>1684</v>
      </c>
    </row>
    <row r="680" spans="1:27" ht="17.45" customHeight="1" x14ac:dyDescent="0.25">
      <c r="A680" s="147" t="s">
        <v>4678</v>
      </c>
      <c r="B680" s="521">
        <v>447</v>
      </c>
      <c r="C680" s="521" t="s">
        <v>4753</v>
      </c>
      <c r="D680" s="142" t="s">
        <v>13</v>
      </c>
      <c r="E680" s="142" t="s">
        <v>5230</v>
      </c>
      <c r="F680" s="143">
        <v>45519</v>
      </c>
      <c r="G680" s="143"/>
      <c r="H680" s="142"/>
      <c r="I680" s="522"/>
      <c r="J680" s="522"/>
      <c r="K680" s="522"/>
      <c r="L680" s="393">
        <f>400+405+395</f>
        <v>1200</v>
      </c>
      <c r="M680" s="443">
        <f>Таблица4[[#This Row],[Количество хлыстов]]-Таблица4[[#This Row],[Готово, хл]]-Таблица4[[#This Row],[Вывезено, хл]]</f>
        <v>703</v>
      </c>
      <c r="N680" s="638">
        <v>133</v>
      </c>
      <c r="O680" s="290">
        <f>1094+169</f>
        <v>1263</v>
      </c>
      <c r="P680" s="280">
        <v>6</v>
      </c>
      <c r="Q680" s="525" t="s">
        <v>5272</v>
      </c>
      <c r="R680" s="525">
        <v>11418</v>
      </c>
      <c r="S680" s="526">
        <v>1903</v>
      </c>
      <c r="T680" s="525">
        <v>0.23</v>
      </c>
      <c r="U680" s="525">
        <v>0.90500000000000003</v>
      </c>
      <c r="V680" s="525">
        <v>2626.14</v>
      </c>
      <c r="W680" s="525">
        <v>10333.290000000001</v>
      </c>
      <c r="X680" s="525">
        <v>341.4</v>
      </c>
      <c r="Y680" s="525">
        <v>102</v>
      </c>
      <c r="Z680" s="525">
        <v>443.48</v>
      </c>
      <c r="AA680" s="527">
        <v>1164636</v>
      </c>
    </row>
    <row r="681" spans="1:27" ht="17.45" customHeight="1" x14ac:dyDescent="0.25">
      <c r="A681" s="147" t="s">
        <v>4678</v>
      </c>
      <c r="B681" s="521">
        <v>447</v>
      </c>
      <c r="C681" s="521" t="s">
        <v>4753</v>
      </c>
      <c r="D681" s="142" t="s">
        <v>13</v>
      </c>
      <c r="E681" s="142" t="s">
        <v>5230</v>
      </c>
      <c r="F681" s="143">
        <v>45519</v>
      </c>
      <c r="G681" s="143"/>
      <c r="H681" s="142"/>
      <c r="I681" s="522"/>
      <c r="J681" s="522"/>
      <c r="K681" s="522"/>
      <c r="L681" s="393">
        <v>16</v>
      </c>
      <c r="M681" s="443">
        <f>Таблица4[[#This Row],[Количество хлыстов]]-Таблица4[[#This Row],[Готово, хл]]-Таблица4[[#This Row],[Вывезено, хл]]</f>
        <v>14</v>
      </c>
      <c r="N681" s="626">
        <v>1</v>
      </c>
      <c r="O681" s="142"/>
      <c r="P681" s="280">
        <v>4.5999999999999996</v>
      </c>
      <c r="Q681" s="525" t="s">
        <v>5273</v>
      </c>
      <c r="R681" s="525">
        <v>138</v>
      </c>
      <c r="S681" s="526">
        <v>30</v>
      </c>
      <c r="T681" s="525">
        <v>6.3399999999999998E-2</v>
      </c>
      <c r="U681" s="525">
        <v>0.23799999999999999</v>
      </c>
      <c r="V681" s="525">
        <v>8.7492000000000001</v>
      </c>
      <c r="W681" s="525">
        <v>32.844000000000001</v>
      </c>
      <c r="X681" s="525">
        <v>1.1399999999999999</v>
      </c>
      <c r="Y681" s="525">
        <v>98</v>
      </c>
      <c r="Z681" s="525">
        <v>1545.74</v>
      </c>
      <c r="AA681" s="527">
        <v>13524</v>
      </c>
    </row>
    <row r="682" spans="1:27" ht="17.45" customHeight="1" x14ac:dyDescent="0.25">
      <c r="A682" s="147" t="s">
        <v>4678</v>
      </c>
      <c r="B682" s="521">
        <v>447</v>
      </c>
      <c r="C682" s="521" t="s">
        <v>4753</v>
      </c>
      <c r="D682" s="142" t="s">
        <v>13</v>
      </c>
      <c r="E682" s="142" t="s">
        <v>5230</v>
      </c>
      <c r="F682" s="143">
        <v>45519</v>
      </c>
      <c r="G682" s="143"/>
      <c r="H682" s="142"/>
      <c r="I682" s="522"/>
      <c r="J682" s="522"/>
      <c r="K682" s="522"/>
      <c r="L682" s="393"/>
      <c r="M682" s="443">
        <f>Таблица4[[#This Row],[Количество хлыстов]]-Таблица4[[#This Row],[Готово, хл]]-Таблица4[[#This Row],[Вывезено, хл]]</f>
        <v>94</v>
      </c>
      <c r="N682" s="626">
        <v>19</v>
      </c>
      <c r="O682" s="142"/>
      <c r="P682" s="280">
        <v>4</v>
      </c>
      <c r="Q682" s="525" t="s">
        <v>5274</v>
      </c>
      <c r="R682" s="525">
        <f>6*Таблица4[[#This Row],[Количество хлыстов]]</f>
        <v>564</v>
      </c>
      <c r="S682" s="526">
        <v>94</v>
      </c>
      <c r="T682" s="525">
        <v>1.4718</v>
      </c>
      <c r="U682" s="525">
        <v>5.3</v>
      </c>
      <c r="V682" s="525">
        <v>523.96079999999995</v>
      </c>
      <c r="W682" s="525">
        <v>1886.8</v>
      </c>
      <c r="X682" s="525">
        <v>68.11</v>
      </c>
      <c r="Y682" s="525">
        <v>699</v>
      </c>
      <c r="Z682" s="525">
        <v>474.93</v>
      </c>
      <c r="AA682" s="527">
        <v>248844</v>
      </c>
    </row>
    <row r="683" spans="1:27" ht="17.45" hidden="1" customHeight="1" x14ac:dyDescent="0.25">
      <c r="A683" s="147" t="s">
        <v>4678</v>
      </c>
      <c r="B683" s="521">
        <v>447</v>
      </c>
      <c r="C683" s="521" t="s">
        <v>4753</v>
      </c>
      <c r="D683" s="142" t="s">
        <v>13</v>
      </c>
      <c r="E683" s="142" t="s">
        <v>5230</v>
      </c>
      <c r="F683" s="143">
        <v>45519</v>
      </c>
      <c r="G683" s="143">
        <v>45541</v>
      </c>
      <c r="H683" s="142" t="s">
        <v>23</v>
      </c>
      <c r="I683" s="522"/>
      <c r="J683" s="522"/>
      <c r="K683" s="522"/>
      <c r="L683" s="393">
        <f>44+44+42+80+44</f>
        <v>254</v>
      </c>
      <c r="M683" s="443">
        <f>Таблица4[[#This Row],[Количество хлыстов]]-Таблица4[[#This Row],[Готово, хл]]-Таблица4[[#This Row],[Вывезено, хл]]</f>
        <v>0</v>
      </c>
      <c r="N683" s="564">
        <v>28</v>
      </c>
      <c r="O683" s="142"/>
      <c r="P683" s="280">
        <v>6</v>
      </c>
      <c r="Q683" s="525" t="s">
        <v>5275</v>
      </c>
      <c r="R683" s="525">
        <v>1524</v>
      </c>
      <c r="S683" s="526">
        <v>254</v>
      </c>
      <c r="T683" s="525">
        <v>0.59199999999999997</v>
      </c>
      <c r="U683" s="525">
        <v>1.5840000000000001</v>
      </c>
      <c r="V683" s="525">
        <v>902.20799999999997</v>
      </c>
      <c r="W683" s="525">
        <v>2414.0160000000001</v>
      </c>
      <c r="X683" s="525">
        <v>117.29</v>
      </c>
      <c r="Y683" s="525">
        <v>249</v>
      </c>
      <c r="Z683" s="525">
        <v>420.61</v>
      </c>
      <c r="AA683" s="527">
        <v>379476</v>
      </c>
    </row>
    <row r="684" spans="1:27" ht="17.45" hidden="1" customHeight="1" x14ac:dyDescent="0.25">
      <c r="A684" s="171" t="s">
        <v>4678</v>
      </c>
      <c r="B684" s="625">
        <v>447</v>
      </c>
      <c r="C684" s="625" t="s">
        <v>4753</v>
      </c>
      <c r="D684" s="162" t="s">
        <v>13</v>
      </c>
      <c r="E684" s="162" t="s">
        <v>5230</v>
      </c>
      <c r="F684" s="168">
        <v>45519</v>
      </c>
      <c r="G684" s="143">
        <v>45541</v>
      </c>
      <c r="H684" s="142" t="s">
        <v>23</v>
      </c>
      <c r="I684" s="522"/>
      <c r="J684" s="522"/>
      <c r="K684" s="522"/>
      <c r="L684" s="522">
        <v>36</v>
      </c>
      <c r="M684" s="578"/>
      <c r="N684" s="626">
        <v>6</v>
      </c>
      <c r="O684" s="142"/>
      <c r="P684" s="280"/>
      <c r="Q684" s="525" t="s">
        <v>5276</v>
      </c>
      <c r="R684" s="525">
        <f>6*Таблица4[[#This Row],[Количество хлыстов]]</f>
        <v>216</v>
      </c>
      <c r="S684" s="526">
        <v>36</v>
      </c>
      <c r="T684" s="525">
        <v>1.2526999999999999</v>
      </c>
      <c r="U684" s="525">
        <v>3.91</v>
      </c>
      <c r="V684" s="525">
        <f>Таблица4[[#This Row],[Коли-
чество м.п.]]*Таблица4[[#This Row],[Периметр]]</f>
        <v>270.58319999999998</v>
      </c>
      <c r="W684" s="525">
        <v>656.88</v>
      </c>
      <c r="X684" s="525">
        <v>27.36</v>
      </c>
      <c r="Y684" s="525">
        <v>421</v>
      </c>
      <c r="Z684" s="525">
        <v>336.07</v>
      </c>
      <c r="AA684" s="527">
        <v>70728</v>
      </c>
    </row>
    <row r="685" spans="1:27" ht="17.45" hidden="1" customHeight="1" x14ac:dyDescent="0.25">
      <c r="A685" s="171" t="s">
        <v>4678</v>
      </c>
      <c r="B685" s="625">
        <v>447</v>
      </c>
      <c r="C685" s="625" t="s">
        <v>4753</v>
      </c>
      <c r="D685" s="162" t="s">
        <v>13</v>
      </c>
      <c r="E685" s="162" t="s">
        <v>5230</v>
      </c>
      <c r="F685" s="168">
        <v>45519</v>
      </c>
      <c r="G685" s="143">
        <v>45541</v>
      </c>
      <c r="H685" s="142" t="s">
        <v>23</v>
      </c>
      <c r="I685" s="522"/>
      <c r="J685" s="522"/>
      <c r="K685" s="522"/>
      <c r="L685" s="522">
        <v>9</v>
      </c>
      <c r="M685" s="578"/>
      <c r="N685" s="626">
        <v>1</v>
      </c>
      <c r="O685" s="142"/>
      <c r="P685" s="280"/>
      <c r="Q685" s="525" t="s">
        <v>5277</v>
      </c>
      <c r="R685" s="525">
        <v>54</v>
      </c>
      <c r="S685" s="526">
        <v>9</v>
      </c>
      <c r="T685" s="525">
        <v>0.5</v>
      </c>
      <c r="U685" s="525">
        <v>1.08</v>
      </c>
      <c r="V685" s="525">
        <v>27</v>
      </c>
      <c r="W685" s="525">
        <v>58.32</v>
      </c>
      <c r="X685" s="525">
        <v>3.51</v>
      </c>
      <c r="Y685" s="525">
        <v>250</v>
      </c>
      <c r="Z685" s="525">
        <v>500</v>
      </c>
      <c r="AA685" s="527">
        <v>13500</v>
      </c>
    </row>
    <row r="686" spans="1:27" ht="17.45" hidden="1" customHeight="1" x14ac:dyDescent="0.25">
      <c r="A686" s="147" t="s">
        <v>4678</v>
      </c>
      <c r="B686" s="521">
        <v>448</v>
      </c>
      <c r="C686" s="521"/>
      <c r="D686" s="142" t="s">
        <v>34</v>
      </c>
      <c r="E686" s="142" t="s">
        <v>79</v>
      </c>
      <c r="F686" s="143">
        <v>45506</v>
      </c>
      <c r="G686" s="143"/>
      <c r="H686" s="142" t="s">
        <v>23</v>
      </c>
      <c r="I686" s="522"/>
      <c r="J686" s="522"/>
      <c r="K686" s="522">
        <v>38</v>
      </c>
      <c r="L686" s="393"/>
      <c r="M686" s="443">
        <f>Таблица4[[#This Row],[Количество хлыстов]]-Таблица4[[#This Row],[Готово, хл]]-Таблица4[[#This Row],[Вывезено, хл]]</f>
        <v>0</v>
      </c>
      <c r="N686" s="673">
        <f>((Таблица4[[#This Row],[Осталось сделать, хлыст]]*Таблица4[[#This Row],[длина]])*Таблица4[[#This Row],[Периметр]])/28</f>
        <v>0</v>
      </c>
      <c r="O686" s="142"/>
      <c r="P686" s="280">
        <v>6</v>
      </c>
      <c r="Q686" s="525" t="s">
        <v>78</v>
      </c>
      <c r="R686" s="525">
        <v>228</v>
      </c>
      <c r="S686" s="526">
        <v>38</v>
      </c>
      <c r="T686" s="525">
        <v>0.20230000000000001</v>
      </c>
      <c r="U686" s="525">
        <v>0.499</v>
      </c>
      <c r="V686" s="525">
        <v>46.124400000000001</v>
      </c>
      <c r="W686" s="525">
        <v>113.77200000000001</v>
      </c>
      <c r="X686" s="525">
        <v>6</v>
      </c>
      <c r="Y686" s="525">
        <v>74.849999999999994</v>
      </c>
      <c r="Z686" s="525">
        <v>370</v>
      </c>
      <c r="AA686" s="527">
        <v>17065.8</v>
      </c>
    </row>
    <row r="687" spans="1:27" ht="17.25" hidden="1" customHeight="1" x14ac:dyDescent="0.25">
      <c r="A687" s="147" t="s">
        <v>4678</v>
      </c>
      <c r="B687" s="521">
        <v>449</v>
      </c>
      <c r="C687" s="521" t="s">
        <v>4753</v>
      </c>
      <c r="D687" s="142" t="s">
        <v>13</v>
      </c>
      <c r="E687" s="142" t="s">
        <v>4021</v>
      </c>
      <c r="F687" s="143">
        <v>45506</v>
      </c>
      <c r="G687" s="143">
        <v>45541</v>
      </c>
      <c r="H687" s="142" t="s">
        <v>23</v>
      </c>
      <c r="I687" s="522"/>
      <c r="J687" s="522"/>
      <c r="K687" s="522"/>
      <c r="L687" s="393">
        <v>30</v>
      </c>
      <c r="M687" s="443">
        <f>Таблица4[[#This Row],[Количество хлыстов]]-Таблица4[[#This Row],[Готово, хл]]-Таблица4[[#This Row],[Вывезено, хл]]</f>
        <v>0</v>
      </c>
      <c r="N687" s="673">
        <f>((Таблица4[[#This Row],[Осталось сделать, хлыст]]*Таблица4[[#This Row],[длина]])*Таблица4[[#This Row],[Периметр]])/28</f>
        <v>0</v>
      </c>
      <c r="O687" s="142"/>
      <c r="P687" s="280">
        <v>6</v>
      </c>
      <c r="Q687" s="525" t="s">
        <v>4984</v>
      </c>
      <c r="R687" s="525">
        <v>180</v>
      </c>
      <c r="S687" s="526">
        <v>30</v>
      </c>
      <c r="T687" s="525">
        <v>7.9000000000000001E-2</v>
      </c>
      <c r="U687" s="525">
        <v>0.20300000000000001</v>
      </c>
      <c r="V687" s="525">
        <v>14.22</v>
      </c>
      <c r="W687" s="525">
        <v>36.54</v>
      </c>
      <c r="X687" s="525">
        <v>1.85</v>
      </c>
      <c r="Y687" s="525">
        <v>100</v>
      </c>
      <c r="Z687" s="525">
        <v>1265.82</v>
      </c>
      <c r="AA687" s="527">
        <v>18000</v>
      </c>
    </row>
    <row r="688" spans="1:27" s="421" customFormat="1" ht="17.45" hidden="1" customHeight="1" x14ac:dyDescent="0.25">
      <c r="A688" s="419" t="s">
        <v>4978</v>
      </c>
      <c r="B688" s="617">
        <v>452</v>
      </c>
      <c r="C688" s="617"/>
      <c r="D688" s="618" t="s">
        <v>34</v>
      </c>
      <c r="E688" s="618" t="s">
        <v>5016</v>
      </c>
      <c r="F688" s="619">
        <v>45510</v>
      </c>
      <c r="G688" s="619"/>
      <c r="H688" s="618" t="s">
        <v>23</v>
      </c>
      <c r="I688" s="620"/>
      <c r="J688" s="620"/>
      <c r="K688" s="620">
        <v>40</v>
      </c>
      <c r="L688" s="677"/>
      <c r="M688" s="691">
        <f>Таблица4[[#This Row],[Количество хлыстов]]-Таблица4[[#This Row],[Готово, хл]]-Таблица4[[#This Row],[Вывезено, хл]]</f>
        <v>0</v>
      </c>
      <c r="N688" s="691">
        <v>0</v>
      </c>
      <c r="O688" s="618"/>
      <c r="P688" s="692"/>
      <c r="Q688" s="622" t="s">
        <v>4982</v>
      </c>
      <c r="R688" s="622">
        <v>240</v>
      </c>
      <c r="S688" s="623">
        <v>40</v>
      </c>
      <c r="T688" s="622">
        <v>0.1</v>
      </c>
      <c r="U688" s="622">
        <v>0.13</v>
      </c>
      <c r="V688" s="622">
        <v>24</v>
      </c>
      <c r="W688" s="622">
        <v>31.2</v>
      </c>
      <c r="X688" s="622">
        <v>3.12</v>
      </c>
      <c r="Y688" s="622">
        <v>23.5</v>
      </c>
      <c r="Z688" s="622">
        <v>235</v>
      </c>
      <c r="AA688" s="624">
        <v>5640</v>
      </c>
    </row>
    <row r="689" spans="1:27" s="421" customFormat="1" ht="17.45" hidden="1" customHeight="1" x14ac:dyDescent="0.25">
      <c r="A689" s="419" t="s">
        <v>4978</v>
      </c>
      <c r="B689" s="617">
        <v>453</v>
      </c>
      <c r="C689" s="617"/>
      <c r="D689" s="618" t="s">
        <v>34</v>
      </c>
      <c r="E689" s="618" t="s">
        <v>5016</v>
      </c>
      <c r="F689" s="619">
        <v>45510</v>
      </c>
      <c r="G689" s="619"/>
      <c r="H689" s="618" t="s">
        <v>23</v>
      </c>
      <c r="I689" s="620"/>
      <c r="J689" s="620"/>
      <c r="K689" s="620"/>
      <c r="L689" s="677"/>
      <c r="M689" s="691">
        <f>Таблица4[[#This Row],[Количество хлыстов]]-Таблица4[[#This Row],[Готово, хл]]-Таблица4[[#This Row],[Вывезено, хл]]</f>
        <v>35</v>
      </c>
      <c r="N689" s="691">
        <v>0</v>
      </c>
      <c r="O689" s="618"/>
      <c r="P689" s="692"/>
      <c r="Q689" s="622" t="s">
        <v>4982</v>
      </c>
      <c r="R689" s="622">
        <v>210</v>
      </c>
      <c r="S689" s="623">
        <v>35</v>
      </c>
      <c r="T689" s="622">
        <v>0.1</v>
      </c>
      <c r="U689" s="622">
        <v>0.13</v>
      </c>
      <c r="V689" s="622">
        <v>21</v>
      </c>
      <c r="W689" s="622">
        <v>27.3</v>
      </c>
      <c r="X689" s="622">
        <v>2.73</v>
      </c>
      <c r="Y689" s="622">
        <v>23.5</v>
      </c>
      <c r="Z689" s="622">
        <v>235</v>
      </c>
      <c r="AA689" s="624">
        <v>4935</v>
      </c>
    </row>
    <row r="690" spans="1:27" ht="17.45" hidden="1" customHeight="1" x14ac:dyDescent="0.25">
      <c r="A690" s="147" t="s">
        <v>4678</v>
      </c>
      <c r="B690" s="521">
        <v>454</v>
      </c>
      <c r="C690" s="521"/>
      <c r="D690" s="142" t="s">
        <v>13</v>
      </c>
      <c r="E690" s="142" t="s">
        <v>5250</v>
      </c>
      <c r="F690" s="143">
        <v>45510</v>
      </c>
      <c r="G690" s="143"/>
      <c r="H690" s="142" t="s">
        <v>23</v>
      </c>
      <c r="I690" s="522"/>
      <c r="J690" s="522"/>
      <c r="K690" s="522"/>
      <c r="L690" s="393">
        <v>56</v>
      </c>
      <c r="M690" s="443">
        <f>Таблица4[[#This Row],[Количество хлыстов]]-Таблица4[[#This Row],[Готово, хл]]-Таблица4[[#This Row],[Вывезено, хл]]</f>
        <v>56</v>
      </c>
      <c r="N690" s="673">
        <f>((Таблица4[[#This Row],[Осталось сделать, хлыст]]*Таблица4[[#This Row],[длина]])*Таблица4[[#This Row],[Периметр]])/28</f>
        <v>1.8360000000000001</v>
      </c>
      <c r="O690" s="142"/>
      <c r="P690" s="280">
        <v>5</v>
      </c>
      <c r="Q690" s="525" t="s">
        <v>149</v>
      </c>
      <c r="R690" s="525">
        <v>560</v>
      </c>
      <c r="S690" s="526">
        <v>112</v>
      </c>
      <c r="T690" s="525">
        <v>0.18360000000000001</v>
      </c>
      <c r="U690" s="525">
        <v>0.39400000000000002</v>
      </c>
      <c r="V690" s="525">
        <v>102.816</v>
      </c>
      <c r="W690" s="525">
        <v>220.64</v>
      </c>
      <c r="X690" s="525">
        <v>13.37</v>
      </c>
      <c r="Y690" s="525">
        <v>79.87</v>
      </c>
      <c r="Z690" s="525">
        <v>435</v>
      </c>
      <c r="AA690" s="527">
        <v>44724.959999999999</v>
      </c>
    </row>
    <row r="691" spans="1:27" ht="17.45" hidden="1" customHeight="1" x14ac:dyDescent="0.25">
      <c r="A691" s="147" t="s">
        <v>4678</v>
      </c>
      <c r="B691" s="521">
        <v>455</v>
      </c>
      <c r="C691" s="521"/>
      <c r="D691" s="142" t="s">
        <v>34</v>
      </c>
      <c r="E691" s="142" t="s">
        <v>14</v>
      </c>
      <c r="F691" s="143">
        <v>45511</v>
      </c>
      <c r="G691" s="143"/>
      <c r="H691" s="142" t="s">
        <v>23</v>
      </c>
      <c r="I691" s="522"/>
      <c r="J691" s="522"/>
      <c r="K691" s="522">
        <v>343</v>
      </c>
      <c r="L691" s="393">
        <v>1</v>
      </c>
      <c r="M691" s="443">
        <f>Таблица4[[#This Row],[Количество хлыстов]]-Таблица4[[#This Row],[Готово, хл]]-Таблица4[[#This Row],[Вывезено, хл]]</f>
        <v>0</v>
      </c>
      <c r="N691" s="673">
        <f>((Таблица4[[#This Row],[Осталось сделать, хлыст]]*Таблица4[[#This Row],[длина]])*Таблица4[[#This Row],[Периметр]])/28</f>
        <v>0</v>
      </c>
      <c r="O691" s="142" t="s">
        <v>5258</v>
      </c>
      <c r="P691" s="280">
        <v>6.05</v>
      </c>
      <c r="Q691" s="525" t="s">
        <v>5253</v>
      </c>
      <c r="R691" s="525">
        <v>2081.1999999999998</v>
      </c>
      <c r="S691" s="526">
        <v>344</v>
      </c>
      <c r="T691" s="525">
        <v>0.223</v>
      </c>
      <c r="U691" s="525">
        <v>1.0349999999999999</v>
      </c>
      <c r="V691" s="525">
        <v>464.10759999999999</v>
      </c>
      <c r="W691" s="525">
        <v>2154.0419999999999</v>
      </c>
      <c r="X691" s="525">
        <v>60.33</v>
      </c>
      <c r="Y691" s="525">
        <v>83.63</v>
      </c>
      <c r="Z691" s="525">
        <v>375</v>
      </c>
      <c r="AA691" s="527">
        <v>174040.35</v>
      </c>
    </row>
    <row r="692" spans="1:27" ht="17.45" hidden="1" customHeight="1" x14ac:dyDescent="0.25">
      <c r="A692" s="147" t="s">
        <v>4678</v>
      </c>
      <c r="B692" s="521">
        <v>456</v>
      </c>
      <c r="C692" s="521"/>
      <c r="D692" s="142" t="s">
        <v>13</v>
      </c>
      <c r="E692" s="142" t="s">
        <v>556</v>
      </c>
      <c r="F692" s="143">
        <v>45511</v>
      </c>
      <c r="G692" s="143">
        <v>45531</v>
      </c>
      <c r="H692" s="142" t="s">
        <v>23</v>
      </c>
      <c r="I692" s="522"/>
      <c r="J692" s="522"/>
      <c r="K692" s="522"/>
      <c r="L692" s="393">
        <v>264</v>
      </c>
      <c r="M692" s="443">
        <f>Таблица4[[#This Row],[Количество хлыстов]]-Таблица4[[#This Row],[Готово, хл]]-Таблица4[[#This Row],[Вывезено, хл]]</f>
        <v>0</v>
      </c>
      <c r="N692" s="673">
        <f>((Таблица4[[#This Row],[Осталось сделать, хлыст]]*Таблица4[[#This Row],[длина]])*Таблица4[[#This Row],[Периметр]])/28</f>
        <v>0</v>
      </c>
      <c r="O692" s="142"/>
      <c r="P692" s="280">
        <v>6</v>
      </c>
      <c r="Q692" s="525" t="s">
        <v>2348</v>
      </c>
      <c r="R692" s="525">
        <v>1584</v>
      </c>
      <c r="S692" s="526">
        <v>264</v>
      </c>
      <c r="T692" s="525">
        <v>0.31879999999999997</v>
      </c>
      <c r="U692" s="525">
        <v>0.81100000000000005</v>
      </c>
      <c r="V692" s="525">
        <v>504.97919999999999</v>
      </c>
      <c r="W692" s="525">
        <v>1284.624</v>
      </c>
      <c r="X692" s="525">
        <v>65.650000000000006</v>
      </c>
      <c r="Y692" s="525">
        <v>138.68</v>
      </c>
      <c r="Z692" s="525">
        <v>435</v>
      </c>
      <c r="AA692" s="527">
        <v>219665.95</v>
      </c>
    </row>
    <row r="693" spans="1:27" s="421" customFormat="1" ht="17.45" hidden="1" customHeight="1" x14ac:dyDescent="0.25">
      <c r="A693" s="419" t="s">
        <v>4978</v>
      </c>
      <c r="B693" s="617">
        <v>457</v>
      </c>
      <c r="C693" s="617"/>
      <c r="D693" s="618" t="s">
        <v>13</v>
      </c>
      <c r="E693" s="618" t="s">
        <v>556</v>
      </c>
      <c r="F693" s="619">
        <v>45511</v>
      </c>
      <c r="G693" s="619"/>
      <c r="H693" s="618" t="s">
        <v>23</v>
      </c>
      <c r="I693" s="620"/>
      <c r="J693" s="620"/>
      <c r="K693" s="620"/>
      <c r="L693" s="677"/>
      <c r="M693" s="691">
        <f>Таблица4[[#This Row],[Количество хлыстов]]-Таблица4[[#This Row],[Готово, хл]]-Таблица4[[#This Row],[Вывезено, хл]]</f>
        <v>133</v>
      </c>
      <c r="N693" s="713"/>
      <c r="O693" s="618"/>
      <c r="P693" s="692">
        <v>3</v>
      </c>
      <c r="Q693" s="622" t="s">
        <v>5193</v>
      </c>
      <c r="R693" s="622">
        <v>399</v>
      </c>
      <c r="S693" s="623">
        <v>133</v>
      </c>
      <c r="T693" s="622">
        <v>0.25569999999999998</v>
      </c>
      <c r="U693" s="622">
        <v>1.3</v>
      </c>
      <c r="V693" s="622">
        <v>102.0243</v>
      </c>
      <c r="W693" s="622">
        <v>518.70000000000005</v>
      </c>
      <c r="X693" s="622">
        <v>13.26</v>
      </c>
      <c r="Y693" s="622"/>
      <c r="Z693" s="622"/>
      <c r="AA693" s="624"/>
    </row>
    <row r="694" spans="1:27" ht="17.45" hidden="1" customHeight="1" x14ac:dyDescent="0.25">
      <c r="A694" s="147" t="s">
        <v>4678</v>
      </c>
      <c r="B694" s="521">
        <v>458</v>
      </c>
      <c r="C694" s="521"/>
      <c r="D694" s="142" t="s">
        <v>13</v>
      </c>
      <c r="E694" s="142" t="s">
        <v>892</v>
      </c>
      <c r="F694" s="143">
        <v>45511</v>
      </c>
      <c r="G694" s="143">
        <v>45524</v>
      </c>
      <c r="H694" s="142" t="s">
        <v>23</v>
      </c>
      <c r="I694" s="522"/>
      <c r="J694" s="522"/>
      <c r="K694" s="522"/>
      <c r="L694" s="393">
        <f>65+60</f>
        <v>125</v>
      </c>
      <c r="M694" s="443">
        <f>Таблица4[[#This Row],[Количество хлыстов]]-Таблица4[[#This Row],[Готово, хл]]-Таблица4[[#This Row],[Вывезено, хл]]</f>
        <v>5</v>
      </c>
      <c r="N694" s="673">
        <f>((Таблица4[[#This Row],[Осталось сделать, хлыст]]*Таблица4[[#This Row],[длина]])*Таблица4[[#This Row],[Периметр]])/28</f>
        <v>0.14821160714285714</v>
      </c>
      <c r="O694" s="142" t="s">
        <v>4761</v>
      </c>
      <c r="P694" s="280">
        <v>5.65</v>
      </c>
      <c r="Q694" s="525" t="s">
        <v>4446</v>
      </c>
      <c r="R694" s="525">
        <v>734.5</v>
      </c>
      <c r="S694" s="526">
        <v>130</v>
      </c>
      <c r="T694" s="525">
        <v>0.1469</v>
      </c>
      <c r="U694" s="525">
        <v>1.3859999999999999</v>
      </c>
      <c r="V694" s="525">
        <v>107.8981</v>
      </c>
      <c r="W694" s="525">
        <v>1018.0170000000001</v>
      </c>
      <c r="X694" s="525">
        <v>14.03</v>
      </c>
      <c r="Y694" s="525"/>
      <c r="Z694" s="525"/>
      <c r="AA694" s="527"/>
    </row>
    <row r="695" spans="1:27" ht="17.25" hidden="1" customHeight="1" x14ac:dyDescent="0.25">
      <c r="A695" s="171" t="s">
        <v>4678</v>
      </c>
      <c r="B695" s="625">
        <v>459</v>
      </c>
      <c r="C695" s="625" t="s">
        <v>4753</v>
      </c>
      <c r="D695" s="162" t="s">
        <v>13</v>
      </c>
      <c r="E695" s="162" t="s">
        <v>43</v>
      </c>
      <c r="F695" s="168">
        <v>45511</v>
      </c>
      <c r="G695" s="143"/>
      <c r="H695" s="142" t="s">
        <v>23</v>
      </c>
      <c r="I695" s="522"/>
      <c r="J695" s="522"/>
      <c r="K695" s="522"/>
      <c r="L695" s="393">
        <v>128</v>
      </c>
      <c r="M695" s="443">
        <f>Таблица4[[#This Row],[Количество хлыстов]]-Таблица4[[#This Row],[Готово, хл]]-Таблица4[[#This Row],[Вывезено, хл]]</f>
        <v>0</v>
      </c>
      <c r="N695" s="673">
        <f>((Таблица4[[#This Row],[Осталось сделать, хлыст]]*Таблица4[[#This Row],[длина]])*Таблица4[[#This Row],[Периметр]])/28</f>
        <v>0</v>
      </c>
      <c r="O695" s="142"/>
      <c r="P695" s="280">
        <v>6</v>
      </c>
      <c r="Q695" s="525" t="s">
        <v>5252</v>
      </c>
      <c r="R695" s="525">
        <v>768</v>
      </c>
      <c r="S695" s="526">
        <v>128</v>
      </c>
      <c r="T695" s="525">
        <v>7.9000000000000001E-2</v>
      </c>
      <c r="U695" s="525">
        <v>0.39200000000000002</v>
      </c>
      <c r="V695" s="525">
        <v>60.671999999999997</v>
      </c>
      <c r="W695" s="525">
        <v>301.05599999999998</v>
      </c>
      <c r="X695" s="525">
        <v>7.89</v>
      </c>
      <c r="Y695" s="525">
        <v>54.48</v>
      </c>
      <c r="Z695" s="525">
        <v>689.61</v>
      </c>
      <c r="AA695" s="527">
        <v>41840</v>
      </c>
    </row>
    <row r="696" spans="1:27" ht="17.45" hidden="1" customHeight="1" x14ac:dyDescent="0.25">
      <c r="A696" s="147" t="s">
        <v>4678</v>
      </c>
      <c r="B696" s="521">
        <v>460</v>
      </c>
      <c r="C696" s="521"/>
      <c r="D696" s="142" t="s">
        <v>34</v>
      </c>
      <c r="E696" s="142" t="s">
        <v>79</v>
      </c>
      <c r="F696" s="143">
        <v>45511</v>
      </c>
      <c r="G696" s="143"/>
      <c r="H696" s="142" t="s">
        <v>23</v>
      </c>
      <c r="I696" s="522"/>
      <c r="J696" s="522"/>
      <c r="K696" s="522"/>
      <c r="L696" s="393">
        <v>112</v>
      </c>
      <c r="M696" s="443">
        <f>Таблица4[[#This Row],[Количество хлыстов]]-Таблица4[[#This Row],[Готово, хл]]-Таблица4[[#This Row],[Вывезено, хл]]</f>
        <v>0</v>
      </c>
      <c r="N696" s="673">
        <f>((Таблица4[[#This Row],[Осталось сделать, хлыст]]*Таблица4[[#This Row],[длина]])*Таблица4[[#This Row],[Периметр]])/28</f>
        <v>0</v>
      </c>
      <c r="O696" s="142"/>
      <c r="P696" s="280">
        <v>6</v>
      </c>
      <c r="Q696" s="525" t="s">
        <v>4590</v>
      </c>
      <c r="R696" s="525">
        <v>672</v>
      </c>
      <c r="S696" s="526">
        <v>112</v>
      </c>
      <c r="T696" s="525">
        <v>0.45550000000000002</v>
      </c>
      <c r="U696" s="525">
        <v>1.6990000000000001</v>
      </c>
      <c r="V696" s="525">
        <v>306.096</v>
      </c>
      <c r="W696" s="525">
        <v>1141.7280000000001</v>
      </c>
      <c r="X696" s="525">
        <v>39.79</v>
      </c>
      <c r="Y696" s="525">
        <v>168.54</v>
      </c>
      <c r="Z696" s="525">
        <v>370</v>
      </c>
      <c r="AA696" s="527">
        <v>113255.52</v>
      </c>
    </row>
    <row r="697" spans="1:27" ht="17.45" hidden="1" customHeight="1" x14ac:dyDescent="0.25">
      <c r="A697" s="147" t="s">
        <v>4678</v>
      </c>
      <c r="B697" s="521">
        <v>460</v>
      </c>
      <c r="C697" s="521"/>
      <c r="D697" s="142" t="s">
        <v>34</v>
      </c>
      <c r="E697" s="142" t="s">
        <v>79</v>
      </c>
      <c r="F697" s="143">
        <v>45511</v>
      </c>
      <c r="G697" s="143"/>
      <c r="H697" s="142" t="s">
        <v>23</v>
      </c>
      <c r="I697" s="522"/>
      <c r="J697" s="522"/>
      <c r="K697" s="522"/>
      <c r="L697" s="393">
        <v>17</v>
      </c>
      <c r="M697" s="443">
        <f>Таблица4[[#This Row],[Количество хлыстов]]-Таблица4[[#This Row],[Готово, хл]]-Таблица4[[#This Row],[Вывезено, хл]]</f>
        <v>0</v>
      </c>
      <c r="N697" s="673">
        <f>((Таблица4[[#This Row],[Осталось сделать, хлыст]]*Таблица4[[#This Row],[длина]])*Таблица4[[#This Row],[Периметр]])/28</f>
        <v>0</v>
      </c>
      <c r="O697" s="142"/>
      <c r="P697" s="280">
        <v>4</v>
      </c>
      <c r="Q697" s="525" t="s">
        <v>3346</v>
      </c>
      <c r="R697" s="525">
        <v>68</v>
      </c>
      <c r="S697" s="526">
        <v>17</v>
      </c>
      <c r="T697" s="525">
        <v>0.45550000000000002</v>
      </c>
      <c r="U697" s="525">
        <v>1.6990000000000001</v>
      </c>
      <c r="V697" s="525">
        <v>30.974</v>
      </c>
      <c r="W697" s="525">
        <v>115.532</v>
      </c>
      <c r="X697" s="525">
        <v>4.03</v>
      </c>
      <c r="Y697" s="525">
        <v>168.54</v>
      </c>
      <c r="Z697" s="525">
        <v>370</v>
      </c>
      <c r="AA697" s="527">
        <v>11460.38</v>
      </c>
    </row>
    <row r="698" spans="1:27" s="939" customFormat="1" ht="17.45" customHeight="1" x14ac:dyDescent="0.25">
      <c r="A698" s="924" t="s">
        <v>4678</v>
      </c>
      <c r="B698" s="925" t="s">
        <v>5254</v>
      </c>
      <c r="C698" s="925"/>
      <c r="D698" s="926" t="s">
        <v>34</v>
      </c>
      <c r="E698" s="926" t="s">
        <v>16</v>
      </c>
      <c r="F698" s="927">
        <v>45512</v>
      </c>
      <c r="G698" s="927"/>
      <c r="H698" s="926"/>
      <c r="I698" s="928"/>
      <c r="J698" s="928"/>
      <c r="K698" s="928"/>
      <c r="L698" s="937"/>
      <c r="M698" s="930">
        <f>Таблица4[[#This Row],[Количество хлыстов]]-Таблица4[[#This Row],[Готово, хл]]-Таблица4[[#This Row],[Вывезено, хл]]</f>
        <v>47</v>
      </c>
      <c r="N698" s="940">
        <f>((Таблица4[[#This Row],[Осталось сделать, хлыст]]*Таблица4[[#This Row],[длина]])*Таблица4[[#This Row],[Периметр]])/28</f>
        <v>5.7397071428571422</v>
      </c>
      <c r="O698" s="926"/>
      <c r="P698" s="938">
        <v>6</v>
      </c>
      <c r="Q698" s="933" t="s">
        <v>2581</v>
      </c>
      <c r="R698" s="933">
        <v>282</v>
      </c>
      <c r="S698" s="934">
        <v>47</v>
      </c>
      <c r="T698" s="933">
        <v>0.56989999999999996</v>
      </c>
      <c r="U698" s="933">
        <v>1.304</v>
      </c>
      <c r="V698" s="933">
        <v>160.71180000000001</v>
      </c>
      <c r="W698" s="933">
        <v>367.72800000000001</v>
      </c>
      <c r="X698" s="933">
        <v>20.89</v>
      </c>
      <c r="Y698" s="933">
        <v>324.83999999999997</v>
      </c>
      <c r="Z698" s="933">
        <v>570</v>
      </c>
      <c r="AA698" s="935">
        <v>91604.88</v>
      </c>
    </row>
    <row r="699" spans="1:27" s="939" customFormat="1" ht="17.45" customHeight="1" x14ac:dyDescent="0.25">
      <c r="A699" s="924" t="s">
        <v>4678</v>
      </c>
      <c r="B699" s="925" t="s">
        <v>5255</v>
      </c>
      <c r="C699" s="925"/>
      <c r="D699" s="926" t="s">
        <v>34</v>
      </c>
      <c r="E699" s="926" t="s">
        <v>16</v>
      </c>
      <c r="F699" s="927">
        <v>45512</v>
      </c>
      <c r="G699" s="927"/>
      <c r="H699" s="926"/>
      <c r="I699" s="928"/>
      <c r="J699" s="928"/>
      <c r="K699" s="928"/>
      <c r="L699" s="937"/>
      <c r="M699" s="930">
        <f>Таблица4[[#This Row],[Количество хлыстов]]-Таблица4[[#This Row],[Готово, хл]]-Таблица4[[#This Row],[Вывезено, хл]]</f>
        <v>111</v>
      </c>
      <c r="N699" s="940">
        <f>((Таблица4[[#This Row],[Осталось сделать, хлыст]]*Таблица4[[#This Row],[длина]])*Таблица4[[#This Row],[Периметр]])/28</f>
        <v>16.845042857142857</v>
      </c>
      <c r="O699" s="926"/>
      <c r="P699" s="938">
        <v>6</v>
      </c>
      <c r="Q699" s="933" t="s">
        <v>2469</v>
      </c>
      <c r="R699" s="933">
        <v>666</v>
      </c>
      <c r="S699" s="934">
        <v>111</v>
      </c>
      <c r="T699" s="933">
        <v>0.70820000000000005</v>
      </c>
      <c r="U699" s="933">
        <v>3.4609999999999999</v>
      </c>
      <c r="V699" s="933">
        <v>471.66120000000001</v>
      </c>
      <c r="W699" s="933">
        <v>2305.0259999999998</v>
      </c>
      <c r="X699" s="933">
        <v>61.32</v>
      </c>
      <c r="Y699" s="933">
        <v>308.07</v>
      </c>
      <c r="Z699" s="933">
        <v>435</v>
      </c>
      <c r="AA699" s="935">
        <v>205174.62</v>
      </c>
    </row>
    <row r="700" spans="1:27" ht="17.45" customHeight="1" x14ac:dyDescent="0.25">
      <c r="A700" s="147" t="s">
        <v>4678</v>
      </c>
      <c r="B700" s="521">
        <v>463</v>
      </c>
      <c r="C700" s="521" t="s">
        <v>4753</v>
      </c>
      <c r="D700" s="142" t="s">
        <v>13</v>
      </c>
      <c r="E700" s="142" t="s">
        <v>458</v>
      </c>
      <c r="F700" s="143">
        <v>45516</v>
      </c>
      <c r="G700" s="143"/>
      <c r="H700" s="142"/>
      <c r="I700" s="522"/>
      <c r="J700" s="522"/>
      <c r="K700" s="522"/>
      <c r="L700" s="393"/>
      <c r="M700" s="443">
        <f>Таблица4[[#This Row],[Количество хлыстов]]-Таблица4[[#This Row],[Готово, хл]]-Таблица4[[#This Row],[Вывезено, хл]]</f>
        <v>1500</v>
      </c>
      <c r="N700" s="673">
        <v>125</v>
      </c>
      <c r="O700" s="142"/>
      <c r="P700" s="280"/>
      <c r="Q700" s="525" t="s">
        <v>5161</v>
      </c>
      <c r="R700" s="525">
        <v>1500</v>
      </c>
      <c r="S700" s="526">
        <v>1500</v>
      </c>
      <c r="T700" s="525">
        <v>3</v>
      </c>
      <c r="U700" s="525">
        <v>3.2040000000000002</v>
      </c>
      <c r="V700" s="525">
        <v>4500</v>
      </c>
      <c r="W700" s="525">
        <v>4806</v>
      </c>
      <c r="X700" s="525">
        <v>585</v>
      </c>
      <c r="Y700" s="525">
        <v>1320</v>
      </c>
      <c r="Z700" s="525">
        <v>440</v>
      </c>
      <c r="AA700" s="527">
        <v>1980000</v>
      </c>
    </row>
    <row r="701" spans="1:27" ht="17.45" hidden="1" customHeight="1" x14ac:dyDescent="0.25">
      <c r="A701" s="147" t="s">
        <v>4678</v>
      </c>
      <c r="B701" s="521">
        <v>464</v>
      </c>
      <c r="C701" s="521"/>
      <c r="D701" s="142" t="s">
        <v>13</v>
      </c>
      <c r="E701" s="142" t="s">
        <v>489</v>
      </c>
      <c r="F701" s="143">
        <v>45517</v>
      </c>
      <c r="G701" s="143">
        <v>45524</v>
      </c>
      <c r="H701" s="142" t="s">
        <v>23</v>
      </c>
      <c r="I701" s="522"/>
      <c r="J701" s="522"/>
      <c r="K701" s="522">
        <v>153</v>
      </c>
      <c r="L701" s="393"/>
      <c r="M701" s="443">
        <f>Таблица4[[#This Row],[Количество хлыстов]]-Таблица4[[#This Row],[Готово, хл]]-Таблица4[[#This Row],[Вывезено, хл]]</f>
        <v>0</v>
      </c>
      <c r="N701" s="673">
        <f>((Таблица4[[#This Row],[Осталось сделать, хлыст]]*Таблица4[[#This Row],[длина]])*Таблица4[[#This Row],[Периметр]])/28</f>
        <v>0</v>
      </c>
      <c r="O701" s="142"/>
      <c r="P701" s="280">
        <v>3</v>
      </c>
      <c r="Q701" s="525" t="s">
        <v>783</v>
      </c>
      <c r="R701" s="525">
        <v>459</v>
      </c>
      <c r="S701" s="526">
        <v>153</v>
      </c>
      <c r="T701" s="525">
        <v>0.15310000000000001</v>
      </c>
      <c r="U701" s="525">
        <v>1.1000000000000001</v>
      </c>
      <c r="V701" s="525">
        <v>70.272900000000007</v>
      </c>
      <c r="W701" s="525">
        <v>504.9</v>
      </c>
      <c r="X701" s="525">
        <v>9.14</v>
      </c>
      <c r="Y701" s="525">
        <v>73.489999999999995</v>
      </c>
      <c r="Z701" s="525">
        <v>480</v>
      </c>
      <c r="AA701" s="527">
        <v>33730.99</v>
      </c>
    </row>
    <row r="702" spans="1:27" ht="17.45" customHeight="1" x14ac:dyDescent="0.25">
      <c r="A702" s="171" t="s">
        <v>4678</v>
      </c>
      <c r="B702" s="625">
        <v>465</v>
      </c>
      <c r="C702" s="625"/>
      <c r="D702" s="162" t="s">
        <v>13</v>
      </c>
      <c r="E702" s="162" t="s">
        <v>556</v>
      </c>
      <c r="F702" s="168">
        <v>45517</v>
      </c>
      <c r="G702" s="143"/>
      <c r="H702" s="142"/>
      <c r="I702" s="522"/>
      <c r="J702" s="522"/>
      <c r="K702" s="522"/>
      <c r="L702" s="393">
        <v>90</v>
      </c>
      <c r="M702" s="443">
        <f>Таблица4[[#This Row],[Количество хлыстов]]-Таблица4[[#This Row],[Готово, хл]]-Таблица4[[#This Row],[Вывезено, хл]]</f>
        <v>820</v>
      </c>
      <c r="N702" s="673">
        <f>((Таблица4[[#This Row],[Осталось сделать, хлыст]]*Таблица4[[#This Row],[длина]])*Таблица4[[#This Row],[Периметр]])/28</f>
        <v>53.979428571428571</v>
      </c>
      <c r="O702" s="142"/>
      <c r="P702" s="280">
        <v>6</v>
      </c>
      <c r="Q702" s="525" t="s">
        <v>5261</v>
      </c>
      <c r="R702" s="525">
        <v>5460</v>
      </c>
      <c r="S702" s="526">
        <v>910</v>
      </c>
      <c r="T702" s="525">
        <v>0.30719999999999997</v>
      </c>
      <c r="U702" s="525">
        <v>0.69199999999999995</v>
      </c>
      <c r="V702" s="525">
        <v>1677.3119999999999</v>
      </c>
      <c r="W702" s="525">
        <v>3778.32</v>
      </c>
      <c r="X702" s="525">
        <v>218.05</v>
      </c>
      <c r="Y702" s="525">
        <v>133.63</v>
      </c>
      <c r="Z702" s="525">
        <v>435</v>
      </c>
      <c r="AA702" s="527">
        <v>729630.71999999997</v>
      </c>
    </row>
    <row r="703" spans="1:27" ht="17.45" hidden="1" customHeight="1" x14ac:dyDescent="0.25">
      <c r="A703" s="147" t="s">
        <v>4678</v>
      </c>
      <c r="B703" s="521">
        <v>467</v>
      </c>
      <c r="C703" s="521"/>
      <c r="D703" s="142" t="s">
        <v>34</v>
      </c>
      <c r="E703" s="142" t="s">
        <v>14</v>
      </c>
      <c r="F703" s="143">
        <v>45518</v>
      </c>
      <c r="G703" s="143"/>
      <c r="H703" s="142" t="s">
        <v>23</v>
      </c>
      <c r="I703" s="522"/>
      <c r="J703" s="522"/>
      <c r="K703" s="522"/>
      <c r="L703" s="393">
        <f>395+2</f>
        <v>397</v>
      </c>
      <c r="M703" s="443">
        <f>Таблица4[[#This Row],[Количество хлыстов]]-Таблица4[[#This Row],[Готово, хл]]-Таблица4[[#This Row],[Вывезено, хл]]</f>
        <v>3</v>
      </c>
      <c r="N703" s="673">
        <f>((Таблица4[[#This Row],[Осталось сделать, хлыст]]*Таблица4[[#This Row],[длина]])*Таблица4[[#This Row],[Периметр]])/28</f>
        <v>0.13022624999999999</v>
      </c>
      <c r="O703" s="142" t="s">
        <v>2657</v>
      </c>
      <c r="P703" s="280">
        <v>6.05</v>
      </c>
      <c r="Q703" s="525" t="s">
        <v>628</v>
      </c>
      <c r="R703" s="525">
        <v>2420</v>
      </c>
      <c r="S703" s="526">
        <v>400</v>
      </c>
      <c r="T703" s="525">
        <v>0.2009</v>
      </c>
      <c r="U703" s="525">
        <v>0.96</v>
      </c>
      <c r="V703" s="525">
        <v>486.178</v>
      </c>
      <c r="W703" s="525">
        <v>2323.1999999999998</v>
      </c>
      <c r="X703" s="525">
        <v>63.2</v>
      </c>
      <c r="Y703" s="525">
        <v>90.41</v>
      </c>
      <c r="Z703" s="525">
        <v>450</v>
      </c>
      <c r="AA703" s="527">
        <v>218780.1</v>
      </c>
    </row>
    <row r="704" spans="1:27" ht="17.45" hidden="1" customHeight="1" x14ac:dyDescent="0.25">
      <c r="A704" s="147" t="s">
        <v>4678</v>
      </c>
      <c r="B704" s="521">
        <v>468</v>
      </c>
      <c r="C704" s="521"/>
      <c r="D704" s="142" t="s">
        <v>34</v>
      </c>
      <c r="E704" s="142" t="s">
        <v>19</v>
      </c>
      <c r="F704" s="143">
        <v>45518</v>
      </c>
      <c r="G704" s="143"/>
      <c r="H704" s="142" t="s">
        <v>23</v>
      </c>
      <c r="I704" s="522"/>
      <c r="J704" s="522"/>
      <c r="K704" s="522">
        <v>337</v>
      </c>
      <c r="L704" s="393">
        <v>3</v>
      </c>
      <c r="M704" s="443">
        <f>Таблица4[[#This Row],[Количество хлыстов]]-Таблица4[[#This Row],[Готово, хл]]-Таблица4[[#This Row],[Вывезено, хл]]</f>
        <v>0</v>
      </c>
      <c r="N704" s="673">
        <f>((Таблица4[[#This Row],[Осталось сделать, хлыст]]*Таблица4[[#This Row],[длина]])*Таблица4[[#This Row],[Периметр]])/28</f>
        <v>0</v>
      </c>
      <c r="O704" s="142" t="s">
        <v>2657</v>
      </c>
      <c r="P704" s="280">
        <v>3.6</v>
      </c>
      <c r="Q704" s="525" t="s">
        <v>5158</v>
      </c>
      <c r="R704" s="525">
        <v>1224</v>
      </c>
      <c r="S704" s="526">
        <v>340</v>
      </c>
      <c r="T704" s="525">
        <v>0.3402</v>
      </c>
      <c r="U704" s="525">
        <v>1.4530000000000001</v>
      </c>
      <c r="V704" s="525">
        <v>416.40480000000002</v>
      </c>
      <c r="W704" s="525">
        <v>1778.472</v>
      </c>
      <c r="X704" s="525">
        <v>54.13</v>
      </c>
      <c r="Y704" s="525">
        <v>136.76</v>
      </c>
      <c r="Z704" s="525">
        <v>402</v>
      </c>
      <c r="AA704" s="527">
        <v>167394.73000000001</v>
      </c>
    </row>
    <row r="705" spans="1:27" ht="17.25" hidden="1" customHeight="1" x14ac:dyDescent="0.25">
      <c r="A705" s="147" t="s">
        <v>4678</v>
      </c>
      <c r="B705" s="521">
        <v>469</v>
      </c>
      <c r="C705" s="521"/>
      <c r="D705" s="142" t="s">
        <v>34</v>
      </c>
      <c r="E705" s="142" t="s">
        <v>19</v>
      </c>
      <c r="F705" s="143">
        <v>45518</v>
      </c>
      <c r="G705" s="143"/>
      <c r="H705" s="142" t="s">
        <v>23</v>
      </c>
      <c r="I705" s="522"/>
      <c r="J705" s="522"/>
      <c r="K705" s="522">
        <v>159</v>
      </c>
      <c r="L705" s="393">
        <f>360+1</f>
        <v>361</v>
      </c>
      <c r="M705" s="443">
        <f>Таблица4[[#This Row],[Количество хлыстов]]-Таблица4[[#This Row],[Готово, хл]]-Таблица4[[#This Row],[Вывезено, хл]]</f>
        <v>0</v>
      </c>
      <c r="N705" s="673">
        <f>((Таблица4[[#This Row],[Осталось сделать, хлыст]]*Таблица4[[#This Row],[длина]])*Таблица4[[#This Row],[Периметр]])/28</f>
        <v>0</v>
      </c>
      <c r="O705" s="142" t="s">
        <v>559</v>
      </c>
      <c r="P705" s="280">
        <v>3.6</v>
      </c>
      <c r="Q705" s="525" t="s">
        <v>5264</v>
      </c>
      <c r="R705" s="525">
        <v>1872</v>
      </c>
      <c r="S705" s="526">
        <v>520</v>
      </c>
      <c r="T705" s="525">
        <v>0.1794</v>
      </c>
      <c r="U705" s="525">
        <v>0.371</v>
      </c>
      <c r="V705" s="525">
        <v>335.83679999999998</v>
      </c>
      <c r="W705" s="525">
        <v>694.51199999999994</v>
      </c>
      <c r="X705" s="525">
        <v>43.66</v>
      </c>
      <c r="Y705" s="525">
        <v>78.400000000000006</v>
      </c>
      <c r="Z705" s="525">
        <v>437</v>
      </c>
      <c r="AA705" s="527">
        <v>146760.68</v>
      </c>
    </row>
    <row r="706" spans="1:27" ht="17.25" hidden="1" customHeight="1" x14ac:dyDescent="0.25">
      <c r="A706" s="147" t="s">
        <v>4678</v>
      </c>
      <c r="B706" s="521">
        <v>470</v>
      </c>
      <c r="C706" s="521"/>
      <c r="D706" s="142" t="s">
        <v>34</v>
      </c>
      <c r="E706" s="142" t="s">
        <v>79</v>
      </c>
      <c r="F706" s="143">
        <v>45518</v>
      </c>
      <c r="G706" s="143"/>
      <c r="H706" s="142" t="s">
        <v>23</v>
      </c>
      <c r="I706" s="522"/>
      <c r="J706" s="522"/>
      <c r="K706" s="522">
        <v>63</v>
      </c>
      <c r="L706" s="393"/>
      <c r="M706" s="443">
        <f>Таблица4[[#This Row],[Количество хлыстов]]-Таблица4[[#This Row],[Готово, хл]]-Таблица4[[#This Row],[Вывезено, хл]]</f>
        <v>0</v>
      </c>
      <c r="N706" s="673">
        <f>((Таблица4[[#This Row],[Осталось сделать, хлыст]]*Таблица4[[#This Row],[длина]])*Таблица4[[#This Row],[Периметр]])/28</f>
        <v>0</v>
      </c>
      <c r="O706" s="142"/>
      <c r="P706" s="280">
        <v>6</v>
      </c>
      <c r="Q706" s="525" t="s">
        <v>4590</v>
      </c>
      <c r="R706" s="525">
        <v>378</v>
      </c>
      <c r="S706" s="526">
        <v>63</v>
      </c>
      <c r="T706" s="525">
        <v>0.45550000000000002</v>
      </c>
      <c r="U706" s="525">
        <v>1.6990000000000001</v>
      </c>
      <c r="V706" s="525">
        <v>172.179</v>
      </c>
      <c r="W706" s="525">
        <v>642.22199999999998</v>
      </c>
      <c r="X706" s="525">
        <v>22.38</v>
      </c>
      <c r="Y706" s="525">
        <v>168.54</v>
      </c>
      <c r="Z706" s="525">
        <v>370</v>
      </c>
      <c r="AA706" s="527">
        <v>63706.23</v>
      </c>
    </row>
    <row r="707" spans="1:27" ht="17.25" hidden="1" customHeight="1" x14ac:dyDescent="0.25">
      <c r="A707" s="147" t="s">
        <v>4678</v>
      </c>
      <c r="B707" s="521">
        <v>470</v>
      </c>
      <c r="C707" s="521"/>
      <c r="D707" s="142" t="s">
        <v>34</v>
      </c>
      <c r="E707" s="142" t="s">
        <v>79</v>
      </c>
      <c r="F707" s="143">
        <v>45518</v>
      </c>
      <c r="G707" s="143"/>
      <c r="H707" s="142" t="s">
        <v>23</v>
      </c>
      <c r="I707" s="522"/>
      <c r="J707" s="522"/>
      <c r="K707" s="522">
        <f>36+1</f>
        <v>37</v>
      </c>
      <c r="L707" s="393"/>
      <c r="M707" s="443">
        <f>Таблица4[[#This Row],[Количество хлыстов]]-Таблица4[[#This Row],[Готово, хл]]-Таблица4[[#This Row],[Вывезено, хл]]</f>
        <v>0</v>
      </c>
      <c r="N707" s="673">
        <f>((Таблица4[[#This Row],[Осталось сделать, хлыст]]*Таблица4[[#This Row],[длина]])*Таблица4[[#This Row],[Периметр]])/28</f>
        <v>0</v>
      </c>
      <c r="O707" s="142" t="s">
        <v>559</v>
      </c>
      <c r="P707" s="280">
        <v>4</v>
      </c>
      <c r="Q707" s="525" t="s">
        <v>3346</v>
      </c>
      <c r="R707" s="525">
        <v>148</v>
      </c>
      <c r="S707" s="526">
        <v>37</v>
      </c>
      <c r="T707" s="525">
        <v>0.45550000000000002</v>
      </c>
      <c r="U707" s="525">
        <v>1.6990000000000001</v>
      </c>
      <c r="V707" s="525">
        <v>67.414000000000001</v>
      </c>
      <c r="W707" s="525">
        <v>251.452</v>
      </c>
      <c r="X707" s="525">
        <v>8.76</v>
      </c>
      <c r="Y707" s="525">
        <v>168.54</v>
      </c>
      <c r="Z707" s="525">
        <v>370</v>
      </c>
      <c r="AA707" s="527">
        <v>24943.18</v>
      </c>
    </row>
    <row r="708" spans="1:27" ht="17.25" hidden="1" customHeight="1" x14ac:dyDescent="0.25">
      <c r="A708" s="147" t="s">
        <v>4678</v>
      </c>
      <c r="B708" s="521">
        <v>471</v>
      </c>
      <c r="C708" s="521"/>
      <c r="D708" s="142" t="s">
        <v>34</v>
      </c>
      <c r="E708" s="142" t="s">
        <v>328</v>
      </c>
      <c r="F708" s="143">
        <v>45518</v>
      </c>
      <c r="G708" s="143"/>
      <c r="H708" s="142" t="s">
        <v>23</v>
      </c>
      <c r="I708" s="522"/>
      <c r="J708" s="522"/>
      <c r="K708" s="522"/>
      <c r="L708" s="393">
        <v>129</v>
      </c>
      <c r="M708" s="443">
        <f>Таблица4[[#This Row],[Количество хлыстов]]-Таблица4[[#This Row],[Готово, хл]]-Таблица4[[#This Row],[Вывезено, хл]]</f>
        <v>0</v>
      </c>
      <c r="N708" s="673">
        <f>((Таблица4[[#This Row],[Осталось сделать, хлыст]]*Таблица4[[#This Row],[длина]])*Таблица4[[#This Row],[Периметр]])/28</f>
        <v>0</v>
      </c>
      <c r="O708" s="142"/>
      <c r="P708" s="280">
        <v>6</v>
      </c>
      <c r="Q708" s="525" t="s">
        <v>5265</v>
      </c>
      <c r="R708" s="525">
        <v>774</v>
      </c>
      <c r="S708" s="526">
        <v>129</v>
      </c>
      <c r="T708" s="525">
        <v>0.252</v>
      </c>
      <c r="U708" s="525">
        <v>0.70599999999999996</v>
      </c>
      <c r="V708" s="525">
        <v>195.048</v>
      </c>
      <c r="W708" s="525">
        <v>546.44399999999996</v>
      </c>
      <c r="X708" s="525">
        <v>25.36</v>
      </c>
      <c r="Y708" s="525">
        <v>99.54</v>
      </c>
      <c r="Z708" s="525">
        <v>395</v>
      </c>
      <c r="AA708" s="527">
        <v>77043.960000000006</v>
      </c>
    </row>
    <row r="709" spans="1:27" s="939" customFormat="1" ht="17.25" customHeight="1" x14ac:dyDescent="0.25">
      <c r="A709" s="924" t="s">
        <v>4678</v>
      </c>
      <c r="B709" s="925" t="s">
        <v>5266</v>
      </c>
      <c r="C709" s="925"/>
      <c r="D709" s="926" t="s">
        <v>34</v>
      </c>
      <c r="E709" s="926" t="s">
        <v>16</v>
      </c>
      <c r="F709" s="927">
        <v>45518</v>
      </c>
      <c r="G709" s="927"/>
      <c r="H709" s="926"/>
      <c r="I709" s="928"/>
      <c r="J709" s="928"/>
      <c r="K709" s="928"/>
      <c r="L709" s="937">
        <v>361</v>
      </c>
      <c r="M709" s="930">
        <f>Таблица4[[#This Row],[Количество хлыстов]]-Таблица4[[#This Row],[Готово, хл]]-Таблица4[[#This Row],[Вывезено, хл]]</f>
        <v>1</v>
      </c>
      <c r="N709" s="940">
        <f>((Таблица4[[#This Row],[Осталось сделать, хлыст]]*Таблица4[[#This Row],[длина]])*Таблица4[[#This Row],[Периметр]])/28</f>
        <v>3.409285714285714E-2</v>
      </c>
      <c r="O709" s="926"/>
      <c r="P709" s="938">
        <v>6</v>
      </c>
      <c r="Q709" s="933" t="s">
        <v>2845</v>
      </c>
      <c r="R709" s="933">
        <v>2172</v>
      </c>
      <c r="S709" s="934">
        <v>362</v>
      </c>
      <c r="T709" s="933">
        <v>0.15909999999999999</v>
      </c>
      <c r="U709" s="933">
        <v>0.26</v>
      </c>
      <c r="V709" s="933">
        <v>345.5652</v>
      </c>
      <c r="W709" s="933">
        <v>564.72</v>
      </c>
      <c r="X709" s="933">
        <v>44.92</v>
      </c>
      <c r="Y709" s="933">
        <v>90.69</v>
      </c>
      <c r="Z709" s="933">
        <v>570</v>
      </c>
      <c r="AA709" s="935">
        <v>196978.68</v>
      </c>
    </row>
    <row r="710" spans="1:27" s="421" customFormat="1" ht="17.25" hidden="1" customHeight="1" x14ac:dyDescent="0.25">
      <c r="A710" s="419" t="s">
        <v>5268</v>
      </c>
      <c r="B710" s="617">
        <v>472</v>
      </c>
      <c r="C710" s="617"/>
      <c r="D710" s="618" t="s">
        <v>13</v>
      </c>
      <c r="E710" s="618" t="s">
        <v>892</v>
      </c>
      <c r="F710" s="619">
        <v>45518</v>
      </c>
      <c r="G710" s="619"/>
      <c r="H710" s="618" t="s">
        <v>23</v>
      </c>
      <c r="I710" s="620"/>
      <c r="J710" s="620"/>
      <c r="K710" s="620"/>
      <c r="L710" s="677">
        <v>14</v>
      </c>
      <c r="M710" s="691">
        <f>Таблица4[[#This Row],[Количество хлыстов]]-Таблица4[[#This Row],[Готово, хл]]-Таблица4[[#This Row],[Вывезено, хл]]</f>
        <v>0</v>
      </c>
      <c r="N710" s="713">
        <f>((Таблица4[[#This Row],[Осталось сделать, хлыст]]*Таблица4[[#This Row],[длина]])*Таблица4[[#This Row],[Периметр]])/28</f>
        <v>0</v>
      </c>
      <c r="O710" s="618"/>
      <c r="P710" s="692"/>
      <c r="Q710" s="622" t="s">
        <v>5269</v>
      </c>
      <c r="R710" s="622">
        <v>62.3</v>
      </c>
      <c r="S710" s="623">
        <v>14</v>
      </c>
      <c r="T710" s="622">
        <v>0.2651</v>
      </c>
      <c r="U710" s="622">
        <v>0.82099999999999995</v>
      </c>
      <c r="V710" s="622">
        <v>16.515699999999999</v>
      </c>
      <c r="W710" s="622">
        <v>51.148299999999999</v>
      </c>
      <c r="X710" s="622">
        <v>2.15</v>
      </c>
      <c r="Y710" s="622">
        <v>87.48</v>
      </c>
      <c r="Z710" s="622">
        <v>330</v>
      </c>
      <c r="AA710" s="624">
        <v>5450.19</v>
      </c>
    </row>
    <row r="711" spans="1:27" s="421" customFormat="1" ht="17.45" hidden="1" customHeight="1" x14ac:dyDescent="0.25">
      <c r="A711" s="419" t="s">
        <v>5268</v>
      </c>
      <c r="B711" s="617">
        <v>472</v>
      </c>
      <c r="C711" s="617"/>
      <c r="D711" s="618" t="s">
        <v>13</v>
      </c>
      <c r="E711" s="618" t="s">
        <v>892</v>
      </c>
      <c r="F711" s="619">
        <v>45518</v>
      </c>
      <c r="G711" s="619"/>
      <c r="H711" s="618" t="s">
        <v>23</v>
      </c>
      <c r="I711" s="620"/>
      <c r="J711" s="620"/>
      <c r="K711" s="620"/>
      <c r="L711" s="677">
        <v>8</v>
      </c>
      <c r="M711" s="691">
        <f>Таблица4[[#This Row],[Количество хлыстов]]-Таблица4[[#This Row],[Готово, хл]]-Таблица4[[#This Row],[Вывезено, хл]]</f>
        <v>0</v>
      </c>
      <c r="N711" s="713">
        <f>((Таблица4[[#This Row],[Осталось сделать, хлыст]]*Таблица4[[#This Row],[длина]])*Таблица4[[#This Row],[Периметр]])/28</f>
        <v>0</v>
      </c>
      <c r="O711" s="618"/>
      <c r="P711" s="692"/>
      <c r="Q711" s="622" t="s">
        <v>5270</v>
      </c>
      <c r="R711" s="622">
        <v>41.2</v>
      </c>
      <c r="S711" s="623">
        <v>8</v>
      </c>
      <c r="T711" s="622">
        <v>0.15790000000000001</v>
      </c>
      <c r="U711" s="622">
        <v>0.309</v>
      </c>
      <c r="V711" s="622">
        <v>6.5054999999999996</v>
      </c>
      <c r="W711" s="622">
        <v>12.7308</v>
      </c>
      <c r="X711" s="622">
        <v>0.85</v>
      </c>
      <c r="Y711" s="622">
        <v>52.11</v>
      </c>
      <c r="Z711" s="622">
        <v>330</v>
      </c>
      <c r="AA711" s="624">
        <v>2146.81</v>
      </c>
    </row>
    <row r="712" spans="1:27" s="421" customFormat="1" ht="17.45" hidden="1" customHeight="1" x14ac:dyDescent="0.25">
      <c r="A712" s="419" t="s">
        <v>5268</v>
      </c>
      <c r="B712" s="617">
        <v>473</v>
      </c>
      <c r="C712" s="617"/>
      <c r="D712" s="618" t="s">
        <v>13</v>
      </c>
      <c r="E712" s="618" t="s">
        <v>892</v>
      </c>
      <c r="F712" s="619">
        <v>45532</v>
      </c>
      <c r="G712" s="619"/>
      <c r="H712" s="618" t="s">
        <v>23</v>
      </c>
      <c r="I712" s="620"/>
      <c r="J712" s="620"/>
      <c r="K712" s="620"/>
      <c r="L712" s="677">
        <v>237</v>
      </c>
      <c r="M712" s="691">
        <f>Таблица4[[#This Row],[Количество хлыстов]]-Таблица4[[#This Row],[Готово, хл]]-Таблица4[[#This Row],[Вывезено, хл]]</f>
        <v>0</v>
      </c>
      <c r="N712" s="713"/>
      <c r="O712" s="618"/>
      <c r="P712" s="692"/>
      <c r="Q712" s="622" t="s">
        <v>4275</v>
      </c>
      <c r="R712" s="622">
        <v>1196.8499999999999</v>
      </c>
      <c r="S712" s="623">
        <v>237</v>
      </c>
      <c r="T712" s="622">
        <v>0.2651</v>
      </c>
      <c r="U712" s="622">
        <v>0.82099999999999995</v>
      </c>
      <c r="V712" s="622">
        <v>321.30119999999999</v>
      </c>
      <c r="W712" s="622">
        <v>995.05200000000002</v>
      </c>
      <c r="X712" s="622">
        <v>41.77</v>
      </c>
      <c r="Y712" s="622">
        <v>107.37</v>
      </c>
      <c r="Z712" s="622">
        <v>330</v>
      </c>
      <c r="AA712" s="624">
        <v>130126.99</v>
      </c>
    </row>
    <row r="713" spans="1:27" ht="17.45" hidden="1" customHeight="1" x14ac:dyDescent="0.25">
      <c r="A713" s="147" t="s">
        <v>4678</v>
      </c>
      <c r="B713" s="521">
        <v>476</v>
      </c>
      <c r="C713" s="521"/>
      <c r="D713" s="142" t="s">
        <v>13</v>
      </c>
      <c r="E713" s="142" t="s">
        <v>892</v>
      </c>
      <c r="F713" s="143">
        <v>45523</v>
      </c>
      <c r="G713" s="143">
        <v>45547</v>
      </c>
      <c r="H713" s="142" t="s">
        <v>23</v>
      </c>
      <c r="I713" s="522"/>
      <c r="J713" s="522"/>
      <c r="K713" s="522"/>
      <c r="L713" s="393">
        <f>288+785</f>
        <v>1073</v>
      </c>
      <c r="M713" s="443">
        <f>Таблица4[[#This Row],[Количество хлыстов]]-Таблица4[[#This Row],[Готово, хл]]-Таблица4[[#This Row],[Вывезено, хл]]</f>
        <v>0</v>
      </c>
      <c r="N713" s="673">
        <f>((Таблица4[[#This Row],[Осталось сделать, хлыст]]*Таблица4[[#This Row],[длина]])*Таблица4[[#This Row],[Периметр]])/28</f>
        <v>0</v>
      </c>
      <c r="O713" s="142"/>
      <c r="P713" s="280">
        <v>4.8499999999999996</v>
      </c>
      <c r="Q713" s="525" t="s">
        <v>2841</v>
      </c>
      <c r="R713" s="525">
        <v>5204.05</v>
      </c>
      <c r="S713" s="526">
        <v>1073</v>
      </c>
      <c r="T713" s="525">
        <v>9.5600000000000004E-2</v>
      </c>
      <c r="U713" s="525">
        <v>0.16</v>
      </c>
      <c r="V713" s="525">
        <v>497.50720000000001</v>
      </c>
      <c r="W713" s="525">
        <v>832.64800000000002</v>
      </c>
      <c r="X713" s="525">
        <v>64.680000000000007</v>
      </c>
      <c r="Y713" s="525">
        <v>49.23</v>
      </c>
      <c r="Z713" s="525">
        <v>515</v>
      </c>
      <c r="AA713" s="527">
        <v>256216.2</v>
      </c>
    </row>
    <row r="714" spans="1:27" ht="17.45" hidden="1" customHeight="1" x14ac:dyDescent="0.25">
      <c r="A714" s="147" t="s">
        <v>4678</v>
      </c>
      <c r="B714" s="521">
        <v>475</v>
      </c>
      <c r="C714" s="521"/>
      <c r="D714" s="142" t="s">
        <v>34</v>
      </c>
      <c r="E714" s="142" t="s">
        <v>328</v>
      </c>
      <c r="F714" s="143">
        <v>45523</v>
      </c>
      <c r="G714" s="143"/>
      <c r="H714" s="142" t="s">
        <v>23</v>
      </c>
      <c r="I714" s="522"/>
      <c r="J714" s="522"/>
      <c r="K714" s="522"/>
      <c r="L714" s="393">
        <f>126+2</f>
        <v>128</v>
      </c>
      <c r="M714" s="443">
        <f>Таблица4[[#This Row],[Количество хлыстов]]-Таблица4[[#This Row],[Готово, хл]]-Таблица4[[#This Row],[Вывезено, хл]]</f>
        <v>0</v>
      </c>
      <c r="N714" s="638">
        <f>((Таблица4[[#This Row],[Осталось сделать, хлыст]]*Таблица4[[#This Row],[длина]])*Таблица4[[#This Row],[Периметр]])/28</f>
        <v>0</v>
      </c>
      <c r="O714" s="142" t="s">
        <v>5323</v>
      </c>
      <c r="P714" s="280">
        <v>6</v>
      </c>
      <c r="Q714" s="525" t="s">
        <v>5265</v>
      </c>
      <c r="R714" s="525">
        <v>768</v>
      </c>
      <c r="S714" s="526">
        <v>128</v>
      </c>
      <c r="T714" s="525">
        <v>0.252</v>
      </c>
      <c r="U714" s="525">
        <v>0.70599999999999996</v>
      </c>
      <c r="V714" s="525">
        <v>193.536</v>
      </c>
      <c r="W714" s="525">
        <v>542.20799999999997</v>
      </c>
      <c r="X714" s="525">
        <v>25.16</v>
      </c>
      <c r="Y714" s="525">
        <v>104.58</v>
      </c>
      <c r="Z714" s="525">
        <v>415</v>
      </c>
      <c r="AA714" s="527">
        <v>80317.440000000002</v>
      </c>
    </row>
    <row r="715" spans="1:27" ht="17.45" hidden="1" customHeight="1" x14ac:dyDescent="0.25">
      <c r="A715" s="147" t="s">
        <v>4678</v>
      </c>
      <c r="B715" s="521">
        <v>477</v>
      </c>
      <c r="C715" s="521"/>
      <c r="D715" s="142" t="s">
        <v>34</v>
      </c>
      <c r="E715" s="142" t="s">
        <v>79</v>
      </c>
      <c r="F715" s="143">
        <v>45523</v>
      </c>
      <c r="G715" s="143"/>
      <c r="H715" s="142" t="s">
        <v>23</v>
      </c>
      <c r="I715" s="522"/>
      <c r="J715" s="522"/>
      <c r="K715" s="522">
        <v>234</v>
      </c>
      <c r="L715" s="393"/>
      <c r="M715" s="443">
        <f>Таблица4[[#This Row],[Количество хлыстов]]-Таблица4[[#This Row],[Готово, хл]]-Таблица4[[#This Row],[Вывезено, хл]]</f>
        <v>0</v>
      </c>
      <c r="N715" s="638">
        <f>((Таблица4[[#This Row],[Осталось сделать, хлыст]]*Таблица4[[#This Row],[длина]])*Таблица4[[#This Row],[Периметр]])/28</f>
        <v>0</v>
      </c>
      <c r="O715" s="142"/>
      <c r="P715" s="280">
        <v>6</v>
      </c>
      <c r="Q715" s="525" t="s">
        <v>2624</v>
      </c>
      <c r="R715" s="525">
        <v>1404</v>
      </c>
      <c r="S715" s="526">
        <v>234</v>
      </c>
      <c r="T715" s="525">
        <v>8.8800000000000004E-2</v>
      </c>
      <c r="U715" s="525">
        <v>0.217</v>
      </c>
      <c r="V715" s="525">
        <v>124.6752</v>
      </c>
      <c r="W715" s="525">
        <v>304.66800000000001</v>
      </c>
      <c r="X715" s="525">
        <v>16.21</v>
      </c>
      <c r="Y715" s="525">
        <v>41.47</v>
      </c>
      <c r="Z715" s="525">
        <v>467</v>
      </c>
      <c r="AA715" s="527">
        <v>58223.32</v>
      </c>
    </row>
    <row r="716" spans="1:27" s="421" customFormat="1" ht="17.45" hidden="1" customHeight="1" x14ac:dyDescent="0.25">
      <c r="A716" s="419" t="s">
        <v>4978</v>
      </c>
      <c r="B716" s="617">
        <v>478</v>
      </c>
      <c r="C716" s="617"/>
      <c r="D716" s="618" t="s">
        <v>34</v>
      </c>
      <c r="E716" s="618" t="s">
        <v>45</v>
      </c>
      <c r="F716" s="619">
        <v>45524</v>
      </c>
      <c r="G716" s="619"/>
      <c r="H716" s="618" t="s">
        <v>23</v>
      </c>
      <c r="I716" s="620"/>
      <c r="J716" s="620"/>
      <c r="K716" s="620"/>
      <c r="L716" s="677"/>
      <c r="M716" s="691">
        <f>Таблица4[[#This Row],[Количество хлыстов]]-Таблица4[[#This Row],[Готово, хл]]-Таблица4[[#This Row],[Вывезено, хл]]</f>
        <v>10</v>
      </c>
      <c r="N716" s="713">
        <v>0</v>
      </c>
      <c r="O716" s="618"/>
      <c r="P716" s="692"/>
      <c r="Q716" s="622" t="s">
        <v>4941</v>
      </c>
      <c r="R716" s="622">
        <v>61</v>
      </c>
      <c r="S716" s="623">
        <v>10</v>
      </c>
      <c r="T716" s="622">
        <v>0.87019999999999997</v>
      </c>
      <c r="U716" s="622">
        <v>3.4220000000000002</v>
      </c>
      <c r="V716" s="622">
        <v>53.0822</v>
      </c>
      <c r="W716" s="622">
        <v>208.74199999999999</v>
      </c>
      <c r="X716" s="622">
        <v>6.9</v>
      </c>
      <c r="Y716" s="622">
        <v>302.61</v>
      </c>
      <c r="Z716" s="622">
        <v>347.75</v>
      </c>
      <c r="AA716" s="624">
        <v>18459.34</v>
      </c>
    </row>
    <row r="717" spans="1:27" s="421" customFormat="1" ht="17.45" hidden="1" customHeight="1" x14ac:dyDescent="0.25">
      <c r="A717" s="419" t="s">
        <v>4978</v>
      </c>
      <c r="B717" s="617">
        <v>478</v>
      </c>
      <c r="C717" s="617"/>
      <c r="D717" s="618" t="s">
        <v>34</v>
      </c>
      <c r="E717" s="618" t="s">
        <v>45</v>
      </c>
      <c r="F717" s="619">
        <v>45524</v>
      </c>
      <c r="G717" s="619"/>
      <c r="H717" s="618" t="s">
        <v>23</v>
      </c>
      <c r="I717" s="620"/>
      <c r="J717" s="620"/>
      <c r="K717" s="620"/>
      <c r="L717" s="677"/>
      <c r="M717" s="691">
        <f>Таблица4[[#This Row],[Количество хлыстов]]-Таблица4[[#This Row],[Готово, хл]]-Таблица4[[#This Row],[Вывезено, хл]]</f>
        <v>10</v>
      </c>
      <c r="N717" s="713">
        <v>0</v>
      </c>
      <c r="O717" s="618"/>
      <c r="P717" s="692"/>
      <c r="Q717" s="622" t="s">
        <v>4942</v>
      </c>
      <c r="R717" s="622">
        <v>61</v>
      </c>
      <c r="S717" s="623">
        <v>10</v>
      </c>
      <c r="T717" s="622">
        <v>0.1023</v>
      </c>
      <c r="U717" s="622">
        <v>0.28599999999999998</v>
      </c>
      <c r="V717" s="622">
        <v>6.2403000000000004</v>
      </c>
      <c r="W717" s="622">
        <v>17.446000000000002</v>
      </c>
      <c r="X717" s="622">
        <v>0.81</v>
      </c>
      <c r="Y717" s="622">
        <v>31.28</v>
      </c>
      <c r="Z717" s="622">
        <v>305.75</v>
      </c>
      <c r="AA717" s="624">
        <v>1907.97</v>
      </c>
    </row>
    <row r="718" spans="1:27" ht="17.45" customHeight="1" x14ac:dyDescent="0.25">
      <c r="A718" s="171" t="s">
        <v>4678</v>
      </c>
      <c r="B718" s="625">
        <v>479</v>
      </c>
      <c r="C718" s="625"/>
      <c r="D718" s="162" t="s">
        <v>13</v>
      </c>
      <c r="E718" s="162" t="s">
        <v>3819</v>
      </c>
      <c r="F718" s="168">
        <v>45525</v>
      </c>
      <c r="G718" s="143"/>
      <c r="H718" s="142"/>
      <c r="I718" s="522"/>
      <c r="J718" s="522"/>
      <c r="K718" s="522">
        <f>22+20</f>
        <v>42</v>
      </c>
      <c r="L718" s="393"/>
      <c r="M718" s="443">
        <f>Таблица4[[#This Row],[Количество хлыстов]]-Таблица4[[#This Row],[Готово, хл]]-Таблица4[[#This Row],[Вывезено, хл]]</f>
        <v>24</v>
      </c>
      <c r="N718" s="638">
        <f>((Таблица4[[#This Row],[Осталось сделать, хлыст]]*Таблица4[[#This Row],[длина]])*Таблица4[[#This Row],[Периметр]])/28</f>
        <v>3.0877714285714291</v>
      </c>
      <c r="O718" s="142"/>
      <c r="P718" s="280">
        <v>6</v>
      </c>
      <c r="Q718" s="525" t="s">
        <v>5216</v>
      </c>
      <c r="R718" s="525">
        <v>396</v>
      </c>
      <c r="S718" s="526">
        <v>66</v>
      </c>
      <c r="T718" s="525">
        <v>0.60040000000000004</v>
      </c>
      <c r="U718" s="525">
        <v>2.5739999999999998</v>
      </c>
      <c r="V718" s="525">
        <v>237.75839999999999</v>
      </c>
      <c r="W718" s="525">
        <v>1019.304</v>
      </c>
      <c r="X718" s="525">
        <v>30.91</v>
      </c>
      <c r="Y718" s="525">
        <v>261.17</v>
      </c>
      <c r="Z718" s="525">
        <v>435</v>
      </c>
      <c r="AA718" s="527">
        <v>103424.9</v>
      </c>
    </row>
    <row r="719" spans="1:27" s="421" customFormat="1" ht="17.45" hidden="1" customHeight="1" x14ac:dyDescent="0.25">
      <c r="A719" s="419" t="s">
        <v>5268</v>
      </c>
      <c r="B719" s="617">
        <v>480</v>
      </c>
      <c r="C719" s="617"/>
      <c r="D719" s="618" t="s">
        <v>13</v>
      </c>
      <c r="E719" s="618" t="s">
        <v>892</v>
      </c>
      <c r="F719" s="619">
        <v>45538</v>
      </c>
      <c r="G719" s="619"/>
      <c r="H719" s="618" t="s">
        <v>23</v>
      </c>
      <c r="I719" s="620"/>
      <c r="J719" s="620"/>
      <c r="K719" s="620"/>
      <c r="L719" s="677">
        <v>19</v>
      </c>
      <c r="M719" s="691">
        <f>Таблица4[[#This Row],[Количество хлыстов]]-Таблица4[[#This Row],[Готово, хл]]-Таблица4[[#This Row],[Вывезено, хл]]</f>
        <v>0</v>
      </c>
      <c r="N719" s="713">
        <f>((Таблица4[[#This Row],[Осталось сделать, хлыст]]*Таблица4[[#This Row],[длина]])*Таблица4[[#This Row],[Периметр]])/28</f>
        <v>0</v>
      </c>
      <c r="O719" s="618" t="s">
        <v>5280</v>
      </c>
      <c r="P719" s="692"/>
      <c r="Q719" s="622" t="s">
        <v>5306</v>
      </c>
      <c r="R719" s="622">
        <v>95.95</v>
      </c>
      <c r="S719" s="623">
        <v>19</v>
      </c>
      <c r="T719" s="622">
        <v>0.2651</v>
      </c>
      <c r="U719" s="622">
        <v>0.82099999999999995</v>
      </c>
      <c r="V719" s="622">
        <v>25.436299999999999</v>
      </c>
      <c r="W719" s="622">
        <v>78.775000000000006</v>
      </c>
      <c r="X719" s="622">
        <v>3.31</v>
      </c>
      <c r="Y719" s="622">
        <v>146.07</v>
      </c>
      <c r="Z719" s="622">
        <v>551</v>
      </c>
      <c r="AA719" s="624">
        <v>14015.42</v>
      </c>
    </row>
    <row r="720" spans="1:27" s="421" customFormat="1" ht="17.45" hidden="1" customHeight="1" x14ac:dyDescent="0.25">
      <c r="A720" s="419" t="s">
        <v>5268</v>
      </c>
      <c r="B720" s="617">
        <v>480</v>
      </c>
      <c r="C720" s="617"/>
      <c r="D720" s="618" t="s">
        <v>13</v>
      </c>
      <c r="E720" s="618" t="s">
        <v>892</v>
      </c>
      <c r="F720" s="619">
        <v>45538</v>
      </c>
      <c r="G720" s="619"/>
      <c r="H720" s="618" t="s">
        <v>23</v>
      </c>
      <c r="I720" s="620"/>
      <c r="J720" s="620"/>
      <c r="K720" s="620"/>
      <c r="L720" s="677">
        <v>32</v>
      </c>
      <c r="M720" s="691">
        <f>Таблица4[[#This Row],[Количество хлыстов]]-Таблица4[[#This Row],[Готово, хл]]-Таблица4[[#This Row],[Вывезено, хл]]</f>
        <v>0</v>
      </c>
      <c r="N720" s="713">
        <f>((Таблица4[[#This Row],[Осталось сделать, хлыст]]*Таблица4[[#This Row],[длина]])*Таблица4[[#This Row],[Периметр]])/28</f>
        <v>0</v>
      </c>
      <c r="O720" s="618" t="s">
        <v>5280</v>
      </c>
      <c r="P720" s="692"/>
      <c r="Q720" s="622" t="s">
        <v>5307</v>
      </c>
      <c r="R720" s="622">
        <v>164.8</v>
      </c>
      <c r="S720" s="623">
        <v>32</v>
      </c>
      <c r="T720" s="622">
        <v>0.15790000000000001</v>
      </c>
      <c r="U720" s="622">
        <v>0.309</v>
      </c>
      <c r="V720" s="622">
        <v>26.021899999999999</v>
      </c>
      <c r="W720" s="622">
        <v>50.923200000000001</v>
      </c>
      <c r="X720" s="622">
        <v>3.38</v>
      </c>
      <c r="Y720" s="622">
        <v>87</v>
      </c>
      <c r="Z720" s="622">
        <v>551</v>
      </c>
      <c r="AA720" s="624">
        <v>14337.6</v>
      </c>
    </row>
    <row r="721" spans="1:27" s="421" customFormat="1" ht="17.45" hidden="1" customHeight="1" x14ac:dyDescent="0.25">
      <c r="A721" s="419" t="s">
        <v>5268</v>
      </c>
      <c r="B721" s="617">
        <v>480</v>
      </c>
      <c r="C721" s="617"/>
      <c r="D721" s="618" t="s">
        <v>13</v>
      </c>
      <c r="E721" s="618" t="s">
        <v>892</v>
      </c>
      <c r="F721" s="619">
        <v>45538</v>
      </c>
      <c r="G721" s="619"/>
      <c r="H721" s="618" t="s">
        <v>23</v>
      </c>
      <c r="I721" s="620"/>
      <c r="J721" s="620"/>
      <c r="K721" s="620"/>
      <c r="L721" s="677">
        <v>50</v>
      </c>
      <c r="M721" s="691">
        <f>Таблица4[[#This Row],[Количество хлыстов]]-Таблица4[[#This Row],[Готово, хл]]-Таблица4[[#This Row],[Вывезено, хл]]</f>
        <v>0</v>
      </c>
      <c r="N721" s="713">
        <f>((Таблица4[[#This Row],[Осталось сделать, хлыст]]*Таблица4[[#This Row],[длина]])*Таблица4[[#This Row],[Периметр]])/28</f>
        <v>0</v>
      </c>
      <c r="O721" s="618" t="s">
        <v>5280</v>
      </c>
      <c r="P721" s="692"/>
      <c r="Q721" s="622" t="s">
        <v>5308</v>
      </c>
      <c r="R721" s="622">
        <v>242.5</v>
      </c>
      <c r="S721" s="623">
        <v>50</v>
      </c>
      <c r="T721" s="622">
        <v>9.5600000000000004E-2</v>
      </c>
      <c r="U721" s="622">
        <v>0.16</v>
      </c>
      <c r="V721" s="622">
        <v>23.183</v>
      </c>
      <c r="W721" s="622">
        <v>38.799999999999997</v>
      </c>
      <c r="X721" s="622">
        <v>3.01</v>
      </c>
      <c r="Y721" s="622">
        <v>50.38</v>
      </c>
      <c r="Z721" s="622">
        <v>527</v>
      </c>
      <c r="AA721" s="624">
        <v>12217.15</v>
      </c>
    </row>
    <row r="722" spans="1:27" s="421" customFormat="1" ht="17.45" hidden="1" customHeight="1" x14ac:dyDescent="0.25">
      <c r="A722" s="419" t="s">
        <v>4978</v>
      </c>
      <c r="B722" s="617">
        <v>482</v>
      </c>
      <c r="C722" s="617"/>
      <c r="D722" s="618" t="s">
        <v>34</v>
      </c>
      <c r="E722" s="618" t="s">
        <v>4807</v>
      </c>
      <c r="F722" s="619">
        <v>45525</v>
      </c>
      <c r="G722" s="619"/>
      <c r="H722" s="618" t="s">
        <v>23</v>
      </c>
      <c r="I722" s="620"/>
      <c r="J722" s="620"/>
      <c r="K722" s="620"/>
      <c r="L722" s="677">
        <f>661+11</f>
        <v>672</v>
      </c>
      <c r="M722" s="691">
        <f>Таблица4[[#This Row],[Количество хлыстов]]-Таблица4[[#This Row],[Готово, хл]]-Таблица4[[#This Row],[Вывезено, хл]]</f>
        <v>0</v>
      </c>
      <c r="N722" s="713"/>
      <c r="O722" s="618" t="s">
        <v>5309</v>
      </c>
      <c r="P722" s="692">
        <v>5.3</v>
      </c>
      <c r="Q722" s="622" t="s">
        <v>4806</v>
      </c>
      <c r="R722" s="622">
        <v>3561.6</v>
      </c>
      <c r="S722" s="623">
        <v>672</v>
      </c>
      <c r="T722" s="622">
        <v>0.22270000000000001</v>
      </c>
      <c r="U722" s="622">
        <v>0.52700000000000002</v>
      </c>
      <c r="V722" s="622">
        <v>793.16830000000004</v>
      </c>
      <c r="W722" s="622">
        <v>1876.9631999999999</v>
      </c>
      <c r="X722" s="622">
        <v>103.11</v>
      </c>
      <c r="Y722" s="622">
        <v>73.209999999999994</v>
      </c>
      <c r="Z722" s="622">
        <v>328.75</v>
      </c>
      <c r="AA722" s="624">
        <v>260754.09</v>
      </c>
    </row>
    <row r="723" spans="1:27" ht="17.45" customHeight="1" x14ac:dyDescent="0.25">
      <c r="A723" s="147"/>
      <c r="B723" s="521">
        <v>481</v>
      </c>
      <c r="C723" s="521"/>
      <c r="D723" s="142" t="s">
        <v>4858</v>
      </c>
      <c r="E723" s="142" t="s">
        <v>4734</v>
      </c>
      <c r="F723" s="143">
        <v>45525</v>
      </c>
      <c r="G723" s="143"/>
      <c r="H723" s="142"/>
      <c r="I723" s="522"/>
      <c r="J723" s="522"/>
      <c r="K723" s="522"/>
      <c r="L723" s="393"/>
      <c r="M723" s="443">
        <v>8</v>
      </c>
      <c r="N723" s="638">
        <f>((Таблица4[[#This Row],[Осталось сделать, хлыст]]*Таблица4[[#This Row],[длина]])*Таблица4[[#This Row],[Периметр]])/28</f>
        <v>1.0271999999999999</v>
      </c>
      <c r="O723" s="142"/>
      <c r="P723" s="280">
        <v>6</v>
      </c>
      <c r="Q723" s="525" t="s">
        <v>5281</v>
      </c>
      <c r="R723" s="525">
        <v>48</v>
      </c>
      <c r="S723" s="526">
        <v>8</v>
      </c>
      <c r="T723" s="525">
        <v>0.59919999999999995</v>
      </c>
      <c r="U723" s="525">
        <v>2.5739999999999998</v>
      </c>
      <c r="V723" s="525">
        <v>28.761600000000001</v>
      </c>
      <c r="W723" s="525">
        <v>123.55200000000001</v>
      </c>
      <c r="X723" s="525">
        <v>3.74</v>
      </c>
      <c r="Y723" s="525">
        <v>254.66</v>
      </c>
      <c r="Z723" s="525">
        <v>425</v>
      </c>
      <c r="AA723" s="527">
        <v>12223.68</v>
      </c>
    </row>
    <row r="724" spans="1:27" ht="17.45" customHeight="1" x14ac:dyDescent="0.25">
      <c r="A724" s="147"/>
      <c r="B724" s="521">
        <v>481</v>
      </c>
      <c r="C724" s="521"/>
      <c r="D724" s="142" t="s">
        <v>4858</v>
      </c>
      <c r="E724" s="142" t="s">
        <v>4734</v>
      </c>
      <c r="F724" s="143">
        <v>45525</v>
      </c>
      <c r="G724" s="143"/>
      <c r="H724" s="142"/>
      <c r="I724" s="522"/>
      <c r="J724" s="522"/>
      <c r="K724" s="522"/>
      <c r="L724" s="393"/>
      <c r="M724" s="443">
        <v>15</v>
      </c>
      <c r="N724" s="638">
        <f>((Таблица4[[#This Row],[Осталось сделать, хлыст]]*Таблица4[[#This Row],[длина]])*Таблица4[[#This Row],[Периметр]])/28</f>
        <v>0.99642857142857133</v>
      </c>
      <c r="O724" s="142"/>
      <c r="P724" s="280">
        <v>6</v>
      </c>
      <c r="Q724" s="525" t="s">
        <v>4461</v>
      </c>
      <c r="R724" s="525">
        <v>90</v>
      </c>
      <c r="S724" s="526">
        <v>15</v>
      </c>
      <c r="T724" s="525">
        <v>0.31</v>
      </c>
      <c r="U724" s="525">
        <v>1.2010000000000001</v>
      </c>
      <c r="V724" s="525">
        <v>27.9</v>
      </c>
      <c r="W724" s="525">
        <v>108.09</v>
      </c>
      <c r="X724" s="525">
        <v>3.63</v>
      </c>
      <c r="Y724" s="525">
        <v>131.75</v>
      </c>
      <c r="Z724" s="525">
        <v>425</v>
      </c>
      <c r="AA724" s="527">
        <v>11857.5</v>
      </c>
    </row>
    <row r="725" spans="1:27" ht="17.45" hidden="1" customHeight="1" x14ac:dyDescent="0.25">
      <c r="A725" s="147" t="s">
        <v>4678</v>
      </c>
      <c r="B725" s="521" t="s">
        <v>5283</v>
      </c>
      <c r="C725" s="521"/>
      <c r="D725" s="142" t="s">
        <v>34</v>
      </c>
      <c r="E725" s="142" t="s">
        <v>16</v>
      </c>
      <c r="F725" s="143">
        <v>45526</v>
      </c>
      <c r="G725" s="143"/>
      <c r="H725" s="142" t="s">
        <v>23</v>
      </c>
      <c r="I725" s="522"/>
      <c r="J725" s="522"/>
      <c r="K725" s="522"/>
      <c r="L725" s="393">
        <v>75</v>
      </c>
      <c r="M725" s="443">
        <f>Таблица4[[#This Row],[Количество хлыстов]]-Таблица4[[#This Row],[Готово, хл]]-Таблица4[[#This Row],[Вывезено, хл]]</f>
        <v>5</v>
      </c>
      <c r="N725" s="638">
        <f>((Таблица4[[#This Row],[Осталось сделать, хлыст]]*Таблица4[[#This Row],[длина]])*Таблица4[[#This Row],[Периметр]])/28</f>
        <v>0.32110714285714292</v>
      </c>
      <c r="O725" s="142" t="s">
        <v>5282</v>
      </c>
      <c r="P725" s="280">
        <v>6</v>
      </c>
      <c r="Q725" s="525" t="s">
        <v>2423</v>
      </c>
      <c r="R725" s="525">
        <v>480</v>
      </c>
      <c r="S725" s="526">
        <v>80</v>
      </c>
      <c r="T725" s="525">
        <v>0.29970000000000002</v>
      </c>
      <c r="U725" s="525">
        <v>1.6739999999999999</v>
      </c>
      <c r="V725" s="525">
        <v>143.85599999999999</v>
      </c>
      <c r="W725" s="525">
        <v>803.52</v>
      </c>
      <c r="X725" s="525">
        <v>18.7</v>
      </c>
      <c r="Y725" s="525">
        <v>170.83</v>
      </c>
      <c r="Z725" s="525">
        <v>570</v>
      </c>
      <c r="AA725" s="527">
        <v>81997.919999999998</v>
      </c>
    </row>
    <row r="726" spans="1:27" ht="17.45" hidden="1" customHeight="1" x14ac:dyDescent="0.25">
      <c r="A726" s="147" t="s">
        <v>4678</v>
      </c>
      <c r="B726" s="521">
        <v>485</v>
      </c>
      <c r="C726" s="521"/>
      <c r="D726" s="142" t="s">
        <v>34</v>
      </c>
      <c r="E726" s="142" t="s">
        <v>4554</v>
      </c>
      <c r="F726" s="143">
        <v>45526</v>
      </c>
      <c r="G726" s="143"/>
      <c r="H726" s="142" t="s">
        <v>677</v>
      </c>
      <c r="I726" s="522"/>
      <c r="J726" s="522"/>
      <c r="K726" s="522"/>
      <c r="L726" s="393"/>
      <c r="M726" s="443">
        <f>Таблица4[[#This Row],[Количество хлыстов]]-Таблица4[[#This Row],[Готово, хл]]-Таблица4[[#This Row],[Вывезено, хл]]</f>
        <v>4</v>
      </c>
      <c r="N726" s="638">
        <f>((Таблица4[[#This Row],[Осталось сделать, хлыст]]*Таблица4[[#This Row],[длина]])*Таблица4[[#This Row],[Периметр]])/28</f>
        <v>9.4365000000000004E-2</v>
      </c>
      <c r="O726" s="142" t="s">
        <v>5288</v>
      </c>
      <c r="P726" s="280">
        <v>3.15</v>
      </c>
      <c r="Q726" s="525" t="s">
        <v>5284</v>
      </c>
      <c r="R726" s="525">
        <v>12.6</v>
      </c>
      <c r="S726" s="526">
        <v>4</v>
      </c>
      <c r="T726" s="525">
        <v>0.2097</v>
      </c>
      <c r="U726" s="525">
        <v>1.1140000000000001</v>
      </c>
      <c r="V726" s="525">
        <v>2.6421999999999999</v>
      </c>
      <c r="W726" s="525">
        <v>14.0364</v>
      </c>
      <c r="X726" s="525">
        <v>0.34</v>
      </c>
      <c r="Y726" s="525">
        <v>91.43</v>
      </c>
      <c r="Z726" s="525">
        <v>436</v>
      </c>
      <c r="AA726" s="527">
        <v>1152.01</v>
      </c>
    </row>
    <row r="727" spans="1:27" s="421" customFormat="1" ht="17.45" hidden="1" customHeight="1" x14ac:dyDescent="0.25">
      <c r="A727" s="419" t="s">
        <v>4978</v>
      </c>
      <c r="B727" s="617">
        <v>486</v>
      </c>
      <c r="C727" s="617"/>
      <c r="D727" s="656" t="s">
        <v>34</v>
      </c>
      <c r="E727" s="656" t="s">
        <v>4807</v>
      </c>
      <c r="F727" s="907">
        <v>45545</v>
      </c>
      <c r="G727" s="907"/>
      <c r="H727" s="656" t="s">
        <v>23</v>
      </c>
      <c r="I727" s="908"/>
      <c r="J727" s="908"/>
      <c r="K727" s="908"/>
      <c r="L727" s="909"/>
      <c r="M727" s="691">
        <f>Таблица4[[#This Row],[Количество хлыстов]]-Таблица4[[#This Row],[Готово, хл]]-Таблица4[[#This Row],[Вывезено, хл]]</f>
        <v>224</v>
      </c>
      <c r="N727" s="713">
        <v>0</v>
      </c>
      <c r="O727" s="656"/>
      <c r="P727" s="692">
        <v>5.3</v>
      </c>
      <c r="Q727" s="692" t="s">
        <v>4806</v>
      </c>
      <c r="R727" s="692">
        <v>1187.2</v>
      </c>
      <c r="S727" s="910">
        <v>224</v>
      </c>
      <c r="T727" s="692">
        <v>0.22270000000000001</v>
      </c>
      <c r="U727" s="692">
        <v>0.52700000000000002</v>
      </c>
      <c r="V727" s="692">
        <v>264.38940000000002</v>
      </c>
      <c r="W727" s="692">
        <v>625.65440000000001</v>
      </c>
      <c r="X727" s="692">
        <v>34.369999999999997</v>
      </c>
      <c r="Y727" s="692">
        <v>73.209999999999994</v>
      </c>
      <c r="Z727" s="692">
        <v>328.75</v>
      </c>
      <c r="AA727" s="911">
        <v>86918.03</v>
      </c>
    </row>
    <row r="728" spans="1:27" s="421" customFormat="1" ht="17.45" hidden="1" customHeight="1" x14ac:dyDescent="0.25">
      <c r="A728" s="419" t="s">
        <v>4978</v>
      </c>
      <c r="B728" s="617">
        <v>486</v>
      </c>
      <c r="C728" s="617"/>
      <c r="D728" s="656" t="s">
        <v>34</v>
      </c>
      <c r="E728" s="656" t="s">
        <v>4807</v>
      </c>
      <c r="F728" s="619">
        <v>45545</v>
      </c>
      <c r="G728" s="619"/>
      <c r="H728" s="656" t="s">
        <v>23</v>
      </c>
      <c r="I728" s="620"/>
      <c r="J728" s="620"/>
      <c r="K728" s="620"/>
      <c r="L728" s="677"/>
      <c r="M728" s="691">
        <f>Таблица4[[#This Row],[Количество хлыстов]]-Таблица4[[#This Row],[Готово, хл]]-Таблица4[[#This Row],[Вывезено, хл]]</f>
        <v>302</v>
      </c>
      <c r="N728" s="713">
        <v>0</v>
      </c>
      <c r="O728" s="656"/>
      <c r="P728" s="692">
        <v>4.9000000000000004</v>
      </c>
      <c r="Q728" s="622" t="s">
        <v>4897</v>
      </c>
      <c r="R728" s="622">
        <v>1479.8</v>
      </c>
      <c r="S728" s="623">
        <v>302</v>
      </c>
      <c r="T728" s="622">
        <v>0.14419999999999999</v>
      </c>
      <c r="U728" s="622">
        <v>0.33200000000000002</v>
      </c>
      <c r="V728" s="622">
        <v>213.38720000000001</v>
      </c>
      <c r="W728" s="622">
        <v>491.29360000000003</v>
      </c>
      <c r="X728" s="622">
        <v>27.74</v>
      </c>
      <c r="Y728" s="622">
        <v>47.41</v>
      </c>
      <c r="Z728" s="622">
        <v>328.75</v>
      </c>
      <c r="AA728" s="624">
        <v>70151.03</v>
      </c>
    </row>
    <row r="729" spans="1:27" s="421" customFormat="1" ht="17.45" hidden="1" customHeight="1" x14ac:dyDescent="0.25">
      <c r="A729" s="419" t="s">
        <v>4978</v>
      </c>
      <c r="B729" s="617">
        <v>486</v>
      </c>
      <c r="C729" s="617"/>
      <c r="D729" s="656" t="s">
        <v>34</v>
      </c>
      <c r="E729" s="656" t="s">
        <v>4807</v>
      </c>
      <c r="F729" s="619">
        <v>45545</v>
      </c>
      <c r="G729" s="619"/>
      <c r="H729" s="656" t="s">
        <v>23</v>
      </c>
      <c r="I729" s="620"/>
      <c r="J729" s="620"/>
      <c r="K729" s="620"/>
      <c r="L729" s="677"/>
      <c r="M729" s="691">
        <f>Таблица4[[#This Row],[Количество хлыстов]]-Таблица4[[#This Row],[Готово, хл]]-Таблица4[[#This Row],[Вывезено, хл]]</f>
        <v>209</v>
      </c>
      <c r="N729" s="713">
        <v>0</v>
      </c>
      <c r="O729" s="656"/>
      <c r="P729" s="692">
        <v>5.6</v>
      </c>
      <c r="Q729" s="622" t="s">
        <v>4898</v>
      </c>
      <c r="R729" s="622">
        <v>1170.4000000000001</v>
      </c>
      <c r="S729" s="623">
        <v>209</v>
      </c>
      <c r="T729" s="622">
        <v>0.1734</v>
      </c>
      <c r="U729" s="622">
        <v>0.38200000000000001</v>
      </c>
      <c r="V729" s="622">
        <v>202.94739999999999</v>
      </c>
      <c r="W729" s="622">
        <v>447.09280000000001</v>
      </c>
      <c r="X729" s="622">
        <v>26.38</v>
      </c>
      <c r="Y729" s="622">
        <v>57.01</v>
      </c>
      <c r="Z729" s="622">
        <v>328.75</v>
      </c>
      <c r="AA729" s="624">
        <v>66718.94</v>
      </c>
    </row>
    <row r="730" spans="1:27" ht="17.45" customHeight="1" x14ac:dyDescent="0.25">
      <c r="A730" s="147" t="s">
        <v>4678</v>
      </c>
      <c r="B730" s="521">
        <v>487</v>
      </c>
      <c r="C730" s="521" t="s">
        <v>4753</v>
      </c>
      <c r="D730" s="142" t="s">
        <v>13</v>
      </c>
      <c r="E730" s="142" t="s">
        <v>5287</v>
      </c>
      <c r="F730" s="143">
        <v>45527</v>
      </c>
      <c r="G730" s="143"/>
      <c r="H730" s="142"/>
      <c r="I730" s="522"/>
      <c r="J730" s="522"/>
      <c r="K730" s="522"/>
      <c r="L730" s="393"/>
      <c r="M730" s="443">
        <f>Таблица4[[#This Row],[Количество хлыстов]]-Таблица4[[#This Row],[Готово, хл]]-Таблица4[[#This Row],[Вывезено, хл]]</f>
        <v>36</v>
      </c>
      <c r="N730" s="638">
        <v>3</v>
      </c>
      <c r="O730" s="142"/>
      <c r="P730" s="280"/>
      <c r="Q730" s="525" t="s">
        <v>5121</v>
      </c>
      <c r="R730" s="525">
        <v>36</v>
      </c>
      <c r="S730" s="526">
        <v>36</v>
      </c>
      <c r="T730" s="525">
        <v>1.2</v>
      </c>
      <c r="U730" s="525">
        <v>3.2040000000000002</v>
      </c>
      <c r="V730" s="525">
        <v>43.2</v>
      </c>
      <c r="W730" s="525">
        <v>115.34399999999999</v>
      </c>
      <c r="X730" s="525">
        <v>5.62</v>
      </c>
      <c r="Y730" s="525">
        <v>2135</v>
      </c>
      <c r="Z730" s="525">
        <v>1779.17</v>
      </c>
      <c r="AA730" s="527">
        <v>76860</v>
      </c>
    </row>
    <row r="731" spans="1:27" ht="17.45" customHeight="1" x14ac:dyDescent="0.25">
      <c r="A731" s="147" t="s">
        <v>4678</v>
      </c>
      <c r="B731" s="521">
        <v>487</v>
      </c>
      <c r="C731" s="521" t="s">
        <v>4753</v>
      </c>
      <c r="D731" s="142" t="s">
        <v>13</v>
      </c>
      <c r="E731" s="142" t="s">
        <v>5287</v>
      </c>
      <c r="F731" s="143">
        <v>45527</v>
      </c>
      <c r="G731" s="143"/>
      <c r="H731" s="142"/>
      <c r="I731" s="522"/>
      <c r="J731" s="522"/>
      <c r="K731" s="522"/>
      <c r="L731" s="393"/>
      <c r="M731" s="443">
        <f>Таблица4[[#This Row],[Количество хлыстов]]-Таблица4[[#This Row],[Готово, хл]]-Таблица4[[#This Row],[Вывезено, хл]]</f>
        <v>24</v>
      </c>
      <c r="N731" s="638">
        <v>2</v>
      </c>
      <c r="O731" s="142"/>
      <c r="P731" s="280"/>
      <c r="Q731" s="525" t="s">
        <v>5121</v>
      </c>
      <c r="R731" s="525">
        <v>24</v>
      </c>
      <c r="S731" s="526">
        <v>24</v>
      </c>
      <c r="T731" s="525">
        <v>1.2</v>
      </c>
      <c r="U731" s="525">
        <v>3.2040000000000002</v>
      </c>
      <c r="V731" s="525">
        <v>28.8</v>
      </c>
      <c r="W731" s="525">
        <v>76.896000000000001</v>
      </c>
      <c r="X731" s="525">
        <v>3.74</v>
      </c>
      <c r="Y731" s="525">
        <v>2135</v>
      </c>
      <c r="Z731" s="525">
        <v>1779.17</v>
      </c>
      <c r="AA731" s="527">
        <v>51240</v>
      </c>
    </row>
    <row r="732" spans="1:27" s="421" customFormat="1" ht="17.45" hidden="1" customHeight="1" x14ac:dyDescent="0.25">
      <c r="A732" s="419" t="s">
        <v>4978</v>
      </c>
      <c r="B732" s="617">
        <v>489</v>
      </c>
      <c r="C732" s="617"/>
      <c r="D732" s="618" t="s">
        <v>13</v>
      </c>
      <c r="E732" s="618" t="s">
        <v>556</v>
      </c>
      <c r="F732" s="619">
        <v>45527</v>
      </c>
      <c r="G732" s="619"/>
      <c r="H732" s="618" t="s">
        <v>23</v>
      </c>
      <c r="I732" s="620"/>
      <c r="J732" s="620"/>
      <c r="K732" s="620"/>
      <c r="L732" s="677"/>
      <c r="M732" s="691">
        <f>Таблица4[[#This Row],[Количество хлыстов]]-Таблица4[[#This Row],[Готово, хл]]-Таблица4[[#This Row],[Вывезено, хл]]</f>
        <v>156</v>
      </c>
      <c r="N732" s="713"/>
      <c r="O732" s="618"/>
      <c r="P732" s="692">
        <v>3</v>
      </c>
      <c r="Q732" s="622" t="s">
        <v>5193</v>
      </c>
      <c r="R732" s="622">
        <v>468</v>
      </c>
      <c r="S732" s="623">
        <v>156</v>
      </c>
      <c r="T732" s="622">
        <v>0.25569999999999998</v>
      </c>
      <c r="U732" s="622">
        <v>1.3</v>
      </c>
      <c r="V732" s="622">
        <v>119.66759999999999</v>
      </c>
      <c r="W732" s="622">
        <v>608.4</v>
      </c>
      <c r="X732" s="622">
        <v>15.56</v>
      </c>
      <c r="Y732" s="622">
        <v>84.38</v>
      </c>
      <c r="Z732" s="622">
        <v>330</v>
      </c>
      <c r="AA732" s="624">
        <v>39489.839999999997</v>
      </c>
    </row>
    <row r="733" spans="1:27" s="421" customFormat="1" ht="17.25" hidden="1" customHeight="1" x14ac:dyDescent="0.25">
      <c r="A733" s="419" t="s">
        <v>4978</v>
      </c>
      <c r="B733" s="617">
        <v>490</v>
      </c>
      <c r="C733" s="617"/>
      <c r="D733" s="618" t="s">
        <v>13</v>
      </c>
      <c r="E733" s="618" t="s">
        <v>892</v>
      </c>
      <c r="F733" s="619">
        <v>45531</v>
      </c>
      <c r="G733" s="619"/>
      <c r="H733" s="618" t="s">
        <v>23</v>
      </c>
      <c r="I733" s="620"/>
      <c r="J733" s="620"/>
      <c r="K733" s="620"/>
      <c r="L733" s="677">
        <f>583+34</f>
        <v>617</v>
      </c>
      <c r="M733" s="691">
        <f>Таблица4[[#This Row],[Количество хлыстов]]-Таблица4[[#This Row],[Готово, хл]]-Таблица4[[#This Row],[Вывезено, хл]]</f>
        <v>1</v>
      </c>
      <c r="N733" s="713"/>
      <c r="O733" s="618" t="s">
        <v>5334</v>
      </c>
      <c r="P733" s="692">
        <v>5.15</v>
      </c>
      <c r="Q733" s="622" t="s">
        <v>4773</v>
      </c>
      <c r="R733" s="622">
        <v>3182.7</v>
      </c>
      <c r="S733" s="623">
        <v>618</v>
      </c>
      <c r="T733" s="622">
        <v>0.15790000000000001</v>
      </c>
      <c r="U733" s="622">
        <v>0.309</v>
      </c>
      <c r="V733" s="622">
        <v>508.24059999999997</v>
      </c>
      <c r="W733" s="622">
        <v>994.59379999999999</v>
      </c>
      <c r="X733" s="622">
        <v>66.069999999999993</v>
      </c>
      <c r="Y733" s="622">
        <v>52.11</v>
      </c>
      <c r="Z733" s="622">
        <v>330</v>
      </c>
      <c r="AA733" s="624">
        <v>167719.41</v>
      </c>
    </row>
    <row r="734" spans="1:27" ht="17.45" hidden="1" customHeight="1" x14ac:dyDescent="0.25">
      <c r="A734" s="427" t="s">
        <v>4678</v>
      </c>
      <c r="B734" s="309">
        <v>491</v>
      </c>
      <c r="C734" s="309"/>
      <c r="D734" s="303" t="s">
        <v>13</v>
      </c>
      <c r="E734" s="303" t="s">
        <v>892</v>
      </c>
      <c r="F734" s="528">
        <v>45531</v>
      </c>
      <c r="G734" s="143">
        <v>45547</v>
      </c>
      <c r="H734" s="142" t="s">
        <v>23</v>
      </c>
      <c r="I734" s="522"/>
      <c r="J734" s="522"/>
      <c r="K734" s="522"/>
      <c r="L734" s="393">
        <v>198</v>
      </c>
      <c r="M734" s="443">
        <f>Таблица4[[#This Row],[Количество хлыстов]]-Таблица4[[#This Row],[Готово, хл]]-Таблица4[[#This Row],[Вывезено, хл]]</f>
        <v>0</v>
      </c>
      <c r="N734" s="638">
        <f>((Таблица4[[#This Row],[Осталось сделать, хлыст]]*Таблица4[[#This Row],[длина]])*Таблица4[[#This Row],[Периметр]])/28</f>
        <v>0</v>
      </c>
      <c r="O734" s="142"/>
      <c r="P734" s="280">
        <v>5.15</v>
      </c>
      <c r="Q734" s="525" t="s">
        <v>1975</v>
      </c>
      <c r="R734" s="525">
        <v>1019.7</v>
      </c>
      <c r="S734" s="526">
        <v>198</v>
      </c>
      <c r="T734" s="525">
        <v>0.15790000000000001</v>
      </c>
      <c r="U734" s="525">
        <v>0.309</v>
      </c>
      <c r="V734" s="525">
        <v>161.01060000000001</v>
      </c>
      <c r="W734" s="525">
        <v>315.08730000000003</v>
      </c>
      <c r="X734" s="525">
        <v>20.93</v>
      </c>
      <c r="Y734" s="525">
        <v>69.48</v>
      </c>
      <c r="Z734" s="525">
        <v>440</v>
      </c>
      <c r="AA734" s="527">
        <v>70844.679999999993</v>
      </c>
    </row>
    <row r="735" spans="1:27" ht="17.45" hidden="1" customHeight="1" x14ac:dyDescent="0.25">
      <c r="A735" s="147" t="s">
        <v>4678</v>
      </c>
      <c r="B735" s="521">
        <v>492</v>
      </c>
      <c r="C735" s="521"/>
      <c r="D735" s="142" t="s">
        <v>34</v>
      </c>
      <c r="E735" s="142" t="s">
        <v>46</v>
      </c>
      <c r="F735" s="143">
        <v>45532</v>
      </c>
      <c r="G735" s="143"/>
      <c r="H735" s="142" t="s">
        <v>23</v>
      </c>
      <c r="I735" s="522"/>
      <c r="J735" s="522"/>
      <c r="K735" s="522">
        <v>55</v>
      </c>
      <c r="L735" s="393"/>
      <c r="M735" s="443">
        <f>Таблица4[[#This Row],[Количество хлыстов]]-Таблица4[[#This Row],[Готово, хл]]-Таблица4[[#This Row],[Вывезено, хл]]</f>
        <v>0</v>
      </c>
      <c r="N735" s="638">
        <f>((Таблица4[[#This Row],[Осталось сделать, хлыст]]*Таблица4[[#This Row],[длина]])*Таблица4[[#This Row],[Периметр]])/28</f>
        <v>0</v>
      </c>
      <c r="O735" s="142"/>
      <c r="P735" s="280">
        <v>6</v>
      </c>
      <c r="Q735" s="525" t="s">
        <v>4682</v>
      </c>
      <c r="R735" s="525">
        <v>330</v>
      </c>
      <c r="S735" s="526">
        <v>55</v>
      </c>
      <c r="T735" s="525">
        <v>0.35859999999999997</v>
      </c>
      <c r="U735" s="525">
        <v>1.518</v>
      </c>
      <c r="V735" s="525">
        <v>118.33799999999999</v>
      </c>
      <c r="W735" s="525">
        <v>500.94</v>
      </c>
      <c r="X735" s="525">
        <v>15.38</v>
      </c>
      <c r="Y735" s="525">
        <v>148.82</v>
      </c>
      <c r="Z735" s="525">
        <v>415</v>
      </c>
      <c r="AA735" s="527">
        <v>49110.27</v>
      </c>
    </row>
    <row r="736" spans="1:27" ht="17.45" hidden="1" customHeight="1" x14ac:dyDescent="0.25">
      <c r="A736" s="147" t="s">
        <v>4678</v>
      </c>
      <c r="B736" s="521">
        <v>492</v>
      </c>
      <c r="C736" s="521"/>
      <c r="D736" s="142" t="s">
        <v>34</v>
      </c>
      <c r="E736" s="142" t="s">
        <v>46</v>
      </c>
      <c r="F736" s="143">
        <v>45532</v>
      </c>
      <c r="G736" s="143"/>
      <c r="H736" s="142" t="s">
        <v>23</v>
      </c>
      <c r="I736" s="522"/>
      <c r="J736" s="522"/>
      <c r="K736" s="522">
        <v>36</v>
      </c>
      <c r="L736" s="393"/>
      <c r="M736" s="443">
        <f>Таблица4[[#This Row],[Количество хлыстов]]-Таблица4[[#This Row],[Готово, хл]]-Таблица4[[#This Row],[Вывезено, хл]]</f>
        <v>0</v>
      </c>
      <c r="N736" s="638">
        <f>((Таблица4[[#This Row],[Осталось сделать, хлыст]]*Таблица4[[#This Row],[длина]])*Таблица4[[#This Row],[Периметр]])/28</f>
        <v>0</v>
      </c>
      <c r="O736" s="142"/>
      <c r="P736" s="280">
        <v>6</v>
      </c>
      <c r="Q736" s="525" t="s">
        <v>4675</v>
      </c>
      <c r="R736" s="525">
        <v>216</v>
      </c>
      <c r="S736" s="526">
        <v>36</v>
      </c>
      <c r="T736" s="525">
        <v>0.5323</v>
      </c>
      <c r="U736" s="525">
        <v>2.5880000000000001</v>
      </c>
      <c r="V736" s="525">
        <v>114.9768</v>
      </c>
      <c r="W736" s="525">
        <v>559.00800000000004</v>
      </c>
      <c r="X736" s="525">
        <v>14.95</v>
      </c>
      <c r="Y736" s="525">
        <v>220.9</v>
      </c>
      <c r="Z736" s="525">
        <v>415</v>
      </c>
      <c r="AA736" s="527">
        <v>47715.37</v>
      </c>
    </row>
    <row r="737" spans="1:27" ht="17.45" customHeight="1" x14ac:dyDescent="0.25">
      <c r="A737" s="147" t="s">
        <v>4678</v>
      </c>
      <c r="B737" s="521">
        <v>493</v>
      </c>
      <c r="C737" s="521"/>
      <c r="D737" s="142" t="s">
        <v>34</v>
      </c>
      <c r="E737" s="142" t="s">
        <v>5082</v>
      </c>
      <c r="F737" s="143">
        <v>45532</v>
      </c>
      <c r="G737" s="143"/>
      <c r="H737" s="142" t="s">
        <v>4669</v>
      </c>
      <c r="I737" s="522"/>
      <c r="J737" s="522"/>
      <c r="K737" s="522">
        <v>56</v>
      </c>
      <c r="L737" s="393"/>
      <c r="M737" s="443">
        <f>Таблица4[[#This Row],[Количество хлыстов]]-Таблица4[[#This Row],[Готово, хл]]-Таблица4[[#This Row],[Вывезено, хл]]</f>
        <v>0</v>
      </c>
      <c r="N737" s="638">
        <f>((Таблица4[[#This Row],[Осталось сделать, хлыст]]*Таблица4[[#This Row],[длина]])*Таблица4[[#This Row],[Периметр]])/28</f>
        <v>0</v>
      </c>
      <c r="O737" s="142"/>
      <c r="P737" s="280">
        <v>6</v>
      </c>
      <c r="Q737" s="525" t="s">
        <v>2719</v>
      </c>
      <c r="R737" s="525">
        <v>336</v>
      </c>
      <c r="S737" s="526">
        <v>56</v>
      </c>
      <c r="T737" s="525">
        <v>0.68820000000000003</v>
      </c>
      <c r="U737" s="525">
        <v>3.2480000000000002</v>
      </c>
      <c r="V737" s="525">
        <v>231.23519999999999</v>
      </c>
      <c r="W737" s="525">
        <v>1091.328</v>
      </c>
      <c r="X737" s="525">
        <v>30.06</v>
      </c>
      <c r="Y737" s="525">
        <v>313.13</v>
      </c>
      <c r="Z737" s="525">
        <v>455</v>
      </c>
      <c r="AA737" s="527">
        <v>105212.02</v>
      </c>
    </row>
    <row r="738" spans="1:27" ht="17.45" customHeight="1" x14ac:dyDescent="0.25">
      <c r="A738" s="147" t="s">
        <v>4678</v>
      </c>
      <c r="B738" s="521">
        <v>494</v>
      </c>
      <c r="C738" s="521"/>
      <c r="D738" s="142" t="s">
        <v>34</v>
      </c>
      <c r="E738" s="142" t="s">
        <v>19</v>
      </c>
      <c r="F738" s="143">
        <v>45532</v>
      </c>
      <c r="G738" s="143"/>
      <c r="H738" s="142"/>
      <c r="I738" s="522"/>
      <c r="J738" s="522"/>
      <c r="K738" s="522"/>
      <c r="L738" s="393">
        <v>497</v>
      </c>
      <c r="M738" s="443">
        <f>Таблица4[[#This Row],[Количество хлыстов]]-Таблица4[[#This Row],[Готово, хл]]-Таблица4[[#This Row],[Вывезено, хл]]</f>
        <v>1</v>
      </c>
      <c r="N738" s="638">
        <f>((Таблица4[[#This Row],[Осталось сделать, хлыст]]*Таблица4[[#This Row],[длина]])*Таблица4[[#This Row],[Периметр]])/28</f>
        <v>3.4435E-2</v>
      </c>
      <c r="O738" s="142" t="s">
        <v>5305</v>
      </c>
      <c r="P738" s="280">
        <v>3.55</v>
      </c>
      <c r="Q738" s="525" t="s">
        <v>5289</v>
      </c>
      <c r="R738" s="525">
        <v>1767.9</v>
      </c>
      <c r="S738" s="526">
        <v>498</v>
      </c>
      <c r="T738" s="525">
        <v>0.27160000000000001</v>
      </c>
      <c r="U738" s="525">
        <v>0.72799999999999998</v>
      </c>
      <c r="V738" s="525">
        <v>480.16160000000002</v>
      </c>
      <c r="W738" s="525">
        <v>1287.0311999999999</v>
      </c>
      <c r="X738" s="525">
        <v>62.42</v>
      </c>
      <c r="Y738" s="525">
        <v>97.78</v>
      </c>
      <c r="Z738" s="525">
        <v>360</v>
      </c>
      <c r="AA738" s="527">
        <v>172858.19</v>
      </c>
    </row>
    <row r="739" spans="1:27" ht="17.45" customHeight="1" x14ac:dyDescent="0.25">
      <c r="A739" s="147" t="s">
        <v>4678</v>
      </c>
      <c r="B739" s="521">
        <v>495</v>
      </c>
      <c r="C739" s="521"/>
      <c r="D739" s="142" t="s">
        <v>34</v>
      </c>
      <c r="E739" s="142" t="s">
        <v>19</v>
      </c>
      <c r="F739" s="143">
        <v>45532</v>
      </c>
      <c r="G739" s="143"/>
      <c r="H739" s="142"/>
      <c r="I739" s="522"/>
      <c r="J739" s="522"/>
      <c r="K739" s="522">
        <v>171</v>
      </c>
      <c r="L739" s="393"/>
      <c r="M739" s="443">
        <f>Таблица4[[#This Row],[Количество хлыстов]]-Таблица4[[#This Row],[Готово, хл]]-Таблица4[[#This Row],[Вывезено, хл]]</f>
        <v>189</v>
      </c>
      <c r="N739" s="638">
        <f>((Таблица4[[#This Row],[Осталось сделать, хлыст]]*Таблица4[[#This Row],[длина]])*Таблица4[[#This Row],[Периметр]])/28</f>
        <v>8.2668599999999994</v>
      </c>
      <c r="O739" s="142"/>
      <c r="P739" s="280">
        <v>3.6</v>
      </c>
      <c r="Q739" s="525" t="s">
        <v>5158</v>
      </c>
      <c r="R739" s="525">
        <v>1296</v>
      </c>
      <c r="S739" s="526">
        <v>360</v>
      </c>
      <c r="T739" s="525">
        <v>0.3402</v>
      </c>
      <c r="U739" s="525">
        <v>1.4530000000000001</v>
      </c>
      <c r="V739" s="525">
        <v>440.89920000000001</v>
      </c>
      <c r="W739" s="525">
        <v>1883.088</v>
      </c>
      <c r="X739" s="525">
        <v>57.32</v>
      </c>
      <c r="Y739" s="525">
        <v>146.97</v>
      </c>
      <c r="Z739" s="525">
        <v>432</v>
      </c>
      <c r="AA739" s="527">
        <v>190468.45</v>
      </c>
    </row>
    <row r="740" spans="1:27" ht="17.45" hidden="1" customHeight="1" x14ac:dyDescent="0.25">
      <c r="A740" s="147" t="s">
        <v>4678</v>
      </c>
      <c r="B740" s="521">
        <v>496</v>
      </c>
      <c r="C740" s="521"/>
      <c r="D740" s="142" t="s">
        <v>34</v>
      </c>
      <c r="E740" s="142" t="s">
        <v>79</v>
      </c>
      <c r="F740" s="143">
        <v>45532</v>
      </c>
      <c r="G740" s="143"/>
      <c r="H740" s="142" t="s">
        <v>23</v>
      </c>
      <c r="I740" s="522"/>
      <c r="J740" s="522"/>
      <c r="K740" s="522"/>
      <c r="L740" s="393"/>
      <c r="M740" s="443">
        <f>Таблица4[[#This Row],[Количество хлыстов]]-Таблица4[[#This Row],[Готово, хл]]-Таблица4[[#This Row],[Вывезено, хл]]</f>
        <v>33</v>
      </c>
      <c r="N740" s="638">
        <f>((Таблица4[[#This Row],[Осталось сделать, хлыст]]*Таблица4[[#This Row],[длина]])*Таблица4[[#This Row],[Периметр]])/28</f>
        <v>3.2210357142857147</v>
      </c>
      <c r="O740" s="142"/>
      <c r="P740" s="280">
        <v>6</v>
      </c>
      <c r="Q740" s="525" t="s">
        <v>4590</v>
      </c>
      <c r="R740" s="525">
        <v>198</v>
      </c>
      <c r="S740" s="526">
        <v>33</v>
      </c>
      <c r="T740" s="525">
        <v>0.45550000000000002</v>
      </c>
      <c r="U740" s="525">
        <v>1.6990000000000001</v>
      </c>
      <c r="V740" s="525">
        <v>90.188999999999993</v>
      </c>
      <c r="W740" s="525">
        <v>336.40199999999999</v>
      </c>
      <c r="X740" s="525">
        <v>11.72</v>
      </c>
      <c r="Y740" s="525">
        <v>179.92</v>
      </c>
      <c r="Z740" s="525">
        <v>395</v>
      </c>
      <c r="AA740" s="527">
        <v>35624.660000000003</v>
      </c>
    </row>
    <row r="741" spans="1:27" ht="17.45" hidden="1" customHeight="1" x14ac:dyDescent="0.25">
      <c r="A741" s="147" t="s">
        <v>4678</v>
      </c>
      <c r="B741" s="521">
        <v>497</v>
      </c>
      <c r="C741" s="521"/>
      <c r="D741" s="142" t="s">
        <v>34</v>
      </c>
      <c r="E741" s="142" t="s">
        <v>3404</v>
      </c>
      <c r="F741" s="143">
        <v>45532</v>
      </c>
      <c r="G741" s="143"/>
      <c r="H741" s="142" t="s">
        <v>23</v>
      </c>
      <c r="I741" s="522"/>
      <c r="J741" s="522"/>
      <c r="K741" s="522">
        <v>198</v>
      </c>
      <c r="L741" s="393"/>
      <c r="M741" s="443">
        <f>Таблица4[[#This Row],[Количество хлыстов]]-Таблица4[[#This Row],[Готово, хл]]-Таблица4[[#This Row],[Вывезено, хл]]</f>
        <v>0</v>
      </c>
      <c r="N741" s="638">
        <f>((Таблица4[[#This Row],[Осталось сделать, хлыст]]*Таблица4[[#This Row],[длина]])*Таблица4[[#This Row],[Периметр]])/28</f>
        <v>0</v>
      </c>
      <c r="O741" s="142"/>
      <c r="P741" s="280">
        <v>6</v>
      </c>
      <c r="Q741" s="525" t="s">
        <v>5290</v>
      </c>
      <c r="R741" s="525">
        <v>1188</v>
      </c>
      <c r="S741" s="526">
        <v>198</v>
      </c>
      <c r="T741" s="525">
        <v>0.1883</v>
      </c>
      <c r="U741" s="525">
        <v>0.318</v>
      </c>
      <c r="V741" s="525">
        <v>223.7004</v>
      </c>
      <c r="W741" s="525">
        <v>377.78399999999999</v>
      </c>
      <c r="X741" s="525">
        <v>29.08</v>
      </c>
      <c r="Y741" s="525">
        <v>74.38</v>
      </c>
      <c r="Z741" s="525">
        <v>395</v>
      </c>
      <c r="AA741" s="527">
        <v>88361.66</v>
      </c>
    </row>
    <row r="742" spans="1:27" ht="17.45" customHeight="1" x14ac:dyDescent="0.25">
      <c r="A742" s="147" t="s">
        <v>4678</v>
      </c>
      <c r="B742" s="521">
        <v>498</v>
      </c>
      <c r="C742" s="521" t="s">
        <v>4753</v>
      </c>
      <c r="D742" s="142" t="s">
        <v>34</v>
      </c>
      <c r="E742" s="142" t="s">
        <v>861</v>
      </c>
      <c r="F742" s="143">
        <v>45532</v>
      </c>
      <c r="G742" s="143"/>
      <c r="H742" s="142" t="s">
        <v>4669</v>
      </c>
      <c r="I742" s="522"/>
      <c r="J742" s="522"/>
      <c r="K742" s="522">
        <v>150</v>
      </c>
      <c r="L742" s="393"/>
      <c r="M742" s="443">
        <f>Таблица4[[#This Row],[Количество хлыстов]]-Таблица4[[#This Row],[Готово, хл]]-Таблица4[[#This Row],[Вывезено, хл]]</f>
        <v>0</v>
      </c>
      <c r="N742" s="638">
        <f>((Таблица4[[#This Row],[Осталось сделать, хлыст]]*Таблица4[[#This Row],[длина]])*Таблица4[[#This Row],[Периметр]])/28</f>
        <v>0</v>
      </c>
      <c r="O742" s="142"/>
      <c r="P742" s="280">
        <v>0.47499999999999998</v>
      </c>
      <c r="Q742" s="525" t="s">
        <v>5083</v>
      </c>
      <c r="R742" s="525">
        <v>150</v>
      </c>
      <c r="S742" s="526">
        <v>150</v>
      </c>
      <c r="T742" s="525">
        <v>0.66020000000000001</v>
      </c>
      <c r="U742" s="525">
        <v>2.6480000000000001</v>
      </c>
      <c r="V742" s="525">
        <v>99.03</v>
      </c>
      <c r="W742" s="525">
        <v>397.2</v>
      </c>
      <c r="X742" s="525">
        <v>12.87</v>
      </c>
      <c r="Y742" s="525">
        <v>650.41</v>
      </c>
      <c r="Z742" s="525">
        <v>985.17</v>
      </c>
      <c r="AA742" s="527">
        <v>97561.52</v>
      </c>
    </row>
    <row r="743" spans="1:27" ht="17.45" customHeight="1" x14ac:dyDescent="0.25">
      <c r="A743" s="147" t="s">
        <v>4678</v>
      </c>
      <c r="B743" s="521">
        <v>498</v>
      </c>
      <c r="C743" s="521" t="s">
        <v>4753</v>
      </c>
      <c r="D743" s="142" t="s">
        <v>34</v>
      </c>
      <c r="E743" s="142" t="s">
        <v>861</v>
      </c>
      <c r="F743" s="143">
        <v>45532</v>
      </c>
      <c r="G743" s="143"/>
      <c r="H743" s="142" t="s">
        <v>4669</v>
      </c>
      <c r="I743" s="522"/>
      <c r="J743" s="522"/>
      <c r="K743" s="522">
        <v>309</v>
      </c>
      <c r="L743" s="393"/>
      <c r="M743" s="443">
        <f>Таблица4[[#This Row],[Количество хлыстов]]-Таблица4[[#This Row],[Готово, хл]]-Таблица4[[#This Row],[Вывезено, хл]]</f>
        <v>0</v>
      </c>
      <c r="N743" s="638">
        <f>((Таблица4[[#This Row],[Осталось сделать, хлыст]]*Таблица4[[#This Row],[длина]])*Таблица4[[#This Row],[Периметр]])/28</f>
        <v>0</v>
      </c>
      <c r="O743" s="142"/>
      <c r="P743" s="280">
        <v>0.32</v>
      </c>
      <c r="Q743" s="525" t="s">
        <v>5084</v>
      </c>
      <c r="R743" s="525">
        <v>309</v>
      </c>
      <c r="S743" s="526">
        <v>309</v>
      </c>
      <c r="T743" s="525">
        <v>0.44479999999999997</v>
      </c>
      <c r="U743" s="525">
        <v>1.784</v>
      </c>
      <c r="V743" s="525">
        <v>137.44319999999999</v>
      </c>
      <c r="W743" s="525">
        <v>551.25599999999997</v>
      </c>
      <c r="X743" s="525">
        <v>17.87</v>
      </c>
      <c r="Y743" s="525">
        <v>547.89</v>
      </c>
      <c r="Z743" s="525">
        <v>1231.77</v>
      </c>
      <c r="AA743" s="527">
        <v>169297.76</v>
      </c>
    </row>
    <row r="744" spans="1:27" ht="17.45" hidden="1" customHeight="1" x14ac:dyDescent="0.25">
      <c r="A744" s="147" t="s">
        <v>4678</v>
      </c>
      <c r="B744" s="521">
        <v>500</v>
      </c>
      <c r="C744" s="521" t="s">
        <v>4753</v>
      </c>
      <c r="D744" s="142" t="s">
        <v>34</v>
      </c>
      <c r="E744" s="142" t="s">
        <v>4467</v>
      </c>
      <c r="F744" s="143">
        <v>45533</v>
      </c>
      <c r="G744" s="143"/>
      <c r="H744" s="142" t="s">
        <v>23</v>
      </c>
      <c r="I744" s="522"/>
      <c r="J744" s="522"/>
      <c r="K744" s="522"/>
      <c r="L744" s="393"/>
      <c r="M744" s="443">
        <f>Таблица4[[#This Row],[Количество хлыстов]]-Таблица4[[#This Row],[Готово, хл]]-Таблица4[[#This Row],[Вывезено, хл]]</f>
        <v>60</v>
      </c>
      <c r="N744" s="638">
        <f>((Таблица4[[#This Row],[Осталось сделать, хлыст]]*Таблица4[[#This Row],[длина]])*Таблица4[[#This Row],[Периметр]])/28</f>
        <v>1.8668571428571428</v>
      </c>
      <c r="O744" s="142"/>
      <c r="P744" s="280">
        <v>6.05</v>
      </c>
      <c r="Q744" s="525" t="s">
        <v>5291</v>
      </c>
      <c r="R744" s="525">
        <v>363</v>
      </c>
      <c r="S744" s="526">
        <v>60</v>
      </c>
      <c r="T744" s="525">
        <v>0.14399999999999999</v>
      </c>
      <c r="U744" s="525">
        <v>0.46600000000000003</v>
      </c>
      <c r="V744" s="525">
        <v>52.271999999999998</v>
      </c>
      <c r="W744" s="525">
        <v>169.15799999999999</v>
      </c>
      <c r="X744" s="525">
        <v>6.8</v>
      </c>
      <c r="Y744" s="525">
        <v>137.33000000000001</v>
      </c>
      <c r="Z744" s="525">
        <v>953.67</v>
      </c>
      <c r="AA744" s="527">
        <v>49850</v>
      </c>
    </row>
    <row r="745" spans="1:27" ht="17.45" hidden="1" customHeight="1" x14ac:dyDescent="0.25">
      <c r="A745" s="147" t="s">
        <v>4678</v>
      </c>
      <c r="B745" s="521">
        <v>500</v>
      </c>
      <c r="C745" s="521" t="s">
        <v>4753</v>
      </c>
      <c r="D745" s="142" t="s">
        <v>34</v>
      </c>
      <c r="E745" s="142" t="s">
        <v>4467</v>
      </c>
      <c r="F745" s="143">
        <v>45533</v>
      </c>
      <c r="G745" s="143"/>
      <c r="H745" s="142" t="s">
        <v>23</v>
      </c>
      <c r="I745" s="522"/>
      <c r="J745" s="522"/>
      <c r="K745" s="522"/>
      <c r="L745" s="393"/>
      <c r="M745" s="443">
        <f>Таблица4[[#This Row],[Количество хлыстов]]-Таблица4[[#This Row],[Готово, хл]]-Таблица4[[#This Row],[Вывезено, хл]]</f>
        <v>12</v>
      </c>
      <c r="N745" s="638">
        <f>((Таблица4[[#This Row],[Осталось сделать, хлыст]]*Таблица4[[#This Row],[длина]])*Таблица4[[#This Row],[Периметр]])/28</f>
        <v>1.0544785714285714</v>
      </c>
      <c r="O745" s="142"/>
      <c r="P745" s="280">
        <v>7.05</v>
      </c>
      <c r="Q745" s="525" t="s">
        <v>5292</v>
      </c>
      <c r="R745" s="525">
        <v>72.599999999999994</v>
      </c>
      <c r="S745" s="526">
        <v>12</v>
      </c>
      <c r="T745" s="525">
        <v>0.34899999999999998</v>
      </c>
      <c r="U745" s="525">
        <v>1.4550000000000001</v>
      </c>
      <c r="V745" s="525">
        <v>25.337399999999999</v>
      </c>
      <c r="W745" s="525">
        <v>105.633</v>
      </c>
      <c r="X745" s="525">
        <v>3.29</v>
      </c>
      <c r="Y745" s="525">
        <v>343.32</v>
      </c>
      <c r="Z745" s="525">
        <v>983.72</v>
      </c>
      <c r="AA745" s="527">
        <v>24925</v>
      </c>
    </row>
    <row r="746" spans="1:27" ht="17.45" hidden="1" customHeight="1" x14ac:dyDescent="0.25">
      <c r="A746" s="147" t="s">
        <v>4678</v>
      </c>
      <c r="B746" s="521">
        <v>500</v>
      </c>
      <c r="C746" s="521" t="s">
        <v>4753</v>
      </c>
      <c r="D746" s="142" t="s">
        <v>34</v>
      </c>
      <c r="E746" s="142" t="s">
        <v>4467</v>
      </c>
      <c r="F746" s="143">
        <v>45533</v>
      </c>
      <c r="G746" s="143"/>
      <c r="H746" s="142" t="s">
        <v>23</v>
      </c>
      <c r="I746" s="522"/>
      <c r="J746" s="522"/>
      <c r="K746" s="522"/>
      <c r="L746" s="393"/>
      <c r="M746" s="443">
        <f>Таблица4[[#This Row],[Количество хлыстов]]-Таблица4[[#This Row],[Готово, хл]]-Таблица4[[#This Row],[Вывезено, хл]]</f>
        <v>24</v>
      </c>
      <c r="N746" s="638">
        <f>((Таблица4[[#This Row],[Осталось сделать, хлыст]]*Таблица4[[#This Row],[длина]])*Таблица4[[#This Row],[Периметр]])/28</f>
        <v>3.2706000000000004</v>
      </c>
      <c r="O746" s="142"/>
      <c r="P746" s="280">
        <v>8.0500000000000007</v>
      </c>
      <c r="Q746" s="525" t="s">
        <v>5164</v>
      </c>
      <c r="R746" s="525">
        <v>145.19999999999999</v>
      </c>
      <c r="S746" s="526">
        <v>24</v>
      </c>
      <c r="T746" s="525">
        <v>0.47399999999999998</v>
      </c>
      <c r="U746" s="525">
        <v>2.613</v>
      </c>
      <c r="V746" s="525">
        <v>68.824799999999996</v>
      </c>
      <c r="W746" s="525">
        <v>379.4076</v>
      </c>
      <c r="X746" s="525">
        <v>8.9499999999999993</v>
      </c>
      <c r="Y746" s="525">
        <v>446.32</v>
      </c>
      <c r="Z746" s="525">
        <v>941.59</v>
      </c>
      <c r="AA746" s="527">
        <v>64805</v>
      </c>
    </row>
    <row r="747" spans="1:27" ht="17.45" hidden="1" customHeight="1" x14ac:dyDescent="0.25">
      <c r="A747" s="147" t="s">
        <v>4678</v>
      </c>
      <c r="B747" s="521">
        <v>500</v>
      </c>
      <c r="C747" s="521" t="s">
        <v>4753</v>
      </c>
      <c r="D747" s="142" t="s">
        <v>34</v>
      </c>
      <c r="E747" s="142" t="s">
        <v>4467</v>
      </c>
      <c r="F747" s="143">
        <v>45533</v>
      </c>
      <c r="G747" s="143"/>
      <c r="H747" s="142" t="s">
        <v>23</v>
      </c>
      <c r="I747" s="522"/>
      <c r="J747" s="522"/>
      <c r="K747" s="522"/>
      <c r="L747" s="393"/>
      <c r="M747" s="443">
        <f>Таблица4[[#This Row],[Количество хлыстов]]-Таблица4[[#This Row],[Готово, хл]]-Таблица4[[#This Row],[Вывезено, хл]]</f>
        <v>2</v>
      </c>
      <c r="N747" s="579">
        <f>Таблица4[[#This Row],[Площадь общая, м2]]/28</f>
        <v>0.30396785714285718</v>
      </c>
      <c r="O747" s="142"/>
      <c r="P747" s="280">
        <v>9.0500000000000007</v>
      </c>
      <c r="Q747" s="525" t="s">
        <v>5293</v>
      </c>
      <c r="R747" s="525">
        <v>12.1</v>
      </c>
      <c r="S747" s="526">
        <v>2</v>
      </c>
      <c r="T747" s="525">
        <v>0.70340000000000003</v>
      </c>
      <c r="U747" s="525">
        <v>6.0430000000000001</v>
      </c>
      <c r="V747" s="525">
        <v>8.5111000000000008</v>
      </c>
      <c r="W747" s="525">
        <v>73.1203</v>
      </c>
      <c r="X747" s="525">
        <v>1.1100000000000001</v>
      </c>
      <c r="Y747" s="525">
        <v>823.97</v>
      </c>
      <c r="Z747" s="525">
        <v>1171.4100000000001</v>
      </c>
      <c r="AA747" s="527">
        <v>9970</v>
      </c>
    </row>
    <row r="748" spans="1:27" ht="17.45" hidden="1" customHeight="1" x14ac:dyDescent="0.25">
      <c r="A748" s="147" t="s">
        <v>4678</v>
      </c>
      <c r="B748" s="521">
        <v>501</v>
      </c>
      <c r="C748" s="521"/>
      <c r="D748" s="145" t="s">
        <v>13</v>
      </c>
      <c r="E748" s="145" t="s">
        <v>657</v>
      </c>
      <c r="F748" s="148">
        <v>45533</v>
      </c>
      <c r="G748" s="148">
        <v>45545</v>
      </c>
      <c r="H748" s="145" t="s">
        <v>23</v>
      </c>
      <c r="I748" s="645"/>
      <c r="J748" s="645"/>
      <c r="K748" s="645"/>
      <c r="L748" s="394">
        <v>231</v>
      </c>
      <c r="M748" s="443">
        <f>Таблица4[[#This Row],[Количество хлыстов]]-Таблица4[[#This Row],[Готово, хл]]-Таблица4[[#This Row],[Вывезено, хл]]</f>
        <v>0</v>
      </c>
      <c r="N748" s="638">
        <f>((Таблица4[[#This Row],[Осталось сделать, хлыст]]*Таблица4[[#This Row],[длина]])*Таблица4[[#This Row],[Периметр]])/28</f>
        <v>0</v>
      </c>
      <c r="O748" s="145"/>
      <c r="P748" s="280">
        <v>5.8</v>
      </c>
      <c r="Q748" s="280" t="s">
        <v>2963</v>
      </c>
      <c r="R748" s="280">
        <v>1339.8</v>
      </c>
      <c r="S748" s="322">
        <v>231</v>
      </c>
      <c r="T748" s="280">
        <v>0.1724</v>
      </c>
      <c r="U748" s="280">
        <v>0.41499999999999998</v>
      </c>
      <c r="V748" s="280">
        <v>230.98150000000001</v>
      </c>
      <c r="W748" s="280">
        <v>556.01700000000005</v>
      </c>
      <c r="X748" s="280">
        <v>30.03</v>
      </c>
      <c r="Y748" s="280">
        <v>70.680000000000007</v>
      </c>
      <c r="Z748" s="280">
        <v>410</v>
      </c>
      <c r="AA748" s="397">
        <v>94702.42</v>
      </c>
    </row>
    <row r="749" spans="1:27" ht="17.25" hidden="1" customHeight="1" x14ac:dyDescent="0.25">
      <c r="A749" s="147" t="s">
        <v>4678</v>
      </c>
      <c r="B749" s="521">
        <v>504</v>
      </c>
      <c r="C749" s="521" t="s">
        <v>4753</v>
      </c>
      <c r="D749" s="142" t="s">
        <v>34</v>
      </c>
      <c r="E749" s="142" t="s">
        <v>5295</v>
      </c>
      <c r="F749" s="143">
        <v>45534</v>
      </c>
      <c r="G749" s="143">
        <v>45544</v>
      </c>
      <c r="H749" s="142" t="s">
        <v>23</v>
      </c>
      <c r="I749" s="522"/>
      <c r="J749" s="522"/>
      <c r="K749" s="522">
        <v>26</v>
      </c>
      <c r="L749" s="393"/>
      <c r="M749" s="443">
        <f>Таблица4[[#This Row],[Количество хлыстов]]-Таблица4[[#This Row],[Готово, хл]]-Таблица4[[#This Row],[Вывезено, хл]]</f>
        <v>0</v>
      </c>
      <c r="N749" s="579">
        <v>5</v>
      </c>
      <c r="O749" s="142"/>
      <c r="P749" s="280">
        <v>3.3</v>
      </c>
      <c r="Q749" s="525" t="s">
        <v>5294</v>
      </c>
      <c r="R749" s="525"/>
      <c r="S749" s="526">
        <v>26</v>
      </c>
      <c r="T749" s="525">
        <v>1.8629</v>
      </c>
      <c r="U749" s="525">
        <v>33.854999999999997</v>
      </c>
      <c r="V749" s="525">
        <v>48.435400000000001</v>
      </c>
      <c r="W749" s="525">
        <v>880.23</v>
      </c>
      <c r="X749" s="525">
        <v>6.3</v>
      </c>
      <c r="Y749" s="525">
        <v>5032.21</v>
      </c>
      <c r="Z749" s="525">
        <v>2701.28</v>
      </c>
      <c r="AA749" s="527">
        <v>130837.36</v>
      </c>
    </row>
    <row r="750" spans="1:27" ht="17.25" hidden="1" customHeight="1" x14ac:dyDescent="0.25">
      <c r="A750" s="147" t="s">
        <v>4678</v>
      </c>
      <c r="B750" s="521">
        <v>505</v>
      </c>
      <c r="C750" s="521"/>
      <c r="D750" s="142" t="s">
        <v>34</v>
      </c>
      <c r="E750" s="142" t="s">
        <v>79</v>
      </c>
      <c r="F750" s="143">
        <v>45534</v>
      </c>
      <c r="G750" s="143"/>
      <c r="H750" s="142" t="s">
        <v>23</v>
      </c>
      <c r="I750" s="522"/>
      <c r="J750" s="522"/>
      <c r="K750" s="522"/>
      <c r="L750" s="393">
        <v>519</v>
      </c>
      <c r="M750" s="443">
        <f>Таблица4[[#This Row],[Количество хлыстов]]-Таблица4[[#This Row],[Готово, хл]]-Таблица4[[#This Row],[Вывезено, хл]]</f>
        <v>0</v>
      </c>
      <c r="N750" s="638">
        <f>((Таблица4[[#This Row],[Осталось сделать, хлыст]]*Таблица4[[#This Row],[длина]])*Таблица4[[#This Row],[Периметр]])/28</f>
        <v>0</v>
      </c>
      <c r="O750" s="142"/>
      <c r="P750" s="280">
        <v>6</v>
      </c>
      <c r="Q750" s="525" t="s">
        <v>78</v>
      </c>
      <c r="R750" s="525">
        <v>3114</v>
      </c>
      <c r="S750" s="526">
        <v>519</v>
      </c>
      <c r="T750" s="525">
        <v>0.20230000000000001</v>
      </c>
      <c r="U750" s="525">
        <v>0.499</v>
      </c>
      <c r="V750" s="525">
        <v>629.96220000000005</v>
      </c>
      <c r="W750" s="525">
        <v>1553.886</v>
      </c>
      <c r="X750" s="525">
        <v>81.900000000000006</v>
      </c>
      <c r="Y750" s="525">
        <v>79.91</v>
      </c>
      <c r="Z750" s="525">
        <v>395</v>
      </c>
      <c r="AA750" s="527">
        <v>248835.07</v>
      </c>
    </row>
    <row r="751" spans="1:27" ht="17.45" customHeight="1" x14ac:dyDescent="0.25">
      <c r="A751" s="147" t="s">
        <v>4678</v>
      </c>
      <c r="B751" s="309">
        <v>506</v>
      </c>
      <c r="C751" s="309"/>
      <c r="D751" s="303" t="s">
        <v>34</v>
      </c>
      <c r="E751" s="303" t="s">
        <v>14</v>
      </c>
      <c r="F751" s="143">
        <v>45534</v>
      </c>
      <c r="G751" s="143"/>
      <c r="H751" s="524"/>
      <c r="I751" s="522"/>
      <c r="J751" s="522"/>
      <c r="K751" s="522"/>
      <c r="L751" s="393"/>
      <c r="M751" s="443">
        <f>Таблица4[[#This Row],[Количество хлыстов]]-Таблица4[[#This Row],[Готово, хл]]-Таблица4[[#This Row],[Вывезено, хл]]</f>
        <v>376</v>
      </c>
      <c r="N751" s="638">
        <f>((Таблица4[[#This Row],[Осталось сделать, хлыст]]*Таблица4[[#This Row],[длина]])*Таблица4[[#This Row],[Периметр]])/28</f>
        <v>13.125085714285714</v>
      </c>
      <c r="O751" s="142"/>
      <c r="P751" s="280">
        <v>6</v>
      </c>
      <c r="Q751" s="957" t="s">
        <v>5296</v>
      </c>
      <c r="R751" s="957">
        <v>2256</v>
      </c>
      <c r="S751" s="526">
        <v>376</v>
      </c>
      <c r="T751" s="525">
        <v>0.16289999999999999</v>
      </c>
      <c r="U751" s="525">
        <v>0.45800000000000002</v>
      </c>
      <c r="V751" s="525">
        <v>367.50240000000002</v>
      </c>
      <c r="W751" s="525">
        <v>1033.248</v>
      </c>
      <c r="X751" s="525">
        <v>47.78</v>
      </c>
      <c r="Y751" s="525">
        <v>71.680000000000007</v>
      </c>
      <c r="Z751" s="525">
        <v>440</v>
      </c>
      <c r="AA751" s="527">
        <v>161701.06</v>
      </c>
    </row>
    <row r="752" spans="1:27" ht="17.45" customHeight="1" x14ac:dyDescent="0.25">
      <c r="A752" s="147" t="s">
        <v>4678</v>
      </c>
      <c r="B752" s="521">
        <v>507</v>
      </c>
      <c r="C752" s="521"/>
      <c r="D752" s="142" t="s">
        <v>34</v>
      </c>
      <c r="E752" s="142" t="s">
        <v>19</v>
      </c>
      <c r="F752" s="143">
        <v>45534</v>
      </c>
      <c r="G752" s="143"/>
      <c r="H752" s="142"/>
      <c r="I752" s="522"/>
      <c r="J752" s="522"/>
      <c r="K752" s="522"/>
      <c r="L752" s="393"/>
      <c r="M752" s="443">
        <f>Таблица4[[#This Row],[Количество хлыстов]]-Таблица4[[#This Row],[Готово, хл]]-Таблица4[[#This Row],[Вывезено, хл]]</f>
        <v>48</v>
      </c>
      <c r="N752" s="638">
        <f>((Таблица4[[#This Row],[Осталось сделать, хлыст]]*Таблица4[[#This Row],[длина]])*Таблица4[[#This Row],[Периметр]])/28</f>
        <v>1.6528799999999999</v>
      </c>
      <c r="O752" s="142"/>
      <c r="P752" s="280">
        <v>3.55</v>
      </c>
      <c r="Q752" s="525" t="s">
        <v>5289</v>
      </c>
      <c r="R752" s="525">
        <v>170.4</v>
      </c>
      <c r="S752" s="526">
        <v>48</v>
      </c>
      <c r="T752" s="525">
        <v>0.27160000000000001</v>
      </c>
      <c r="U752" s="525">
        <v>0.72799999999999998</v>
      </c>
      <c r="V752" s="525">
        <v>46.2806</v>
      </c>
      <c r="W752" s="525">
        <v>124.05119999999999</v>
      </c>
      <c r="X752" s="525">
        <v>6.02</v>
      </c>
      <c r="Y752" s="525">
        <v>117.33</v>
      </c>
      <c r="Z752" s="525">
        <v>432</v>
      </c>
      <c r="AA752" s="527">
        <v>19993.240000000002</v>
      </c>
    </row>
    <row r="753" spans="1:27" ht="17.45" customHeight="1" x14ac:dyDescent="0.25">
      <c r="A753" s="147" t="s">
        <v>4678</v>
      </c>
      <c r="B753" s="521" t="s">
        <v>5297</v>
      </c>
      <c r="C753" s="521"/>
      <c r="D753" s="142" t="s">
        <v>34</v>
      </c>
      <c r="E753" s="142" t="s">
        <v>16</v>
      </c>
      <c r="F753" s="143">
        <v>45537</v>
      </c>
      <c r="G753" s="143"/>
      <c r="H753" s="142"/>
      <c r="I753" s="522"/>
      <c r="J753" s="522"/>
      <c r="K753" s="522"/>
      <c r="L753" s="393"/>
      <c r="M753" s="443">
        <f>Таблица4[[#This Row],[Количество хлыстов]]-Таблица4[[#This Row],[Готово, хл]]-Таблица4[[#This Row],[Вывезено, хл]]</f>
        <v>273</v>
      </c>
      <c r="N753" s="638">
        <f>((Таблица4[[#This Row],[Осталось сделать, хлыст]]*Таблица4[[#This Row],[длина]])*Таблица4[[#This Row],[Периметр]])/28</f>
        <v>41.429700000000004</v>
      </c>
      <c r="O753" s="142"/>
      <c r="P753" s="280">
        <v>6</v>
      </c>
      <c r="Q753" s="525" t="s">
        <v>2469</v>
      </c>
      <c r="R753" s="525">
        <v>1638</v>
      </c>
      <c r="S753" s="526">
        <v>273</v>
      </c>
      <c r="T753" s="525">
        <v>0.70820000000000005</v>
      </c>
      <c r="U753" s="525">
        <v>3.4609999999999999</v>
      </c>
      <c r="V753" s="525">
        <v>1160.0316</v>
      </c>
      <c r="W753" s="525">
        <v>5669.1180000000004</v>
      </c>
      <c r="X753" s="525">
        <v>150.80000000000001</v>
      </c>
      <c r="Y753" s="525">
        <v>322.23</v>
      </c>
      <c r="Z753" s="525">
        <v>455</v>
      </c>
      <c r="AA753" s="527">
        <v>527814.38</v>
      </c>
    </row>
    <row r="754" spans="1:27" ht="17.45" hidden="1" customHeight="1" x14ac:dyDescent="0.25">
      <c r="A754" s="147" t="s">
        <v>4678</v>
      </c>
      <c r="B754" s="521">
        <v>508</v>
      </c>
      <c r="C754" s="521" t="s">
        <v>4753</v>
      </c>
      <c r="D754" s="142" t="s">
        <v>34</v>
      </c>
      <c r="E754" s="142" t="s">
        <v>5169</v>
      </c>
      <c r="F754" s="143">
        <v>45538</v>
      </c>
      <c r="G754" s="143"/>
      <c r="H754" s="142" t="s">
        <v>23</v>
      </c>
      <c r="I754" s="522"/>
      <c r="J754" s="522"/>
      <c r="K754" s="522"/>
      <c r="L754" s="393"/>
      <c r="M754" s="443">
        <f>Таблица4[[#This Row],[Количество хлыстов]]-Таблица4[[#This Row],[Готово, хл]]-Таблица4[[#This Row],[Вывезено, хл]]</f>
        <v>28</v>
      </c>
      <c r="N754" s="579">
        <v>1</v>
      </c>
      <c r="O754" s="142"/>
      <c r="P754" s="280">
        <v>2</v>
      </c>
      <c r="Q754" s="525" t="s">
        <v>5298</v>
      </c>
      <c r="R754" s="525">
        <v>56</v>
      </c>
      <c r="S754" s="526">
        <v>28</v>
      </c>
      <c r="T754" s="525">
        <v>0.08</v>
      </c>
      <c r="U754" s="525">
        <v>0.30099999999999999</v>
      </c>
      <c r="V754" s="525">
        <v>4.4800000000000004</v>
      </c>
      <c r="W754" s="525">
        <v>16.856000000000002</v>
      </c>
      <c r="X754" s="525">
        <v>0.57999999999999996</v>
      </c>
      <c r="Y754" s="525">
        <v>515.66999999999996</v>
      </c>
      <c r="Z754" s="525">
        <v>6445.87</v>
      </c>
      <c r="AA754" s="527">
        <v>28877.5</v>
      </c>
    </row>
    <row r="755" spans="1:27" ht="17.45" hidden="1" customHeight="1" x14ac:dyDescent="0.25">
      <c r="A755" s="147" t="s">
        <v>4678</v>
      </c>
      <c r="B755" s="521">
        <v>508</v>
      </c>
      <c r="C755" s="521" t="s">
        <v>4753</v>
      </c>
      <c r="D755" s="142" t="s">
        <v>34</v>
      </c>
      <c r="E755" s="142" t="s">
        <v>5169</v>
      </c>
      <c r="F755" s="143">
        <v>45538</v>
      </c>
      <c r="G755" s="143"/>
      <c r="H755" s="142" t="s">
        <v>23</v>
      </c>
      <c r="I755" s="522"/>
      <c r="J755" s="522"/>
      <c r="K755" s="522"/>
      <c r="L755" s="393"/>
      <c r="M755" s="443">
        <f>Таблица4[[#This Row],[Количество хлыстов]]-Таблица4[[#This Row],[Готово, хл]]-Таблица4[[#This Row],[Вывезено, хл]]</f>
        <v>11</v>
      </c>
      <c r="N755" s="579">
        <f>Таблица4[[#This Row],[Площадь общая, м2]]/28</f>
        <v>0.59234999999999993</v>
      </c>
      <c r="O755" s="142"/>
      <c r="P755" s="280">
        <v>6</v>
      </c>
      <c r="Q755" s="525" t="s">
        <v>5299</v>
      </c>
      <c r="R755" s="525">
        <v>66</v>
      </c>
      <c r="S755" s="526">
        <v>11</v>
      </c>
      <c r="T755" s="525">
        <v>0.25130000000000002</v>
      </c>
      <c r="U755" s="525">
        <v>1.9670000000000001</v>
      </c>
      <c r="V755" s="525">
        <v>16.585799999999999</v>
      </c>
      <c r="W755" s="525">
        <v>129.822</v>
      </c>
      <c r="X755" s="525">
        <v>2.16</v>
      </c>
      <c r="Y755" s="525">
        <v>350.03</v>
      </c>
      <c r="Z755" s="525">
        <v>1392.88</v>
      </c>
      <c r="AA755" s="527">
        <v>23102</v>
      </c>
    </row>
    <row r="756" spans="1:27" ht="17.45" hidden="1" customHeight="1" x14ac:dyDescent="0.25">
      <c r="A756" s="147" t="s">
        <v>4678</v>
      </c>
      <c r="B756" s="521">
        <v>508</v>
      </c>
      <c r="C756" s="521" t="s">
        <v>4753</v>
      </c>
      <c r="D756" s="142" t="s">
        <v>34</v>
      </c>
      <c r="E756" s="142" t="s">
        <v>5169</v>
      </c>
      <c r="F756" s="143">
        <v>45538</v>
      </c>
      <c r="G756" s="143"/>
      <c r="H756" s="142" t="s">
        <v>23</v>
      </c>
      <c r="I756" s="522"/>
      <c r="J756" s="522"/>
      <c r="K756" s="522"/>
      <c r="L756" s="393"/>
      <c r="M756" s="443">
        <f>Таблица4[[#This Row],[Количество хлыстов]]-Таблица4[[#This Row],[Готово, хл]]-Таблица4[[#This Row],[Вывезено, хл]]</f>
        <v>8</v>
      </c>
      <c r="N756" s="579">
        <f>Таблица4[[#This Row],[Площадь общая, м2]]/28</f>
        <v>0.25130000000000002</v>
      </c>
      <c r="O756" s="142"/>
      <c r="P756" s="280">
        <v>3.5</v>
      </c>
      <c r="Q756" s="525" t="s">
        <v>5300</v>
      </c>
      <c r="R756" s="525">
        <v>28</v>
      </c>
      <c r="S756" s="526">
        <v>8</v>
      </c>
      <c r="T756" s="525">
        <v>0.25130000000000002</v>
      </c>
      <c r="U756" s="525">
        <v>1.9670000000000001</v>
      </c>
      <c r="V756" s="525">
        <v>7.0364000000000004</v>
      </c>
      <c r="W756" s="525">
        <v>55.076000000000001</v>
      </c>
      <c r="X756" s="525">
        <v>0.91</v>
      </c>
      <c r="Y756" s="525">
        <v>1031.3399999999999</v>
      </c>
      <c r="Z756" s="525">
        <v>4104.0200000000004</v>
      </c>
      <c r="AA756" s="527">
        <v>28877.5</v>
      </c>
    </row>
    <row r="757" spans="1:27" ht="17.45" hidden="1" customHeight="1" x14ac:dyDescent="0.25">
      <c r="A757" s="147" t="s">
        <v>4678</v>
      </c>
      <c r="B757" s="521">
        <v>508</v>
      </c>
      <c r="C757" s="521" t="s">
        <v>4753</v>
      </c>
      <c r="D757" s="142" t="s">
        <v>34</v>
      </c>
      <c r="E757" s="142" t="s">
        <v>5169</v>
      </c>
      <c r="F757" s="143">
        <v>45538</v>
      </c>
      <c r="G757" s="143"/>
      <c r="H757" s="142" t="s">
        <v>23</v>
      </c>
      <c r="I757" s="522"/>
      <c r="J757" s="522"/>
      <c r="K757" s="522"/>
      <c r="L757" s="393"/>
      <c r="M757" s="443">
        <f>Таблица4[[#This Row],[Количество хлыстов]]-Таблица4[[#This Row],[Готово, хл]]-Таблица4[[#This Row],[Вывезено, хл]]</f>
        <v>1</v>
      </c>
      <c r="N757" s="579">
        <f>Таблица4[[#This Row],[Площадь общая, м2]]/28</f>
        <v>2.5714285714285714E-2</v>
      </c>
      <c r="O757" s="142"/>
      <c r="P757" s="280">
        <v>6</v>
      </c>
      <c r="Q757" s="525" t="s">
        <v>5301</v>
      </c>
      <c r="R757" s="525">
        <v>6</v>
      </c>
      <c r="S757" s="526">
        <v>1</v>
      </c>
      <c r="T757" s="525">
        <v>0.12</v>
      </c>
      <c r="U757" s="525">
        <v>0.46300000000000002</v>
      </c>
      <c r="V757" s="525">
        <v>0.72</v>
      </c>
      <c r="W757" s="525">
        <v>2.778</v>
      </c>
      <c r="X757" s="525">
        <v>0.09</v>
      </c>
      <c r="Y757" s="525">
        <v>481.29</v>
      </c>
      <c r="Z757" s="525">
        <v>4010.76</v>
      </c>
      <c r="AA757" s="527">
        <v>2887.75</v>
      </c>
    </row>
    <row r="758" spans="1:27" ht="17.45" hidden="1" customHeight="1" x14ac:dyDescent="0.25">
      <c r="A758" s="147" t="s">
        <v>4678</v>
      </c>
      <c r="B758" s="521">
        <v>508</v>
      </c>
      <c r="C758" s="521" t="s">
        <v>4753</v>
      </c>
      <c r="D758" s="142" t="s">
        <v>34</v>
      </c>
      <c r="E758" s="142" t="s">
        <v>5169</v>
      </c>
      <c r="F758" s="143">
        <v>45538</v>
      </c>
      <c r="G758" s="143"/>
      <c r="H758" s="142" t="s">
        <v>23</v>
      </c>
      <c r="I758" s="522"/>
      <c r="J758" s="522"/>
      <c r="K758" s="522"/>
      <c r="L758" s="393"/>
      <c r="M758" s="443">
        <f>Таблица4[[#This Row],[Количество хлыстов]]-Таблица4[[#This Row],[Готово, хл]]-Таблица4[[#This Row],[Вывезено, хл]]</f>
        <v>1</v>
      </c>
      <c r="N758" s="579">
        <f>Таблица4[[#This Row],[Площадь общая, м2]]/28</f>
        <v>4.4999999999999998E-2</v>
      </c>
      <c r="O758" s="142"/>
      <c r="P758" s="280">
        <v>6</v>
      </c>
      <c r="Q758" s="525" t="s">
        <v>5302</v>
      </c>
      <c r="R758" s="525">
        <v>6</v>
      </c>
      <c r="S758" s="526">
        <v>1</v>
      </c>
      <c r="T758" s="525">
        <v>0.21</v>
      </c>
      <c r="U758" s="525">
        <v>1.355</v>
      </c>
      <c r="V758" s="525">
        <v>1.26</v>
      </c>
      <c r="W758" s="525">
        <v>8.1300000000000008</v>
      </c>
      <c r="X758" s="525">
        <v>0.16</v>
      </c>
      <c r="Y758" s="525">
        <v>481.29</v>
      </c>
      <c r="Z758" s="525">
        <v>2291.87</v>
      </c>
      <c r="AA758" s="527">
        <v>2887.75</v>
      </c>
    </row>
    <row r="759" spans="1:27" ht="17.45" hidden="1" customHeight="1" x14ac:dyDescent="0.25">
      <c r="A759" s="147" t="s">
        <v>4678</v>
      </c>
      <c r="B759" s="521">
        <v>508</v>
      </c>
      <c r="C759" s="521" t="s">
        <v>4753</v>
      </c>
      <c r="D759" s="142" t="s">
        <v>34</v>
      </c>
      <c r="E759" s="142" t="s">
        <v>5169</v>
      </c>
      <c r="F759" s="143">
        <v>45538</v>
      </c>
      <c r="G759" s="143"/>
      <c r="H759" s="142" t="s">
        <v>23</v>
      </c>
      <c r="I759" s="522"/>
      <c r="J759" s="522"/>
      <c r="K759" s="522"/>
      <c r="L759" s="393"/>
      <c r="M759" s="443">
        <f>Таблица4[[#This Row],[Количество хлыстов]]-Таблица4[[#This Row],[Готово, хл]]-Таблица4[[#This Row],[Вывезено, хл]]</f>
        <v>1</v>
      </c>
      <c r="N759" s="579">
        <f>Таблица4[[#This Row],[Площадь общая, м2]]/28</f>
        <v>5.1428571428571428E-2</v>
      </c>
      <c r="O759" s="142"/>
      <c r="P759" s="280">
        <v>6</v>
      </c>
      <c r="Q759" s="525" t="s">
        <v>5303</v>
      </c>
      <c r="R759" s="525">
        <v>6</v>
      </c>
      <c r="S759" s="526">
        <v>1</v>
      </c>
      <c r="T759" s="525">
        <v>0.24</v>
      </c>
      <c r="U759" s="525">
        <v>1.2569999999999999</v>
      </c>
      <c r="V759" s="525">
        <v>1.44</v>
      </c>
      <c r="W759" s="525">
        <v>7.5419999999999998</v>
      </c>
      <c r="X759" s="525">
        <v>0.19</v>
      </c>
      <c r="Y759" s="525">
        <v>481.25</v>
      </c>
      <c r="Z759" s="525">
        <v>2005.21</v>
      </c>
      <c r="AA759" s="527">
        <v>2887.5</v>
      </c>
    </row>
    <row r="760" spans="1:27" ht="17.45" hidden="1" customHeight="1" x14ac:dyDescent="0.25">
      <c r="A760" s="147" t="s">
        <v>4678</v>
      </c>
      <c r="B760" s="521">
        <v>508</v>
      </c>
      <c r="C760" s="521" t="s">
        <v>4753</v>
      </c>
      <c r="D760" s="142" t="s">
        <v>34</v>
      </c>
      <c r="E760" s="142" t="s">
        <v>5169</v>
      </c>
      <c r="F760" s="143">
        <v>45538</v>
      </c>
      <c r="G760" s="143"/>
      <c r="H760" s="142" t="s">
        <v>23</v>
      </c>
      <c r="I760" s="522"/>
      <c r="J760" s="522"/>
      <c r="K760" s="522"/>
      <c r="L760" s="393"/>
      <c r="M760" s="443">
        <f>Таблица4[[#This Row],[Количество хлыстов]]-Таблица4[[#This Row],[Готово, хл]]-Таблица4[[#This Row],[Вывезено, хл]]</f>
        <v>85</v>
      </c>
      <c r="N760" s="579">
        <f>Таблица4[[#This Row],[Площадь общая, м2]]/28</f>
        <v>0.58589285714285722</v>
      </c>
      <c r="O760" s="142"/>
      <c r="P760" s="280"/>
      <c r="Q760" s="525" t="s">
        <v>5112</v>
      </c>
      <c r="R760" s="525">
        <v>85</v>
      </c>
      <c r="S760" s="526">
        <v>85</v>
      </c>
      <c r="T760" s="525">
        <v>0.193</v>
      </c>
      <c r="U760" s="525" t="s">
        <v>17</v>
      </c>
      <c r="V760" s="525">
        <v>16.405000000000001</v>
      </c>
      <c r="W760" s="525" t="s">
        <v>17</v>
      </c>
      <c r="X760" s="525">
        <v>2.13</v>
      </c>
      <c r="Y760" s="525">
        <v>290</v>
      </c>
      <c r="Z760" s="525">
        <v>5350.55</v>
      </c>
      <c r="AA760" s="527">
        <v>24650</v>
      </c>
    </row>
    <row r="761" spans="1:27" ht="17.45" hidden="1" customHeight="1" x14ac:dyDescent="0.25">
      <c r="A761" s="147" t="s">
        <v>4678</v>
      </c>
      <c r="B761" s="521">
        <v>508</v>
      </c>
      <c r="C761" s="521" t="s">
        <v>4753</v>
      </c>
      <c r="D761" s="142" t="s">
        <v>34</v>
      </c>
      <c r="E761" s="142" t="s">
        <v>5169</v>
      </c>
      <c r="F761" s="143">
        <v>45538</v>
      </c>
      <c r="G761" s="143"/>
      <c r="H761" s="142" t="s">
        <v>23</v>
      </c>
      <c r="I761" s="522"/>
      <c r="J761" s="522"/>
      <c r="K761" s="522"/>
      <c r="L761" s="393"/>
      <c r="M761" s="443">
        <f>Таблица4[[#This Row],[Количество хлыстов]]-Таблица4[[#This Row],[Готово, хл]]-Таблица4[[#This Row],[Вывезено, хл]]</f>
        <v>15</v>
      </c>
      <c r="N761" s="579">
        <f>Таблица4[[#This Row],[Площадь общая, м2]]/28</f>
        <v>0.15642857142857142</v>
      </c>
      <c r="O761" s="142"/>
      <c r="P761" s="280"/>
      <c r="Q761" s="525" t="s">
        <v>5114</v>
      </c>
      <c r="R761" s="525">
        <v>15</v>
      </c>
      <c r="S761" s="526">
        <v>15</v>
      </c>
      <c r="T761" s="525">
        <v>0.29199999999999998</v>
      </c>
      <c r="U761" s="525" t="s">
        <v>17</v>
      </c>
      <c r="V761" s="525">
        <v>4.38</v>
      </c>
      <c r="W761" s="525" t="s">
        <v>17</v>
      </c>
      <c r="X761" s="525">
        <v>0.56999999999999995</v>
      </c>
      <c r="Y761" s="525">
        <v>440</v>
      </c>
      <c r="Z761" s="525">
        <v>4059.04</v>
      </c>
      <c r="AA761" s="527">
        <v>6600</v>
      </c>
    </row>
    <row r="762" spans="1:27" ht="17.45" hidden="1" customHeight="1" x14ac:dyDescent="0.25">
      <c r="A762" s="147" t="s">
        <v>4678</v>
      </c>
      <c r="B762" s="521">
        <v>508</v>
      </c>
      <c r="C762" s="521" t="s">
        <v>4753</v>
      </c>
      <c r="D762" s="142" t="s">
        <v>34</v>
      </c>
      <c r="E762" s="142" t="s">
        <v>5169</v>
      </c>
      <c r="F762" s="143">
        <v>45538</v>
      </c>
      <c r="G762" s="143"/>
      <c r="H762" s="142" t="s">
        <v>23</v>
      </c>
      <c r="I762" s="522"/>
      <c r="J762" s="522"/>
      <c r="K762" s="522"/>
      <c r="L762" s="393"/>
      <c r="M762" s="443">
        <f>Таблица4[[#This Row],[Количество хлыстов]]-Таблица4[[#This Row],[Готово, хл]]-Таблица4[[#This Row],[Вывезено, хл]]</f>
        <v>12</v>
      </c>
      <c r="N762" s="579">
        <v>1</v>
      </c>
      <c r="O762" s="142"/>
      <c r="P762" s="280">
        <v>6</v>
      </c>
      <c r="Q762" s="525" t="s">
        <v>5304</v>
      </c>
      <c r="R762" s="525">
        <v>72</v>
      </c>
      <c r="S762" s="526">
        <v>12</v>
      </c>
      <c r="T762" s="525">
        <v>0.09</v>
      </c>
      <c r="U762" s="525">
        <v>0.17699999999999999</v>
      </c>
      <c r="V762" s="525">
        <v>6.48</v>
      </c>
      <c r="W762" s="525">
        <v>12.744</v>
      </c>
      <c r="X762" s="525">
        <v>0.84</v>
      </c>
      <c r="Y762" s="525">
        <v>360.97</v>
      </c>
      <c r="Z762" s="525">
        <v>4010.8</v>
      </c>
      <c r="AA762" s="527">
        <v>25990</v>
      </c>
    </row>
    <row r="763" spans="1:27" ht="17.45" hidden="1" customHeight="1" x14ac:dyDescent="0.25">
      <c r="A763" s="147" t="s">
        <v>4678</v>
      </c>
      <c r="B763" s="521">
        <v>509</v>
      </c>
      <c r="C763" s="521"/>
      <c r="D763" s="142" t="s">
        <v>13</v>
      </c>
      <c r="E763" s="142" t="s">
        <v>5339</v>
      </c>
      <c r="F763" s="143">
        <v>45539</v>
      </c>
      <c r="G763" s="143"/>
      <c r="H763" s="142" t="s">
        <v>23</v>
      </c>
      <c r="I763" s="522"/>
      <c r="J763" s="522"/>
      <c r="K763" s="522"/>
      <c r="L763" s="393">
        <v>108</v>
      </c>
      <c r="M763" s="443">
        <f>Таблица4[[#This Row],[Количество хлыстов]]-Таблица4[[#This Row],[Готово, хл]]-Таблица4[[#This Row],[Вывезено, хл]]</f>
        <v>0</v>
      </c>
      <c r="N763" s="638">
        <f>((Таблица4[[#This Row],[Осталось сделать, хлыст]]*Таблица4[[#This Row],[длина]])*Таблица4[[#This Row],[Периметр]])/28</f>
        <v>0</v>
      </c>
      <c r="O763" s="142"/>
      <c r="P763" s="280">
        <v>6</v>
      </c>
      <c r="Q763" s="525" t="s">
        <v>4748</v>
      </c>
      <c r="R763" s="525">
        <v>648</v>
      </c>
      <c r="S763" s="526">
        <v>108</v>
      </c>
      <c r="T763" s="525">
        <v>0.33660000000000001</v>
      </c>
      <c r="U763" s="525">
        <v>1.2350000000000001</v>
      </c>
      <c r="V763" s="525">
        <v>218.11680000000001</v>
      </c>
      <c r="W763" s="525">
        <v>800.28</v>
      </c>
      <c r="X763" s="525">
        <v>28.36</v>
      </c>
      <c r="Y763" s="525">
        <v>146.41999999999999</v>
      </c>
      <c r="Z763" s="525">
        <v>435</v>
      </c>
      <c r="AA763" s="527">
        <v>94880.81</v>
      </c>
    </row>
    <row r="764" spans="1:27" ht="17.45" hidden="1" customHeight="1" x14ac:dyDescent="0.25">
      <c r="A764" s="147" t="s">
        <v>4678</v>
      </c>
      <c r="B764" s="521">
        <v>510</v>
      </c>
      <c r="C764" s="521"/>
      <c r="D764" s="142" t="s">
        <v>13</v>
      </c>
      <c r="E764" s="142" t="s">
        <v>292</v>
      </c>
      <c r="F764" s="143">
        <v>45447</v>
      </c>
      <c r="G764" s="143"/>
      <c r="H764" s="142" t="s">
        <v>23</v>
      </c>
      <c r="I764" s="522"/>
      <c r="J764" s="522"/>
      <c r="K764" s="522">
        <f>107+21</f>
        <v>128</v>
      </c>
      <c r="L764" s="393"/>
      <c r="M764" s="443">
        <f>Таблица4[[#This Row],[Количество хлыстов]]-Таблица4[[#This Row],[Готово, хл]]-Таблица4[[#This Row],[Вывезено, хл]]</f>
        <v>0</v>
      </c>
      <c r="N764" s="638">
        <f>((Таблица4[[#This Row],[Осталось сделать, хлыст]]*Таблица4[[#This Row],[длина]])*Таблица4[[#This Row],[Периметр]])/28</f>
        <v>0</v>
      </c>
      <c r="O764" s="142"/>
      <c r="P764" s="280">
        <v>4</v>
      </c>
      <c r="Q764" s="525" t="s">
        <v>4544</v>
      </c>
      <c r="R764" s="525">
        <v>512</v>
      </c>
      <c r="S764" s="526">
        <v>128</v>
      </c>
      <c r="T764" s="525">
        <v>0.3266</v>
      </c>
      <c r="U764" s="525">
        <v>0.84099999999999997</v>
      </c>
      <c r="V764" s="525">
        <v>167.2192</v>
      </c>
      <c r="W764" s="525">
        <v>430.59199999999998</v>
      </c>
      <c r="X764" s="525">
        <v>21.74</v>
      </c>
      <c r="Y764" s="525">
        <v>164.61</v>
      </c>
      <c r="Z764" s="525">
        <v>504</v>
      </c>
      <c r="AA764" s="527">
        <v>84278.48</v>
      </c>
    </row>
    <row r="765" spans="1:27" ht="17.45" hidden="1" customHeight="1" x14ac:dyDescent="0.25">
      <c r="A765" s="147" t="s">
        <v>4678</v>
      </c>
      <c r="B765" s="521">
        <v>511</v>
      </c>
      <c r="C765" s="521"/>
      <c r="D765" s="142" t="s">
        <v>13</v>
      </c>
      <c r="E765" s="142" t="s">
        <v>556</v>
      </c>
      <c r="F765" s="143">
        <v>45539</v>
      </c>
      <c r="G765" s="143">
        <v>45546</v>
      </c>
      <c r="H765" s="142" t="s">
        <v>23</v>
      </c>
      <c r="I765" s="522"/>
      <c r="J765" s="522"/>
      <c r="K765" s="522"/>
      <c r="L765" s="522">
        <f>65+70+56</f>
        <v>191</v>
      </c>
      <c r="M765" s="443">
        <f>Таблица4[[#This Row],[Количество хлыстов]]-Таблица4[[#This Row],[Готово, хл]]-Таблица4[[#This Row],[Вывезено, хл]]</f>
        <v>1</v>
      </c>
      <c r="N765" s="638">
        <f>((Таблица4[[#This Row],[Осталось сделать, хлыст]]*Таблица4[[#This Row],[длина]])*Таблица4[[#This Row],[Периметр]])/28</f>
        <v>8.9785714285714274E-2</v>
      </c>
      <c r="O765" s="142" t="s">
        <v>4937</v>
      </c>
      <c r="P765" s="280">
        <v>6</v>
      </c>
      <c r="Q765" s="525" t="s">
        <v>4785</v>
      </c>
      <c r="R765" s="525">
        <v>1152</v>
      </c>
      <c r="S765" s="526">
        <v>192</v>
      </c>
      <c r="T765" s="525">
        <v>0.41899999999999998</v>
      </c>
      <c r="U765" s="525">
        <v>0.75800000000000001</v>
      </c>
      <c r="V765" s="525">
        <v>482.68799999999999</v>
      </c>
      <c r="W765" s="525">
        <v>873.21600000000001</v>
      </c>
      <c r="X765" s="525">
        <v>62.75</v>
      </c>
      <c r="Y765" s="525">
        <v>190.65</v>
      </c>
      <c r="Z765" s="525">
        <v>455</v>
      </c>
      <c r="AA765" s="527">
        <v>219623.04000000001</v>
      </c>
    </row>
    <row r="766" spans="1:27" ht="17.45" hidden="1" customHeight="1" x14ac:dyDescent="0.25">
      <c r="A766" s="147" t="s">
        <v>4678</v>
      </c>
      <c r="B766" s="521">
        <v>512</v>
      </c>
      <c r="C766" s="521"/>
      <c r="D766" s="142" t="s">
        <v>34</v>
      </c>
      <c r="E766" s="142" t="s">
        <v>14</v>
      </c>
      <c r="F766" s="143"/>
      <c r="G766" s="143"/>
      <c r="H766" s="142" t="s">
        <v>23</v>
      </c>
      <c r="I766" s="522"/>
      <c r="J766" s="522"/>
      <c r="K766" s="522">
        <v>190</v>
      </c>
      <c r="L766" s="393"/>
      <c r="M766" s="443">
        <f>Таблица4[[#This Row],[Количество хлыстов]]-Таблица4[[#This Row],[Готово, хл]]-Таблица4[[#This Row],[Вывезено, хл]]</f>
        <v>0</v>
      </c>
      <c r="N766" s="638">
        <f>((Таблица4[[#This Row],[Осталось сделать, хлыст]]*Таблица4[[#This Row],[длина]])*Таблица4[[#This Row],[Периметр]])/28</f>
        <v>0</v>
      </c>
      <c r="O766" s="142"/>
      <c r="P766" s="280">
        <v>6.05</v>
      </c>
      <c r="Q766" s="639" t="s">
        <v>652</v>
      </c>
      <c r="R766" s="525">
        <v>1149.5</v>
      </c>
      <c r="S766" s="526">
        <v>190</v>
      </c>
      <c r="T766" s="525">
        <v>0.1061</v>
      </c>
      <c r="U766" s="525">
        <v>0.63800000000000001</v>
      </c>
      <c r="V766" s="525">
        <v>121.962</v>
      </c>
      <c r="W766" s="525">
        <v>733.38099999999997</v>
      </c>
      <c r="X766" s="525">
        <v>15.86</v>
      </c>
      <c r="Y766" s="525">
        <v>46.68</v>
      </c>
      <c r="Z766" s="525">
        <v>440</v>
      </c>
      <c r="AA766" s="527">
        <v>53663.26</v>
      </c>
    </row>
    <row r="767" spans="1:27" ht="17.45" hidden="1" customHeight="1" x14ac:dyDescent="0.25">
      <c r="A767" s="147" t="s">
        <v>4678</v>
      </c>
      <c r="B767" s="521">
        <v>513</v>
      </c>
      <c r="C767" s="521"/>
      <c r="D767" s="142" t="s">
        <v>34</v>
      </c>
      <c r="E767" s="142" t="s">
        <v>201</v>
      </c>
      <c r="F767" s="143">
        <v>45541</v>
      </c>
      <c r="G767" s="143"/>
      <c r="H767" s="142" t="s">
        <v>23</v>
      </c>
      <c r="I767" s="522"/>
      <c r="J767" s="522"/>
      <c r="K767" s="522"/>
      <c r="L767" s="393"/>
      <c r="M767" s="443">
        <f>Таблица4[[#This Row],[Количество хлыстов]]-Таблица4[[#This Row],[Готово, хл]]-Таблица4[[#This Row],[Вывезено, хл]]</f>
        <v>116</v>
      </c>
      <c r="N767" s="638">
        <f>((Таблица4[[#This Row],[Осталось сделать, хлыст]]*Таблица4[[#This Row],[длина]])*Таблица4[[#This Row],[Периметр]])/28</f>
        <v>7.1489142857142856</v>
      </c>
      <c r="O767" s="142"/>
      <c r="P767" s="280">
        <v>6</v>
      </c>
      <c r="Q767" s="525" t="s">
        <v>2202</v>
      </c>
      <c r="R767" s="525">
        <v>696</v>
      </c>
      <c r="S767" s="526">
        <v>116</v>
      </c>
      <c r="T767" s="525">
        <v>0.28760000000000002</v>
      </c>
      <c r="U767" s="525">
        <v>0.76700000000000002</v>
      </c>
      <c r="V767" s="525">
        <v>200.1696</v>
      </c>
      <c r="W767" s="525">
        <v>533.83199999999999</v>
      </c>
      <c r="X767" s="525">
        <v>26.02</v>
      </c>
      <c r="Y767" s="525">
        <v>130.86000000000001</v>
      </c>
      <c r="Z767" s="525">
        <v>455</v>
      </c>
      <c r="AA767" s="527">
        <v>91077.17</v>
      </c>
    </row>
    <row r="768" spans="1:27" ht="17.45" customHeight="1" x14ac:dyDescent="0.25">
      <c r="A768" s="147" t="s">
        <v>4678</v>
      </c>
      <c r="B768" s="521">
        <v>514</v>
      </c>
      <c r="C768" s="521"/>
      <c r="D768" s="142" t="s">
        <v>34</v>
      </c>
      <c r="E768" s="142" t="s">
        <v>861</v>
      </c>
      <c r="F768" s="143">
        <v>45541</v>
      </c>
      <c r="G768" s="143"/>
      <c r="H768" s="142" t="s">
        <v>4669</v>
      </c>
      <c r="I768" s="522"/>
      <c r="J768" s="522"/>
      <c r="K768" s="522">
        <v>66</v>
      </c>
      <c r="L768" s="393"/>
      <c r="M768" s="443">
        <f>Таблица4[[#This Row],[Количество хлыстов]]-Таблица4[[#This Row],[Готово, хл]]-Таблица4[[#This Row],[Вывезено, хл]]</f>
        <v>0</v>
      </c>
      <c r="N768" s="638">
        <f>((Таблица4[[#This Row],[Осталось сделать, хлыст]]*Таблица4[[#This Row],[длина]])*Таблица4[[#This Row],[Периметр]])/28</f>
        <v>0</v>
      </c>
      <c r="O768" s="142"/>
      <c r="P768" s="280">
        <v>6</v>
      </c>
      <c r="Q768" s="525" t="s">
        <v>4393</v>
      </c>
      <c r="R768" s="525">
        <v>396</v>
      </c>
      <c r="S768" s="526">
        <v>66</v>
      </c>
      <c r="T768" s="525">
        <v>0.47389999999999999</v>
      </c>
      <c r="U768" s="525">
        <v>1.355</v>
      </c>
      <c r="V768" s="525">
        <v>187.6644</v>
      </c>
      <c r="W768" s="525">
        <v>536.58000000000004</v>
      </c>
      <c r="X768" s="525">
        <v>24.4</v>
      </c>
      <c r="Y768" s="525">
        <v>196.67</v>
      </c>
      <c r="Z768" s="525">
        <v>415</v>
      </c>
      <c r="AA768" s="527">
        <v>77880.73</v>
      </c>
    </row>
    <row r="769" spans="1:27" ht="17.45" customHeight="1" x14ac:dyDescent="0.25">
      <c r="A769" s="147" t="s">
        <v>4678</v>
      </c>
      <c r="B769" s="521">
        <v>515</v>
      </c>
      <c r="C769" s="521"/>
      <c r="D769" s="142" t="s">
        <v>34</v>
      </c>
      <c r="E769" s="142" t="s">
        <v>19</v>
      </c>
      <c r="F769" s="143">
        <v>45541</v>
      </c>
      <c r="G769" s="143"/>
      <c r="H769" s="142"/>
      <c r="I769" s="522"/>
      <c r="J769" s="522"/>
      <c r="K769" s="522"/>
      <c r="L769" s="393"/>
      <c r="M769" s="443">
        <f>Таблица4[[#This Row],[Количество хлыстов]]-Таблица4[[#This Row],[Готово, хл]]-Таблица4[[#This Row],[Вывезено, хл]]</f>
        <v>323</v>
      </c>
      <c r="N769" s="638">
        <f>((Таблица4[[#This Row],[Осталось сделать, хлыст]]*Таблица4[[#This Row],[длина]])*Таблица4[[#This Row],[Периметр]])/28</f>
        <v>14.128020000000001</v>
      </c>
      <c r="O769" s="142"/>
      <c r="P769" s="280">
        <v>3.6</v>
      </c>
      <c r="Q769" s="525" t="s">
        <v>5158</v>
      </c>
      <c r="R769" s="525">
        <v>1162.8</v>
      </c>
      <c r="S769" s="526">
        <v>323</v>
      </c>
      <c r="T769" s="525">
        <v>0.3402</v>
      </c>
      <c r="U769" s="525">
        <v>1.4530000000000001</v>
      </c>
      <c r="V769" s="525">
        <v>395.58460000000002</v>
      </c>
      <c r="W769" s="525">
        <v>1689.5483999999999</v>
      </c>
      <c r="X769" s="525">
        <v>51.43</v>
      </c>
      <c r="Y769" s="525">
        <v>146.97</v>
      </c>
      <c r="Z769" s="525">
        <v>432</v>
      </c>
      <c r="AA769" s="527">
        <v>170896.72</v>
      </c>
    </row>
    <row r="770" spans="1:27" ht="17.45" hidden="1" customHeight="1" x14ac:dyDescent="0.25">
      <c r="A770" s="427" t="s">
        <v>4678</v>
      </c>
      <c r="B770" s="309">
        <v>516</v>
      </c>
      <c r="C770" s="309"/>
      <c r="D770" s="303" t="s">
        <v>13</v>
      </c>
      <c r="E770" s="303" t="s">
        <v>556</v>
      </c>
      <c r="F770" s="528">
        <v>45544</v>
      </c>
      <c r="G770" s="143">
        <v>45552</v>
      </c>
      <c r="H770" s="142" t="s">
        <v>23</v>
      </c>
      <c r="I770" s="522"/>
      <c r="J770" s="522"/>
      <c r="K770" s="522">
        <f>70+70</f>
        <v>140</v>
      </c>
      <c r="L770" s="393"/>
      <c r="M770" s="443">
        <f>Таблица4[[#This Row],[Количество хлыстов]]-Таблица4[[#This Row],[Готово, хл]]-Таблица4[[#This Row],[Вывезено, хл]]</f>
        <v>5</v>
      </c>
      <c r="N770" s="638">
        <f>((Таблица4[[#This Row],[Осталось сделать, хлыст]]*Таблица4[[#This Row],[длина]])*Таблица4[[#This Row],[Периметр]])/28</f>
        <v>0.37328571428571428</v>
      </c>
      <c r="O770" s="142" t="s">
        <v>4761</v>
      </c>
      <c r="P770" s="280">
        <v>6</v>
      </c>
      <c r="Q770" s="525" t="s">
        <v>4667</v>
      </c>
      <c r="R770" s="525">
        <v>870</v>
      </c>
      <c r="S770" s="526">
        <v>145</v>
      </c>
      <c r="T770" s="525">
        <v>0.34839999999999999</v>
      </c>
      <c r="U770" s="525">
        <v>0.55000000000000004</v>
      </c>
      <c r="V770" s="525">
        <v>303.108</v>
      </c>
      <c r="W770" s="525">
        <v>478.5</v>
      </c>
      <c r="X770" s="525">
        <v>39.4</v>
      </c>
      <c r="Y770" s="525">
        <v>158.52000000000001</v>
      </c>
      <c r="Z770" s="525">
        <v>455</v>
      </c>
      <c r="AA770" s="527">
        <v>137914.14000000001</v>
      </c>
    </row>
    <row r="771" spans="1:27" ht="17.45" hidden="1" customHeight="1" x14ac:dyDescent="0.25">
      <c r="A771" s="147" t="s">
        <v>4678</v>
      </c>
      <c r="B771" s="521">
        <v>517</v>
      </c>
      <c r="C771" s="521"/>
      <c r="D771" s="142" t="s">
        <v>34</v>
      </c>
      <c r="E771" s="142" t="s">
        <v>2205</v>
      </c>
      <c r="F771" s="143">
        <v>45547</v>
      </c>
      <c r="G771" s="143"/>
      <c r="H771" s="142" t="s">
        <v>23</v>
      </c>
      <c r="I771" s="522"/>
      <c r="J771" s="522"/>
      <c r="K771" s="522"/>
      <c r="L771" s="393">
        <v>78</v>
      </c>
      <c r="M771" s="443">
        <f>Таблица4[[#This Row],[Количество хлыстов]]-Таблица4[[#This Row],[Готово, хл]]-Таблица4[[#This Row],[Вывезено, хл]]</f>
        <v>0</v>
      </c>
      <c r="N771" s="638">
        <f>((Таблица4[[#This Row],[Осталось сделать, хлыст]]*Таблица4[[#This Row],[длина]])*Таблица4[[#This Row],[Периметр]])/28</f>
        <v>0</v>
      </c>
      <c r="O771" s="142"/>
      <c r="P771" s="280">
        <v>3.05</v>
      </c>
      <c r="Q771" s="525" t="s">
        <v>1362</v>
      </c>
      <c r="R771" s="525">
        <v>237.9</v>
      </c>
      <c r="S771" s="526">
        <v>78</v>
      </c>
      <c r="T771" s="525">
        <v>0.91269999999999996</v>
      </c>
      <c r="U771" s="525">
        <v>4.5439999999999996</v>
      </c>
      <c r="V771" s="525">
        <v>217.13130000000001</v>
      </c>
      <c r="W771" s="525">
        <v>1081.0175999999999</v>
      </c>
      <c r="X771" s="525">
        <v>28.23</v>
      </c>
      <c r="Y771" s="525">
        <v>513.71</v>
      </c>
      <c r="Z771" s="525">
        <v>562.85</v>
      </c>
      <c r="AA771" s="527">
        <v>122211.48</v>
      </c>
    </row>
    <row r="772" spans="1:27" ht="17.45" hidden="1" customHeight="1" x14ac:dyDescent="0.25">
      <c r="A772" s="147" t="s">
        <v>4678</v>
      </c>
      <c r="B772" s="521">
        <v>518</v>
      </c>
      <c r="C772" s="521" t="s">
        <v>4753</v>
      </c>
      <c r="D772" s="142" t="s">
        <v>34</v>
      </c>
      <c r="E772" s="142" t="s">
        <v>5314</v>
      </c>
      <c r="F772" s="143">
        <v>45547</v>
      </c>
      <c r="G772" s="143"/>
      <c r="H772" s="142" t="s">
        <v>23</v>
      </c>
      <c r="I772" s="522"/>
      <c r="J772" s="522"/>
      <c r="K772" s="522"/>
      <c r="L772" s="393">
        <v>6</v>
      </c>
      <c r="M772" s="443">
        <f>Таблица4[[#This Row],[Количество хлыстов]]-Таблица4[[#This Row],[Готово, хл]]-Таблица4[[#This Row],[Вывезено, хл]]</f>
        <v>0</v>
      </c>
      <c r="N772" s="638">
        <f>((Таблица4[[#This Row],[Осталось сделать, хлыст]]*Таблица4[[#This Row],[длина]])*Таблица4[[#This Row],[Периметр]])/28</f>
        <v>0</v>
      </c>
      <c r="O772" s="142"/>
      <c r="P772" s="280"/>
      <c r="Q772" s="525" t="s">
        <v>5313</v>
      </c>
      <c r="R772" s="525">
        <v>36</v>
      </c>
      <c r="S772" s="526">
        <v>6</v>
      </c>
      <c r="T772" s="525">
        <v>0.48</v>
      </c>
      <c r="U772" s="525">
        <v>4.9400000000000004</v>
      </c>
      <c r="V772" s="525">
        <v>17.28</v>
      </c>
      <c r="W772" s="525">
        <v>177.84</v>
      </c>
      <c r="X772" s="525">
        <v>2.25</v>
      </c>
      <c r="Y772" s="525">
        <v>774.76</v>
      </c>
      <c r="Z772" s="525">
        <v>1614.07</v>
      </c>
      <c r="AA772" s="527">
        <v>27891.200000000001</v>
      </c>
    </row>
    <row r="773" spans="1:27" ht="17.45" hidden="1" customHeight="1" x14ac:dyDescent="0.25">
      <c r="A773" s="147" t="s">
        <v>4678</v>
      </c>
      <c r="B773" s="521">
        <v>521</v>
      </c>
      <c r="C773" s="521"/>
      <c r="D773" s="142" t="s">
        <v>13</v>
      </c>
      <c r="E773" s="142" t="s">
        <v>4747</v>
      </c>
      <c r="F773" s="143">
        <v>45548</v>
      </c>
      <c r="G773" s="143"/>
      <c r="H773" s="142" t="s">
        <v>23</v>
      </c>
      <c r="I773" s="522"/>
      <c r="J773" s="522"/>
      <c r="K773" s="522">
        <f>86+107</f>
        <v>193</v>
      </c>
      <c r="L773" s="393"/>
      <c r="M773" s="443">
        <f>Таблица4[[#This Row],[Количество хлыстов]]-Таблица4[[#This Row],[Готово, хл]]-Таблица4[[#This Row],[Вывезено, хл]]</f>
        <v>1</v>
      </c>
      <c r="N773" s="638">
        <f>((Таблица4[[#This Row],[Осталось сделать, хлыст]]*Таблица4[[#This Row],[длина]])*Таблица4[[#This Row],[Периметр]])/28</f>
        <v>4.6657142857142855E-2</v>
      </c>
      <c r="O773" s="142"/>
      <c r="P773" s="280">
        <v>4</v>
      </c>
      <c r="Q773" s="525" t="s">
        <v>4544</v>
      </c>
      <c r="R773" s="525">
        <v>776</v>
      </c>
      <c r="S773" s="526">
        <v>194</v>
      </c>
      <c r="T773" s="525">
        <v>0.3266</v>
      </c>
      <c r="U773" s="525">
        <v>0.84099999999999997</v>
      </c>
      <c r="V773" s="525">
        <v>253.44159999999999</v>
      </c>
      <c r="W773" s="525">
        <v>652.61599999999999</v>
      </c>
      <c r="X773" s="525">
        <v>32.950000000000003</v>
      </c>
      <c r="Y773" s="525">
        <v>164.61</v>
      </c>
      <c r="Z773" s="525">
        <v>504</v>
      </c>
      <c r="AA773" s="527">
        <v>127734.57</v>
      </c>
    </row>
    <row r="774" spans="1:27" ht="17.45" hidden="1" customHeight="1" x14ac:dyDescent="0.25">
      <c r="A774" s="147" t="s">
        <v>4678</v>
      </c>
      <c r="B774" s="521">
        <v>521</v>
      </c>
      <c r="C774" s="521"/>
      <c r="D774" s="142" t="s">
        <v>13</v>
      </c>
      <c r="E774" s="142" t="s">
        <v>4747</v>
      </c>
      <c r="F774" s="143">
        <v>45548</v>
      </c>
      <c r="G774" s="143"/>
      <c r="H774" s="142" t="s">
        <v>23</v>
      </c>
      <c r="I774" s="522"/>
      <c r="J774" s="522"/>
      <c r="K774" s="522">
        <f>110+110+102</f>
        <v>322</v>
      </c>
      <c r="L774" s="393"/>
      <c r="M774" s="443">
        <f>Таблица4[[#This Row],[Количество хлыстов]]-Таблица4[[#This Row],[Готово, хл]]-Таблица4[[#This Row],[Вывезено, хл]]</f>
        <v>6</v>
      </c>
      <c r="N774" s="638">
        <f>((Таблица4[[#This Row],[Осталось сделать, хлыст]]*Таблица4[[#This Row],[длина]])*Таблица4[[#This Row],[Периметр]])/28</f>
        <v>0.32193428571428567</v>
      </c>
      <c r="O774" s="142" t="s">
        <v>5155</v>
      </c>
      <c r="P774" s="280">
        <v>4.5999999999999996</v>
      </c>
      <c r="Q774" s="525" t="s">
        <v>3974</v>
      </c>
      <c r="R774" s="525">
        <v>1508.8</v>
      </c>
      <c r="S774" s="526">
        <v>328</v>
      </c>
      <c r="T774" s="525">
        <v>0.3266</v>
      </c>
      <c r="U774" s="525">
        <v>0.84099999999999997</v>
      </c>
      <c r="V774" s="525">
        <v>492.77409999999998</v>
      </c>
      <c r="W774" s="525">
        <v>1268.9007999999999</v>
      </c>
      <c r="X774" s="525">
        <v>64.06</v>
      </c>
      <c r="Y774" s="525">
        <v>164.61</v>
      </c>
      <c r="Z774" s="525">
        <v>504</v>
      </c>
      <c r="AA774" s="527">
        <v>248358.14</v>
      </c>
    </row>
    <row r="775" spans="1:27" ht="17.45" hidden="1" customHeight="1" x14ac:dyDescent="0.25">
      <c r="A775" s="147" t="s">
        <v>4678</v>
      </c>
      <c r="B775" s="521">
        <v>522</v>
      </c>
      <c r="C775" s="521"/>
      <c r="D775" s="142" t="s">
        <v>13</v>
      </c>
      <c r="E775" s="142" t="s">
        <v>5315</v>
      </c>
      <c r="F775" s="143">
        <v>45548</v>
      </c>
      <c r="G775" s="143">
        <v>45558</v>
      </c>
      <c r="H775" s="142" t="s">
        <v>23</v>
      </c>
      <c r="I775" s="522"/>
      <c r="J775" s="522"/>
      <c r="K775" s="522">
        <v>332</v>
      </c>
      <c r="L775" s="393"/>
      <c r="M775" s="443">
        <f>Таблица4[[#This Row],[Количество хлыстов]]-Таблица4[[#This Row],[Готово, хл]]-Таблица4[[#This Row],[Вывезено, хл]]</f>
        <v>7</v>
      </c>
      <c r="N775" s="638">
        <f>((Таблица4[[#This Row],[Осталось сделать, хлыст]]*Таблица4[[#This Row],[длина]])*Таблица4[[#This Row],[Периметр]])/28</f>
        <v>0.1</v>
      </c>
      <c r="O775" s="142" t="s">
        <v>5105</v>
      </c>
      <c r="P775" s="280">
        <v>4</v>
      </c>
      <c r="Q775" s="525" t="s">
        <v>1767</v>
      </c>
      <c r="R775" s="525">
        <v>1356</v>
      </c>
      <c r="S775" s="526">
        <v>339</v>
      </c>
      <c r="T775" s="525">
        <v>0.1</v>
      </c>
      <c r="U775" s="525">
        <v>0.37</v>
      </c>
      <c r="V775" s="525">
        <v>135.6</v>
      </c>
      <c r="W775" s="525">
        <v>501.72</v>
      </c>
      <c r="X775" s="525">
        <v>17.63</v>
      </c>
      <c r="Y775" s="525">
        <v>53.9</v>
      </c>
      <c r="Z775" s="525">
        <v>539</v>
      </c>
      <c r="AA775" s="527">
        <v>73088.399999999994</v>
      </c>
    </row>
    <row r="776" spans="1:27" s="421" customFormat="1" ht="17.45" customHeight="1" x14ac:dyDescent="0.25">
      <c r="A776" s="419" t="s">
        <v>5268</v>
      </c>
      <c r="B776" s="617">
        <v>524</v>
      </c>
      <c r="C776" s="617"/>
      <c r="D776" s="618" t="s">
        <v>13</v>
      </c>
      <c r="E776" s="618" t="s">
        <v>892</v>
      </c>
      <c r="F776" s="619">
        <v>45551</v>
      </c>
      <c r="G776" s="619"/>
      <c r="H776" s="618" t="s">
        <v>18</v>
      </c>
      <c r="I776" s="620"/>
      <c r="J776" s="620"/>
      <c r="K776" s="620"/>
      <c r="L776" s="677">
        <v>394</v>
      </c>
      <c r="M776" s="691">
        <f>Таблица4[[#This Row],[Количество хлыстов]]-Таблица4[[#This Row],[Готово, хл]]-Таблица4[[#This Row],[Вывезено, хл]]</f>
        <v>39</v>
      </c>
      <c r="N776" s="713"/>
      <c r="O776" s="618"/>
      <c r="P776" s="692">
        <v>5.15</v>
      </c>
      <c r="Q776" s="622" t="s">
        <v>4773</v>
      </c>
      <c r="R776" s="622">
        <v>2229.9499999999998</v>
      </c>
      <c r="S776" s="623">
        <v>433</v>
      </c>
      <c r="T776" s="622">
        <v>0.15790000000000001</v>
      </c>
      <c r="U776" s="622">
        <v>0.309</v>
      </c>
      <c r="V776" s="622">
        <v>352.10910000000001</v>
      </c>
      <c r="W776" s="622">
        <v>689.05460000000005</v>
      </c>
      <c r="X776" s="622">
        <v>45.77</v>
      </c>
      <c r="Y776" s="622">
        <v>52.11</v>
      </c>
      <c r="Z776" s="622">
        <v>330</v>
      </c>
      <c r="AA776" s="624">
        <v>116196</v>
      </c>
    </row>
    <row r="777" spans="1:27" s="421" customFormat="1" ht="17.45" customHeight="1" x14ac:dyDescent="0.25">
      <c r="A777" s="419" t="s">
        <v>5268</v>
      </c>
      <c r="B777" s="617">
        <v>524</v>
      </c>
      <c r="C777" s="617"/>
      <c r="D777" s="618" t="s">
        <v>13</v>
      </c>
      <c r="E777" s="618" t="s">
        <v>892</v>
      </c>
      <c r="F777" s="619">
        <v>45551</v>
      </c>
      <c r="G777" s="619"/>
      <c r="H777" s="618" t="s">
        <v>18</v>
      </c>
      <c r="I777" s="620"/>
      <c r="J777" s="620"/>
      <c r="K777" s="620"/>
      <c r="L777" s="677">
        <v>2306</v>
      </c>
      <c r="M777" s="691">
        <f>Таблица4[[#This Row],[Количество хлыстов]]-Таблица4[[#This Row],[Готово, хл]]-Таблица4[[#This Row],[Вывезено, хл]]</f>
        <v>19</v>
      </c>
      <c r="N777" s="713"/>
      <c r="O777" s="618"/>
      <c r="P777" s="692">
        <v>4.8499999999999996</v>
      </c>
      <c r="Q777" s="622" t="s">
        <v>4774</v>
      </c>
      <c r="R777" s="622">
        <v>11276.25</v>
      </c>
      <c r="S777" s="623">
        <v>2325</v>
      </c>
      <c r="T777" s="622">
        <v>9.5600000000000004E-2</v>
      </c>
      <c r="U777" s="622">
        <v>0.16</v>
      </c>
      <c r="V777" s="622">
        <v>1078.0094999999999</v>
      </c>
      <c r="W777" s="622">
        <v>1804.2</v>
      </c>
      <c r="X777" s="622">
        <v>140.13999999999999</v>
      </c>
      <c r="Y777" s="622">
        <v>32.6</v>
      </c>
      <c r="Z777" s="622">
        <v>341</v>
      </c>
      <c r="AA777" s="624">
        <v>367601.24</v>
      </c>
    </row>
    <row r="778" spans="1:27" ht="17.45" customHeight="1" x14ac:dyDescent="0.25">
      <c r="A778" s="147" t="s">
        <v>4678</v>
      </c>
      <c r="B778" s="521">
        <v>525</v>
      </c>
      <c r="C778" s="521"/>
      <c r="D778" s="142" t="s">
        <v>34</v>
      </c>
      <c r="E778" s="142" t="s">
        <v>79</v>
      </c>
      <c r="F778" s="143">
        <v>45551</v>
      </c>
      <c r="G778" s="143"/>
      <c r="H778" s="142"/>
      <c r="I778" s="522"/>
      <c r="J778" s="522"/>
      <c r="K778" s="522"/>
      <c r="L778" s="393">
        <v>21</v>
      </c>
      <c r="M778" s="443">
        <f>Таблица4[[#This Row],[Количество хлыстов]]-Таблица4[[#This Row],[Готово, хл]]-Таблица4[[#This Row],[Вывезено, хл]]</f>
        <v>201</v>
      </c>
      <c r="N778" s="638">
        <f>((Таблица4[[#This Row],[Осталось сделать, хлыст]]*Таблица4[[#This Row],[длина]])*Таблица4[[#This Row],[Периметр]])/28</f>
        <v>8.7133500000000002</v>
      </c>
      <c r="O778" s="142"/>
      <c r="P778" s="280">
        <v>6</v>
      </c>
      <c r="Q778" s="525" t="s">
        <v>78</v>
      </c>
      <c r="R778" s="525">
        <v>1332</v>
      </c>
      <c r="S778" s="526">
        <v>222</v>
      </c>
      <c r="T778" s="525">
        <v>0.20230000000000001</v>
      </c>
      <c r="U778" s="525">
        <v>0.499</v>
      </c>
      <c r="V778" s="525">
        <v>269.46359999999999</v>
      </c>
      <c r="W778" s="525">
        <v>664.66800000000001</v>
      </c>
      <c r="X778" s="525">
        <v>35.03</v>
      </c>
      <c r="Y778" s="525">
        <v>79.91</v>
      </c>
      <c r="Z778" s="525">
        <v>395</v>
      </c>
      <c r="AA778" s="527">
        <v>106440.12</v>
      </c>
    </row>
    <row r="779" spans="1:27" ht="17.45" hidden="1" customHeight="1" x14ac:dyDescent="0.25">
      <c r="A779" s="147" t="s">
        <v>4678</v>
      </c>
      <c r="B779" s="521">
        <v>526</v>
      </c>
      <c r="C779" s="521"/>
      <c r="D779" s="142" t="s">
        <v>13</v>
      </c>
      <c r="E779" s="142" t="s">
        <v>5250</v>
      </c>
      <c r="F779" s="143">
        <v>45551</v>
      </c>
      <c r="G779" s="143">
        <v>45572</v>
      </c>
      <c r="H779" s="142" t="s">
        <v>23</v>
      </c>
      <c r="I779" s="522"/>
      <c r="J779" s="522"/>
      <c r="K779" s="522"/>
      <c r="L779" s="393">
        <f>154+152</f>
        <v>306</v>
      </c>
      <c r="M779" s="443">
        <f>Таблица4[[#This Row],[Количество хлыстов]]-Таблица4[[#This Row],[Готово, хл]]-Таблица4[[#This Row],[Вывезено, хл]]</f>
        <v>0</v>
      </c>
      <c r="N779" s="638">
        <f>((Таблица4[[#This Row],[Осталось сделать, хлыст]]*Таблица4[[#This Row],[длина]])*Таблица4[[#This Row],[Периметр]])/28</f>
        <v>0</v>
      </c>
      <c r="O779" s="142"/>
      <c r="P779" s="280">
        <v>5</v>
      </c>
      <c r="Q779" s="525" t="s">
        <v>5311</v>
      </c>
      <c r="R779" s="525">
        <v>1530</v>
      </c>
      <c r="S779" s="526">
        <v>306</v>
      </c>
      <c r="T779" s="525">
        <v>7.6700000000000004E-2</v>
      </c>
      <c r="U779" s="525">
        <v>0.17799999999999999</v>
      </c>
      <c r="V779" s="525">
        <v>117.351</v>
      </c>
      <c r="W779" s="525">
        <v>272.33999999999997</v>
      </c>
      <c r="X779" s="525">
        <v>15.26</v>
      </c>
      <c r="Y779" s="525">
        <v>34.9</v>
      </c>
      <c r="Z779" s="525">
        <v>455</v>
      </c>
      <c r="AA779" s="527">
        <v>53394.71</v>
      </c>
    </row>
    <row r="780" spans="1:27" ht="17.45" hidden="1" customHeight="1" x14ac:dyDescent="0.25">
      <c r="A780" s="147" t="s">
        <v>4678</v>
      </c>
      <c r="B780" s="521">
        <v>529</v>
      </c>
      <c r="C780" s="521"/>
      <c r="D780" s="142" t="s">
        <v>34</v>
      </c>
      <c r="E780" s="142" t="s">
        <v>201</v>
      </c>
      <c r="F780" s="143">
        <v>45552</v>
      </c>
      <c r="G780" s="143"/>
      <c r="H780" s="142" t="s">
        <v>23</v>
      </c>
      <c r="I780" s="522"/>
      <c r="J780" s="522"/>
      <c r="K780" s="522"/>
      <c r="L780" s="393">
        <f>142+15</f>
        <v>157</v>
      </c>
      <c r="M780" s="443">
        <f>Таблица4[[#This Row],[Количество хлыстов]]-Таблица4[[#This Row],[Готово, хл]]-Таблица4[[#This Row],[Вывезено, хл]]</f>
        <v>0</v>
      </c>
      <c r="N780" s="638">
        <f>((Таблица4[[#This Row],[Осталось сделать, хлыст]]*Таблица4[[#This Row],[длина]])*Таблица4[[#This Row],[Периметр]])/28</f>
        <v>0</v>
      </c>
      <c r="O780" s="142" t="s">
        <v>5322</v>
      </c>
      <c r="P780" s="280">
        <v>6</v>
      </c>
      <c r="Q780" s="525" t="s">
        <v>2561</v>
      </c>
      <c r="R780" s="525">
        <v>942</v>
      </c>
      <c r="S780" s="526">
        <v>157</v>
      </c>
      <c r="T780" s="525">
        <v>0.31109999999999999</v>
      </c>
      <c r="U780" s="525">
        <v>1.7769999999999999</v>
      </c>
      <c r="V780" s="525">
        <v>293.05619999999999</v>
      </c>
      <c r="W780" s="525">
        <v>1673.934</v>
      </c>
      <c r="X780" s="525">
        <v>38.1</v>
      </c>
      <c r="Y780" s="525">
        <v>167.68</v>
      </c>
      <c r="Z780" s="525">
        <v>539</v>
      </c>
      <c r="AA780" s="527">
        <v>157957.29</v>
      </c>
    </row>
    <row r="781" spans="1:27" ht="17.45" hidden="1" customHeight="1" x14ac:dyDescent="0.25">
      <c r="A781" s="147" t="s">
        <v>4678</v>
      </c>
      <c r="B781" s="521">
        <v>530</v>
      </c>
      <c r="C781" s="521"/>
      <c r="D781" s="142" t="s">
        <v>13</v>
      </c>
      <c r="E781" s="142" t="s">
        <v>892</v>
      </c>
      <c r="F781" s="143">
        <v>45552</v>
      </c>
      <c r="G781" s="143"/>
      <c r="H781" s="142" t="s">
        <v>23</v>
      </c>
      <c r="I781" s="522"/>
      <c r="J781" s="522"/>
      <c r="K781" s="522"/>
      <c r="L781" s="393">
        <v>455</v>
      </c>
      <c r="M781" s="443">
        <f>Таблица4[[#This Row],[Количество хлыстов]]-Таблица4[[#This Row],[Готово, хл]]-Таблица4[[#This Row],[Вывезено, хл]]</f>
        <v>1</v>
      </c>
      <c r="N781" s="638">
        <f>((Таблица4[[#This Row],[Осталось сделать, хлыст]]*Таблица4[[#This Row],[длина]])*Таблица4[[#This Row],[Периметр]])/28</f>
        <v>2.9042321428571435E-2</v>
      </c>
      <c r="O781" s="142" t="s">
        <v>4937</v>
      </c>
      <c r="P781" s="280">
        <v>5.15</v>
      </c>
      <c r="Q781" s="525" t="s">
        <v>1975</v>
      </c>
      <c r="R781" s="525">
        <v>2348.4</v>
      </c>
      <c r="S781" s="526">
        <v>456</v>
      </c>
      <c r="T781" s="525">
        <v>0.15790000000000001</v>
      </c>
      <c r="U781" s="525">
        <v>0.309</v>
      </c>
      <c r="V781" s="525">
        <v>370.81240000000003</v>
      </c>
      <c r="W781" s="525">
        <v>725.65560000000005</v>
      </c>
      <c r="X781" s="525">
        <v>48.21</v>
      </c>
      <c r="Y781" s="525">
        <v>68.69</v>
      </c>
      <c r="Z781" s="525">
        <v>435</v>
      </c>
      <c r="AA781" s="527">
        <v>161311.6</v>
      </c>
    </row>
    <row r="782" spans="1:27" ht="17.25" hidden="1" customHeight="1" x14ac:dyDescent="0.25">
      <c r="A782" s="147" t="s">
        <v>4678</v>
      </c>
      <c r="B782" s="521">
        <v>530</v>
      </c>
      <c r="C782" s="521"/>
      <c r="D782" s="142" t="s">
        <v>13</v>
      </c>
      <c r="E782" s="142" t="s">
        <v>892</v>
      </c>
      <c r="F782" s="143">
        <v>45552</v>
      </c>
      <c r="G782" s="143">
        <v>45565</v>
      </c>
      <c r="H782" s="142" t="s">
        <v>23</v>
      </c>
      <c r="I782" s="522"/>
      <c r="J782" s="522"/>
      <c r="K782" s="522"/>
      <c r="L782" s="393">
        <v>835</v>
      </c>
      <c r="M782" s="443">
        <f>Таблица4[[#This Row],[Количество хлыстов]]-Таблица4[[#This Row],[Готово, хл]]-Таблица4[[#This Row],[Вывезено, хл]]</f>
        <v>0</v>
      </c>
      <c r="N782" s="638">
        <f>((Таблица4[[#This Row],[Осталось сделать, хлыст]]*Таблица4[[#This Row],[длина]])*Таблица4[[#This Row],[Периметр]])/28</f>
        <v>0</v>
      </c>
      <c r="O782" s="142"/>
      <c r="P782" s="280">
        <v>4.8499999999999996</v>
      </c>
      <c r="Q782" s="525" t="s">
        <v>2841</v>
      </c>
      <c r="R782" s="525">
        <v>4049.75</v>
      </c>
      <c r="S782" s="526">
        <v>835</v>
      </c>
      <c r="T782" s="525">
        <v>9.5600000000000004E-2</v>
      </c>
      <c r="U782" s="525">
        <v>0.16</v>
      </c>
      <c r="V782" s="525">
        <v>387.15609999999998</v>
      </c>
      <c r="W782" s="525">
        <v>647.96</v>
      </c>
      <c r="X782" s="525">
        <v>50.33</v>
      </c>
      <c r="Y782" s="525">
        <v>49.23</v>
      </c>
      <c r="Z782" s="525">
        <v>515</v>
      </c>
      <c r="AA782" s="527">
        <v>199385.39</v>
      </c>
    </row>
    <row r="783" spans="1:27" ht="17.45" hidden="1" customHeight="1" x14ac:dyDescent="0.25">
      <c r="A783" s="147" t="s">
        <v>4678</v>
      </c>
      <c r="B783" s="521" t="s">
        <v>5317</v>
      </c>
      <c r="C783" s="521"/>
      <c r="D783" s="142" t="s">
        <v>34</v>
      </c>
      <c r="E783" s="142" t="s">
        <v>16</v>
      </c>
      <c r="F783" s="143">
        <v>45553</v>
      </c>
      <c r="G783" s="143"/>
      <c r="H783" s="142" t="s">
        <v>23</v>
      </c>
      <c r="I783" s="522"/>
      <c r="J783" s="522"/>
      <c r="K783" s="522"/>
      <c r="L783" s="393">
        <v>39</v>
      </c>
      <c r="M783" s="443">
        <f>Таблица4[[#This Row],[Количество хлыстов]]-Таблица4[[#This Row],[Готово, хл]]-Таблица4[[#This Row],[Вывезено, хл]]</f>
        <v>0</v>
      </c>
      <c r="N783" s="638">
        <f>((Таблица4[[#This Row],[Осталось сделать, хлыст]]*Таблица4[[#This Row],[длина]])*Таблица4[[#This Row],[Периметр]])/28</f>
        <v>0</v>
      </c>
      <c r="O783" s="142"/>
      <c r="P783" s="280">
        <v>6</v>
      </c>
      <c r="Q783" s="525" t="s">
        <v>2423</v>
      </c>
      <c r="R783" s="525">
        <v>234</v>
      </c>
      <c r="S783" s="526">
        <v>39</v>
      </c>
      <c r="T783" s="525">
        <v>0.29970000000000002</v>
      </c>
      <c r="U783" s="525">
        <v>1.6739999999999999</v>
      </c>
      <c r="V783" s="525">
        <v>70.129800000000003</v>
      </c>
      <c r="W783" s="525">
        <v>391.71600000000001</v>
      </c>
      <c r="X783" s="525">
        <v>9.1199999999999992</v>
      </c>
      <c r="Y783" s="525">
        <v>136.36000000000001</v>
      </c>
      <c r="Z783" s="525">
        <v>455</v>
      </c>
      <c r="AA783" s="527">
        <v>31909.06</v>
      </c>
    </row>
    <row r="784" spans="1:27" ht="17.45" hidden="1" customHeight="1" x14ac:dyDescent="0.25">
      <c r="A784" s="147" t="s">
        <v>4678</v>
      </c>
      <c r="B784" s="521" t="s">
        <v>2276</v>
      </c>
      <c r="C784" s="521"/>
      <c r="D784" s="142" t="s">
        <v>34</v>
      </c>
      <c r="E784" s="142" t="s">
        <v>16</v>
      </c>
      <c r="F784" s="143">
        <v>45554</v>
      </c>
      <c r="G784" s="143"/>
      <c r="H784" s="142" t="s">
        <v>23</v>
      </c>
      <c r="I784" s="522"/>
      <c r="J784" s="522"/>
      <c r="K784" s="522"/>
      <c r="L784" s="393">
        <f>3+47</f>
        <v>50</v>
      </c>
      <c r="M784" s="443">
        <f>Таблица4[[#This Row],[Количество хлыстов]]-Таблица4[[#This Row],[Готово, хл]]-Таблица4[[#This Row],[Вывезено, хл]]</f>
        <v>0</v>
      </c>
      <c r="N784" s="638">
        <f>((Таблица4[[#This Row],[Осталось сделать, хлыст]]*Таблица4[[#This Row],[длина]])*Таблица4[[#This Row],[Периметр]])/28</f>
        <v>0</v>
      </c>
      <c r="O784" s="142" t="s">
        <v>2657</v>
      </c>
      <c r="P784" s="280">
        <v>6</v>
      </c>
      <c r="Q784" s="525" t="s">
        <v>2423</v>
      </c>
      <c r="R784" s="525">
        <v>300</v>
      </c>
      <c r="S784" s="526">
        <v>50</v>
      </c>
      <c r="T784" s="525">
        <v>0.29970000000000002</v>
      </c>
      <c r="U784" s="525">
        <v>1.6739999999999999</v>
      </c>
      <c r="V784" s="525">
        <v>89.91</v>
      </c>
      <c r="W784" s="525">
        <v>502.2</v>
      </c>
      <c r="X784" s="525">
        <v>11.69</v>
      </c>
      <c r="Y784" s="525">
        <v>136.36000000000001</v>
      </c>
      <c r="Z784" s="525">
        <v>455</v>
      </c>
      <c r="AA784" s="527">
        <v>40908</v>
      </c>
    </row>
    <row r="785" spans="1:27" ht="17.45" customHeight="1" x14ac:dyDescent="0.25">
      <c r="A785" s="147" t="s">
        <v>4678</v>
      </c>
      <c r="B785" s="521">
        <v>533</v>
      </c>
      <c r="C785" s="521"/>
      <c r="D785" s="142" t="s">
        <v>34</v>
      </c>
      <c r="E785" s="142" t="s">
        <v>14</v>
      </c>
      <c r="F785" s="143">
        <v>45554</v>
      </c>
      <c r="G785" s="143"/>
      <c r="H785" s="142"/>
      <c r="I785" s="522"/>
      <c r="J785" s="522"/>
      <c r="K785" s="522"/>
      <c r="L785" s="393"/>
      <c r="M785" s="443">
        <f>Таблица4[[#This Row],[Количество хлыстов]]-Таблица4[[#This Row],[Готово, хл]]-Таблица4[[#This Row],[Вывезено, хл]]</f>
        <v>411</v>
      </c>
      <c r="N785" s="638">
        <f>((Таблица4[[#This Row],[Осталось сделать, хлыст]]*Таблица4[[#This Row],[длина]])*Таблица4[[#This Row],[Периметр]])/28</f>
        <v>19.446171428571429</v>
      </c>
      <c r="O785" s="142"/>
      <c r="P785" s="280">
        <v>6</v>
      </c>
      <c r="Q785" s="902" t="s">
        <v>5318</v>
      </c>
      <c r="R785" s="902">
        <v>2466</v>
      </c>
      <c r="S785" s="526">
        <v>411</v>
      </c>
      <c r="T785" s="525">
        <v>0.2208</v>
      </c>
      <c r="U785" s="525">
        <v>0.77300000000000002</v>
      </c>
      <c r="V785" s="525">
        <v>544.49279999999999</v>
      </c>
      <c r="W785" s="525">
        <v>1906.2180000000001</v>
      </c>
      <c r="X785" s="525">
        <v>70.78</v>
      </c>
      <c r="Y785" s="525">
        <v>97.15</v>
      </c>
      <c r="Z785" s="525">
        <v>440</v>
      </c>
      <c r="AA785" s="527">
        <v>239576.83</v>
      </c>
    </row>
    <row r="786" spans="1:27" ht="17.45" customHeight="1" x14ac:dyDescent="0.25">
      <c r="A786" s="147" t="s">
        <v>4678</v>
      </c>
      <c r="B786" s="521">
        <v>535</v>
      </c>
      <c r="C786" s="521"/>
      <c r="D786" s="142" t="s">
        <v>34</v>
      </c>
      <c r="E786" s="142" t="s">
        <v>79</v>
      </c>
      <c r="F786" s="143">
        <v>45554</v>
      </c>
      <c r="G786" s="143"/>
      <c r="H786" s="142"/>
      <c r="I786" s="522"/>
      <c r="J786" s="522"/>
      <c r="K786" s="522"/>
      <c r="L786" s="393"/>
      <c r="M786" s="443">
        <f>Таблица4[[#This Row],[Количество хлыстов]]-Таблица4[[#This Row],[Готово, хл]]-Таблица4[[#This Row],[Вывезено, хл]]</f>
        <v>27</v>
      </c>
      <c r="N786" s="638">
        <f>((Таблица4[[#This Row],[Осталось сделать, хлыст]]*Таблица4[[#This Row],[длина]])*Таблица4[[#This Row],[Периметр]])/28</f>
        <v>1.18020375</v>
      </c>
      <c r="O786" s="142"/>
      <c r="P786" s="280">
        <v>6.05</v>
      </c>
      <c r="Q786" s="525" t="s">
        <v>5319</v>
      </c>
      <c r="R786" s="525">
        <v>163.35</v>
      </c>
      <c r="S786" s="526">
        <v>27</v>
      </c>
      <c r="T786" s="525">
        <v>0.20230000000000001</v>
      </c>
      <c r="U786" s="525">
        <v>0.499</v>
      </c>
      <c r="V786" s="525">
        <v>33.045699999999997</v>
      </c>
      <c r="W786" s="525">
        <v>81.511700000000005</v>
      </c>
      <c r="X786" s="525">
        <v>4.3</v>
      </c>
      <c r="Y786" s="525">
        <v>79.91</v>
      </c>
      <c r="Z786" s="525">
        <v>395</v>
      </c>
      <c r="AA786" s="527">
        <v>13053.05</v>
      </c>
    </row>
    <row r="787" spans="1:27" ht="17.45" hidden="1" customHeight="1" x14ac:dyDescent="0.25">
      <c r="A787" s="147" t="s">
        <v>4678</v>
      </c>
      <c r="B787" s="521">
        <v>536</v>
      </c>
      <c r="C787" s="521"/>
      <c r="D787" s="142" t="s">
        <v>13</v>
      </c>
      <c r="E787" s="142" t="s">
        <v>892</v>
      </c>
      <c r="F787" s="143">
        <v>45558</v>
      </c>
      <c r="G787" s="143">
        <v>45572</v>
      </c>
      <c r="H787" s="142" t="s">
        <v>23</v>
      </c>
      <c r="I787" s="522"/>
      <c r="J787" s="522"/>
      <c r="K787" s="522"/>
      <c r="L787" s="393">
        <v>138</v>
      </c>
      <c r="M787" s="443">
        <f>Таблица4[[#This Row],[Количество хлыстов]]-Таблица4[[#This Row],[Готово, хл]]-Таблица4[[#This Row],[Вывезено, хл]]</f>
        <v>0</v>
      </c>
      <c r="N787" s="638">
        <f>((Таблица4[[#This Row],[Осталось сделать, хлыст]]*Таблица4[[#This Row],[длина]])*Таблица4[[#This Row],[Периметр]])/28</f>
        <v>0</v>
      </c>
      <c r="O787" s="142"/>
      <c r="P787" s="280">
        <v>4.8499999999999996</v>
      </c>
      <c r="Q787" s="525" t="s">
        <v>2841</v>
      </c>
      <c r="R787" s="525">
        <v>669.3</v>
      </c>
      <c r="S787" s="526">
        <v>138</v>
      </c>
      <c r="T787" s="525">
        <v>9.5600000000000004E-2</v>
      </c>
      <c r="U787" s="525">
        <v>0.16</v>
      </c>
      <c r="V787" s="525">
        <v>63.985100000000003</v>
      </c>
      <c r="W787" s="525">
        <v>107.08799999999999</v>
      </c>
      <c r="X787" s="525">
        <v>8.32</v>
      </c>
      <c r="Y787" s="525">
        <v>49.23</v>
      </c>
      <c r="Z787" s="525">
        <v>515</v>
      </c>
      <c r="AA787" s="527">
        <v>32952.32</v>
      </c>
    </row>
    <row r="788" spans="1:27" ht="17.45" customHeight="1" x14ac:dyDescent="0.25">
      <c r="A788" s="147" t="s">
        <v>4678</v>
      </c>
      <c r="B788" s="521">
        <v>537</v>
      </c>
      <c r="C788" s="521"/>
      <c r="D788" s="142" t="s">
        <v>34</v>
      </c>
      <c r="E788" s="142" t="s">
        <v>201</v>
      </c>
      <c r="F788" s="143">
        <v>45558</v>
      </c>
      <c r="G788" s="143"/>
      <c r="H788" s="142" t="s">
        <v>4669</v>
      </c>
      <c r="I788" s="522"/>
      <c r="J788" s="522"/>
      <c r="K788" s="522">
        <v>95</v>
      </c>
      <c r="L788" s="393"/>
      <c r="M788" s="443">
        <f>Таблица4[[#This Row],[Количество хлыстов]]-Таблица4[[#This Row],[Готово, хл]]-Таблица4[[#This Row],[Вывезено, хл]]</f>
        <v>0</v>
      </c>
      <c r="N788" s="638">
        <f>((Таблица4[[#This Row],[Осталось сделать, хлыст]]*Таблица4[[#This Row],[длина]])*Таблица4[[#This Row],[Периметр]])/28</f>
        <v>0</v>
      </c>
      <c r="O788" s="142"/>
      <c r="P788" s="280">
        <v>5.45</v>
      </c>
      <c r="Q788" s="525" t="s">
        <v>5320</v>
      </c>
      <c r="R788" s="525">
        <v>517.75</v>
      </c>
      <c r="S788" s="526">
        <v>95</v>
      </c>
      <c r="T788" s="525">
        <v>0.68820000000000003</v>
      </c>
      <c r="U788" s="525">
        <v>3.2480000000000002</v>
      </c>
      <c r="V788" s="525">
        <v>356.31560000000002</v>
      </c>
      <c r="W788" s="525">
        <v>1681.652</v>
      </c>
      <c r="X788" s="525">
        <v>46.32</v>
      </c>
      <c r="Y788" s="525">
        <v>313.13</v>
      </c>
      <c r="Z788" s="525">
        <v>455</v>
      </c>
      <c r="AA788" s="527">
        <v>162123.57999999999</v>
      </c>
    </row>
    <row r="789" spans="1:27" ht="17.45" customHeight="1" x14ac:dyDescent="0.25">
      <c r="A789" s="147" t="s">
        <v>4678</v>
      </c>
      <c r="B789" s="521" t="s">
        <v>5321</v>
      </c>
      <c r="C789" s="521"/>
      <c r="D789" s="142" t="s">
        <v>34</v>
      </c>
      <c r="E789" s="142" t="s">
        <v>16</v>
      </c>
      <c r="F789" s="143">
        <v>45558</v>
      </c>
      <c r="G789" s="143"/>
      <c r="H789" s="142"/>
      <c r="I789" s="522"/>
      <c r="J789" s="522"/>
      <c r="K789" s="522"/>
      <c r="L789" s="393">
        <f>2+166</f>
        <v>168</v>
      </c>
      <c r="M789" s="443">
        <f>Таблица4[[#This Row],[Количество хлыстов]]-Таблица4[[#This Row],[Готово, хл]]-Таблица4[[#This Row],[Вывезено, хл]]</f>
        <v>20</v>
      </c>
      <c r="N789" s="638">
        <f>((Таблица4[[#This Row],[Осталось сделать, хлыст]]*Таблица4[[#This Row],[длина]])*Таблица4[[#This Row],[Периметр]])/28</f>
        <v>1.2844285714285717</v>
      </c>
      <c r="O789" s="142" t="s">
        <v>721</v>
      </c>
      <c r="P789" s="280">
        <v>6</v>
      </c>
      <c r="Q789" s="525" t="s">
        <v>2423</v>
      </c>
      <c r="R789" s="525">
        <v>1128</v>
      </c>
      <c r="S789" s="526">
        <v>188</v>
      </c>
      <c r="T789" s="525">
        <v>0.29970000000000002</v>
      </c>
      <c r="U789" s="525">
        <v>1.6739999999999999</v>
      </c>
      <c r="V789" s="525">
        <v>338.0616</v>
      </c>
      <c r="W789" s="525">
        <v>1888.2719999999999</v>
      </c>
      <c r="X789" s="525">
        <v>43.95</v>
      </c>
      <c r="Y789" s="525">
        <v>136.36000000000001</v>
      </c>
      <c r="Z789" s="525">
        <v>455</v>
      </c>
      <c r="AA789" s="527">
        <v>153814.07999999999</v>
      </c>
    </row>
    <row r="790" spans="1:27" s="421" customFormat="1" ht="17.45" customHeight="1" x14ac:dyDescent="0.25">
      <c r="A790" s="419" t="s">
        <v>4979</v>
      </c>
      <c r="B790" s="617">
        <v>538</v>
      </c>
      <c r="C790" s="617"/>
      <c r="D790" s="618" t="s">
        <v>34</v>
      </c>
      <c r="E790" s="618" t="s">
        <v>643</v>
      </c>
      <c r="F790" s="619"/>
      <c r="G790" s="619"/>
      <c r="H790" s="618" t="s">
        <v>5325</v>
      </c>
      <c r="I790" s="620"/>
      <c r="J790" s="620"/>
      <c r="K790" s="620"/>
      <c r="L790" s="677"/>
      <c r="M790" s="691">
        <f>Таблица4[[#This Row],[Количество хлыстов]]-Таблица4[[#This Row],[Готово, хл]]-Таблица4[[#This Row],[Вывезено, хл]]</f>
        <v>55</v>
      </c>
      <c r="N790" s="713"/>
      <c r="O790" s="618"/>
      <c r="P790" s="692">
        <v>4.2</v>
      </c>
      <c r="Q790" s="622" t="s">
        <v>888</v>
      </c>
      <c r="R790" s="622">
        <v>231</v>
      </c>
      <c r="S790" s="623">
        <v>55</v>
      </c>
      <c r="T790" s="622">
        <v>0.22650000000000001</v>
      </c>
      <c r="U790" s="622">
        <v>0.52700000000000002</v>
      </c>
      <c r="V790" s="622">
        <v>52.3215</v>
      </c>
      <c r="W790" s="622">
        <v>121.73699999999999</v>
      </c>
      <c r="X790" s="622">
        <v>6.8</v>
      </c>
      <c r="Y790" s="622">
        <v>109.85</v>
      </c>
      <c r="Z790" s="622">
        <v>485</v>
      </c>
      <c r="AA790" s="624">
        <v>25375.35</v>
      </c>
    </row>
    <row r="791" spans="1:27" s="421" customFormat="1" ht="17.45" customHeight="1" x14ac:dyDescent="0.25">
      <c r="A791" s="419" t="s">
        <v>4979</v>
      </c>
      <c r="B791" s="617">
        <v>538</v>
      </c>
      <c r="C791" s="617"/>
      <c r="D791" s="618" t="s">
        <v>34</v>
      </c>
      <c r="E791" s="618" t="s">
        <v>643</v>
      </c>
      <c r="F791" s="619"/>
      <c r="G791" s="619"/>
      <c r="H791" s="618" t="s">
        <v>5325</v>
      </c>
      <c r="I791" s="620"/>
      <c r="J791" s="620"/>
      <c r="K791" s="620"/>
      <c r="L791" s="677"/>
      <c r="M791" s="691">
        <f>Таблица4[[#This Row],[Количество хлыстов]]-Таблица4[[#This Row],[Готово, хл]]-Таблица4[[#This Row],[Вывезено, хл]]</f>
        <v>150</v>
      </c>
      <c r="N791" s="713"/>
      <c r="O791" s="618"/>
      <c r="P791" s="692">
        <v>4.8</v>
      </c>
      <c r="Q791" s="622" t="s">
        <v>3476</v>
      </c>
      <c r="R791" s="622">
        <v>720</v>
      </c>
      <c r="S791" s="623">
        <v>150</v>
      </c>
      <c r="T791" s="622">
        <v>0.22650000000000001</v>
      </c>
      <c r="U791" s="622">
        <v>0.52700000000000002</v>
      </c>
      <c r="V791" s="622">
        <v>163.08000000000001</v>
      </c>
      <c r="W791" s="622">
        <v>379.44</v>
      </c>
      <c r="X791" s="622">
        <v>21.2</v>
      </c>
      <c r="Y791" s="622">
        <v>109.85</v>
      </c>
      <c r="Z791" s="622">
        <v>485</v>
      </c>
      <c r="AA791" s="624">
        <v>79092</v>
      </c>
    </row>
    <row r="792" spans="1:27" ht="17.45" customHeight="1" x14ac:dyDescent="0.25">
      <c r="A792" s="147" t="s">
        <v>4678</v>
      </c>
      <c r="B792" s="521">
        <v>539</v>
      </c>
      <c r="C792" s="521"/>
      <c r="D792" s="142" t="s">
        <v>13</v>
      </c>
      <c r="E792" s="142" t="s">
        <v>556</v>
      </c>
      <c r="F792" s="143">
        <v>45561</v>
      </c>
      <c r="G792" s="143"/>
      <c r="H792" s="142"/>
      <c r="I792" s="522"/>
      <c r="J792" s="522"/>
      <c r="K792" s="522"/>
      <c r="L792" s="393"/>
      <c r="M792" s="443">
        <f>Таблица4[[#This Row],[Количество хлыстов]]-Таблица4[[#This Row],[Готово, хл]]-Таблица4[[#This Row],[Вывезено, хл]]</f>
        <v>147</v>
      </c>
      <c r="N792" s="638">
        <f>((Таблица4[[#This Row],[Осталось сделать, хлыст]]*Таблица4[[#This Row],[длина]])*Таблица4[[#This Row],[Периметр]])/28</f>
        <v>10.974599999999999</v>
      </c>
      <c r="O792" s="142"/>
      <c r="P792" s="280">
        <v>6</v>
      </c>
      <c r="Q792" s="525" t="s">
        <v>4667</v>
      </c>
      <c r="R792" s="525">
        <v>882</v>
      </c>
      <c r="S792" s="526">
        <v>147</v>
      </c>
      <c r="T792" s="525">
        <v>0.34839999999999999</v>
      </c>
      <c r="U792" s="525">
        <v>0.55000000000000004</v>
      </c>
      <c r="V792" s="525">
        <v>307.28879999999998</v>
      </c>
      <c r="W792" s="525">
        <v>485.1</v>
      </c>
      <c r="X792" s="525">
        <v>39.950000000000003</v>
      </c>
      <c r="Y792" s="525">
        <v>158.52000000000001</v>
      </c>
      <c r="Z792" s="525">
        <v>455</v>
      </c>
      <c r="AA792" s="527">
        <v>139816.4</v>
      </c>
    </row>
    <row r="793" spans="1:27" ht="17.45" hidden="1" customHeight="1" x14ac:dyDescent="0.25">
      <c r="A793" s="147" t="s">
        <v>4678</v>
      </c>
      <c r="B793" s="521" t="s">
        <v>5328</v>
      </c>
      <c r="C793" s="521"/>
      <c r="D793" s="142" t="s">
        <v>34</v>
      </c>
      <c r="E793" s="142" t="s">
        <v>5326</v>
      </c>
      <c r="F793" s="143">
        <v>45561</v>
      </c>
      <c r="G793" s="143"/>
      <c r="H793" s="142" t="s">
        <v>23</v>
      </c>
      <c r="I793" s="522"/>
      <c r="J793" s="522"/>
      <c r="K793" s="522"/>
      <c r="L793" s="393">
        <v>159</v>
      </c>
      <c r="M793" s="443">
        <f>Таблица4[[#This Row],[Количество хлыстов]]-Таблица4[[#This Row],[Готово, хл]]-Таблица4[[#This Row],[Вывезено, хл]]</f>
        <v>6</v>
      </c>
      <c r="N793" s="638">
        <f>((Таблица4[[#This Row],[Осталось сделать, хлыст]]*Таблица4[[#This Row],[длина]])*Таблица4[[#This Row],[Периметр]])/28</f>
        <v>0.14245714285714287</v>
      </c>
      <c r="O793" s="142" t="s">
        <v>4401</v>
      </c>
      <c r="P793" s="280">
        <v>6</v>
      </c>
      <c r="Q793" s="525" t="s">
        <v>5327</v>
      </c>
      <c r="R793" s="525">
        <v>990</v>
      </c>
      <c r="S793" s="526">
        <v>165</v>
      </c>
      <c r="T793" s="525">
        <v>0.1108</v>
      </c>
      <c r="U793" s="525">
        <v>0.36599999999999999</v>
      </c>
      <c r="V793" s="525">
        <v>109.69199999999999</v>
      </c>
      <c r="W793" s="525">
        <v>362.34</v>
      </c>
      <c r="X793" s="525">
        <v>14.26</v>
      </c>
      <c r="Y793" s="525">
        <v>109.5</v>
      </c>
      <c r="Z793" s="525">
        <v>988.27</v>
      </c>
      <c r="AA793" s="527">
        <v>108405</v>
      </c>
    </row>
    <row r="794" spans="1:27" ht="17.45" customHeight="1" x14ac:dyDescent="0.25">
      <c r="A794" s="147" t="s">
        <v>4678</v>
      </c>
      <c r="B794" s="521">
        <v>543</v>
      </c>
      <c r="C794" s="521" t="s">
        <v>4753</v>
      </c>
      <c r="D794" s="142" t="s">
        <v>13</v>
      </c>
      <c r="E794" s="142" t="s">
        <v>30</v>
      </c>
      <c r="F794" s="143">
        <v>45562</v>
      </c>
      <c r="G794" s="143"/>
      <c r="H794" s="142"/>
      <c r="I794" s="522"/>
      <c r="J794" s="522"/>
      <c r="K794" s="522"/>
      <c r="L794" s="393"/>
      <c r="M794" s="443">
        <f>Таблица4[[#This Row],[Количество хлыстов]]-Таблица4[[#This Row],[Готово, хл]]-Таблица4[[#This Row],[Вывезено, хл]]</f>
        <v>24</v>
      </c>
      <c r="N794" s="638">
        <v>12</v>
      </c>
      <c r="O794" s="142"/>
      <c r="P794" s="280"/>
      <c r="Q794" s="525" t="s">
        <v>5329</v>
      </c>
      <c r="R794" s="525">
        <v>24</v>
      </c>
      <c r="S794" s="526">
        <v>24</v>
      </c>
      <c r="T794" s="525">
        <v>0.63</v>
      </c>
      <c r="U794" s="525">
        <v>1.25</v>
      </c>
      <c r="V794" s="525">
        <v>15.12</v>
      </c>
      <c r="W794" s="525">
        <v>30</v>
      </c>
      <c r="X794" s="525">
        <v>1.97</v>
      </c>
      <c r="Y794" s="525">
        <v>1300.67</v>
      </c>
      <c r="Z794" s="525">
        <v>2064.5500000000002</v>
      </c>
      <c r="AA794" s="527">
        <v>31216</v>
      </c>
    </row>
    <row r="795" spans="1:27" ht="17.45" customHeight="1" x14ac:dyDescent="0.25">
      <c r="A795" s="147" t="s">
        <v>4678</v>
      </c>
      <c r="B795" s="521">
        <v>543</v>
      </c>
      <c r="C795" s="521" t="s">
        <v>4753</v>
      </c>
      <c r="D795" s="142" t="s">
        <v>13</v>
      </c>
      <c r="E795" s="142" t="s">
        <v>30</v>
      </c>
      <c r="F795" s="143">
        <v>45562</v>
      </c>
      <c r="G795" s="143"/>
      <c r="H795" s="142"/>
      <c r="I795" s="522"/>
      <c r="J795" s="522"/>
      <c r="K795" s="522"/>
      <c r="L795" s="393"/>
      <c r="M795" s="443">
        <f>Таблица4[[#This Row],[Количество хлыстов]]-Таблица4[[#This Row],[Готово, хл]]-Таблица4[[#This Row],[Вывезено, хл]]</f>
        <v>24</v>
      </c>
      <c r="N795" s="638">
        <f>((Таблица4[[#This Row],[Осталось сделать, хлыст]]*Таблица4[[#This Row],[длина]])*Таблица4[[#This Row],[Периметр]])/28</f>
        <v>0</v>
      </c>
      <c r="O795" s="142"/>
      <c r="P795" s="280"/>
      <c r="Q795" s="525" t="s">
        <v>5330</v>
      </c>
      <c r="R795" s="525">
        <v>24</v>
      </c>
      <c r="S795" s="526">
        <v>24</v>
      </c>
      <c r="T795" s="525">
        <v>0.94</v>
      </c>
      <c r="U795" s="525">
        <v>1.86</v>
      </c>
      <c r="V795" s="525">
        <v>22.56</v>
      </c>
      <c r="W795" s="525">
        <v>44.64</v>
      </c>
      <c r="X795" s="525">
        <v>2.93</v>
      </c>
      <c r="Y795" s="525">
        <v>1948.33</v>
      </c>
      <c r="Z795" s="525">
        <v>2072.6999999999998</v>
      </c>
      <c r="AA795" s="527">
        <v>46760</v>
      </c>
    </row>
    <row r="796" spans="1:27" ht="17.25" customHeight="1" x14ac:dyDescent="0.25">
      <c r="A796" s="147" t="s">
        <v>4678</v>
      </c>
      <c r="B796" s="521">
        <v>543</v>
      </c>
      <c r="C796" s="521" t="s">
        <v>4753</v>
      </c>
      <c r="D796" s="142" t="s">
        <v>13</v>
      </c>
      <c r="E796" s="142" t="s">
        <v>30</v>
      </c>
      <c r="F796" s="143">
        <v>45562</v>
      </c>
      <c r="G796" s="143"/>
      <c r="H796" s="142"/>
      <c r="I796" s="522"/>
      <c r="J796" s="522"/>
      <c r="K796" s="522"/>
      <c r="L796" s="393"/>
      <c r="M796" s="443">
        <f>Таблица4[[#This Row],[Количество хлыстов]]-Таблица4[[#This Row],[Готово, хл]]-Таблица4[[#This Row],[Вывезено, хл]]</f>
        <v>24</v>
      </c>
      <c r="N796" s="638">
        <f>((Таблица4[[#This Row],[Осталось сделать, хлыст]]*Таблица4[[#This Row],[длина]])*Таблица4[[#This Row],[Периметр]])/28</f>
        <v>0</v>
      </c>
      <c r="O796" s="142"/>
      <c r="P796" s="280"/>
      <c r="Q796" s="525" t="s">
        <v>5331</v>
      </c>
      <c r="R796" s="525">
        <v>24</v>
      </c>
      <c r="S796" s="526">
        <v>24</v>
      </c>
      <c r="T796" s="525">
        <v>0.22</v>
      </c>
      <c r="U796" s="525">
        <v>0.43</v>
      </c>
      <c r="V796" s="525">
        <v>5.28</v>
      </c>
      <c r="W796" s="525">
        <v>10.32</v>
      </c>
      <c r="X796" s="525">
        <v>0.69</v>
      </c>
      <c r="Y796" s="525">
        <v>1069.33</v>
      </c>
      <c r="Z796" s="525">
        <v>4860.6099999999997</v>
      </c>
      <c r="AA796" s="527">
        <v>25664</v>
      </c>
    </row>
    <row r="797" spans="1:27" ht="17.45" customHeight="1" x14ac:dyDescent="0.25">
      <c r="A797" s="147" t="s">
        <v>4678</v>
      </c>
      <c r="B797" s="521">
        <v>543</v>
      </c>
      <c r="C797" s="521" t="s">
        <v>4753</v>
      </c>
      <c r="D797" s="142" t="s">
        <v>13</v>
      </c>
      <c r="E797" s="142" t="s">
        <v>30</v>
      </c>
      <c r="F797" s="143">
        <v>45562</v>
      </c>
      <c r="G797" s="143"/>
      <c r="H797" s="142"/>
      <c r="I797" s="522"/>
      <c r="J797" s="522"/>
      <c r="K797" s="522"/>
      <c r="L797" s="393"/>
      <c r="M797" s="443">
        <f>Таблица4[[#This Row],[Количество хлыстов]]-Таблица4[[#This Row],[Готово, хл]]-Таблица4[[#This Row],[Вывезено, хл]]</f>
        <v>32</v>
      </c>
      <c r="N797" s="638">
        <f>((Таблица4[[#This Row],[Осталось сделать, хлыст]]*Таблица4[[#This Row],[длина]])*Таблица4[[#This Row],[Периметр]])/28</f>
        <v>0</v>
      </c>
      <c r="O797" s="142"/>
      <c r="P797" s="280"/>
      <c r="Q797" s="525" t="s">
        <v>5332</v>
      </c>
      <c r="R797" s="525">
        <v>32</v>
      </c>
      <c r="S797" s="526">
        <v>32</v>
      </c>
      <c r="T797" s="525">
        <v>1.65</v>
      </c>
      <c r="U797" s="525">
        <v>3.28</v>
      </c>
      <c r="V797" s="525">
        <v>52.8</v>
      </c>
      <c r="W797" s="525">
        <v>104.96</v>
      </c>
      <c r="X797" s="525">
        <v>6.86</v>
      </c>
      <c r="Y797" s="525">
        <v>2454.25</v>
      </c>
      <c r="Z797" s="525">
        <v>1487.42</v>
      </c>
      <c r="AA797" s="527">
        <v>78536</v>
      </c>
    </row>
    <row r="798" spans="1:27" ht="17.45" customHeight="1" x14ac:dyDescent="0.25">
      <c r="A798" s="147" t="s">
        <v>4678</v>
      </c>
      <c r="B798" s="521">
        <v>543</v>
      </c>
      <c r="C798" s="521" t="s">
        <v>4753</v>
      </c>
      <c r="D798" s="142" t="s">
        <v>13</v>
      </c>
      <c r="E798" s="142" t="s">
        <v>30</v>
      </c>
      <c r="F798" s="143">
        <v>45562</v>
      </c>
      <c r="G798" s="143"/>
      <c r="H798" s="142"/>
      <c r="I798" s="522"/>
      <c r="J798" s="522"/>
      <c r="K798" s="522"/>
      <c r="L798" s="393"/>
      <c r="M798" s="443">
        <f>Таблица4[[#This Row],[Количество хлыстов]]-Таблица4[[#This Row],[Готово, хл]]-Таблица4[[#This Row],[Вывезено, хл]]</f>
        <v>32</v>
      </c>
      <c r="N798" s="638">
        <f>((Таблица4[[#This Row],[Осталось сделать, хлыст]]*Таблица4[[#This Row],[длина]])*Таблица4[[#This Row],[Периметр]])/28</f>
        <v>0</v>
      </c>
      <c r="O798" s="142"/>
      <c r="P798" s="280"/>
      <c r="Q798" s="525" t="s">
        <v>5333</v>
      </c>
      <c r="R798" s="525">
        <v>32</v>
      </c>
      <c r="S798" s="526">
        <v>32</v>
      </c>
      <c r="T798" s="525">
        <v>2.5499999999999998</v>
      </c>
      <c r="U798" s="525">
        <v>5.08</v>
      </c>
      <c r="V798" s="525">
        <v>81.599999999999994</v>
      </c>
      <c r="W798" s="525">
        <v>162.56</v>
      </c>
      <c r="X798" s="525">
        <v>10.61</v>
      </c>
      <c r="Y798" s="525">
        <v>4081.5</v>
      </c>
      <c r="Z798" s="525">
        <v>1600.59</v>
      </c>
      <c r="AA798" s="527">
        <v>130608</v>
      </c>
    </row>
    <row r="799" spans="1:27" ht="17.45" hidden="1" customHeight="1" x14ac:dyDescent="0.25">
      <c r="A799" s="147" t="s">
        <v>4678</v>
      </c>
      <c r="B799" s="521">
        <v>546</v>
      </c>
      <c r="C799" s="521"/>
      <c r="D799" s="142" t="s">
        <v>13</v>
      </c>
      <c r="E799" s="142" t="s">
        <v>1433</v>
      </c>
      <c r="F799" s="143">
        <v>45562</v>
      </c>
      <c r="G799" s="143">
        <v>45572</v>
      </c>
      <c r="H799" s="142" t="s">
        <v>23</v>
      </c>
      <c r="I799" s="522"/>
      <c r="J799" s="522"/>
      <c r="K799" s="522"/>
      <c r="L799" s="393">
        <v>75</v>
      </c>
      <c r="M799" s="443">
        <f>Таблица4[[#This Row],[Количество хлыстов]]-Таблица4[[#This Row],[Готово, хл]]-Таблица4[[#This Row],[Вывезено, хл]]</f>
        <v>0</v>
      </c>
      <c r="N799" s="638">
        <f>((Таблица4[[#This Row],[Осталось сделать, хлыст]]*Таблица4[[#This Row],[длина]])*Таблица4[[#This Row],[Периметр]])/28</f>
        <v>0</v>
      </c>
      <c r="O799" s="142"/>
      <c r="P799" s="280">
        <v>6</v>
      </c>
      <c r="Q799" s="525" t="s">
        <v>1472</v>
      </c>
      <c r="R799" s="525">
        <v>450</v>
      </c>
      <c r="S799" s="526">
        <v>75</v>
      </c>
      <c r="T799" s="525">
        <v>0.41239999999999999</v>
      </c>
      <c r="U799" s="525">
        <v>1.1619999999999999</v>
      </c>
      <c r="V799" s="525">
        <v>185.58</v>
      </c>
      <c r="W799" s="525">
        <v>522.9</v>
      </c>
      <c r="X799" s="525">
        <v>24.13</v>
      </c>
      <c r="Y799" s="525">
        <v>187.64</v>
      </c>
      <c r="Z799" s="525">
        <v>455</v>
      </c>
      <c r="AA799" s="527">
        <v>84438</v>
      </c>
    </row>
    <row r="800" spans="1:27" ht="17.45" customHeight="1" x14ac:dyDescent="0.25">
      <c r="A800" s="178" t="s">
        <v>4678</v>
      </c>
      <c r="B800" s="712">
        <v>547</v>
      </c>
      <c r="C800" s="712"/>
      <c r="D800" s="159" t="s">
        <v>13</v>
      </c>
      <c r="E800" s="159" t="s">
        <v>32</v>
      </c>
      <c r="F800" s="160">
        <v>45562</v>
      </c>
      <c r="G800" s="143">
        <v>45572</v>
      </c>
      <c r="H800" s="142"/>
      <c r="I800" s="522"/>
      <c r="J800" s="522"/>
      <c r="K800" s="522"/>
      <c r="L800" s="393">
        <v>438</v>
      </c>
      <c r="M800" s="443">
        <f>Таблица4[[#This Row],[Количество хлыстов]]-Таблица4[[#This Row],[Готово, хл]]-Таблица4[[#This Row],[Вывезено, хл]]</f>
        <v>448</v>
      </c>
      <c r="N800" s="638">
        <f>((Таблица4[[#This Row],[Осталось сделать, хлыст]]*Таблица4[[#This Row],[длина]])*Таблица4[[#This Row],[Периметр]])/28</f>
        <v>7.4185599999999994</v>
      </c>
      <c r="O800" s="142"/>
      <c r="P800" s="280">
        <v>4.8499999999999996</v>
      </c>
      <c r="Q800" s="525" t="s">
        <v>2841</v>
      </c>
      <c r="R800" s="525">
        <v>4297.1000000000004</v>
      </c>
      <c r="S800" s="526">
        <v>886</v>
      </c>
      <c r="T800" s="525">
        <v>9.5600000000000004E-2</v>
      </c>
      <c r="U800" s="525">
        <v>0.16</v>
      </c>
      <c r="V800" s="525">
        <v>410.80279999999999</v>
      </c>
      <c r="W800" s="525">
        <v>687.53599999999994</v>
      </c>
      <c r="X800" s="525">
        <v>53.4</v>
      </c>
      <c r="Y800" s="525">
        <v>49.23</v>
      </c>
      <c r="Z800" s="525">
        <v>515</v>
      </c>
      <c r="AA800" s="527">
        <v>211563.42</v>
      </c>
    </row>
    <row r="801" spans="1:27" ht="17.45" customHeight="1" x14ac:dyDescent="0.25">
      <c r="A801" s="147" t="s">
        <v>4939</v>
      </c>
      <c r="B801" s="521">
        <v>548</v>
      </c>
      <c r="C801" s="521"/>
      <c r="D801" s="142" t="s">
        <v>34</v>
      </c>
      <c r="E801" s="142" t="s">
        <v>3404</v>
      </c>
      <c r="F801" s="143">
        <v>45562</v>
      </c>
      <c r="G801" s="143"/>
      <c r="H801" s="142"/>
      <c r="I801" s="522"/>
      <c r="J801" s="522"/>
      <c r="K801" s="522"/>
      <c r="L801" s="393"/>
      <c r="M801" s="443">
        <f>Таблица4[[#This Row],[Количество хлыстов]]-Таблица4[[#This Row],[Готово, хл]]-Таблица4[[#This Row],[Вывезено, хл]]</f>
        <v>320</v>
      </c>
      <c r="N801" s="638">
        <f>((Таблица4[[#This Row],[Осталось сделать, хлыст]]*Таблица4[[#This Row],[длина]])*Таблица4[[#This Row],[Периметр]])/28</f>
        <v>15.058285714285715</v>
      </c>
      <c r="O801" s="142"/>
      <c r="P801" s="280">
        <v>6</v>
      </c>
      <c r="Q801" s="525" t="s">
        <v>4994</v>
      </c>
      <c r="R801" s="525">
        <v>1920</v>
      </c>
      <c r="S801" s="526">
        <v>320</v>
      </c>
      <c r="T801" s="525">
        <v>0.21959999999999999</v>
      </c>
      <c r="U801" s="525">
        <v>0.35</v>
      </c>
      <c r="V801" s="525">
        <v>421.63200000000001</v>
      </c>
      <c r="W801" s="525">
        <v>672</v>
      </c>
      <c r="X801" s="525">
        <v>54.81</v>
      </c>
      <c r="Y801" s="525" t="s">
        <v>17</v>
      </c>
      <c r="Z801" s="525" t="s">
        <v>17</v>
      </c>
      <c r="AA801" s="527" t="s">
        <v>17</v>
      </c>
    </row>
    <row r="802" spans="1:27" ht="17.45" customHeight="1" x14ac:dyDescent="0.25">
      <c r="A802" s="147" t="s">
        <v>4939</v>
      </c>
      <c r="B802" s="521">
        <v>548</v>
      </c>
      <c r="C802" s="521"/>
      <c r="D802" s="142" t="s">
        <v>34</v>
      </c>
      <c r="E802" s="142" t="s">
        <v>3404</v>
      </c>
      <c r="F802" s="143">
        <v>45562</v>
      </c>
      <c r="G802" s="143"/>
      <c r="H802" s="142"/>
      <c r="I802" s="522"/>
      <c r="J802" s="522"/>
      <c r="K802" s="522"/>
      <c r="L802" s="393"/>
      <c r="M802" s="443">
        <f>Таблица4[[#This Row],[Количество хлыстов]]-Таблица4[[#This Row],[Готово, хл]]-Таблица4[[#This Row],[Вывезено, хл]]</f>
        <v>90</v>
      </c>
      <c r="N802" s="638">
        <f>((Таблица4[[#This Row],[Осталось сделать, хлыст]]*Таблица4[[#This Row],[длина]])*Таблица4[[#This Row],[Периметр]])/28</f>
        <v>4.8542142857142849</v>
      </c>
      <c r="O802" s="142"/>
      <c r="P802" s="280">
        <v>6</v>
      </c>
      <c r="Q802" s="525" t="s">
        <v>4378</v>
      </c>
      <c r="R802" s="525">
        <v>540</v>
      </c>
      <c r="S802" s="526">
        <v>90</v>
      </c>
      <c r="T802" s="525">
        <v>0.25169999999999998</v>
      </c>
      <c r="U802" s="525">
        <v>0.56699999999999995</v>
      </c>
      <c r="V802" s="525">
        <v>135.91800000000001</v>
      </c>
      <c r="W802" s="525">
        <v>306.18</v>
      </c>
      <c r="X802" s="525">
        <v>17.670000000000002</v>
      </c>
      <c r="Y802" s="525" t="s">
        <v>17</v>
      </c>
      <c r="Z802" s="525" t="s">
        <v>17</v>
      </c>
      <c r="AA802" s="527" t="s">
        <v>17</v>
      </c>
    </row>
    <row r="803" spans="1:27" ht="17.45" customHeight="1" x14ac:dyDescent="0.25">
      <c r="A803" s="147" t="s">
        <v>4939</v>
      </c>
      <c r="B803" s="521">
        <v>548</v>
      </c>
      <c r="C803" s="521"/>
      <c r="D803" s="142" t="s">
        <v>34</v>
      </c>
      <c r="E803" s="142" t="s">
        <v>3404</v>
      </c>
      <c r="F803" s="143">
        <v>45562</v>
      </c>
      <c r="G803" s="143"/>
      <c r="H803" s="142"/>
      <c r="I803" s="522"/>
      <c r="J803" s="522"/>
      <c r="K803" s="522"/>
      <c r="L803" s="393"/>
      <c r="M803" s="443">
        <f>Таблица4[[#This Row],[Количество хлыстов]]-Таблица4[[#This Row],[Готово, хл]]-Таблица4[[#This Row],[Вывезено, хл]]</f>
        <v>303</v>
      </c>
      <c r="N803" s="638">
        <f>((Таблица4[[#This Row],[Осталось сделать, хлыст]]*Таблица4[[#This Row],[длина]])*Таблица4[[#This Row],[Периметр]])/28</f>
        <v>17.816399999999998</v>
      </c>
      <c r="O803" s="142"/>
      <c r="P803" s="280">
        <v>6</v>
      </c>
      <c r="Q803" s="525" t="s">
        <v>5003</v>
      </c>
      <c r="R803" s="525">
        <v>1818</v>
      </c>
      <c r="S803" s="526">
        <v>303</v>
      </c>
      <c r="T803" s="525">
        <v>0.27439999999999998</v>
      </c>
      <c r="U803" s="525">
        <v>0.56100000000000005</v>
      </c>
      <c r="V803" s="525">
        <v>498.85919999999999</v>
      </c>
      <c r="W803" s="525">
        <v>1019.898</v>
      </c>
      <c r="X803" s="525">
        <v>64.849999999999994</v>
      </c>
      <c r="Y803" s="525" t="s">
        <v>17</v>
      </c>
      <c r="Z803" s="525" t="s">
        <v>17</v>
      </c>
      <c r="AA803" s="527" t="s">
        <v>17</v>
      </c>
    </row>
    <row r="804" spans="1:27" ht="17.45" customHeight="1" x14ac:dyDescent="0.25">
      <c r="A804" s="147" t="s">
        <v>4939</v>
      </c>
      <c r="B804" s="521">
        <v>548</v>
      </c>
      <c r="C804" s="521"/>
      <c r="D804" s="142" t="s">
        <v>34</v>
      </c>
      <c r="E804" s="142" t="s">
        <v>3404</v>
      </c>
      <c r="F804" s="143">
        <v>45562</v>
      </c>
      <c r="G804" s="143"/>
      <c r="H804" s="142"/>
      <c r="I804" s="522"/>
      <c r="J804" s="522"/>
      <c r="K804" s="522"/>
      <c r="L804" s="393"/>
      <c r="M804" s="443">
        <f>Таблица4[[#This Row],[Количество хлыстов]]-Таблица4[[#This Row],[Готово, хл]]-Таблица4[[#This Row],[Вывезено, хл]]</f>
        <v>162</v>
      </c>
      <c r="N804" s="638">
        <f>((Таблица4[[#This Row],[Осталось сделать, хлыст]]*Таблица4[[#This Row],[длина]])*Таблица4[[#This Row],[Периметр]])/28</f>
        <v>6.5367000000000006</v>
      </c>
      <c r="O804" s="142"/>
      <c r="P804" s="280">
        <v>6</v>
      </c>
      <c r="Q804" s="525" t="s">
        <v>5091</v>
      </c>
      <c r="R804" s="525">
        <v>972</v>
      </c>
      <c r="S804" s="526">
        <v>162</v>
      </c>
      <c r="T804" s="525">
        <v>0.1883</v>
      </c>
      <c r="U804" s="525">
        <v>0.318</v>
      </c>
      <c r="V804" s="525">
        <v>183.02760000000001</v>
      </c>
      <c r="W804" s="525">
        <v>309.096</v>
      </c>
      <c r="X804" s="525">
        <v>23.79</v>
      </c>
      <c r="Y804" s="525" t="s">
        <v>17</v>
      </c>
      <c r="Z804" s="525" t="s">
        <v>17</v>
      </c>
      <c r="AA804" s="527" t="s">
        <v>17</v>
      </c>
    </row>
    <row r="805" spans="1:27" ht="17.45" customHeight="1" x14ac:dyDescent="0.25">
      <c r="A805" s="147" t="s">
        <v>4678</v>
      </c>
      <c r="B805" s="521">
        <v>549</v>
      </c>
      <c r="C805" s="521"/>
      <c r="D805" s="142" t="s">
        <v>4858</v>
      </c>
      <c r="E805" s="142" t="s">
        <v>4738</v>
      </c>
      <c r="F805" s="143">
        <v>45565</v>
      </c>
      <c r="G805" s="143"/>
      <c r="H805" s="142"/>
      <c r="I805" s="522"/>
      <c r="J805" s="522"/>
      <c r="K805" s="522"/>
      <c r="L805" s="393"/>
      <c r="M805" s="443">
        <f>Таблица4[[#This Row],[Количество хлыстов]]-Таблица4[[#This Row],[Готово, хл]]-Таблица4[[#This Row],[Вывезено, хл]]</f>
        <v>18</v>
      </c>
      <c r="N805" s="638">
        <f>((Таблица4[[#This Row],[Осталось сделать, хлыст]]*Таблица4[[#This Row],[длина]])*Таблица4[[#This Row],[Периметр]])/28</f>
        <v>0</v>
      </c>
      <c r="O805" s="142"/>
      <c r="P805" s="280"/>
      <c r="Q805" s="525" t="s">
        <v>5341</v>
      </c>
      <c r="R805" s="525">
        <v>108</v>
      </c>
      <c r="S805" s="526">
        <v>18</v>
      </c>
      <c r="T805" s="525">
        <v>0.26440000000000002</v>
      </c>
      <c r="U805" s="525">
        <v>0.82599999999999996</v>
      </c>
      <c r="V805" s="525">
        <v>28.555199999999999</v>
      </c>
      <c r="W805" s="525">
        <v>89.207999999999998</v>
      </c>
      <c r="X805" s="525">
        <v>3.71</v>
      </c>
      <c r="Y805" s="525">
        <v>112.37</v>
      </c>
      <c r="Z805" s="525">
        <v>425</v>
      </c>
      <c r="AA805" s="527">
        <v>12135.96</v>
      </c>
    </row>
    <row r="806" spans="1:27" ht="17.45" customHeight="1" x14ac:dyDescent="0.25">
      <c r="A806" s="147" t="s">
        <v>4678</v>
      </c>
      <c r="B806" s="521">
        <v>549</v>
      </c>
      <c r="C806" s="521"/>
      <c r="D806" s="142" t="s">
        <v>4858</v>
      </c>
      <c r="E806" s="142" t="s">
        <v>4738</v>
      </c>
      <c r="F806" s="143">
        <v>45565</v>
      </c>
      <c r="G806" s="143"/>
      <c r="H806" s="142"/>
      <c r="I806" s="522"/>
      <c r="J806" s="522"/>
      <c r="K806" s="522"/>
      <c r="L806" s="393"/>
      <c r="M806" s="443">
        <f>Таблица4[[#This Row],[Количество хлыстов]]-Таблица4[[#This Row],[Готово, хл]]-Таблица4[[#This Row],[Вывезено, хл]]</f>
        <v>11</v>
      </c>
      <c r="N806" s="638">
        <f>((Таблица4[[#This Row],[Осталось сделать, хлыст]]*Таблица4[[#This Row],[длина]])*Таблица4[[#This Row],[Периметр]])/28</f>
        <v>0</v>
      </c>
      <c r="O806" s="142"/>
      <c r="P806" s="280"/>
      <c r="Q806" s="525" t="s">
        <v>5342</v>
      </c>
      <c r="R806" s="525">
        <v>66</v>
      </c>
      <c r="S806" s="526">
        <v>11</v>
      </c>
      <c r="T806" s="525">
        <v>0.42199999999999999</v>
      </c>
      <c r="U806" s="525">
        <v>1.389</v>
      </c>
      <c r="V806" s="525">
        <v>27.852</v>
      </c>
      <c r="W806" s="525">
        <v>91.674000000000007</v>
      </c>
      <c r="X806" s="525">
        <v>3.62</v>
      </c>
      <c r="Y806" s="525">
        <v>179.35</v>
      </c>
      <c r="Z806" s="525">
        <v>425</v>
      </c>
      <c r="AA806" s="527">
        <v>11837.1</v>
      </c>
    </row>
    <row r="807" spans="1:27" ht="17.45" customHeight="1" x14ac:dyDescent="0.25">
      <c r="A807" s="147" t="s">
        <v>4678</v>
      </c>
      <c r="B807" s="521">
        <v>550</v>
      </c>
      <c r="C807" s="521" t="s">
        <v>4753</v>
      </c>
      <c r="D807" s="142" t="s">
        <v>13</v>
      </c>
      <c r="E807" s="142" t="s">
        <v>637</v>
      </c>
      <c r="F807" s="143">
        <v>45566</v>
      </c>
      <c r="G807" s="143"/>
      <c r="H807" s="142" t="s">
        <v>2078</v>
      </c>
      <c r="I807" s="522"/>
      <c r="J807" s="522"/>
      <c r="K807" s="522"/>
      <c r="L807" s="393"/>
      <c r="M807" s="443">
        <f>Таблица4[[#This Row],[Количество хлыстов]]-Таблица4[[#This Row],[Готово, хл]]-Таблица4[[#This Row],[Вывезено, хл]]</f>
        <v>14</v>
      </c>
      <c r="N807" s="564">
        <v>2</v>
      </c>
      <c r="O807" s="142"/>
      <c r="P807" s="280"/>
      <c r="Q807" s="525" t="s">
        <v>4903</v>
      </c>
      <c r="R807" s="525">
        <v>14</v>
      </c>
      <c r="S807" s="526">
        <v>14</v>
      </c>
      <c r="T807" s="525">
        <v>0.55000000000000004</v>
      </c>
      <c r="U807" s="525">
        <v>2.5499999999999998</v>
      </c>
      <c r="V807" s="525">
        <v>7.7</v>
      </c>
      <c r="W807" s="525">
        <v>35.700000000000003</v>
      </c>
      <c r="X807" s="525">
        <v>1</v>
      </c>
      <c r="Y807" s="525">
        <v>3115.71</v>
      </c>
      <c r="Z807" s="525">
        <v>5664.94</v>
      </c>
      <c r="AA807" s="527">
        <v>43620</v>
      </c>
    </row>
    <row r="808" spans="1:27" ht="17.45" customHeight="1" x14ac:dyDescent="0.25">
      <c r="A808" s="147" t="s">
        <v>4678</v>
      </c>
      <c r="B808" s="521">
        <v>550</v>
      </c>
      <c r="C808" s="521" t="s">
        <v>5338</v>
      </c>
      <c r="D808" s="142" t="s">
        <v>13</v>
      </c>
      <c r="E808" s="142" t="s">
        <v>637</v>
      </c>
      <c r="F808" s="143">
        <v>45566</v>
      </c>
      <c r="G808" s="143"/>
      <c r="H808" s="142" t="s">
        <v>2078</v>
      </c>
      <c r="I808" s="522"/>
      <c r="J808" s="522"/>
      <c r="K808" s="522"/>
      <c r="L808" s="393"/>
      <c r="M808" s="443">
        <f>Таблица4[[#This Row],[Количество хлыстов]]-Таблица4[[#This Row],[Готово, хл]]-Таблица4[[#This Row],[Вывезено, хл]]</f>
        <v>14</v>
      </c>
      <c r="N808" s="564">
        <f>Таблица4[[#This Row],[Площадь общая, м2]]/28</f>
        <v>0.17500000000000002</v>
      </c>
      <c r="O808" s="142"/>
      <c r="P808" s="280"/>
      <c r="Q808" s="525" t="s">
        <v>4904</v>
      </c>
      <c r="R808" s="525">
        <v>14</v>
      </c>
      <c r="S808" s="526">
        <v>14</v>
      </c>
      <c r="T808" s="525">
        <v>0.35</v>
      </c>
      <c r="U808" s="525">
        <v>1.7</v>
      </c>
      <c r="V808" s="525">
        <v>4.9000000000000004</v>
      </c>
      <c r="W808" s="525">
        <v>23.8</v>
      </c>
      <c r="X808" s="525">
        <v>0.64</v>
      </c>
      <c r="Y808" s="525">
        <v>2150</v>
      </c>
      <c r="Z808" s="525">
        <v>6142.86</v>
      </c>
      <c r="AA808" s="527">
        <v>30100</v>
      </c>
    </row>
    <row r="809" spans="1:27" ht="17.45" customHeight="1" x14ac:dyDescent="0.25">
      <c r="A809" s="147" t="s">
        <v>4678</v>
      </c>
      <c r="B809" s="521">
        <v>551</v>
      </c>
      <c r="C809" s="521"/>
      <c r="D809" s="142" t="s">
        <v>34</v>
      </c>
      <c r="E809" s="142" t="s">
        <v>14</v>
      </c>
      <c r="F809" s="143">
        <v>45566</v>
      </c>
      <c r="G809" s="143"/>
      <c r="H809" s="142"/>
      <c r="I809" s="522"/>
      <c r="J809" s="522"/>
      <c r="K809" s="522"/>
      <c r="L809" s="393"/>
      <c r="M809" s="443">
        <f>Таблица4[[#This Row],[Количество хлыстов]]-Таблица4[[#This Row],[Готово, хл]]-Таблица4[[#This Row],[Вывезено, хл]]</f>
        <v>170</v>
      </c>
      <c r="N809" s="638">
        <f>((Таблица4[[#This Row],[Осталось сделать, хлыст]]*Таблица4[[#This Row],[длина]])*Таблица4[[#This Row],[Периметр]])/28</f>
        <v>8.0434285714285725</v>
      </c>
      <c r="O809" s="142"/>
      <c r="P809" s="280">
        <v>6</v>
      </c>
      <c r="Q809" s="902" t="s">
        <v>5318</v>
      </c>
      <c r="R809" s="902">
        <v>1020</v>
      </c>
      <c r="S809" s="526">
        <v>170</v>
      </c>
      <c r="T809" s="525">
        <v>0.2208</v>
      </c>
      <c r="U809" s="525">
        <v>0.77300000000000002</v>
      </c>
      <c r="V809" s="525">
        <v>225.21600000000001</v>
      </c>
      <c r="W809" s="525">
        <v>788.46</v>
      </c>
      <c r="X809" s="525">
        <v>29.28</v>
      </c>
      <c r="Y809" s="525">
        <v>97.15</v>
      </c>
      <c r="Z809" s="525">
        <v>440</v>
      </c>
      <c r="AA809" s="527">
        <v>99093</v>
      </c>
    </row>
    <row r="810" spans="1:27" ht="17.45" customHeight="1" x14ac:dyDescent="0.25">
      <c r="A810" s="147" t="s">
        <v>4678</v>
      </c>
      <c r="B810" s="521">
        <v>552</v>
      </c>
      <c r="C810" s="521"/>
      <c r="D810" s="142" t="s">
        <v>34</v>
      </c>
      <c r="E810" s="142" t="s">
        <v>14</v>
      </c>
      <c r="F810" s="143">
        <v>45566</v>
      </c>
      <c r="G810" s="143"/>
      <c r="H810" s="142"/>
      <c r="I810" s="522"/>
      <c r="J810" s="522"/>
      <c r="K810" s="522"/>
      <c r="L810" s="393"/>
      <c r="M810" s="443">
        <f>Таблица4[[#This Row],[Количество хлыстов]]-Таблица4[[#This Row],[Готово, хл]]-Таблица4[[#This Row],[Вывезено, хл]]</f>
        <v>403</v>
      </c>
      <c r="N810" s="638">
        <f>((Таблица4[[#This Row],[Осталось сделать, хлыст]]*Таблица4[[#This Row],[длина]])*Таблица4[[#This Row],[Периметр]])/28</f>
        <v>17.493726250000002</v>
      </c>
      <c r="O810" s="142"/>
      <c r="P810" s="280">
        <v>6.05</v>
      </c>
      <c r="Q810" s="525" t="s">
        <v>628</v>
      </c>
      <c r="R810" s="525">
        <v>2438.15</v>
      </c>
      <c r="S810" s="526">
        <v>403</v>
      </c>
      <c r="T810" s="525">
        <v>0.2009</v>
      </c>
      <c r="U810" s="525">
        <v>0.96</v>
      </c>
      <c r="V810" s="525">
        <v>489.82429999999999</v>
      </c>
      <c r="W810" s="525">
        <v>2340.6239999999998</v>
      </c>
      <c r="X810" s="525">
        <v>63.68</v>
      </c>
      <c r="Y810" s="525">
        <v>88.4</v>
      </c>
      <c r="Z810" s="525">
        <v>440</v>
      </c>
      <c r="AA810" s="527">
        <v>215522.71</v>
      </c>
    </row>
    <row r="811" spans="1:27" ht="17.45" customHeight="1" x14ac:dyDescent="0.25">
      <c r="A811" s="147" t="s">
        <v>4678</v>
      </c>
      <c r="B811" s="521">
        <v>553</v>
      </c>
      <c r="C811" s="521"/>
      <c r="D811" s="142" t="s">
        <v>34</v>
      </c>
      <c r="E811" s="142" t="s">
        <v>201</v>
      </c>
      <c r="F811" s="143">
        <v>45566</v>
      </c>
      <c r="G811" s="143"/>
      <c r="H811" s="142"/>
      <c r="I811" s="522"/>
      <c r="J811" s="522"/>
      <c r="K811" s="522"/>
      <c r="L811" s="393"/>
      <c r="M811" s="443">
        <f>Таблица4[[#This Row],[Количество хлыстов]]-Таблица4[[#This Row],[Готово, хл]]-Таблица4[[#This Row],[Вывезено, хл]]</f>
        <v>70</v>
      </c>
      <c r="N811" s="638">
        <f>((Таблица4[[#This Row],[Осталось сделать, хлыст]]*Таблица4[[#This Row],[длина]])*Таблица4[[#This Row],[Периметр]])/28</f>
        <v>9.3767250000000022</v>
      </c>
      <c r="O811" s="142"/>
      <c r="P811" s="280">
        <v>5.45</v>
      </c>
      <c r="Q811" s="525" t="s">
        <v>5320</v>
      </c>
      <c r="R811" s="525">
        <v>381.5</v>
      </c>
      <c r="S811" s="526">
        <v>70</v>
      </c>
      <c r="T811" s="525">
        <v>0.68820000000000003</v>
      </c>
      <c r="U811" s="525">
        <v>3.2480000000000002</v>
      </c>
      <c r="V811" s="525">
        <v>262.54829999999998</v>
      </c>
      <c r="W811" s="525">
        <v>1239.1120000000001</v>
      </c>
      <c r="X811" s="525">
        <v>34.130000000000003</v>
      </c>
      <c r="Y811" s="525">
        <v>313.13</v>
      </c>
      <c r="Z811" s="525">
        <v>455</v>
      </c>
      <c r="AA811" s="527">
        <v>119459.1</v>
      </c>
    </row>
    <row r="812" spans="1:27" ht="17.45" customHeight="1" x14ac:dyDescent="0.25">
      <c r="A812" s="147" t="s">
        <v>4678</v>
      </c>
      <c r="B812" s="521">
        <v>554</v>
      </c>
      <c r="C812" s="521"/>
      <c r="D812" s="142" t="s">
        <v>34</v>
      </c>
      <c r="E812" s="142" t="s">
        <v>19</v>
      </c>
      <c r="F812" s="143">
        <v>45566</v>
      </c>
      <c r="G812" s="143"/>
      <c r="H812" s="142"/>
      <c r="I812" s="522"/>
      <c r="J812" s="522"/>
      <c r="K812" s="522"/>
      <c r="L812" s="393"/>
      <c r="M812" s="443">
        <f>Таблица4[[#This Row],[Количество хлыстов]]-Таблица4[[#This Row],[Готово, хл]]-Таблица4[[#This Row],[Вывезено, хл]]</f>
        <v>126</v>
      </c>
      <c r="N812" s="638">
        <f>((Таблица4[[#This Row],[Осталось сделать, хлыст]]*Таблица4[[#This Row],[длина]])*Таблица4[[#This Row],[Периметр]])/28</f>
        <v>5.5112400000000008</v>
      </c>
      <c r="O812" s="142"/>
      <c r="P812" s="280">
        <v>3.6</v>
      </c>
      <c r="Q812" s="525" t="s">
        <v>5158</v>
      </c>
      <c r="R812" s="525">
        <v>453.6</v>
      </c>
      <c r="S812" s="526">
        <v>126</v>
      </c>
      <c r="T812" s="525">
        <v>0.3402</v>
      </c>
      <c r="U812" s="525">
        <v>1.4530000000000001</v>
      </c>
      <c r="V812" s="525">
        <v>154.31469999999999</v>
      </c>
      <c r="W812" s="525">
        <v>659.08079999999995</v>
      </c>
      <c r="X812" s="525">
        <v>20.059999999999999</v>
      </c>
      <c r="Y812" s="525">
        <v>146.97</v>
      </c>
      <c r="Z812" s="525">
        <v>432</v>
      </c>
      <c r="AA812" s="527">
        <v>66663.960000000006</v>
      </c>
    </row>
    <row r="813" spans="1:27" ht="17.45" customHeight="1" x14ac:dyDescent="0.25">
      <c r="A813" s="147" t="s">
        <v>4678</v>
      </c>
      <c r="B813" s="521">
        <v>555</v>
      </c>
      <c r="C813" s="521"/>
      <c r="D813" s="142" t="s">
        <v>34</v>
      </c>
      <c r="E813" s="142" t="s">
        <v>79</v>
      </c>
      <c r="F813" s="143">
        <v>45566</v>
      </c>
      <c r="G813" s="143"/>
      <c r="H813" s="142"/>
      <c r="I813" s="522"/>
      <c r="J813" s="522"/>
      <c r="K813" s="522"/>
      <c r="L813" s="393"/>
      <c r="M813" s="443">
        <f>Таблица4[[#This Row],[Количество хлыстов]]-Таблица4[[#This Row],[Готово, хл]]-Таблица4[[#This Row],[Вывезено, хл]]</f>
        <v>185</v>
      </c>
      <c r="N813" s="638">
        <f>((Таблица4[[#This Row],[Осталось сделать, хлыст]]*Таблица4[[#This Row],[длина]])*Таблица4[[#This Row],[Периметр]])/28</f>
        <v>3.520285714285714</v>
      </c>
      <c r="O813" s="142"/>
      <c r="P813" s="280">
        <v>6</v>
      </c>
      <c r="Q813" s="525" t="s">
        <v>2624</v>
      </c>
      <c r="R813" s="525">
        <v>1110</v>
      </c>
      <c r="S813" s="526">
        <v>185</v>
      </c>
      <c r="T813" s="525">
        <v>8.8800000000000004E-2</v>
      </c>
      <c r="U813" s="525">
        <v>0.217</v>
      </c>
      <c r="V813" s="525">
        <v>98.567999999999998</v>
      </c>
      <c r="W813" s="525">
        <v>240.87</v>
      </c>
      <c r="X813" s="525">
        <v>12.81</v>
      </c>
      <c r="Y813" s="525">
        <v>41.47</v>
      </c>
      <c r="Z813" s="525">
        <v>467</v>
      </c>
      <c r="AA813" s="527">
        <v>46031.26</v>
      </c>
    </row>
    <row r="814" spans="1:27" ht="17.45" customHeight="1" x14ac:dyDescent="0.25">
      <c r="A814" s="147" t="s">
        <v>4678</v>
      </c>
      <c r="B814" s="521">
        <v>556</v>
      </c>
      <c r="C814" s="521"/>
      <c r="D814" s="142" t="s">
        <v>34</v>
      </c>
      <c r="E814" s="142" t="s">
        <v>3404</v>
      </c>
      <c r="F814" s="143">
        <v>45566</v>
      </c>
      <c r="G814" s="143"/>
      <c r="H814" s="142"/>
      <c r="I814" s="522"/>
      <c r="J814" s="522"/>
      <c r="K814" s="522"/>
      <c r="L814" s="393"/>
      <c r="M814" s="443">
        <f>Таблица4[[#This Row],[Количество хлыстов]]-Таблица4[[#This Row],[Готово, хл]]-Таблица4[[#This Row],[Вывезено, хл]]</f>
        <v>160</v>
      </c>
      <c r="N814" s="638">
        <f>((Таблица4[[#This Row],[Осталось сделать, хлыст]]*Таблица4[[#This Row],[длина]])*Таблица4[[#This Row],[Периметр]])/28</f>
        <v>8.6297142857142841</v>
      </c>
      <c r="O814" s="142"/>
      <c r="P814" s="280">
        <v>6</v>
      </c>
      <c r="Q814" s="525" t="s">
        <v>4378</v>
      </c>
      <c r="R814" s="525">
        <v>960</v>
      </c>
      <c r="S814" s="526">
        <v>160</v>
      </c>
      <c r="T814" s="525">
        <v>0.25169999999999998</v>
      </c>
      <c r="U814" s="525">
        <v>0.56699999999999995</v>
      </c>
      <c r="V814" s="525">
        <v>241.63200000000001</v>
      </c>
      <c r="W814" s="525">
        <v>544.32000000000005</v>
      </c>
      <c r="X814" s="525">
        <v>31.41</v>
      </c>
      <c r="Y814" s="525">
        <v>99.42</v>
      </c>
      <c r="Z814" s="525">
        <v>395</v>
      </c>
      <c r="AA814" s="527">
        <v>95444.64</v>
      </c>
    </row>
    <row r="815" spans="1:27" ht="17.45" customHeight="1" x14ac:dyDescent="0.25">
      <c r="A815" s="147" t="s">
        <v>4678</v>
      </c>
      <c r="B815" s="521">
        <v>556</v>
      </c>
      <c r="C815" s="521"/>
      <c r="D815" s="142" t="s">
        <v>34</v>
      </c>
      <c r="E815" s="142" t="s">
        <v>3404</v>
      </c>
      <c r="F815" s="143">
        <v>45566</v>
      </c>
      <c r="G815" s="143"/>
      <c r="H815" s="142"/>
      <c r="I815" s="522"/>
      <c r="J815" s="522"/>
      <c r="K815" s="522"/>
      <c r="L815" s="393"/>
      <c r="M815" s="443">
        <f>Таблица4[[#This Row],[Количество хлыстов]]-Таблица4[[#This Row],[Готово, хл]]-Таблица4[[#This Row],[Вывезено, хл]]</f>
        <v>144</v>
      </c>
      <c r="N815" s="638">
        <f>((Таблица4[[#This Row],[Осталось сделать, хлыст]]*Таблица4[[#This Row],[длина]])*Таблица4[[#This Row],[Периметр]])/28</f>
        <v>5.8104000000000005</v>
      </c>
      <c r="O815" s="142"/>
      <c r="P815" s="280">
        <v>6</v>
      </c>
      <c r="Q815" s="525" t="s">
        <v>5290</v>
      </c>
      <c r="R815" s="525">
        <v>864</v>
      </c>
      <c r="S815" s="526">
        <v>144</v>
      </c>
      <c r="T815" s="525">
        <v>0.1883</v>
      </c>
      <c r="U815" s="525">
        <v>0.318</v>
      </c>
      <c r="V815" s="525">
        <v>162.69120000000001</v>
      </c>
      <c r="W815" s="525">
        <v>274.75200000000001</v>
      </c>
      <c r="X815" s="525">
        <v>21.15</v>
      </c>
      <c r="Y815" s="525">
        <v>74.38</v>
      </c>
      <c r="Z815" s="525">
        <v>395</v>
      </c>
      <c r="AA815" s="527">
        <v>64263.02</v>
      </c>
    </row>
    <row r="816" spans="1:27" ht="17.45" customHeight="1" x14ac:dyDescent="0.25">
      <c r="A816" s="147" t="s">
        <v>4678</v>
      </c>
      <c r="B816" s="521" t="s">
        <v>5336</v>
      </c>
      <c r="C816" s="521"/>
      <c r="D816" s="142" t="s">
        <v>34</v>
      </c>
      <c r="E816" s="142" t="s">
        <v>16</v>
      </c>
      <c r="F816" s="143">
        <v>45566</v>
      </c>
      <c r="G816" s="143"/>
      <c r="H816" s="142"/>
      <c r="I816" s="522"/>
      <c r="J816" s="522"/>
      <c r="K816" s="522"/>
      <c r="L816" s="393"/>
      <c r="M816" s="443">
        <f>Таблица4[[#This Row],[Количество хлыстов]]-Таблица4[[#This Row],[Готово, хл]]-Таблица4[[#This Row],[Вывезено, хл]]</f>
        <v>48</v>
      </c>
      <c r="N816" s="638">
        <f>((Таблица4[[#This Row],[Осталось сделать, хлыст]]*Таблица4[[#This Row],[длина]])*Таблица4[[#This Row],[Периметр]])/28</f>
        <v>3.0826285714285717</v>
      </c>
      <c r="O816" s="142"/>
      <c r="P816" s="280">
        <v>6</v>
      </c>
      <c r="Q816" s="525" t="s">
        <v>2423</v>
      </c>
      <c r="R816" s="525">
        <v>288</v>
      </c>
      <c r="S816" s="526">
        <v>48</v>
      </c>
      <c r="T816" s="525">
        <v>0.29970000000000002</v>
      </c>
      <c r="U816" s="525">
        <v>1.6739999999999999</v>
      </c>
      <c r="V816" s="525">
        <v>86.313599999999994</v>
      </c>
      <c r="W816" s="525">
        <v>482.11200000000002</v>
      </c>
      <c r="X816" s="525">
        <v>11.22</v>
      </c>
      <c r="Y816" s="525">
        <v>136.36000000000001</v>
      </c>
      <c r="Z816" s="525">
        <v>455</v>
      </c>
      <c r="AA816" s="527">
        <v>39272.69</v>
      </c>
    </row>
    <row r="817" spans="1:27" ht="17.45" hidden="1" customHeight="1" x14ac:dyDescent="0.25">
      <c r="A817" s="147" t="s">
        <v>4678</v>
      </c>
      <c r="B817" s="521" t="s">
        <v>5337</v>
      </c>
      <c r="C817" s="521"/>
      <c r="D817" s="142" t="s">
        <v>34</v>
      </c>
      <c r="E817" s="142" t="s">
        <v>5326</v>
      </c>
      <c r="F817" s="143"/>
      <c r="G817" s="143"/>
      <c r="H817" s="142" t="s">
        <v>23</v>
      </c>
      <c r="I817" s="522"/>
      <c r="J817" s="522"/>
      <c r="K817" s="522"/>
      <c r="L817" s="393"/>
      <c r="M817" s="443">
        <f>Таблица4[[#This Row],[Количество хлыстов]]-Таблица4[[#This Row],[Готово, хл]]-Таблица4[[#This Row],[Вывезено, хл]]</f>
        <v>6</v>
      </c>
      <c r="N817" s="638">
        <f>((Таблица4[[#This Row],[Осталось сделать, хлыст]]*Таблица4[[#This Row],[длина]])*Таблица4[[#This Row],[Периметр]])/28</f>
        <v>0.14245714285714287</v>
      </c>
      <c r="O817" s="142"/>
      <c r="P817" s="280">
        <v>6</v>
      </c>
      <c r="Q817" s="525" t="s">
        <v>5327</v>
      </c>
      <c r="R817" s="525">
        <v>36</v>
      </c>
      <c r="S817" s="526">
        <v>6</v>
      </c>
      <c r="T817" s="525">
        <v>0.1108</v>
      </c>
      <c r="U817" s="525">
        <v>0.36599999999999999</v>
      </c>
      <c r="V817" s="525">
        <v>3.9887999999999999</v>
      </c>
      <c r="W817" s="525">
        <v>13.176</v>
      </c>
      <c r="X817" s="525">
        <v>0.52</v>
      </c>
      <c r="Y817" s="525">
        <v>726.67</v>
      </c>
      <c r="Z817" s="525">
        <v>6558.36</v>
      </c>
      <c r="AA817" s="527">
        <v>26160</v>
      </c>
    </row>
    <row r="818" spans="1:27" s="421" customFormat="1" ht="17.45" customHeight="1" x14ac:dyDescent="0.25">
      <c r="A818" s="419" t="s">
        <v>4978</v>
      </c>
      <c r="B818" s="617">
        <v>557</v>
      </c>
      <c r="C818" s="617"/>
      <c r="D818" s="618" t="s">
        <v>34</v>
      </c>
      <c r="E818" s="618" t="s">
        <v>4807</v>
      </c>
      <c r="F818" s="619">
        <v>45569</v>
      </c>
      <c r="G818" s="619"/>
      <c r="H818" s="618" t="s">
        <v>5325</v>
      </c>
      <c r="I818" s="620"/>
      <c r="J818" s="620"/>
      <c r="K818" s="620"/>
      <c r="L818" s="677"/>
      <c r="M818" s="691">
        <f>Таблица4[[#This Row],[Количество хлыстов]]-Таблица4[[#This Row],[Готово, хл]]-Таблица4[[#This Row],[Вывезено, хл]]</f>
        <v>255</v>
      </c>
      <c r="N818" s="713"/>
      <c r="O818" s="618"/>
      <c r="P818" s="692">
        <v>6</v>
      </c>
      <c r="Q818" s="622" t="s">
        <v>4804</v>
      </c>
      <c r="R818" s="622">
        <v>1530</v>
      </c>
      <c r="S818" s="623">
        <v>255</v>
      </c>
      <c r="T818" s="622">
        <v>0.27610000000000001</v>
      </c>
      <c r="U818" s="622">
        <v>0.93400000000000005</v>
      </c>
      <c r="V818" s="622">
        <v>422.43299999999999</v>
      </c>
      <c r="W818" s="622">
        <v>1429.02</v>
      </c>
      <c r="X818" s="622">
        <v>54.92</v>
      </c>
      <c r="Y818" s="622" t="s">
        <v>17</v>
      </c>
      <c r="Z818" s="622" t="s">
        <v>17</v>
      </c>
      <c r="AA818" s="624" t="s">
        <v>17</v>
      </c>
    </row>
    <row r="819" spans="1:27" s="421" customFormat="1" ht="17.45" customHeight="1" x14ac:dyDescent="0.25">
      <c r="A819" s="419" t="s">
        <v>4978</v>
      </c>
      <c r="B819" s="617">
        <v>557</v>
      </c>
      <c r="C819" s="617"/>
      <c r="D819" s="618" t="s">
        <v>34</v>
      </c>
      <c r="E819" s="618" t="s">
        <v>4807</v>
      </c>
      <c r="F819" s="619">
        <v>45569</v>
      </c>
      <c r="G819" s="619"/>
      <c r="H819" s="618" t="s">
        <v>5325</v>
      </c>
      <c r="I819" s="620"/>
      <c r="J819" s="620"/>
      <c r="K819" s="620"/>
      <c r="L819" s="677"/>
      <c r="M819" s="691">
        <f>Таблица4[[#This Row],[Количество хлыстов]]-Таблица4[[#This Row],[Готово, хл]]-Таблица4[[#This Row],[Вывезено, хл]]</f>
        <v>65</v>
      </c>
      <c r="N819" s="713"/>
      <c r="O819" s="618"/>
      <c r="P819" s="692">
        <v>5.95</v>
      </c>
      <c r="Q819" s="622" t="s">
        <v>4805</v>
      </c>
      <c r="R819" s="622">
        <v>386.75</v>
      </c>
      <c r="S819" s="623">
        <v>65</v>
      </c>
      <c r="T819" s="622">
        <v>0.58020000000000005</v>
      </c>
      <c r="U819" s="622">
        <v>1.306</v>
      </c>
      <c r="V819" s="622">
        <v>224.39240000000001</v>
      </c>
      <c r="W819" s="622">
        <v>505.09550000000002</v>
      </c>
      <c r="X819" s="622">
        <v>29.17</v>
      </c>
      <c r="Y819" s="622" t="s">
        <v>17</v>
      </c>
      <c r="Z819" s="622" t="s">
        <v>17</v>
      </c>
      <c r="AA819" s="624" t="s">
        <v>17</v>
      </c>
    </row>
    <row r="820" spans="1:27" s="421" customFormat="1" ht="17.45" customHeight="1" x14ac:dyDescent="0.25">
      <c r="A820" s="419" t="s">
        <v>4978</v>
      </c>
      <c r="B820" s="617">
        <v>557</v>
      </c>
      <c r="C820" s="617"/>
      <c r="D820" s="618" t="s">
        <v>34</v>
      </c>
      <c r="E820" s="618" t="s">
        <v>4807</v>
      </c>
      <c r="F820" s="619">
        <v>45569</v>
      </c>
      <c r="G820" s="619"/>
      <c r="H820" s="618" t="s">
        <v>5325</v>
      </c>
      <c r="I820" s="620"/>
      <c r="J820" s="620"/>
      <c r="K820" s="620"/>
      <c r="L820" s="677"/>
      <c r="M820" s="691">
        <f>Таблица4[[#This Row],[Количество хлыстов]]-Таблица4[[#This Row],[Готово, хл]]-Таблица4[[#This Row],[Вывезено, хл]]</f>
        <v>700</v>
      </c>
      <c r="N820" s="713"/>
      <c r="O820" s="618"/>
      <c r="P820" s="692">
        <v>5.3</v>
      </c>
      <c r="Q820" s="622" t="s">
        <v>4806</v>
      </c>
      <c r="R820" s="622">
        <v>3710</v>
      </c>
      <c r="S820" s="623">
        <v>700</v>
      </c>
      <c r="T820" s="622">
        <v>0.22270000000000001</v>
      </c>
      <c r="U820" s="622">
        <v>0.52700000000000002</v>
      </c>
      <c r="V820" s="622">
        <v>826.21699999999998</v>
      </c>
      <c r="W820" s="622">
        <v>1955.17</v>
      </c>
      <c r="X820" s="622">
        <v>107.41</v>
      </c>
      <c r="Y820" s="622" t="s">
        <v>17</v>
      </c>
      <c r="Z820" s="622" t="s">
        <v>17</v>
      </c>
      <c r="AA820" s="624" t="s">
        <v>17</v>
      </c>
    </row>
    <row r="821" spans="1:27" ht="17.45" customHeight="1" x14ac:dyDescent="0.25">
      <c r="A821" s="147" t="s">
        <v>4678</v>
      </c>
      <c r="B821" s="521">
        <v>558</v>
      </c>
      <c r="C821" s="521" t="s">
        <v>4753</v>
      </c>
      <c r="D821" s="142" t="s">
        <v>34</v>
      </c>
      <c r="E821" s="142" t="s">
        <v>4467</v>
      </c>
      <c r="F821" s="143">
        <v>45569</v>
      </c>
      <c r="G821" s="143">
        <v>45575</v>
      </c>
      <c r="H821" s="142" t="s">
        <v>2078</v>
      </c>
      <c r="I821" s="522"/>
      <c r="J821" s="522"/>
      <c r="K821" s="522"/>
      <c r="L821" s="393"/>
      <c r="M821" s="443">
        <f>Таблица4[[#This Row],[Количество хлыстов]]-Таблица4[[#This Row],[Готово, хл]]-Таблица4[[#This Row],[Вывезено, хл]]</f>
        <v>6</v>
      </c>
      <c r="N821" s="638">
        <f>((Таблица4[[#This Row],[Осталось сделать, хлыст]]*Таблица4[[#This Row],[длина]])*Таблица4[[#This Row],[Периметр]])/28</f>
        <v>0.82038</v>
      </c>
      <c r="O821" s="142"/>
      <c r="P821" s="280">
        <v>6.05</v>
      </c>
      <c r="Q821" s="525" t="s">
        <v>5340</v>
      </c>
      <c r="R821" s="525">
        <v>36.299999999999997</v>
      </c>
      <c r="S821" s="526">
        <v>6</v>
      </c>
      <c r="T821" s="525">
        <v>0.63280000000000003</v>
      </c>
      <c r="U821" s="525">
        <v>4.5940000000000003</v>
      </c>
      <c r="V821" s="525">
        <v>22.970600000000001</v>
      </c>
      <c r="W821" s="525">
        <v>166.76220000000001</v>
      </c>
      <c r="X821" s="525">
        <v>2.99</v>
      </c>
      <c r="Y821" s="525">
        <v>804.55</v>
      </c>
      <c r="Z821" s="525">
        <v>1271.4100000000001</v>
      </c>
      <c r="AA821" s="527">
        <v>29205</v>
      </c>
    </row>
    <row r="822" spans="1:27" ht="17.45" customHeight="1" x14ac:dyDescent="0.25">
      <c r="A822" s="147" t="s">
        <v>4678</v>
      </c>
      <c r="B822" s="521">
        <v>558</v>
      </c>
      <c r="C822" s="521" t="s">
        <v>4753</v>
      </c>
      <c r="D822" s="142" t="s">
        <v>34</v>
      </c>
      <c r="E822" s="142" t="s">
        <v>4467</v>
      </c>
      <c r="F822" s="143">
        <v>45569</v>
      </c>
      <c r="G822" s="143">
        <v>45575</v>
      </c>
      <c r="H822" s="142" t="s">
        <v>2078</v>
      </c>
      <c r="I822" s="522"/>
      <c r="J822" s="522"/>
      <c r="K822" s="522"/>
      <c r="L822" s="393"/>
      <c r="M822" s="443">
        <f>Таблица4[[#This Row],[Количество хлыстов]]-Таблица4[[#This Row],[Готово, хл]]-Таблица4[[#This Row],[Вывезено, хл]]</f>
        <v>9</v>
      </c>
      <c r="N822" s="638">
        <f>((Таблица4[[#This Row],[Осталось сделать, хлыст]]*Таблица4[[#This Row],[длина]])*Таблица4[[#This Row],[Периметр]])/28</f>
        <v>1.0405783928571428</v>
      </c>
      <c r="O822" s="142"/>
      <c r="P822" s="280">
        <v>6.05</v>
      </c>
      <c r="Q822" s="525" t="s">
        <v>5166</v>
      </c>
      <c r="R822" s="525">
        <v>54.45</v>
      </c>
      <c r="S822" s="526">
        <v>9</v>
      </c>
      <c r="T822" s="525">
        <v>0.53510000000000002</v>
      </c>
      <c r="U822" s="525">
        <v>2.891</v>
      </c>
      <c r="V822" s="525">
        <v>29.136199999999999</v>
      </c>
      <c r="W822" s="525">
        <v>157.41499999999999</v>
      </c>
      <c r="X822" s="525">
        <v>3.79</v>
      </c>
      <c r="Y822" s="525">
        <v>655.56</v>
      </c>
      <c r="Z822" s="525">
        <v>1225.1099999999999</v>
      </c>
      <c r="AA822" s="527">
        <v>35695</v>
      </c>
    </row>
    <row r="823" spans="1:27" ht="17.45" customHeight="1" x14ac:dyDescent="0.25">
      <c r="A823" s="147" t="s">
        <v>4678</v>
      </c>
      <c r="B823" s="521">
        <v>560</v>
      </c>
      <c r="C823" s="521"/>
      <c r="D823" s="142" t="s">
        <v>13</v>
      </c>
      <c r="E823" s="142" t="s">
        <v>5343</v>
      </c>
      <c r="F823" s="143">
        <v>45572</v>
      </c>
      <c r="G823" s="143"/>
      <c r="H823" s="142"/>
      <c r="I823" s="522"/>
      <c r="J823" s="522"/>
      <c r="K823" s="522"/>
      <c r="L823" s="393"/>
      <c r="M823" s="443">
        <f>Таблица4[[#This Row],[Количество хлыстов]]-Таблица4[[#This Row],[Готово, хл]]-Таблица4[[#This Row],[Вывезено, хл]]</f>
        <v>23</v>
      </c>
      <c r="N823" s="564">
        <f>Таблица4[[#This Row],[Площадь общая, м2]]/28</f>
        <v>0.31542857142857145</v>
      </c>
      <c r="O823" s="142"/>
      <c r="P823" s="280">
        <v>6</v>
      </c>
      <c r="Q823" s="525" t="s">
        <v>5344</v>
      </c>
      <c r="R823" s="525">
        <v>138</v>
      </c>
      <c r="S823" s="526">
        <v>23</v>
      </c>
      <c r="T823" s="525">
        <v>6.4000000000000001E-2</v>
      </c>
      <c r="U823" s="525">
        <v>0.151</v>
      </c>
      <c r="V823" s="525">
        <v>8.8320000000000007</v>
      </c>
      <c r="W823" s="525">
        <v>20.838000000000001</v>
      </c>
      <c r="X823" s="525">
        <v>1.1499999999999999</v>
      </c>
      <c r="Y823" s="525">
        <v>27.65</v>
      </c>
      <c r="Z823" s="525">
        <v>432</v>
      </c>
      <c r="AA823" s="527">
        <v>3815.42</v>
      </c>
    </row>
    <row r="824" spans="1:27" ht="17.45" customHeight="1" x14ac:dyDescent="0.25">
      <c r="A824" s="147" t="s">
        <v>4678</v>
      </c>
      <c r="B824" s="521">
        <v>561</v>
      </c>
      <c r="C824" s="521"/>
      <c r="D824" s="142" t="s">
        <v>34</v>
      </c>
      <c r="E824" s="142" t="s">
        <v>79</v>
      </c>
      <c r="F824" s="143">
        <v>45572</v>
      </c>
      <c r="G824" s="143"/>
      <c r="H824" s="142"/>
      <c r="I824" s="522"/>
      <c r="J824" s="522"/>
      <c r="K824" s="522"/>
      <c r="L824" s="393"/>
      <c r="M824" s="443">
        <f>Таблица4[[#This Row],[Количество хлыстов]]-Таблица4[[#This Row],[Готово, хл]]-Таблица4[[#This Row],[Вывезено, хл]]</f>
        <v>707</v>
      </c>
      <c r="N824" s="638">
        <f>((Таблица4[[#This Row],[Осталось сделать, хлыст]]*Таблица4[[#This Row],[длина]])*Таблица4[[#This Row],[Периметр]])/28</f>
        <v>30.64845</v>
      </c>
      <c r="O824" s="142"/>
      <c r="P824" s="280">
        <v>6</v>
      </c>
      <c r="Q824" s="525" t="s">
        <v>78</v>
      </c>
      <c r="R824" s="525">
        <v>4242</v>
      </c>
      <c r="S824" s="526">
        <v>707</v>
      </c>
      <c r="T824" s="525">
        <v>0.20230000000000001</v>
      </c>
      <c r="U824" s="525">
        <v>0.499</v>
      </c>
      <c r="V824" s="525">
        <v>858.15660000000003</v>
      </c>
      <c r="W824" s="525">
        <v>2116.7579999999998</v>
      </c>
      <c r="X824" s="525">
        <v>111.56</v>
      </c>
      <c r="Y824" s="525">
        <v>79.91</v>
      </c>
      <c r="Z824" s="525">
        <v>395</v>
      </c>
      <c r="AA824" s="527">
        <v>338971.86</v>
      </c>
    </row>
    <row r="825" spans="1:27" ht="17.45" customHeight="1" x14ac:dyDescent="0.25">
      <c r="A825" s="147" t="s">
        <v>4678</v>
      </c>
      <c r="B825" s="521">
        <v>562</v>
      </c>
      <c r="C825" s="521"/>
      <c r="D825" s="142" t="s">
        <v>13</v>
      </c>
      <c r="E825" s="142" t="s">
        <v>5250</v>
      </c>
      <c r="F825" s="143">
        <v>45573</v>
      </c>
      <c r="G825" s="143"/>
      <c r="H825" s="142"/>
      <c r="I825" s="522"/>
      <c r="J825" s="522"/>
      <c r="K825" s="522"/>
      <c r="L825" s="393"/>
      <c r="M825" s="443">
        <f>Таблица4[[#This Row],[Количество хлыстов]]-Таблица4[[#This Row],[Готово, хл]]-Таблица4[[#This Row],[Вывезено, хл]]</f>
        <v>96</v>
      </c>
      <c r="N825" s="638">
        <f>((Таблица4[[#This Row],[Осталось сделать, хлыст]]*Таблица4[[#This Row],[длина]])*Таблица4[[#This Row],[Периметр]])/28</f>
        <v>3.5640000000000001</v>
      </c>
      <c r="O825" s="142"/>
      <c r="P825" s="280">
        <v>5</v>
      </c>
      <c r="Q825" s="525" t="s">
        <v>3901</v>
      </c>
      <c r="R825" s="525">
        <v>480</v>
      </c>
      <c r="S825" s="526">
        <v>96</v>
      </c>
      <c r="T825" s="525">
        <v>0.2079</v>
      </c>
      <c r="U825" s="525">
        <v>0.55600000000000005</v>
      </c>
      <c r="V825" s="525">
        <v>99.792000000000002</v>
      </c>
      <c r="W825" s="525">
        <v>266.88</v>
      </c>
      <c r="X825" s="525">
        <v>12.97</v>
      </c>
      <c r="Y825" s="525">
        <v>94.59</v>
      </c>
      <c r="Z825" s="525">
        <v>455</v>
      </c>
      <c r="AA825" s="527">
        <v>45405.36</v>
      </c>
    </row>
    <row r="826" spans="1:27" ht="17.45" customHeight="1" x14ac:dyDescent="0.25">
      <c r="A826" s="147"/>
      <c r="B826" s="521"/>
      <c r="C826" s="521"/>
      <c r="D826" s="142"/>
      <c r="E826" s="142"/>
      <c r="F826" s="143"/>
      <c r="G826" s="143"/>
      <c r="H826" s="142"/>
      <c r="I826" s="522"/>
      <c r="J826" s="522"/>
      <c r="K826" s="522"/>
      <c r="L826" s="393"/>
      <c r="M826" s="443">
        <f>Таблица4[[#This Row],[Количество хлыстов]]-Таблица4[[#This Row],[Готово, хл]]-Таблица4[[#This Row],[Вывезено, хл]]</f>
        <v>0</v>
      </c>
      <c r="N826" s="638">
        <f>((Таблица4[[#This Row],[Осталось сделать, хлыст]]*Таблица4[[#This Row],[длина]])*Таблица4[[#This Row],[Периметр]])/28</f>
        <v>0</v>
      </c>
      <c r="O826" s="142"/>
      <c r="P826" s="280"/>
      <c r="Q826" s="525"/>
      <c r="R826" s="525"/>
      <c r="S826" s="526"/>
      <c r="T826" s="525"/>
      <c r="U826" s="525"/>
      <c r="V826" s="525"/>
      <c r="W826" s="525"/>
      <c r="X826" s="525"/>
      <c r="Y826" s="525"/>
      <c r="Z826" s="525"/>
      <c r="AA826" s="527"/>
    </row>
    <row r="827" spans="1:27" ht="17.45" customHeight="1" x14ac:dyDescent="0.25">
      <c r="A827" s="147"/>
      <c r="B827" s="521"/>
      <c r="C827" s="521"/>
      <c r="D827" s="142"/>
      <c r="E827" s="142"/>
      <c r="F827" s="143"/>
      <c r="G827" s="143"/>
      <c r="H827" s="142"/>
      <c r="I827" s="522"/>
      <c r="J827" s="522"/>
      <c r="K827" s="522"/>
      <c r="L827" s="393"/>
      <c r="M827" s="443">
        <f>Таблица4[[#This Row],[Количество хлыстов]]-Таблица4[[#This Row],[Готово, хл]]-Таблица4[[#This Row],[Вывезено, хл]]</f>
        <v>0</v>
      </c>
      <c r="N827" s="638">
        <f>((Таблица4[[#This Row],[Осталось сделать, хлыст]]*Таблица4[[#This Row],[длина]])*Таблица4[[#This Row],[Периметр]])/28</f>
        <v>0</v>
      </c>
      <c r="O827" s="142"/>
      <c r="P827" s="280"/>
      <c r="Q827" s="525"/>
      <c r="R827" s="525"/>
      <c r="S827" s="526"/>
      <c r="T827" s="525"/>
      <c r="U827" s="525"/>
      <c r="V827" s="525"/>
      <c r="W827" s="525"/>
      <c r="X827" s="525"/>
      <c r="Y827" s="525"/>
      <c r="Z827" s="525"/>
      <c r="AA827" s="527"/>
    </row>
    <row r="828" spans="1:27" ht="17.45" customHeight="1" x14ac:dyDescent="0.25">
      <c r="A828" s="147"/>
      <c r="B828" s="521"/>
      <c r="C828" s="521"/>
      <c r="D828" s="142"/>
      <c r="E828" s="142"/>
      <c r="F828" s="143"/>
      <c r="G828" s="143"/>
      <c r="H828" s="142"/>
      <c r="I828" s="522"/>
      <c r="J828" s="522"/>
      <c r="K828" s="522"/>
      <c r="L828" s="393"/>
      <c r="M828" s="443">
        <f>Таблица4[[#This Row],[Количество хлыстов]]-Таблица4[[#This Row],[Готово, хл]]-Таблица4[[#This Row],[Вывезено, хл]]</f>
        <v>0</v>
      </c>
      <c r="N828" s="638">
        <f>((Таблица4[[#This Row],[Осталось сделать, хлыст]]*Таблица4[[#This Row],[длина]])*Таблица4[[#This Row],[Периметр]])/28</f>
        <v>0</v>
      </c>
      <c r="O828" s="142"/>
      <c r="P828" s="280"/>
      <c r="Q828" s="525"/>
      <c r="R828" s="525"/>
      <c r="S828" s="526"/>
      <c r="T828" s="525"/>
      <c r="U828" s="525"/>
      <c r="V828" s="525"/>
      <c r="W828" s="525"/>
      <c r="X828" s="525"/>
      <c r="Y828" s="525"/>
      <c r="Z828" s="525"/>
      <c r="AA828" s="527"/>
    </row>
    <row r="829" spans="1:27" ht="17.45" customHeight="1" x14ac:dyDescent="0.25">
      <c r="A829" s="147"/>
      <c r="B829" s="521"/>
      <c r="C829" s="521"/>
      <c r="D829" s="142"/>
      <c r="E829" s="142"/>
      <c r="F829" s="143"/>
      <c r="G829" s="143"/>
      <c r="H829" s="142"/>
      <c r="I829" s="522"/>
      <c r="J829" s="522"/>
      <c r="K829" s="522"/>
      <c r="L829" s="393"/>
      <c r="M829" s="443">
        <f>Таблица4[[#This Row],[Количество хлыстов]]-Таблица4[[#This Row],[Готово, хл]]-Таблица4[[#This Row],[Вывезено, хл]]</f>
        <v>0</v>
      </c>
      <c r="N829" s="638">
        <f>((Таблица4[[#This Row],[Осталось сделать, хлыст]]*Таблица4[[#This Row],[длина]])*Таблица4[[#This Row],[Периметр]])/28</f>
        <v>0</v>
      </c>
      <c r="O829" s="142"/>
      <c r="P829" s="280"/>
      <c r="Q829" s="525"/>
      <c r="R829" s="525"/>
      <c r="S829" s="526"/>
      <c r="T829" s="525"/>
      <c r="U829" s="525"/>
      <c r="V829" s="525"/>
      <c r="W829" s="525"/>
      <c r="X829" s="525"/>
      <c r="Y829" s="525"/>
      <c r="Z829" s="525"/>
      <c r="AA829" s="527"/>
    </row>
    <row r="830" spans="1:27" ht="17.45" customHeight="1" x14ac:dyDescent="0.25">
      <c r="A830" s="147"/>
      <c r="B830" s="521"/>
      <c r="C830" s="521"/>
      <c r="D830" s="142"/>
      <c r="E830" s="142"/>
      <c r="F830" s="143"/>
      <c r="G830" s="143"/>
      <c r="H830" s="142"/>
      <c r="I830" s="522"/>
      <c r="J830" s="522"/>
      <c r="K830" s="522"/>
      <c r="L830" s="393"/>
      <c r="M830" s="443">
        <f>Таблица4[[#This Row],[Количество хлыстов]]-Таблица4[[#This Row],[Готово, хл]]-Таблица4[[#This Row],[Вывезено, хл]]</f>
        <v>0</v>
      </c>
      <c r="N830" s="638">
        <f>((Таблица4[[#This Row],[Осталось сделать, хлыст]]*Таблица4[[#This Row],[длина]])*Таблица4[[#This Row],[Периметр]])/28</f>
        <v>0</v>
      </c>
      <c r="O830" s="142"/>
      <c r="P830" s="280"/>
      <c r="Q830" s="525"/>
      <c r="R830" s="525"/>
      <c r="S830" s="526"/>
      <c r="T830" s="525"/>
      <c r="U830" s="525"/>
      <c r="V830" s="525"/>
      <c r="W830" s="525"/>
      <c r="X830" s="525"/>
      <c r="Y830" s="525"/>
      <c r="Z830" s="525"/>
      <c r="AA830" s="527"/>
    </row>
    <row r="831" spans="1:27" ht="17.45" customHeight="1" x14ac:dyDescent="0.25">
      <c r="A831" s="147"/>
      <c r="B831" s="521"/>
      <c r="C831" s="521"/>
      <c r="D831" s="142"/>
      <c r="E831" s="142"/>
      <c r="F831" s="143"/>
      <c r="G831" s="143"/>
      <c r="H831" s="142"/>
      <c r="I831" s="522"/>
      <c r="J831" s="522"/>
      <c r="K831" s="522"/>
      <c r="L831" s="393"/>
      <c r="M831" s="443">
        <f>Таблица4[[#This Row],[Количество хлыстов]]-Таблица4[[#This Row],[Готово, хл]]-Таблица4[[#This Row],[Вывезено, хл]]</f>
        <v>0</v>
      </c>
      <c r="N831" s="638">
        <f>((Таблица4[[#This Row],[Осталось сделать, хлыст]]*Таблица4[[#This Row],[длина]])*Таблица4[[#This Row],[Периметр]])/28</f>
        <v>0</v>
      </c>
      <c r="O831" s="142"/>
      <c r="P831" s="280"/>
      <c r="Q831" s="525"/>
      <c r="R831" s="525"/>
      <c r="S831" s="526"/>
      <c r="T831" s="525"/>
      <c r="U831" s="525"/>
      <c r="V831" s="525"/>
      <c r="W831" s="525"/>
      <c r="X831" s="525"/>
      <c r="Y831" s="525"/>
      <c r="Z831" s="525"/>
      <c r="AA831" s="527"/>
    </row>
    <row r="832" spans="1:27" ht="17.45" customHeight="1" x14ac:dyDescent="0.25">
      <c r="A832" s="147"/>
      <c r="B832" s="521"/>
      <c r="C832" s="521"/>
      <c r="D832" s="142"/>
      <c r="E832" s="142"/>
      <c r="F832" s="143"/>
      <c r="G832" s="143"/>
      <c r="H832" s="142"/>
      <c r="I832" s="522"/>
      <c r="J832" s="522"/>
      <c r="K832" s="522"/>
      <c r="L832" s="393"/>
      <c r="M832" s="443">
        <f>Таблица4[[#This Row],[Количество хлыстов]]-Таблица4[[#This Row],[Готово, хл]]-Таблица4[[#This Row],[Вывезено, хл]]</f>
        <v>0</v>
      </c>
      <c r="N832" s="638">
        <f>((Таблица4[[#This Row],[Осталось сделать, хлыст]]*Таблица4[[#This Row],[длина]])*Таблица4[[#This Row],[Периметр]])/28</f>
        <v>0</v>
      </c>
      <c r="O832" s="142"/>
      <c r="P832" s="280"/>
      <c r="Q832" s="525"/>
      <c r="R832" s="525"/>
      <c r="S832" s="526"/>
      <c r="T832" s="525"/>
      <c r="U832" s="525"/>
      <c r="V832" s="525"/>
      <c r="W832" s="525"/>
      <c r="X832" s="525"/>
      <c r="Y832" s="525"/>
      <c r="Z832" s="525"/>
      <c r="AA832" s="527"/>
    </row>
    <row r="833" spans="1:27" ht="17.45" customHeight="1" x14ac:dyDescent="0.25">
      <c r="A833" s="147"/>
      <c r="B833" s="521"/>
      <c r="C833" s="521"/>
      <c r="D833" s="142"/>
      <c r="E833" s="142"/>
      <c r="F833" s="143"/>
      <c r="G833" s="143"/>
      <c r="H833" s="142"/>
      <c r="I833" s="522"/>
      <c r="J833" s="522"/>
      <c r="K833" s="522"/>
      <c r="L833" s="393"/>
      <c r="M833" s="443">
        <f>Таблица4[[#This Row],[Количество хлыстов]]-Таблица4[[#This Row],[Готово, хл]]-Таблица4[[#This Row],[Вывезено, хл]]</f>
        <v>0</v>
      </c>
      <c r="N833" s="638">
        <f>((Таблица4[[#This Row],[Осталось сделать, хлыст]]*Таблица4[[#This Row],[длина]])*Таблица4[[#This Row],[Периметр]])/28</f>
        <v>0</v>
      </c>
      <c r="O833" s="142"/>
      <c r="P833" s="280"/>
      <c r="Q833" s="525"/>
      <c r="R833" s="525"/>
      <c r="S833" s="526"/>
      <c r="T833" s="525"/>
      <c r="U833" s="525"/>
      <c r="V833" s="525"/>
      <c r="W833" s="525"/>
      <c r="X833" s="525"/>
      <c r="Y833" s="525"/>
      <c r="Z833" s="525"/>
      <c r="AA833" s="527"/>
    </row>
    <row r="834" spans="1:27" ht="17.45" customHeight="1" x14ac:dyDescent="0.25">
      <c r="A834" s="147"/>
      <c r="B834" s="521"/>
      <c r="C834" s="521"/>
      <c r="D834" s="142"/>
      <c r="E834" s="142"/>
      <c r="F834" s="143"/>
      <c r="G834" s="143"/>
      <c r="H834" s="142"/>
      <c r="I834" s="522"/>
      <c r="J834" s="522"/>
      <c r="K834" s="522"/>
      <c r="L834" s="393"/>
      <c r="M834" s="443">
        <f>Таблица4[[#This Row],[Количество хлыстов]]-Таблица4[[#This Row],[Готово, хл]]-Таблица4[[#This Row],[Вывезено, хл]]</f>
        <v>0</v>
      </c>
      <c r="N834" s="638">
        <f>((Таблица4[[#This Row],[Осталось сделать, хлыст]]*Таблица4[[#This Row],[длина]])*Таблица4[[#This Row],[Периметр]])/28</f>
        <v>0</v>
      </c>
      <c r="O834" s="142"/>
      <c r="P834" s="280"/>
      <c r="Q834" s="525"/>
      <c r="R834" s="525"/>
      <c r="S834" s="526"/>
      <c r="T834" s="525"/>
      <c r="U834" s="525"/>
      <c r="V834" s="525"/>
      <c r="W834" s="525"/>
      <c r="X834" s="525"/>
      <c r="Y834" s="525"/>
      <c r="Z834" s="525"/>
      <c r="AA834" s="527"/>
    </row>
    <row r="835" spans="1:27" ht="17.45" customHeight="1" x14ac:dyDescent="0.25">
      <c r="A835" s="147"/>
      <c r="B835" s="521"/>
      <c r="C835" s="521"/>
      <c r="D835" s="142"/>
      <c r="E835" s="142"/>
      <c r="F835" s="143"/>
      <c r="G835" s="143"/>
      <c r="H835" s="142"/>
      <c r="I835" s="522"/>
      <c r="J835" s="522"/>
      <c r="K835" s="522"/>
      <c r="L835" s="393"/>
      <c r="M835" s="443">
        <f>Таблица4[[#This Row],[Количество хлыстов]]-Таблица4[[#This Row],[Готово, хл]]-Таблица4[[#This Row],[Вывезено, хл]]</f>
        <v>0</v>
      </c>
      <c r="N835" s="638">
        <f>((Таблица4[[#This Row],[Осталось сделать, хлыст]]*Таблица4[[#This Row],[длина]])*Таблица4[[#This Row],[Периметр]])/28</f>
        <v>0</v>
      </c>
      <c r="O835" s="142"/>
      <c r="P835" s="280"/>
      <c r="Q835" s="525"/>
      <c r="R835" s="525"/>
      <c r="S835" s="526"/>
      <c r="T835" s="525"/>
      <c r="U835" s="525"/>
      <c r="V835" s="525"/>
      <c r="W835" s="525"/>
      <c r="X835" s="525"/>
      <c r="Y835" s="525"/>
      <c r="Z835" s="525"/>
      <c r="AA835" s="527"/>
    </row>
    <row r="836" spans="1:27" ht="17.45" customHeight="1" x14ac:dyDescent="0.25">
      <c r="A836" s="147"/>
      <c r="B836" s="521"/>
      <c r="C836" s="521"/>
      <c r="D836" s="142"/>
      <c r="E836" s="142"/>
      <c r="F836" s="143"/>
      <c r="G836" s="143"/>
      <c r="H836" s="142"/>
      <c r="I836" s="522"/>
      <c r="J836" s="522"/>
      <c r="K836" s="522"/>
      <c r="L836" s="393"/>
      <c r="M836" s="443">
        <f>Таблица4[[#This Row],[Количество хлыстов]]-Таблица4[[#This Row],[Готово, хл]]-Таблица4[[#This Row],[Вывезено, хл]]</f>
        <v>0</v>
      </c>
      <c r="N836" s="638">
        <f>((Таблица4[[#This Row],[Осталось сделать, хлыст]]*Таблица4[[#This Row],[длина]])*Таблица4[[#This Row],[Периметр]])/28</f>
        <v>0</v>
      </c>
      <c r="O836" s="142"/>
      <c r="P836" s="280"/>
      <c r="Q836" s="525"/>
      <c r="R836" s="525"/>
      <c r="S836" s="526"/>
      <c r="T836" s="525"/>
      <c r="U836" s="525"/>
      <c r="V836" s="525"/>
      <c r="W836" s="525"/>
      <c r="X836" s="525"/>
      <c r="Y836" s="525"/>
      <c r="Z836" s="525"/>
      <c r="AA836" s="527"/>
    </row>
    <row r="837" spans="1:27" ht="17.45" customHeight="1" x14ac:dyDescent="0.25">
      <c r="A837" s="147"/>
      <c r="B837" s="521"/>
      <c r="C837" s="521"/>
      <c r="D837" s="142"/>
      <c r="E837" s="142"/>
      <c r="F837" s="143"/>
      <c r="G837" s="143"/>
      <c r="H837" s="142"/>
      <c r="I837" s="522"/>
      <c r="J837" s="522"/>
      <c r="K837" s="522"/>
      <c r="L837" s="393"/>
      <c r="M837" s="443">
        <f>Таблица4[[#This Row],[Количество хлыстов]]-Таблица4[[#This Row],[Готово, хл]]-Таблица4[[#This Row],[Вывезено, хл]]</f>
        <v>0</v>
      </c>
      <c r="N837" s="638">
        <f>((Таблица4[[#This Row],[Осталось сделать, хлыст]]*Таблица4[[#This Row],[длина]])*Таблица4[[#This Row],[Периметр]])/28</f>
        <v>0</v>
      </c>
      <c r="O837" s="142"/>
      <c r="P837" s="280"/>
      <c r="Q837" s="525"/>
      <c r="R837" s="525"/>
      <c r="S837" s="526"/>
      <c r="T837" s="525"/>
      <c r="U837" s="525"/>
      <c r="V837" s="525"/>
      <c r="W837" s="525"/>
      <c r="X837" s="525"/>
      <c r="Y837" s="525"/>
      <c r="Z837" s="525"/>
      <c r="AA837" s="527"/>
    </row>
    <row r="838" spans="1:27" ht="17.45" customHeight="1" x14ac:dyDescent="0.25">
      <c r="A838" s="147"/>
      <c r="B838" s="521"/>
      <c r="C838" s="521"/>
      <c r="D838" s="142"/>
      <c r="E838" s="142"/>
      <c r="F838" s="143"/>
      <c r="G838" s="143"/>
      <c r="H838" s="142"/>
      <c r="I838" s="522"/>
      <c r="J838" s="522"/>
      <c r="K838" s="522"/>
      <c r="L838" s="393"/>
      <c r="M838" s="443">
        <f>Таблица4[[#This Row],[Количество хлыстов]]-Таблица4[[#This Row],[Готово, хл]]-Таблица4[[#This Row],[Вывезено, хл]]</f>
        <v>0</v>
      </c>
      <c r="N838" s="638">
        <f>((Таблица4[[#This Row],[Осталось сделать, хлыст]]*Таблица4[[#This Row],[длина]])*Таблица4[[#This Row],[Периметр]])/28</f>
        <v>0</v>
      </c>
      <c r="O838" s="142"/>
      <c r="P838" s="280"/>
      <c r="Q838" s="525"/>
      <c r="R838" s="525"/>
      <c r="S838" s="526"/>
      <c r="T838" s="525"/>
      <c r="U838" s="525"/>
      <c r="V838" s="525"/>
      <c r="W838" s="525"/>
      <c r="X838" s="525"/>
      <c r="Y838" s="525"/>
      <c r="Z838" s="525"/>
      <c r="AA838" s="527"/>
    </row>
    <row r="839" spans="1:27" ht="17.45" customHeight="1" x14ac:dyDescent="0.25">
      <c r="A839" s="147"/>
      <c r="B839" s="521"/>
      <c r="C839" s="521"/>
      <c r="D839" s="142"/>
      <c r="E839" s="142"/>
      <c r="F839" s="143"/>
      <c r="G839" s="143"/>
      <c r="H839" s="142"/>
      <c r="I839" s="522"/>
      <c r="J839" s="522"/>
      <c r="K839" s="522"/>
      <c r="L839" s="393"/>
      <c r="M839" s="443">
        <f>Таблица4[[#This Row],[Количество хлыстов]]-Таблица4[[#This Row],[Готово, хл]]-Таблица4[[#This Row],[Вывезено, хл]]</f>
        <v>0</v>
      </c>
      <c r="N839" s="638">
        <f>((Таблица4[[#This Row],[Осталось сделать, хлыст]]*Таблица4[[#This Row],[длина]])*Таблица4[[#This Row],[Периметр]])/28</f>
        <v>0</v>
      </c>
      <c r="O839" s="142"/>
      <c r="P839" s="280"/>
      <c r="Q839" s="525"/>
      <c r="R839" s="525"/>
      <c r="S839" s="526"/>
      <c r="T839" s="525"/>
      <c r="U839" s="525"/>
      <c r="V839" s="525"/>
      <c r="W839" s="525"/>
      <c r="X839" s="525"/>
      <c r="Y839" s="525"/>
      <c r="Z839" s="525"/>
      <c r="AA839" s="527"/>
    </row>
    <row r="840" spans="1:27" ht="17.45" customHeight="1" x14ac:dyDescent="0.25">
      <c r="A840" s="147"/>
      <c r="B840" s="521"/>
      <c r="C840" s="521"/>
      <c r="D840" s="142"/>
      <c r="E840" s="142"/>
      <c r="F840" s="143"/>
      <c r="G840" s="143"/>
      <c r="H840" s="142"/>
      <c r="I840" s="522"/>
      <c r="J840" s="522"/>
      <c r="K840" s="522"/>
      <c r="L840" s="393"/>
      <c r="M840" s="443">
        <f>Таблица4[[#This Row],[Количество хлыстов]]-Таблица4[[#This Row],[Готово, хл]]-Таблица4[[#This Row],[Вывезено, хл]]</f>
        <v>0</v>
      </c>
      <c r="N840" s="638">
        <f>((Таблица4[[#This Row],[Осталось сделать, хлыст]]*Таблица4[[#This Row],[длина]])*Таблица4[[#This Row],[Периметр]])/28</f>
        <v>0</v>
      </c>
      <c r="O840" s="142"/>
      <c r="P840" s="280"/>
      <c r="Q840" s="525"/>
      <c r="R840" s="525"/>
      <c r="S840" s="526"/>
      <c r="T840" s="525"/>
      <c r="U840" s="525"/>
      <c r="V840" s="525"/>
      <c r="W840" s="525"/>
      <c r="X840" s="525"/>
      <c r="Y840" s="525"/>
      <c r="Z840" s="525"/>
      <c r="AA840" s="527"/>
    </row>
    <row r="841" spans="1:27" ht="17.45" customHeight="1" x14ac:dyDescent="0.25">
      <c r="A841" s="147"/>
      <c r="B841" s="521"/>
      <c r="C841" s="521"/>
      <c r="D841" s="142"/>
      <c r="E841" s="142"/>
      <c r="F841" s="143"/>
      <c r="G841" s="143"/>
      <c r="H841" s="142"/>
      <c r="I841" s="522"/>
      <c r="J841" s="522"/>
      <c r="K841" s="522"/>
      <c r="L841" s="393"/>
      <c r="M841" s="443">
        <f>Таблица4[[#This Row],[Количество хлыстов]]-Таблица4[[#This Row],[Готово, хл]]-Таблица4[[#This Row],[Вывезено, хл]]</f>
        <v>0</v>
      </c>
      <c r="N841" s="638">
        <f>((Таблица4[[#This Row],[Осталось сделать, хлыст]]*Таблица4[[#This Row],[длина]])*Таблица4[[#This Row],[Периметр]])/28</f>
        <v>0</v>
      </c>
      <c r="O841" s="142"/>
      <c r="P841" s="280"/>
      <c r="Q841" s="525"/>
      <c r="R841" s="525"/>
      <c r="S841" s="526"/>
      <c r="T841" s="525"/>
      <c r="U841" s="525"/>
      <c r="V841" s="525"/>
      <c r="W841" s="525"/>
      <c r="X841" s="525"/>
      <c r="Y841" s="525"/>
      <c r="Z841" s="525"/>
      <c r="AA841" s="527"/>
    </row>
    <row r="842" spans="1:27" ht="17.45" customHeight="1" x14ac:dyDescent="0.25">
      <c r="A842" s="913"/>
      <c r="B842" s="914"/>
      <c r="C842" s="914"/>
      <c r="D842" s="915"/>
      <c r="E842" s="915"/>
      <c r="F842" s="916"/>
      <c r="G842" s="916"/>
      <c r="H842" s="915"/>
      <c r="I842" s="917"/>
      <c r="J842" s="917"/>
      <c r="K842" s="917"/>
      <c r="L842" s="918"/>
      <c r="M842" s="919"/>
      <c r="N842" s="920"/>
      <c r="O842" s="915"/>
      <c r="P842" s="921"/>
      <c r="Q842" s="921"/>
      <c r="R842" s="921"/>
      <c r="S842" s="922"/>
      <c r="T842" s="921"/>
      <c r="U842" s="921"/>
      <c r="V842" s="921"/>
      <c r="W842" s="921"/>
      <c r="X842" s="921"/>
      <c r="Y842" s="921"/>
      <c r="Z842" s="921"/>
      <c r="AA842" s="923"/>
    </row>
    <row r="843" spans="1:27" ht="17.45" customHeight="1" x14ac:dyDescent="0.25">
      <c r="A843" s="913"/>
      <c r="B843" s="914"/>
      <c r="C843" s="914"/>
      <c r="D843" s="915"/>
      <c r="E843" s="915"/>
      <c r="F843" s="916"/>
      <c r="G843" s="916"/>
      <c r="H843" s="915"/>
      <c r="I843" s="917"/>
      <c r="J843" s="917"/>
      <c r="K843" s="917"/>
      <c r="L843" s="918"/>
      <c r="M843" s="919"/>
      <c r="N843" s="920"/>
      <c r="O843" s="915"/>
      <c r="P843" s="921"/>
      <c r="Q843" s="921"/>
      <c r="R843" s="921"/>
      <c r="S843" s="922"/>
      <c r="T843" s="921"/>
      <c r="U843" s="921"/>
      <c r="V843" s="921"/>
      <c r="W843" s="921"/>
      <c r="X843" s="921"/>
      <c r="Y843" s="921"/>
      <c r="Z843" s="921"/>
      <c r="AA843" s="923"/>
    </row>
    <row r="844" spans="1:27" ht="17.45" customHeight="1" x14ac:dyDescent="0.25">
      <c r="A844" s="913"/>
      <c r="B844" s="914"/>
      <c r="C844" s="914"/>
      <c r="D844" s="915"/>
      <c r="E844" s="915"/>
      <c r="F844" s="916"/>
      <c r="G844" s="916"/>
      <c r="H844" s="915"/>
      <c r="I844" s="917"/>
      <c r="J844" s="917"/>
      <c r="K844" s="917"/>
      <c r="L844" s="918"/>
      <c r="M844" s="919"/>
      <c r="N844" s="920"/>
      <c r="O844" s="915"/>
      <c r="P844" s="921"/>
      <c r="Q844" s="921"/>
      <c r="R844" s="921"/>
      <c r="S844" s="922"/>
      <c r="T844" s="921"/>
      <c r="U844" s="921"/>
      <c r="V844" s="921"/>
      <c r="W844" s="921"/>
      <c r="X844" s="921"/>
      <c r="Y844" s="921"/>
      <c r="Z844" s="921"/>
      <c r="AA844" s="923"/>
    </row>
    <row r="845" spans="1:27" ht="17.45" customHeight="1" x14ac:dyDescent="0.25">
      <c r="A845" s="913"/>
      <c r="B845" s="914"/>
      <c r="C845" s="914"/>
      <c r="D845" s="915"/>
      <c r="E845" s="915"/>
      <c r="F845" s="916"/>
      <c r="G845" s="916"/>
      <c r="H845" s="915"/>
      <c r="I845" s="917"/>
      <c r="J845" s="917"/>
      <c r="K845" s="917"/>
      <c r="L845" s="918"/>
      <c r="M845" s="919"/>
      <c r="N845" s="920"/>
      <c r="O845" s="915"/>
      <c r="P845" s="921"/>
      <c r="Q845" s="921"/>
      <c r="R845" s="921"/>
      <c r="S845" s="922"/>
      <c r="T845" s="921"/>
      <c r="U845" s="921"/>
      <c r="V845" s="921"/>
      <c r="W845" s="921"/>
      <c r="X845" s="921"/>
      <c r="Y845" s="921"/>
      <c r="Z845" s="921"/>
      <c r="AA845" s="923"/>
    </row>
    <row r="846" spans="1:27" ht="17.45" customHeight="1" x14ac:dyDescent="0.25">
      <c r="A846" s="913"/>
      <c r="B846" s="914"/>
      <c r="C846" s="914"/>
      <c r="D846" s="915"/>
      <c r="E846" s="915"/>
      <c r="F846" s="916"/>
      <c r="G846" s="916"/>
      <c r="H846" s="915"/>
      <c r="I846" s="917"/>
      <c r="J846" s="917"/>
      <c r="K846" s="917"/>
      <c r="L846" s="918"/>
      <c r="M846" s="919"/>
      <c r="N846" s="920"/>
      <c r="O846" s="915"/>
      <c r="P846" s="921"/>
      <c r="Q846" s="921"/>
      <c r="R846" s="921"/>
      <c r="S846" s="922"/>
      <c r="T846" s="921"/>
      <c r="U846" s="921"/>
      <c r="V846" s="921"/>
      <c r="W846" s="921"/>
      <c r="X846" s="921"/>
      <c r="Y846" s="921"/>
      <c r="Z846" s="921"/>
      <c r="AA846" s="923"/>
    </row>
    <row r="847" spans="1:27" ht="17.45" customHeight="1" x14ac:dyDescent="0.25">
      <c r="A847" s="913"/>
      <c r="B847" s="914"/>
      <c r="C847" s="914"/>
      <c r="D847" s="915"/>
      <c r="E847" s="915"/>
      <c r="F847" s="916"/>
      <c r="G847" s="916"/>
      <c r="H847" s="915"/>
      <c r="I847" s="917"/>
      <c r="J847" s="917"/>
      <c r="K847" s="917"/>
      <c r="L847" s="918"/>
      <c r="M847" s="919"/>
      <c r="N847" s="920"/>
      <c r="O847" s="915"/>
      <c r="P847" s="921"/>
      <c r="Q847" s="921"/>
      <c r="R847" s="921"/>
      <c r="S847" s="922"/>
      <c r="T847" s="921"/>
      <c r="U847" s="921"/>
      <c r="V847" s="921"/>
      <c r="W847" s="921"/>
      <c r="X847" s="921"/>
      <c r="Y847" s="921"/>
      <c r="Z847" s="921"/>
      <c r="AA847" s="923"/>
    </row>
    <row r="848" spans="1:27" ht="17.45" customHeight="1" x14ac:dyDescent="0.25">
      <c r="A848" s="913"/>
      <c r="B848" s="914"/>
      <c r="C848" s="914"/>
      <c r="D848" s="915"/>
      <c r="E848" s="915"/>
      <c r="F848" s="916"/>
      <c r="G848" s="916"/>
      <c r="H848" s="915"/>
      <c r="I848" s="917"/>
      <c r="J848" s="917"/>
      <c r="K848" s="917"/>
      <c r="L848" s="918"/>
      <c r="M848" s="919"/>
      <c r="N848" s="920"/>
      <c r="O848" s="915"/>
      <c r="P848" s="921"/>
      <c r="Q848" s="921"/>
      <c r="R848" s="921"/>
      <c r="S848" s="922"/>
      <c r="T848" s="921"/>
      <c r="U848" s="921"/>
      <c r="V848" s="921"/>
      <c r="W848" s="921"/>
      <c r="X848" s="921"/>
      <c r="Y848" s="921"/>
      <c r="Z848" s="921"/>
      <c r="AA848" s="923"/>
    </row>
    <row r="849" spans="1:27" ht="17.45" customHeight="1" x14ac:dyDescent="0.25">
      <c r="A849" s="913"/>
      <c r="B849" s="914"/>
      <c r="C849" s="914"/>
      <c r="D849" s="915"/>
      <c r="E849" s="915"/>
      <c r="F849" s="916"/>
      <c r="G849" s="916"/>
      <c r="H849" s="915"/>
      <c r="I849" s="917"/>
      <c r="J849" s="917"/>
      <c r="K849" s="917"/>
      <c r="L849" s="918"/>
      <c r="M849" s="919"/>
      <c r="N849" s="920"/>
      <c r="O849" s="915"/>
      <c r="P849" s="921"/>
      <c r="Q849" s="921"/>
      <c r="R849" s="921"/>
      <c r="S849" s="922"/>
      <c r="T849" s="921"/>
      <c r="U849" s="921"/>
      <c r="V849" s="921"/>
      <c r="W849" s="921"/>
      <c r="X849" s="921"/>
      <c r="Y849" s="921"/>
      <c r="Z849" s="921"/>
      <c r="AA849" s="923"/>
    </row>
    <row r="850" spans="1:27" ht="17.45" customHeight="1" x14ac:dyDescent="0.25">
      <c r="A850" s="913"/>
      <c r="B850" s="914"/>
      <c r="C850" s="914"/>
      <c r="D850" s="915"/>
      <c r="E850" s="915"/>
      <c r="F850" s="916"/>
      <c r="G850" s="916"/>
      <c r="H850" s="915"/>
      <c r="I850" s="917"/>
      <c r="J850" s="917"/>
      <c r="K850" s="917"/>
      <c r="L850" s="918"/>
      <c r="M850" s="919"/>
      <c r="N850" s="920"/>
      <c r="O850" s="915"/>
      <c r="P850" s="921"/>
      <c r="Q850" s="921"/>
      <c r="R850" s="921"/>
      <c r="S850" s="922"/>
      <c r="T850" s="921"/>
      <c r="U850" s="921"/>
      <c r="V850" s="921"/>
      <c r="W850" s="921"/>
      <c r="X850" s="921"/>
      <c r="Y850" s="921"/>
      <c r="Z850" s="921"/>
      <c r="AA850" s="923"/>
    </row>
    <row r="851" spans="1:27" ht="17.45" customHeight="1" x14ac:dyDescent="0.25">
      <c r="A851" s="913"/>
      <c r="B851" s="914"/>
      <c r="C851" s="914"/>
      <c r="D851" s="915"/>
      <c r="E851" s="915"/>
      <c r="F851" s="916"/>
      <c r="G851" s="916"/>
      <c r="H851" s="915"/>
      <c r="I851" s="917"/>
      <c r="J851" s="917"/>
      <c r="K851" s="917"/>
      <c r="L851" s="918"/>
      <c r="M851" s="919"/>
      <c r="N851" s="920"/>
      <c r="O851" s="915"/>
      <c r="P851" s="921"/>
      <c r="Q851" s="921"/>
      <c r="R851" s="921"/>
      <c r="S851" s="922"/>
      <c r="T851" s="921"/>
      <c r="U851" s="921"/>
      <c r="V851" s="921"/>
      <c r="W851" s="921"/>
      <c r="X851" s="921"/>
      <c r="Y851" s="921"/>
      <c r="Z851" s="921"/>
      <c r="AA851" s="923"/>
    </row>
    <row r="852" spans="1:27" ht="17.45" customHeight="1" x14ac:dyDescent="0.25">
      <c r="A852" s="913"/>
      <c r="B852" s="914"/>
      <c r="C852" s="914"/>
      <c r="D852" s="915"/>
      <c r="E852" s="915"/>
      <c r="F852" s="916"/>
      <c r="G852" s="916"/>
      <c r="H852" s="915"/>
      <c r="I852" s="917"/>
      <c r="J852" s="917"/>
      <c r="K852" s="917"/>
      <c r="L852" s="918"/>
      <c r="M852" s="919"/>
      <c r="N852" s="920"/>
      <c r="O852" s="915"/>
      <c r="P852" s="921"/>
      <c r="Q852" s="921"/>
      <c r="R852" s="921"/>
      <c r="S852" s="922"/>
      <c r="T852" s="921"/>
      <c r="U852" s="921"/>
      <c r="V852" s="921"/>
      <c r="W852" s="921"/>
      <c r="X852" s="921"/>
      <c r="Y852" s="921"/>
      <c r="Z852" s="921"/>
      <c r="AA852" s="923"/>
    </row>
    <row r="853" spans="1:27" ht="17.45" customHeight="1" x14ac:dyDescent="0.25">
      <c r="A853" s="913"/>
      <c r="B853" s="914"/>
      <c r="C853" s="914"/>
      <c r="D853" s="915"/>
      <c r="E853" s="915"/>
      <c r="F853" s="916"/>
      <c r="G853" s="916"/>
      <c r="H853" s="915"/>
      <c r="I853" s="917"/>
      <c r="J853" s="917"/>
      <c r="K853" s="917"/>
      <c r="L853" s="918"/>
      <c r="M853" s="919"/>
      <c r="N853" s="920"/>
      <c r="O853" s="915"/>
      <c r="P853" s="921"/>
      <c r="Q853" s="921"/>
      <c r="R853" s="921"/>
      <c r="S853" s="922"/>
      <c r="T853" s="921"/>
      <c r="U853" s="921"/>
      <c r="V853" s="921"/>
      <c r="W853" s="921"/>
      <c r="X853" s="921"/>
      <c r="Y853" s="921"/>
      <c r="Z853" s="921"/>
      <c r="AA853" s="923"/>
    </row>
    <row r="854" spans="1:27" ht="17.45" customHeight="1" x14ac:dyDescent="0.25">
      <c r="A854" s="913"/>
      <c r="B854" s="914"/>
      <c r="C854" s="914"/>
      <c r="D854" s="915"/>
      <c r="E854" s="915"/>
      <c r="F854" s="916"/>
      <c r="G854" s="916"/>
      <c r="H854" s="915"/>
      <c r="I854" s="917"/>
      <c r="J854" s="917"/>
      <c r="K854" s="917"/>
      <c r="L854" s="918"/>
      <c r="M854" s="919"/>
      <c r="N854" s="920"/>
      <c r="O854" s="915"/>
      <c r="P854" s="921"/>
      <c r="Q854" s="921"/>
      <c r="R854" s="921"/>
      <c r="S854" s="922"/>
      <c r="T854" s="921"/>
      <c r="U854" s="921"/>
      <c r="V854" s="921"/>
      <c r="W854" s="921"/>
      <c r="X854" s="921"/>
      <c r="Y854" s="921"/>
      <c r="Z854" s="921"/>
      <c r="AA854" s="923"/>
    </row>
    <row r="855" spans="1:27" ht="17.45" customHeight="1" x14ac:dyDescent="0.25">
      <c r="A855" s="913"/>
      <c r="B855" s="914"/>
      <c r="C855" s="914"/>
      <c r="D855" s="915"/>
      <c r="E855" s="915"/>
      <c r="F855" s="916"/>
      <c r="G855" s="916"/>
      <c r="H855" s="915"/>
      <c r="I855" s="917"/>
      <c r="J855" s="917"/>
      <c r="K855" s="917"/>
      <c r="L855" s="918"/>
      <c r="M855" s="919"/>
      <c r="N855" s="920"/>
      <c r="O855" s="915"/>
      <c r="P855" s="921"/>
      <c r="Q855" s="921"/>
      <c r="R855" s="921"/>
      <c r="S855" s="922"/>
      <c r="T855" s="921"/>
      <c r="U855" s="921"/>
      <c r="V855" s="921"/>
      <c r="W855" s="921"/>
      <c r="X855" s="921"/>
      <c r="Y855" s="921"/>
      <c r="Z855" s="921"/>
      <c r="AA855" s="923"/>
    </row>
    <row r="856" spans="1:27" ht="17.45" customHeight="1" x14ac:dyDescent="0.25">
      <c r="A856" s="913"/>
      <c r="B856" s="914"/>
      <c r="C856" s="914"/>
      <c r="D856" s="915"/>
      <c r="E856" s="915"/>
      <c r="F856" s="916"/>
      <c r="G856" s="916"/>
      <c r="H856" s="915"/>
      <c r="I856" s="917"/>
      <c r="J856" s="917"/>
      <c r="K856" s="917"/>
      <c r="L856" s="918"/>
      <c r="M856" s="919"/>
      <c r="N856" s="920"/>
      <c r="O856" s="915"/>
      <c r="P856" s="921"/>
      <c r="Q856" s="921"/>
      <c r="R856" s="921"/>
      <c r="S856" s="922"/>
      <c r="T856" s="921"/>
      <c r="U856" s="921"/>
      <c r="V856" s="921"/>
      <c r="W856" s="921"/>
      <c r="X856" s="921"/>
      <c r="Y856" s="921"/>
      <c r="Z856" s="921"/>
      <c r="AA856" s="923"/>
    </row>
    <row r="857" spans="1:27" ht="17.45" customHeight="1" x14ac:dyDescent="0.25">
      <c r="A857" s="913"/>
      <c r="B857" s="914"/>
      <c r="C857" s="914"/>
      <c r="D857" s="915"/>
      <c r="E857" s="915"/>
      <c r="F857" s="916"/>
      <c r="G857" s="916"/>
      <c r="H857" s="915"/>
      <c r="I857" s="917"/>
      <c r="J857" s="917"/>
      <c r="K857" s="917"/>
      <c r="L857" s="918"/>
      <c r="M857" s="919"/>
      <c r="N857" s="920"/>
      <c r="O857" s="915"/>
      <c r="P857" s="921"/>
      <c r="Q857" s="921"/>
      <c r="R857" s="921"/>
      <c r="S857" s="922"/>
      <c r="T857" s="921"/>
      <c r="U857" s="921"/>
      <c r="V857" s="921"/>
      <c r="W857" s="921"/>
      <c r="X857" s="921"/>
      <c r="Y857" s="921"/>
      <c r="Z857" s="921"/>
      <c r="AA857" s="923"/>
    </row>
    <row r="858" spans="1:27" ht="17.45" customHeight="1" x14ac:dyDescent="0.25">
      <c r="A858" s="913"/>
      <c r="B858" s="914"/>
      <c r="C858" s="914"/>
      <c r="D858" s="915"/>
      <c r="E858" s="915"/>
      <c r="F858" s="916"/>
      <c r="G858" s="916"/>
      <c r="H858" s="915"/>
      <c r="I858" s="917"/>
      <c r="J858" s="917"/>
      <c r="K858" s="917"/>
      <c r="L858" s="918"/>
      <c r="M858" s="919"/>
      <c r="N858" s="920"/>
      <c r="O858" s="915"/>
      <c r="P858" s="921"/>
      <c r="Q858" s="921"/>
      <c r="R858" s="921"/>
      <c r="S858" s="922"/>
      <c r="T858" s="921"/>
      <c r="U858" s="921"/>
      <c r="V858" s="921"/>
      <c r="W858" s="921"/>
      <c r="X858" s="921"/>
      <c r="Y858" s="921"/>
      <c r="Z858" s="921"/>
      <c r="AA858" s="923"/>
    </row>
    <row r="859" spans="1:27" ht="17.45" customHeight="1" x14ac:dyDescent="0.25">
      <c r="A859" s="913"/>
      <c r="B859" s="914"/>
      <c r="C859" s="914"/>
      <c r="D859" s="915"/>
      <c r="E859" s="915"/>
      <c r="F859" s="916"/>
      <c r="G859" s="916"/>
      <c r="H859" s="915"/>
      <c r="I859" s="917"/>
      <c r="J859" s="917"/>
      <c r="K859" s="917"/>
      <c r="L859" s="918"/>
      <c r="M859" s="919"/>
      <c r="N859" s="920"/>
      <c r="O859" s="915"/>
      <c r="P859" s="921"/>
      <c r="Q859" s="921"/>
      <c r="R859" s="921"/>
      <c r="S859" s="922"/>
      <c r="T859" s="921"/>
      <c r="U859" s="921"/>
      <c r="V859" s="921"/>
      <c r="W859" s="921"/>
      <c r="X859" s="921"/>
      <c r="Y859" s="921"/>
      <c r="Z859" s="921"/>
      <c r="AA859" s="923"/>
    </row>
    <row r="860" spans="1:27" ht="17.45" customHeight="1" x14ac:dyDescent="0.25">
      <c r="A860" s="913"/>
      <c r="B860" s="914"/>
      <c r="C860" s="914"/>
      <c r="D860" s="915"/>
      <c r="E860" s="915"/>
      <c r="F860" s="916"/>
      <c r="G860" s="916"/>
      <c r="H860" s="915"/>
      <c r="I860" s="917"/>
      <c r="J860" s="917"/>
      <c r="K860" s="917"/>
      <c r="L860" s="918"/>
      <c r="M860" s="919"/>
      <c r="N860" s="920"/>
      <c r="O860" s="915"/>
      <c r="P860" s="921"/>
      <c r="Q860" s="921"/>
      <c r="R860" s="921"/>
      <c r="S860" s="922"/>
      <c r="T860" s="921"/>
      <c r="U860" s="921"/>
      <c r="V860" s="921"/>
      <c r="W860" s="921"/>
      <c r="X860" s="921"/>
      <c r="Y860" s="921"/>
      <c r="Z860" s="921"/>
      <c r="AA860" s="923"/>
    </row>
    <row r="861" spans="1:27" ht="17.45" customHeight="1" x14ac:dyDescent="0.25">
      <c r="A861" s="913"/>
      <c r="B861" s="914"/>
      <c r="C861" s="914"/>
      <c r="D861" s="915"/>
      <c r="E861" s="915"/>
      <c r="F861" s="916"/>
      <c r="G861" s="916"/>
      <c r="H861" s="915"/>
      <c r="I861" s="917"/>
      <c r="J861" s="917"/>
      <c r="K861" s="917"/>
      <c r="L861" s="918"/>
      <c r="M861" s="919"/>
      <c r="N861" s="920"/>
      <c r="O861" s="915"/>
      <c r="P861" s="921"/>
      <c r="Q861" s="921"/>
      <c r="R861" s="921"/>
      <c r="S861" s="922"/>
      <c r="T861" s="921"/>
      <c r="U861" s="921"/>
      <c r="V861" s="921"/>
      <c r="W861" s="921"/>
      <c r="X861" s="921"/>
      <c r="Y861" s="921"/>
      <c r="Z861" s="921"/>
      <c r="AA861" s="923"/>
    </row>
    <row r="862" spans="1:27" ht="17.45" customHeight="1" x14ac:dyDescent="0.25">
      <c r="A862" s="913"/>
      <c r="B862" s="914"/>
      <c r="C862" s="914"/>
      <c r="D862" s="915"/>
      <c r="E862" s="915"/>
      <c r="F862" s="916"/>
      <c r="G862" s="916"/>
      <c r="H862" s="915"/>
      <c r="I862" s="917"/>
      <c r="J862" s="917"/>
      <c r="K862" s="917"/>
      <c r="L862" s="918"/>
      <c r="M862" s="919"/>
      <c r="N862" s="920"/>
      <c r="O862" s="915"/>
      <c r="P862" s="921"/>
      <c r="Q862" s="921"/>
      <c r="R862" s="921"/>
      <c r="S862" s="922"/>
      <c r="T862" s="921"/>
      <c r="U862" s="921"/>
      <c r="V862" s="921"/>
      <c r="W862" s="921"/>
      <c r="X862" s="921"/>
      <c r="Y862" s="921"/>
      <c r="Z862" s="921"/>
      <c r="AA862" s="923"/>
    </row>
    <row r="863" spans="1:27" ht="17.45" customHeight="1" x14ac:dyDescent="0.25">
      <c r="A863" s="913"/>
      <c r="B863" s="914"/>
      <c r="C863" s="914"/>
      <c r="D863" s="915"/>
      <c r="E863" s="915"/>
      <c r="F863" s="916"/>
      <c r="G863" s="916"/>
      <c r="H863" s="915"/>
      <c r="I863" s="917"/>
      <c r="J863" s="917"/>
      <c r="K863" s="917"/>
      <c r="L863" s="918"/>
      <c r="M863" s="919"/>
      <c r="N863" s="920"/>
      <c r="O863" s="915"/>
      <c r="P863" s="921"/>
      <c r="Q863" s="921"/>
      <c r="R863" s="921"/>
      <c r="S863" s="922"/>
      <c r="T863" s="921"/>
      <c r="U863" s="921"/>
      <c r="V863" s="921"/>
      <c r="W863" s="921"/>
      <c r="X863" s="921"/>
      <c r="Y863" s="921"/>
      <c r="Z863" s="921"/>
      <c r="AA863" s="923"/>
    </row>
    <row r="864" spans="1:27" ht="17.45" customHeight="1" x14ac:dyDescent="0.25">
      <c r="A864" s="913"/>
      <c r="B864" s="914"/>
      <c r="C864" s="914"/>
      <c r="D864" s="915"/>
      <c r="E864" s="915"/>
      <c r="F864" s="916"/>
      <c r="G864" s="916"/>
      <c r="H864" s="915"/>
      <c r="I864" s="917"/>
      <c r="J864" s="917"/>
      <c r="K864" s="917"/>
      <c r="L864" s="918"/>
      <c r="M864" s="919"/>
      <c r="N864" s="920"/>
      <c r="O864" s="915"/>
      <c r="P864" s="921"/>
      <c r="Q864" s="921"/>
      <c r="R864" s="921"/>
      <c r="S864" s="922"/>
      <c r="T864" s="921"/>
      <c r="U864" s="921"/>
      <c r="V864" s="921"/>
      <c r="W864" s="921"/>
      <c r="X864" s="921"/>
      <c r="Y864" s="921"/>
      <c r="Z864" s="921"/>
      <c r="AA864" s="923"/>
    </row>
    <row r="865" spans="1:27" ht="17.45" customHeight="1" x14ac:dyDescent="0.25">
      <c r="A865" s="913"/>
      <c r="B865" s="914"/>
      <c r="C865" s="914"/>
      <c r="D865" s="915"/>
      <c r="E865" s="915"/>
      <c r="F865" s="916"/>
      <c r="G865" s="916"/>
      <c r="H865" s="915"/>
      <c r="I865" s="917"/>
      <c r="J865" s="917"/>
      <c r="K865" s="917"/>
      <c r="L865" s="918"/>
      <c r="M865" s="919"/>
      <c r="N865" s="920"/>
      <c r="O865" s="915"/>
      <c r="P865" s="921"/>
      <c r="Q865" s="921"/>
      <c r="R865" s="921"/>
      <c r="S865" s="922"/>
      <c r="T865" s="921"/>
      <c r="U865" s="921"/>
      <c r="V865" s="921"/>
      <c r="W865" s="921"/>
      <c r="X865" s="921"/>
      <c r="Y865" s="921"/>
      <c r="Z865" s="921"/>
      <c r="AA865" s="923"/>
    </row>
    <row r="866" spans="1:27" ht="17.45" customHeight="1" x14ac:dyDescent="0.25">
      <c r="A866" s="913"/>
      <c r="B866" s="914"/>
      <c r="C866" s="914"/>
      <c r="D866" s="915"/>
      <c r="E866" s="915"/>
      <c r="F866" s="916"/>
      <c r="G866" s="916"/>
      <c r="H866" s="915"/>
      <c r="I866" s="917"/>
      <c r="J866" s="917"/>
      <c r="K866" s="917"/>
      <c r="L866" s="918"/>
      <c r="M866" s="919"/>
      <c r="N866" s="920"/>
      <c r="O866" s="915"/>
      <c r="P866" s="921"/>
      <c r="Q866" s="921"/>
      <c r="R866" s="921"/>
      <c r="S866" s="922"/>
      <c r="T866" s="921"/>
      <c r="U866" s="921"/>
      <c r="V866" s="921"/>
      <c r="W866" s="921"/>
      <c r="X866" s="921"/>
      <c r="Y866" s="921"/>
      <c r="Z866" s="921"/>
      <c r="AA866" s="923"/>
    </row>
    <row r="867" spans="1:27" ht="17.45" customHeight="1" x14ac:dyDescent="0.25">
      <c r="A867" s="913"/>
      <c r="B867" s="914"/>
      <c r="C867" s="914"/>
      <c r="D867" s="915"/>
      <c r="E867" s="915"/>
      <c r="F867" s="916"/>
      <c r="G867" s="916"/>
      <c r="H867" s="915"/>
      <c r="I867" s="917"/>
      <c r="J867" s="917"/>
      <c r="K867" s="917"/>
      <c r="L867" s="918"/>
      <c r="M867" s="919"/>
      <c r="N867" s="920"/>
      <c r="O867" s="915"/>
      <c r="P867" s="921"/>
      <c r="Q867" s="921"/>
      <c r="R867" s="921"/>
      <c r="S867" s="922"/>
      <c r="T867" s="921"/>
      <c r="U867" s="921"/>
      <c r="V867" s="921"/>
      <c r="W867" s="921"/>
      <c r="X867" s="921"/>
      <c r="Y867" s="921"/>
      <c r="Z867" s="921"/>
      <c r="AA867" s="923"/>
    </row>
    <row r="868" spans="1:27" ht="17.45" customHeight="1" x14ac:dyDescent="0.25">
      <c r="A868" s="913"/>
      <c r="B868" s="914"/>
      <c r="C868" s="914"/>
      <c r="D868" s="915"/>
      <c r="E868" s="915"/>
      <c r="F868" s="916"/>
      <c r="G868" s="916"/>
      <c r="H868" s="915"/>
      <c r="I868" s="917"/>
      <c r="J868" s="917"/>
      <c r="K868" s="917"/>
      <c r="L868" s="918"/>
      <c r="M868" s="919"/>
      <c r="N868" s="920"/>
      <c r="O868" s="915"/>
      <c r="P868" s="921"/>
      <c r="Q868" s="921"/>
      <c r="R868" s="921"/>
      <c r="S868" s="922"/>
      <c r="T868" s="921"/>
      <c r="U868" s="921"/>
      <c r="V868" s="921"/>
      <c r="W868" s="921"/>
      <c r="X868" s="921"/>
      <c r="Y868" s="921"/>
      <c r="Z868" s="921"/>
      <c r="AA868" s="923"/>
    </row>
    <row r="869" spans="1:27" ht="17.45" customHeight="1" x14ac:dyDescent="0.25">
      <c r="A869" s="913"/>
      <c r="B869" s="914"/>
      <c r="C869" s="914"/>
      <c r="D869" s="915"/>
      <c r="E869" s="915"/>
      <c r="F869" s="916"/>
      <c r="G869" s="916"/>
      <c r="H869" s="915"/>
      <c r="I869" s="917"/>
      <c r="J869" s="917"/>
      <c r="K869" s="917"/>
      <c r="L869" s="918"/>
      <c r="M869" s="919"/>
      <c r="N869" s="920"/>
      <c r="O869" s="915"/>
      <c r="P869" s="921"/>
      <c r="Q869" s="921"/>
      <c r="R869" s="921"/>
      <c r="S869" s="922"/>
      <c r="T869" s="921"/>
      <c r="U869" s="921"/>
      <c r="V869" s="921"/>
      <c r="W869" s="921"/>
      <c r="X869" s="921"/>
      <c r="Y869" s="921"/>
      <c r="Z869" s="921"/>
      <c r="AA869" s="923"/>
    </row>
    <row r="870" spans="1:27" ht="17.45" customHeight="1" x14ac:dyDescent="0.25">
      <c r="A870" s="913"/>
      <c r="B870" s="914"/>
      <c r="C870" s="914"/>
      <c r="D870" s="915"/>
      <c r="E870" s="915"/>
      <c r="F870" s="916"/>
      <c r="G870" s="916"/>
      <c r="H870" s="915"/>
      <c r="I870" s="917"/>
      <c r="J870" s="917"/>
      <c r="K870" s="917"/>
      <c r="L870" s="918"/>
      <c r="M870" s="919"/>
      <c r="N870" s="920"/>
      <c r="O870" s="915"/>
      <c r="P870" s="921"/>
      <c r="Q870" s="921"/>
      <c r="R870" s="921"/>
      <c r="S870" s="922"/>
      <c r="T870" s="921"/>
      <c r="U870" s="921"/>
      <c r="V870" s="921"/>
      <c r="W870" s="921"/>
      <c r="X870" s="921"/>
      <c r="Y870" s="921"/>
      <c r="Z870" s="921"/>
      <c r="AA870" s="923"/>
    </row>
    <row r="871" spans="1:27" ht="17.45" customHeight="1" x14ac:dyDescent="0.25">
      <c r="A871" s="913"/>
      <c r="B871" s="914"/>
      <c r="C871" s="914"/>
      <c r="D871" s="915"/>
      <c r="E871" s="915"/>
      <c r="F871" s="916"/>
      <c r="G871" s="916"/>
      <c r="H871" s="915"/>
      <c r="I871" s="917"/>
      <c r="J871" s="917"/>
      <c r="K871" s="917"/>
      <c r="L871" s="918"/>
      <c r="M871" s="919"/>
      <c r="N871" s="920"/>
      <c r="O871" s="915"/>
      <c r="P871" s="921"/>
      <c r="Q871" s="921"/>
      <c r="R871" s="921"/>
      <c r="S871" s="922"/>
      <c r="T871" s="921"/>
      <c r="U871" s="921"/>
      <c r="V871" s="921"/>
      <c r="W871" s="921"/>
      <c r="X871" s="921"/>
      <c r="Y871" s="921"/>
      <c r="Z871" s="921"/>
      <c r="AA871" s="923"/>
    </row>
    <row r="872" spans="1:27" ht="17.45" customHeight="1" x14ac:dyDescent="0.25">
      <c r="A872" s="913"/>
      <c r="B872" s="914"/>
      <c r="C872" s="914"/>
      <c r="D872" s="915"/>
      <c r="E872" s="915"/>
      <c r="F872" s="916"/>
      <c r="G872" s="916"/>
      <c r="H872" s="915"/>
      <c r="I872" s="917"/>
      <c r="J872" s="917"/>
      <c r="K872" s="917"/>
      <c r="L872" s="918"/>
      <c r="M872" s="919"/>
      <c r="N872" s="920"/>
      <c r="O872" s="915"/>
      <c r="P872" s="921"/>
      <c r="Q872" s="921"/>
      <c r="R872" s="921"/>
      <c r="S872" s="922"/>
      <c r="T872" s="921"/>
      <c r="U872" s="921"/>
      <c r="V872" s="921"/>
      <c r="W872" s="921"/>
      <c r="X872" s="921"/>
      <c r="Y872" s="921"/>
      <c r="Z872" s="921"/>
      <c r="AA872" s="923"/>
    </row>
    <row r="873" spans="1:27" ht="17.45" customHeight="1" x14ac:dyDescent="0.25">
      <c r="A873" s="913"/>
      <c r="B873" s="914"/>
      <c r="C873" s="914"/>
      <c r="D873" s="915"/>
      <c r="E873" s="915"/>
      <c r="F873" s="916"/>
      <c r="G873" s="916"/>
      <c r="H873" s="915"/>
      <c r="I873" s="917"/>
      <c r="J873" s="917"/>
      <c r="K873" s="917"/>
      <c r="L873" s="918"/>
      <c r="M873" s="919"/>
      <c r="N873" s="920"/>
      <c r="O873" s="915"/>
      <c r="P873" s="921"/>
      <c r="Q873" s="921"/>
      <c r="R873" s="921"/>
      <c r="S873" s="922"/>
      <c r="T873" s="921"/>
      <c r="U873" s="921"/>
      <c r="V873" s="921"/>
      <c r="W873" s="921"/>
      <c r="X873" s="921"/>
      <c r="Y873" s="921"/>
      <c r="Z873" s="921"/>
      <c r="AA873" s="923"/>
    </row>
    <row r="874" spans="1:27" ht="17.45" customHeight="1" x14ac:dyDescent="0.25">
      <c r="A874" s="913"/>
      <c r="B874" s="914"/>
      <c r="C874" s="914"/>
      <c r="D874" s="915"/>
      <c r="E874" s="915"/>
      <c r="F874" s="916"/>
      <c r="G874" s="916"/>
      <c r="H874" s="915"/>
      <c r="I874" s="917"/>
      <c r="J874" s="917"/>
      <c r="K874" s="917"/>
      <c r="L874" s="918"/>
      <c r="M874" s="919"/>
      <c r="N874" s="920"/>
      <c r="O874" s="915"/>
      <c r="P874" s="921"/>
      <c r="Q874" s="921"/>
      <c r="R874" s="921"/>
      <c r="S874" s="922"/>
      <c r="T874" s="921"/>
      <c r="U874" s="921"/>
      <c r="V874" s="921"/>
      <c r="W874" s="921"/>
      <c r="X874" s="921"/>
      <c r="Y874" s="921"/>
      <c r="Z874" s="921"/>
      <c r="AA874" s="923"/>
    </row>
    <row r="875" spans="1:27" ht="17.45" customHeight="1" x14ac:dyDescent="0.25">
      <c r="A875" s="913"/>
      <c r="B875" s="914"/>
      <c r="C875" s="914"/>
      <c r="D875" s="915"/>
      <c r="E875" s="915"/>
      <c r="F875" s="916"/>
      <c r="G875" s="916"/>
      <c r="H875" s="915"/>
      <c r="I875" s="917"/>
      <c r="J875" s="917"/>
      <c r="K875" s="917"/>
      <c r="L875" s="918"/>
      <c r="M875" s="919"/>
      <c r="N875" s="920"/>
      <c r="O875" s="915"/>
      <c r="P875" s="921"/>
      <c r="Q875" s="921"/>
      <c r="R875" s="921"/>
      <c r="S875" s="922"/>
      <c r="T875" s="921"/>
      <c r="U875" s="921"/>
      <c r="V875" s="921"/>
      <c r="W875" s="921"/>
      <c r="X875" s="921"/>
      <c r="Y875" s="921"/>
      <c r="Z875" s="921"/>
      <c r="AA875" s="923"/>
    </row>
    <row r="876" spans="1:27" ht="17.45" customHeight="1" x14ac:dyDescent="0.25">
      <c r="A876" s="913"/>
      <c r="B876" s="914"/>
      <c r="C876" s="914"/>
      <c r="D876" s="915"/>
      <c r="E876" s="915"/>
      <c r="F876" s="916"/>
      <c r="G876" s="916"/>
      <c r="H876" s="915"/>
      <c r="I876" s="917"/>
      <c r="J876" s="917"/>
      <c r="K876" s="917"/>
      <c r="L876" s="918"/>
      <c r="M876" s="919"/>
      <c r="N876" s="920"/>
      <c r="O876" s="915"/>
      <c r="P876" s="921"/>
      <c r="Q876" s="921"/>
      <c r="R876" s="921"/>
      <c r="S876" s="922"/>
      <c r="T876" s="921"/>
      <c r="U876" s="921"/>
      <c r="V876" s="921"/>
      <c r="W876" s="921"/>
      <c r="X876" s="921"/>
      <c r="Y876" s="921"/>
      <c r="Z876" s="921"/>
      <c r="AA876" s="923"/>
    </row>
    <row r="877" spans="1:27" ht="17.45" customHeight="1" x14ac:dyDescent="0.25">
      <c r="A877" s="913"/>
      <c r="B877" s="914"/>
      <c r="C877" s="914"/>
      <c r="D877" s="915"/>
      <c r="E877" s="915"/>
      <c r="F877" s="916"/>
      <c r="G877" s="916"/>
      <c r="H877" s="915"/>
      <c r="I877" s="917"/>
      <c r="J877" s="917"/>
      <c r="K877" s="917"/>
      <c r="L877" s="918"/>
      <c r="M877" s="919"/>
      <c r="N877" s="920"/>
      <c r="O877" s="915"/>
      <c r="P877" s="921"/>
      <c r="Q877" s="921"/>
      <c r="R877" s="921"/>
      <c r="S877" s="922"/>
      <c r="T877" s="921"/>
      <c r="U877" s="921"/>
      <c r="V877" s="921"/>
      <c r="W877" s="921"/>
      <c r="X877" s="921"/>
      <c r="Y877" s="921"/>
      <c r="Z877" s="921"/>
      <c r="AA877" s="923"/>
    </row>
    <row r="878" spans="1:27" ht="17.45" customHeight="1" x14ac:dyDescent="0.25">
      <c r="A878" s="913"/>
      <c r="B878" s="914"/>
      <c r="C878" s="914"/>
      <c r="D878" s="915"/>
      <c r="E878" s="915"/>
      <c r="F878" s="916"/>
      <c r="G878" s="916"/>
      <c r="H878" s="915"/>
      <c r="I878" s="917"/>
      <c r="J878" s="917"/>
      <c r="K878" s="917"/>
      <c r="L878" s="918"/>
      <c r="M878" s="919"/>
      <c r="N878" s="920"/>
      <c r="O878" s="915"/>
      <c r="P878" s="921"/>
      <c r="Q878" s="921"/>
      <c r="R878" s="921"/>
      <c r="S878" s="922"/>
      <c r="T878" s="921"/>
      <c r="U878" s="921"/>
      <c r="V878" s="921"/>
      <c r="W878" s="921"/>
      <c r="X878" s="921"/>
      <c r="Y878" s="921"/>
      <c r="Z878" s="921"/>
      <c r="AA878" s="923"/>
    </row>
    <row r="879" spans="1:27" ht="17.45" customHeight="1" x14ac:dyDescent="0.25">
      <c r="A879" s="913"/>
      <c r="B879" s="914"/>
      <c r="C879" s="914"/>
      <c r="D879" s="915"/>
      <c r="E879" s="915"/>
      <c r="F879" s="916"/>
      <c r="G879" s="916"/>
      <c r="H879" s="915"/>
      <c r="I879" s="917"/>
      <c r="J879" s="917"/>
      <c r="K879" s="917"/>
      <c r="L879" s="918"/>
      <c r="M879" s="919"/>
      <c r="N879" s="920"/>
      <c r="O879" s="915"/>
      <c r="P879" s="921"/>
      <c r="Q879" s="921"/>
      <c r="R879" s="921"/>
      <c r="S879" s="922"/>
      <c r="T879" s="921"/>
      <c r="U879" s="921"/>
      <c r="V879" s="921"/>
      <c r="W879" s="921"/>
      <c r="X879" s="921"/>
      <c r="Y879" s="921"/>
      <c r="Z879" s="921"/>
      <c r="AA879" s="923"/>
    </row>
    <row r="880" spans="1:27" ht="17.45" customHeight="1" x14ac:dyDescent="0.25">
      <c r="A880" s="913"/>
      <c r="B880" s="914"/>
      <c r="C880" s="914"/>
      <c r="D880" s="915"/>
      <c r="E880" s="915"/>
      <c r="F880" s="916"/>
      <c r="G880" s="916"/>
      <c r="H880" s="915"/>
      <c r="I880" s="917"/>
      <c r="J880" s="917"/>
      <c r="K880" s="917"/>
      <c r="L880" s="918"/>
      <c r="M880" s="919"/>
      <c r="N880" s="920"/>
      <c r="O880" s="915"/>
      <c r="P880" s="921"/>
      <c r="Q880" s="921"/>
      <c r="R880" s="921"/>
      <c r="S880" s="922"/>
      <c r="T880" s="921"/>
      <c r="U880" s="921"/>
      <c r="V880" s="921"/>
      <c r="W880" s="921"/>
      <c r="X880" s="921"/>
      <c r="Y880" s="921"/>
      <c r="Z880" s="921"/>
      <c r="AA880" s="923"/>
    </row>
    <row r="881" spans="1:27" ht="17.45" customHeight="1" x14ac:dyDescent="0.25">
      <c r="A881" s="913"/>
      <c r="B881" s="914"/>
      <c r="C881" s="914"/>
      <c r="D881" s="915"/>
      <c r="E881" s="915"/>
      <c r="F881" s="916"/>
      <c r="G881" s="916"/>
      <c r="H881" s="915"/>
      <c r="I881" s="917"/>
      <c r="J881" s="917"/>
      <c r="K881" s="917"/>
      <c r="L881" s="918"/>
      <c r="M881" s="919"/>
      <c r="N881" s="920"/>
      <c r="O881" s="915"/>
      <c r="P881" s="921"/>
      <c r="Q881" s="921"/>
      <c r="R881" s="921"/>
      <c r="S881" s="922"/>
      <c r="T881" s="921"/>
      <c r="U881" s="921"/>
      <c r="V881" s="921"/>
      <c r="W881" s="921"/>
      <c r="X881" s="921"/>
      <c r="Y881" s="921"/>
      <c r="Z881" s="921"/>
      <c r="AA881" s="923"/>
    </row>
    <row r="882" spans="1:27" ht="17.45" customHeight="1" x14ac:dyDescent="0.25">
      <c r="A882" s="913"/>
      <c r="B882" s="914"/>
      <c r="C882" s="914"/>
      <c r="D882" s="915"/>
      <c r="E882" s="915"/>
      <c r="F882" s="916"/>
      <c r="G882" s="916"/>
      <c r="H882" s="915"/>
      <c r="I882" s="917"/>
      <c r="J882" s="917"/>
      <c r="K882" s="917"/>
      <c r="L882" s="918"/>
      <c r="M882" s="919"/>
      <c r="N882" s="920"/>
      <c r="O882" s="915"/>
      <c r="P882" s="921"/>
      <c r="Q882" s="921"/>
      <c r="R882" s="921"/>
      <c r="S882" s="922"/>
      <c r="T882" s="921"/>
      <c r="U882" s="921"/>
      <c r="V882" s="921"/>
      <c r="W882" s="921"/>
      <c r="X882" s="921"/>
      <c r="Y882" s="921"/>
      <c r="Z882" s="921"/>
      <c r="AA882" s="923"/>
    </row>
    <row r="883" spans="1:27" ht="17.45" customHeight="1" x14ac:dyDescent="0.25">
      <c r="A883" s="913"/>
      <c r="B883" s="914"/>
      <c r="C883" s="914"/>
      <c r="D883" s="915"/>
      <c r="E883" s="915"/>
      <c r="F883" s="916"/>
      <c r="G883" s="916"/>
      <c r="H883" s="915"/>
      <c r="I883" s="917"/>
      <c r="J883" s="917"/>
      <c r="K883" s="917"/>
      <c r="L883" s="918"/>
      <c r="M883" s="919"/>
      <c r="N883" s="920"/>
      <c r="O883" s="915"/>
      <c r="P883" s="921"/>
      <c r="Q883" s="921"/>
      <c r="R883" s="921"/>
      <c r="S883" s="922"/>
      <c r="T883" s="921"/>
      <c r="U883" s="921"/>
      <c r="V883" s="921"/>
      <c r="W883" s="921"/>
      <c r="X883" s="921"/>
      <c r="Y883" s="921"/>
      <c r="Z883" s="921"/>
      <c r="AA883" s="923"/>
    </row>
    <row r="884" spans="1:27" ht="17.45" customHeight="1" x14ac:dyDescent="0.25">
      <c r="A884" s="913"/>
      <c r="B884" s="914"/>
      <c r="C884" s="914"/>
      <c r="D884" s="915"/>
      <c r="E884" s="915"/>
      <c r="F884" s="916"/>
      <c r="G884" s="916"/>
      <c r="H884" s="915"/>
      <c r="I884" s="917"/>
      <c r="J884" s="917"/>
      <c r="K884" s="917"/>
      <c r="L884" s="918"/>
      <c r="M884" s="919"/>
      <c r="N884" s="920"/>
      <c r="O884" s="915"/>
      <c r="P884" s="921"/>
      <c r="Q884" s="921"/>
      <c r="R884" s="921"/>
      <c r="S884" s="922"/>
      <c r="T884" s="921"/>
      <c r="U884" s="921"/>
      <c r="V884" s="921"/>
      <c r="W884" s="921"/>
      <c r="X884" s="921"/>
      <c r="Y884" s="921"/>
      <c r="Z884" s="921"/>
      <c r="AA884" s="923"/>
    </row>
    <row r="885" spans="1:27" ht="17.45" customHeight="1" x14ac:dyDescent="0.25">
      <c r="A885" s="913"/>
      <c r="B885" s="914"/>
      <c r="C885" s="914"/>
      <c r="D885" s="915"/>
      <c r="E885" s="915"/>
      <c r="F885" s="916"/>
      <c r="G885" s="916"/>
      <c r="H885" s="915"/>
      <c r="I885" s="917"/>
      <c r="J885" s="917"/>
      <c r="K885" s="917"/>
      <c r="L885" s="918"/>
      <c r="M885" s="919"/>
      <c r="N885" s="920"/>
      <c r="O885" s="915"/>
      <c r="P885" s="921"/>
      <c r="Q885" s="921"/>
      <c r="R885" s="921"/>
      <c r="S885" s="922"/>
      <c r="T885" s="921"/>
      <c r="U885" s="921"/>
      <c r="V885" s="921"/>
      <c r="W885" s="921"/>
      <c r="X885" s="921"/>
      <c r="Y885" s="921"/>
      <c r="Z885" s="921"/>
      <c r="AA885" s="923"/>
    </row>
    <row r="886" spans="1:27" ht="17.45" customHeight="1" x14ac:dyDescent="0.25">
      <c r="A886" s="913"/>
      <c r="B886" s="914"/>
      <c r="C886" s="914"/>
      <c r="D886" s="915"/>
      <c r="E886" s="915"/>
      <c r="F886" s="916"/>
      <c r="G886" s="916"/>
      <c r="H886" s="915"/>
      <c r="I886" s="917"/>
      <c r="J886" s="917"/>
      <c r="K886" s="917"/>
      <c r="L886" s="918"/>
      <c r="M886" s="919"/>
      <c r="N886" s="920"/>
      <c r="O886" s="915"/>
      <c r="P886" s="921"/>
      <c r="Q886" s="921"/>
      <c r="R886" s="921"/>
      <c r="S886" s="922"/>
      <c r="T886" s="921"/>
      <c r="U886" s="921"/>
      <c r="V886" s="921"/>
      <c r="W886" s="921"/>
      <c r="X886" s="921"/>
      <c r="Y886" s="921"/>
      <c r="Z886" s="921"/>
      <c r="AA886" s="923"/>
    </row>
    <row r="887" spans="1:27" ht="17.45" customHeight="1" x14ac:dyDescent="0.25">
      <c r="A887" s="913"/>
      <c r="B887" s="914"/>
      <c r="C887" s="914"/>
      <c r="D887" s="915"/>
      <c r="E887" s="915"/>
      <c r="F887" s="916"/>
      <c r="G887" s="916"/>
      <c r="H887" s="915"/>
      <c r="I887" s="917"/>
      <c r="J887" s="917"/>
      <c r="K887" s="917"/>
      <c r="L887" s="918"/>
      <c r="M887" s="919"/>
      <c r="N887" s="920"/>
      <c r="O887" s="915"/>
      <c r="P887" s="921"/>
      <c r="Q887" s="921"/>
      <c r="R887" s="921"/>
      <c r="S887" s="922"/>
      <c r="T887" s="921"/>
      <c r="U887" s="921"/>
      <c r="V887" s="921"/>
      <c r="W887" s="921"/>
      <c r="X887" s="921"/>
      <c r="Y887" s="921"/>
      <c r="Z887" s="921"/>
      <c r="AA887" s="923"/>
    </row>
    <row r="888" spans="1:27" ht="17.45" customHeight="1" x14ac:dyDescent="0.25">
      <c r="A888" s="913"/>
      <c r="B888" s="914"/>
      <c r="C888" s="914"/>
      <c r="D888" s="915"/>
      <c r="E888" s="915"/>
      <c r="F888" s="916"/>
      <c r="G888" s="916"/>
      <c r="H888" s="915"/>
      <c r="I888" s="917"/>
      <c r="J888" s="917"/>
      <c r="K888" s="917"/>
      <c r="L888" s="918"/>
      <c r="M888" s="919"/>
      <c r="N888" s="920"/>
      <c r="O888" s="915"/>
      <c r="P888" s="921"/>
      <c r="Q888" s="921"/>
      <c r="R888" s="921"/>
      <c r="S888" s="922"/>
      <c r="T888" s="921"/>
      <c r="U888" s="921"/>
      <c r="V888" s="921"/>
      <c r="W888" s="921"/>
      <c r="X888" s="921"/>
      <c r="Y888" s="921"/>
      <c r="Z888" s="921"/>
      <c r="AA888" s="923"/>
    </row>
    <row r="889" spans="1:27" ht="17.45" customHeight="1" x14ac:dyDescent="0.25">
      <c r="A889" s="913"/>
      <c r="B889" s="914"/>
      <c r="C889" s="914"/>
      <c r="D889" s="915"/>
      <c r="E889" s="915"/>
      <c r="F889" s="916"/>
      <c r="G889" s="916"/>
      <c r="H889" s="915"/>
      <c r="I889" s="917"/>
      <c r="J889" s="917"/>
      <c r="K889" s="917"/>
      <c r="L889" s="918"/>
      <c r="M889" s="919"/>
      <c r="N889" s="920"/>
      <c r="O889" s="915"/>
      <c r="P889" s="921"/>
      <c r="Q889" s="921"/>
      <c r="R889" s="921"/>
      <c r="S889" s="922"/>
      <c r="T889" s="921"/>
      <c r="U889" s="921"/>
      <c r="V889" s="921"/>
      <c r="W889" s="921"/>
      <c r="X889" s="921"/>
      <c r="Y889" s="921"/>
      <c r="Z889" s="921"/>
      <c r="AA889" s="923"/>
    </row>
    <row r="890" spans="1:27" ht="17.45" customHeight="1" x14ac:dyDescent="0.25">
      <c r="A890" s="913"/>
      <c r="B890" s="914"/>
      <c r="C890" s="914"/>
      <c r="D890" s="915"/>
      <c r="E890" s="915"/>
      <c r="F890" s="916"/>
      <c r="G890" s="916"/>
      <c r="H890" s="915"/>
      <c r="I890" s="917"/>
      <c r="J890" s="917"/>
      <c r="K890" s="917"/>
      <c r="L890" s="918"/>
      <c r="M890" s="919"/>
      <c r="N890" s="920"/>
      <c r="O890" s="915"/>
      <c r="P890" s="921"/>
      <c r="Q890" s="921"/>
      <c r="R890" s="921"/>
      <c r="S890" s="922"/>
      <c r="T890" s="921"/>
      <c r="U890" s="921"/>
      <c r="V890" s="921"/>
      <c r="W890" s="921"/>
      <c r="X890" s="921"/>
      <c r="Y890" s="921"/>
      <c r="Z890" s="921"/>
      <c r="AA890" s="923"/>
    </row>
  </sheetData>
  <conditionalFormatting sqref="H1:H242">
    <cfRule type="cellIs" dxfId="333" priority="213" operator="equal">
      <formula>"завезен"</formula>
    </cfRule>
  </conditionalFormatting>
  <conditionalFormatting sqref="H1:H334">
    <cfRule type="cellIs" dxfId="332" priority="241" operator="equal">
      <formula>"предварительная"</formula>
    </cfRule>
  </conditionalFormatting>
  <conditionalFormatting sqref="H236:H239">
    <cfRule type="cellIs" dxfId="331" priority="354" stopIfTrue="1" operator="equal">
      <formula>"отмена"</formula>
    </cfRule>
    <cfRule type="cellIs" dxfId="330" priority="355" stopIfTrue="1" operator="equal">
      <formula>"готов"</formula>
    </cfRule>
    <cfRule type="cellIs" dxfId="329" priority="356" stopIfTrue="1" operator="equal">
      <formula>"в работе"</formula>
    </cfRule>
    <cfRule type="cellIs" dxfId="328" priority="357" stopIfTrue="1" operator="equal">
      <formula>"вывезено"</formula>
    </cfRule>
  </conditionalFormatting>
  <conditionalFormatting sqref="H240:H242">
    <cfRule type="cellIs" dxfId="327" priority="214" stopIfTrue="1" operator="equal">
      <formula>"отмена"</formula>
    </cfRule>
    <cfRule type="cellIs" dxfId="326" priority="215" stopIfTrue="1" operator="equal">
      <formula>"готов"</formula>
    </cfRule>
    <cfRule type="cellIs" dxfId="325" priority="216" stopIfTrue="1" operator="equal">
      <formula>"в работе"</formula>
    </cfRule>
    <cfRule type="cellIs" dxfId="324" priority="217" stopIfTrue="1" operator="equal">
      <formula>"вывезено"</formula>
    </cfRule>
  </conditionalFormatting>
  <conditionalFormatting sqref="H727:H1048576 H1:H21 H430 H437 H450 H452 H466 H540:H541 H562 H612 H662:H685 L268 L325 L353 L361:L362 L388 L684:L685 H242:H279 I243:L253 I255:K258 I263:K279 I727:K754 I763:K1048576 I1:L19 H285:K285 H313:K334 I659:K683">
    <cfRule type="cellIs" dxfId="323" priority="408" stopIfTrue="1" operator="equal">
      <formula>"отмена"</formula>
    </cfRule>
  </conditionalFormatting>
  <conditionalFormatting sqref="H242:H279 H727:H1048576">
    <cfRule type="cellIs" dxfId="322" priority="407" operator="equal">
      <formula>"завезен"</formula>
    </cfRule>
  </conditionalFormatting>
  <conditionalFormatting sqref="H259:H262">
    <cfRule type="cellIs" dxfId="321" priority="362" operator="equal">
      <formula>"завезен"</formula>
    </cfRule>
  </conditionalFormatting>
  <conditionalFormatting sqref="H280:H686">
    <cfRule type="cellIs" dxfId="320" priority="10" operator="equal">
      <formula>"завезен"</formula>
    </cfRule>
  </conditionalFormatting>
  <conditionalFormatting sqref="H310:H312 I311:L312">
    <cfRule type="cellIs" dxfId="319" priority="243" stopIfTrue="1" operator="equal">
      <formula>"отмена"</formula>
    </cfRule>
    <cfRule type="cellIs" dxfId="318" priority="244" stopIfTrue="1" operator="equal">
      <formula>"готов"</formula>
    </cfRule>
    <cfRule type="cellIs" dxfId="317" priority="245" stopIfTrue="1" operator="equal">
      <formula>"в работе"</formula>
    </cfRule>
    <cfRule type="cellIs" dxfId="316" priority="246" stopIfTrue="1" operator="equal">
      <formula>"вывезено"</formula>
    </cfRule>
  </conditionalFormatting>
  <conditionalFormatting sqref="H335:H686">
    <cfRule type="cellIs" dxfId="315" priority="9" operator="equal">
      <formula>"предварительная"</formula>
    </cfRule>
  </conditionalFormatting>
  <conditionalFormatting sqref="H566:H567 H629">
    <cfRule type="cellIs" dxfId="314" priority="179" stopIfTrue="1" operator="equal">
      <formula>"отмена"</formula>
    </cfRule>
    <cfRule type="cellIs" dxfId="313" priority="180" stopIfTrue="1" operator="equal">
      <formula>"готов"</formula>
    </cfRule>
    <cfRule type="cellIs" dxfId="312" priority="181" stopIfTrue="1" operator="equal">
      <formula>"в работе"</formula>
    </cfRule>
    <cfRule type="cellIs" dxfId="311" priority="182" stopIfTrue="1" operator="equal">
      <formula>"вывезено"</formula>
    </cfRule>
  </conditionalFormatting>
  <conditionalFormatting sqref="H687:H708">
    <cfRule type="cellIs" dxfId="310" priority="71" operator="equal">
      <formula>"предварительная"</formula>
    </cfRule>
    <cfRule type="cellIs" dxfId="309" priority="72" operator="equal">
      <formula>"завезен"</formula>
    </cfRule>
  </conditionalFormatting>
  <conditionalFormatting sqref="H708:H726">
    <cfRule type="cellIs" dxfId="308" priority="31" operator="equal">
      <formula>"предварительная"</formula>
    </cfRule>
    <cfRule type="cellIs" dxfId="307" priority="32" operator="equal">
      <formula>"завезен"</formula>
    </cfRule>
  </conditionalFormatting>
  <conditionalFormatting sqref="H719:H721">
    <cfRule type="cellIs" dxfId="306" priority="57" stopIfTrue="1" operator="equal">
      <formula>"отмена"</formula>
    </cfRule>
    <cfRule type="cellIs" dxfId="305" priority="58" stopIfTrue="1" operator="equal">
      <formula>"готов"</formula>
    </cfRule>
    <cfRule type="cellIs" dxfId="304" priority="59" stopIfTrue="1" operator="equal">
      <formula>"в работе"</formula>
    </cfRule>
    <cfRule type="cellIs" dxfId="303" priority="60" stopIfTrue="1" operator="equal">
      <formula>"вывезено"</formula>
    </cfRule>
  </conditionalFormatting>
  <conditionalFormatting sqref="H727:H1048576">
    <cfRule type="cellIs" dxfId="302" priority="343" operator="equal">
      <formula>"предварительная"</formula>
    </cfRule>
  </conditionalFormatting>
  <conditionalFormatting sqref="H280:K283">
    <cfRule type="cellIs" dxfId="301" priority="345" stopIfTrue="1" operator="equal">
      <formula>"отмена"</formula>
    </cfRule>
    <cfRule type="cellIs" dxfId="300" priority="346" stopIfTrue="1" operator="equal">
      <formula>"готов"</formula>
    </cfRule>
    <cfRule type="cellIs" dxfId="299" priority="347" stopIfTrue="1" operator="equal">
      <formula>"в работе"</formula>
    </cfRule>
    <cfRule type="cellIs" dxfId="298" priority="348" stopIfTrue="1" operator="equal">
      <formula>"вывезено"</formula>
    </cfRule>
  </conditionalFormatting>
  <conditionalFormatting sqref="H288:H309 I288:K310">
    <cfRule type="cellIs" dxfId="297" priority="249" stopIfTrue="1" operator="equal">
      <formula>"отмена"</formula>
    </cfRule>
    <cfRule type="cellIs" dxfId="296" priority="250" stopIfTrue="1" operator="equal">
      <formula>"готов"</formula>
    </cfRule>
    <cfRule type="cellIs" dxfId="295" priority="251" stopIfTrue="1" operator="equal">
      <formula>"в работе"</formula>
    </cfRule>
    <cfRule type="cellIs" dxfId="294" priority="252" stopIfTrue="1" operator="equal">
      <formula>"вывезено"</formula>
    </cfRule>
  </conditionalFormatting>
  <conditionalFormatting sqref="H335:K358">
    <cfRule type="cellIs" dxfId="293" priority="226" stopIfTrue="1" operator="equal">
      <formula>"отмена"</formula>
    </cfRule>
    <cfRule type="cellIs" dxfId="292" priority="227" stopIfTrue="1" operator="equal">
      <formula>"готов"</formula>
    </cfRule>
    <cfRule type="cellIs" dxfId="291" priority="228" stopIfTrue="1" operator="equal">
      <formula>"в работе"</formula>
    </cfRule>
    <cfRule type="cellIs" dxfId="290" priority="229" stopIfTrue="1" operator="equal">
      <formula>"вывезено"</formula>
    </cfRule>
  </conditionalFormatting>
  <conditionalFormatting sqref="H360:H429 H431:H436 H438:H449 H451 I360:K452">
    <cfRule type="cellIs" dxfId="289" priority="203" stopIfTrue="1" operator="equal">
      <formula>"отмена"</formula>
    </cfRule>
  </conditionalFormatting>
  <conditionalFormatting sqref="H360:H429 H431:H436 H438:H449 H451 I360:K452">
    <cfRule type="cellIs" dxfId="288" priority="204" stopIfTrue="1" operator="equal">
      <formula>"готов"</formula>
    </cfRule>
    <cfRule type="cellIs" dxfId="287" priority="205" stopIfTrue="1" operator="equal">
      <formula>"в работе"</formula>
    </cfRule>
    <cfRule type="cellIs" dxfId="286" priority="206" stopIfTrue="1" operator="equal">
      <formula>"вывезено"</formula>
    </cfRule>
  </conditionalFormatting>
  <conditionalFormatting sqref="H453:H465 I453:K466">
    <cfRule type="cellIs" dxfId="285" priority="197" stopIfTrue="1" operator="equal">
      <formula>"отмена"</formula>
    </cfRule>
    <cfRule type="cellIs" dxfId="284" priority="198" stopIfTrue="1" operator="equal">
      <formula>"готов"</formula>
    </cfRule>
    <cfRule type="cellIs" dxfId="283" priority="199" stopIfTrue="1" operator="equal">
      <formula>"в работе"</formula>
    </cfRule>
    <cfRule type="cellIs" dxfId="282" priority="200" stopIfTrue="1" operator="equal">
      <formula>"вывезено"</formula>
    </cfRule>
  </conditionalFormatting>
  <conditionalFormatting sqref="H467:K495">
    <cfRule type="cellIs" dxfId="281" priority="191" stopIfTrue="1" operator="equal">
      <formula>"отмена"</formula>
    </cfRule>
    <cfRule type="cellIs" dxfId="280" priority="192" stopIfTrue="1" operator="equal">
      <formula>"готов"</formula>
    </cfRule>
    <cfRule type="cellIs" dxfId="279" priority="193" stopIfTrue="1" operator="equal">
      <formula>"в работе"</formula>
    </cfRule>
    <cfRule type="cellIs" dxfId="278" priority="194" stopIfTrue="1" operator="equal">
      <formula>"вывезено"</formula>
    </cfRule>
  </conditionalFormatting>
  <conditionalFormatting sqref="H496:H529 H568:H611 H659:H661 I496:K526 I562:K562 I566:K612 I629:K629">
    <cfRule type="cellIs" dxfId="277" priority="143" stopIfTrue="1" operator="equal">
      <formula>"отмена"</formula>
    </cfRule>
  </conditionalFormatting>
  <conditionalFormatting sqref="H496:H529 H568:H611 H659:H661 I496:K526 I562:K562 I566:K612 I629:K629">
    <cfRule type="cellIs" dxfId="276" priority="144" stopIfTrue="1" operator="equal">
      <formula>"готов"</formula>
    </cfRule>
    <cfRule type="cellIs" dxfId="275" priority="145" stopIfTrue="1" operator="equal">
      <formula>"в работе"</formula>
    </cfRule>
    <cfRule type="cellIs" dxfId="274" priority="146" stopIfTrue="1" operator="equal">
      <formula>"вывезено"</formula>
    </cfRule>
  </conditionalFormatting>
  <conditionalFormatting sqref="H530:H539 H542:H561 I527:K561">
    <cfRule type="cellIs" dxfId="273" priority="137" stopIfTrue="1" operator="equal">
      <formula>"отмена"</formula>
    </cfRule>
  </conditionalFormatting>
  <conditionalFormatting sqref="H563:K565">
    <cfRule type="cellIs" dxfId="272" priority="121" stopIfTrue="1" operator="equal">
      <formula>"отмена"</formula>
    </cfRule>
    <cfRule type="cellIs" dxfId="271" priority="122" stopIfTrue="1" operator="equal">
      <formula>"готов"</formula>
    </cfRule>
    <cfRule type="cellIs" dxfId="270" priority="123" stopIfTrue="1" operator="equal">
      <formula>"в работе"</formula>
    </cfRule>
    <cfRule type="cellIs" dxfId="269" priority="124" stopIfTrue="1" operator="equal">
      <formula>"вывезено"</formula>
    </cfRule>
  </conditionalFormatting>
  <conditionalFormatting sqref="H613:K628">
    <cfRule type="cellIs" dxfId="268" priority="115" stopIfTrue="1" operator="equal">
      <formula>"отмена"</formula>
    </cfRule>
    <cfRule type="cellIs" dxfId="267" priority="116" stopIfTrue="1" operator="equal">
      <formula>"готов"</formula>
    </cfRule>
    <cfRule type="cellIs" dxfId="266" priority="117" stopIfTrue="1" operator="equal">
      <formula>"в работе"</formula>
    </cfRule>
    <cfRule type="cellIs" dxfId="265" priority="118" stopIfTrue="1" operator="equal">
      <formula>"вывезено"</formula>
    </cfRule>
  </conditionalFormatting>
  <conditionalFormatting sqref="H630:K658">
    <cfRule type="cellIs" dxfId="264" priority="103" stopIfTrue="1" operator="equal">
      <formula>"отмена"</formula>
    </cfRule>
    <cfRule type="cellIs" dxfId="263" priority="104" stopIfTrue="1" operator="equal">
      <formula>"готов"</formula>
    </cfRule>
    <cfRule type="cellIs" dxfId="262" priority="105" stopIfTrue="1" operator="equal">
      <formula>"в работе"</formula>
    </cfRule>
    <cfRule type="cellIs" dxfId="261" priority="106" stopIfTrue="1" operator="equal">
      <formula>"вывезено"</formula>
    </cfRule>
  </conditionalFormatting>
  <conditionalFormatting sqref="H686:K686">
    <cfRule type="cellIs" dxfId="260" priority="39" stopIfTrue="1" operator="equal">
      <formula>"отмена"</formula>
    </cfRule>
    <cfRule type="cellIs" dxfId="259" priority="40" stopIfTrue="1" operator="equal">
      <formula>"готов"</formula>
    </cfRule>
    <cfRule type="cellIs" dxfId="258" priority="41" stopIfTrue="1" operator="equal">
      <formula>"в работе"</formula>
    </cfRule>
    <cfRule type="cellIs" dxfId="257" priority="42" stopIfTrue="1" operator="equal">
      <formula>"вывезено"</formula>
    </cfRule>
  </conditionalFormatting>
  <conditionalFormatting sqref="H687:K708">
    <cfRule type="cellIs" dxfId="256" priority="73" stopIfTrue="1" operator="equal">
      <formula>"отмена"</formula>
    </cfRule>
    <cfRule type="cellIs" dxfId="255" priority="74" stopIfTrue="1" operator="equal">
      <formula>"готов"</formula>
    </cfRule>
    <cfRule type="cellIs" dxfId="254" priority="75" stopIfTrue="1" operator="equal">
      <formula>"в работе"</formula>
    </cfRule>
    <cfRule type="cellIs" dxfId="253" priority="76" stopIfTrue="1" operator="equal">
      <formula>"вывезено"</formula>
    </cfRule>
  </conditionalFormatting>
  <conditionalFormatting sqref="H708:K718">
    <cfRule type="cellIs" dxfId="252" priority="51" stopIfTrue="1" operator="equal">
      <formula>"отмена"</formula>
    </cfRule>
    <cfRule type="cellIs" dxfId="251" priority="52" stopIfTrue="1" operator="equal">
      <formula>"готов"</formula>
    </cfRule>
    <cfRule type="cellIs" dxfId="250" priority="53" stopIfTrue="1" operator="equal">
      <formula>"в работе"</formula>
    </cfRule>
    <cfRule type="cellIs" dxfId="249" priority="54" stopIfTrue="1" operator="equal">
      <formula>"вывезено"</formula>
    </cfRule>
  </conditionalFormatting>
  <conditionalFormatting sqref="H722:H726 I719:K726">
    <cfRule type="cellIs" dxfId="248" priority="33" stopIfTrue="1" operator="equal">
      <formula>"отмена"</formula>
    </cfRule>
  </conditionalFormatting>
  <conditionalFormatting sqref="H1:H21 L268 L325 L353 L361:L362 L388 H430 H437 H450 H452 H466 H540:H541 H562 H612 H662:H685 L684:L685 H727:H1048576 H242:H279 I1:L19 I243:L253 I255:K258 I263:K279 H285:K285 H313:K334 I659:K683 I727:K754 I763:K1048576">
    <cfRule type="cellIs" dxfId="247" priority="409" stopIfTrue="1" operator="equal">
      <formula>"готов"</formula>
    </cfRule>
    <cfRule type="cellIs" dxfId="246" priority="410" stopIfTrue="1" operator="equal">
      <formula>"в работе"</formula>
    </cfRule>
    <cfRule type="cellIs" dxfId="245" priority="411" stopIfTrue="1" operator="equal">
      <formula>"вывезено"</formula>
    </cfRule>
  </conditionalFormatting>
  <conditionalFormatting sqref="H22:L235">
    <cfRule type="cellIs" dxfId="244" priority="267" stopIfTrue="1" operator="equal">
      <formula>"отмена"</formula>
    </cfRule>
    <cfRule type="cellIs" dxfId="243" priority="268" stopIfTrue="1" operator="equal">
      <formula>"готов"</formula>
    </cfRule>
    <cfRule type="cellIs" dxfId="242" priority="269" stopIfTrue="1" operator="equal">
      <formula>"в работе"</formula>
    </cfRule>
    <cfRule type="cellIs" dxfId="241" priority="270" stopIfTrue="1" operator="equal">
      <formula>"вывезено"</formula>
    </cfRule>
  </conditionalFormatting>
  <conditionalFormatting sqref="H259:L262">
    <cfRule type="cellIs" dxfId="240" priority="363" stopIfTrue="1" operator="equal">
      <formula>"отмена"</formula>
    </cfRule>
    <cfRule type="cellIs" dxfId="239" priority="364" stopIfTrue="1" operator="equal">
      <formula>"готов"</formula>
    </cfRule>
    <cfRule type="cellIs" dxfId="238" priority="365" stopIfTrue="1" operator="equal">
      <formula>"в работе"</formula>
    </cfRule>
    <cfRule type="cellIs" dxfId="237" priority="366" stopIfTrue="1" operator="equal">
      <formula>"вывезено"</formula>
    </cfRule>
  </conditionalFormatting>
  <conditionalFormatting sqref="H284:L284">
    <cfRule type="cellIs" dxfId="236" priority="279" stopIfTrue="1" operator="equal">
      <formula>"отмена"</formula>
    </cfRule>
    <cfRule type="cellIs" dxfId="235" priority="280" stopIfTrue="1" operator="equal">
      <formula>"готов"</formula>
    </cfRule>
    <cfRule type="cellIs" dxfId="234" priority="281" stopIfTrue="1" operator="equal">
      <formula>"в работе"</formula>
    </cfRule>
    <cfRule type="cellIs" dxfId="233" priority="282" stopIfTrue="1" operator="equal">
      <formula>"вывезено"</formula>
    </cfRule>
  </conditionalFormatting>
  <conditionalFormatting sqref="H286:L287">
    <cfRule type="cellIs" dxfId="232" priority="339" stopIfTrue="1" operator="equal">
      <formula>"отмена"</formula>
    </cfRule>
    <cfRule type="cellIs" dxfId="231" priority="340" stopIfTrue="1" operator="equal">
      <formula>"готов"</formula>
    </cfRule>
    <cfRule type="cellIs" dxfId="230" priority="341" stopIfTrue="1" operator="equal">
      <formula>"в работе"</formula>
    </cfRule>
    <cfRule type="cellIs" dxfId="229" priority="342" stopIfTrue="1" operator="equal">
      <formula>"вывезено"</formula>
    </cfRule>
  </conditionalFormatting>
  <conditionalFormatting sqref="H359:L359">
    <cfRule type="cellIs" dxfId="228" priority="11" stopIfTrue="1" operator="equal">
      <formula>"отмена"</formula>
    </cfRule>
    <cfRule type="cellIs" dxfId="227" priority="12" stopIfTrue="1" operator="equal">
      <formula>"готов"</formula>
    </cfRule>
    <cfRule type="cellIs" dxfId="226" priority="13" stopIfTrue="1" operator="equal">
      <formula>"в работе"</formula>
    </cfRule>
    <cfRule type="cellIs" dxfId="225" priority="14" stopIfTrue="1" operator="equal">
      <formula>"вывезено"</formula>
    </cfRule>
  </conditionalFormatting>
  <conditionalFormatting sqref="H530:H539 H542:H561 I527:K561">
    <cfRule type="cellIs" dxfId="224" priority="138" stopIfTrue="1" operator="equal">
      <formula>"готов"</formula>
    </cfRule>
    <cfRule type="cellIs" dxfId="223" priority="139" stopIfTrue="1" operator="equal">
      <formula>"в работе"</formula>
    </cfRule>
    <cfRule type="cellIs" dxfId="222" priority="140" stopIfTrue="1" operator="equal">
      <formula>"вывезено"</formula>
    </cfRule>
  </conditionalFormatting>
  <conditionalFormatting sqref="H722:H726 I719:K726">
    <cfRule type="cellIs" dxfId="221" priority="34" stopIfTrue="1" operator="equal">
      <formula>"готов"</formula>
    </cfRule>
    <cfRule type="cellIs" dxfId="220" priority="35" stopIfTrue="1" operator="equal">
      <formula>"в работе"</formula>
    </cfRule>
    <cfRule type="cellIs" dxfId="219" priority="36" stopIfTrue="1" operator="equal">
      <formula>"вывезено"</formula>
    </cfRule>
  </conditionalFormatting>
  <conditionalFormatting sqref="K755:K762">
    <cfRule type="cellIs" dxfId="218" priority="21" stopIfTrue="1" operator="equal">
      <formula>"отмена"</formula>
    </cfRule>
    <cfRule type="cellIs" dxfId="217" priority="22" stopIfTrue="1" operator="equal">
      <formula>"готов"</formula>
    </cfRule>
    <cfRule type="cellIs" dxfId="216" priority="23" stopIfTrue="1" operator="equal">
      <formula>"в работе"</formula>
    </cfRule>
    <cfRule type="cellIs" dxfId="215" priority="24" stopIfTrue="1" operator="equal">
      <formula>"вывезено"</formula>
    </cfRule>
  </conditionalFormatting>
  <conditionalFormatting sqref="L407">
    <cfRule type="cellIs" dxfId="214" priority="209" stopIfTrue="1" operator="equal">
      <formula>"отмена"</formula>
    </cfRule>
    <cfRule type="cellIs" dxfId="213" priority="210" stopIfTrue="1" operator="equal">
      <formula>"готов"</formula>
    </cfRule>
    <cfRule type="cellIs" dxfId="212" priority="211" stopIfTrue="1" operator="equal">
      <formula>"в работе"</formula>
    </cfRule>
    <cfRule type="cellIs" dxfId="211" priority="212" stopIfTrue="1" operator="equal">
      <formula>"вывезено"</formula>
    </cfRule>
  </conditionalFormatting>
  <conditionalFormatting sqref="L431">
    <cfRule type="cellIs" dxfId="210" priority="131" stopIfTrue="1" operator="equal">
      <formula>"отмена"</formula>
    </cfRule>
    <cfRule type="cellIs" dxfId="209" priority="132" stopIfTrue="1" operator="equal">
      <formula>"готов"</formula>
    </cfRule>
    <cfRule type="cellIs" dxfId="208" priority="133" stopIfTrue="1" operator="equal">
      <formula>"в работе"</formula>
    </cfRule>
    <cfRule type="cellIs" dxfId="207" priority="134" stopIfTrue="1" operator="equal">
      <formula>"вывезено"</formula>
    </cfRule>
  </conditionalFormatting>
  <conditionalFormatting sqref="L570:L586">
    <cfRule type="cellIs" dxfId="206" priority="67" stopIfTrue="1" operator="equal">
      <formula>"отмена"</formula>
    </cfRule>
    <cfRule type="cellIs" dxfId="205" priority="68" stopIfTrue="1" operator="equal">
      <formula>"готов"</formula>
    </cfRule>
    <cfRule type="cellIs" dxfId="204" priority="69" stopIfTrue="1" operator="equal">
      <formula>"в работе"</formula>
    </cfRule>
    <cfRule type="cellIs" dxfId="203" priority="70" stopIfTrue="1" operator="equal">
      <formula>"вывезено"</formula>
    </cfRule>
  </conditionalFormatting>
  <conditionalFormatting sqref="L765">
    <cfRule type="cellIs" dxfId="202" priority="15" stopIfTrue="1" operator="equal">
      <formula>"отмена"</formula>
    </cfRule>
    <cfRule type="cellIs" dxfId="201" priority="16" stopIfTrue="1" operator="equal">
      <formula>"готов"</formula>
    </cfRule>
    <cfRule type="cellIs" dxfId="200" priority="17" stopIfTrue="1" operator="equal">
      <formula>"в работе"</formula>
    </cfRule>
    <cfRule type="cellIs" dxfId="199" priority="18" stopIfTrue="1" operator="equal">
      <formula>"вывезено"</formula>
    </cfRule>
  </conditionalFormatting>
  <conditionalFormatting sqref="M1">
    <cfRule type="cellIs" dxfId="198" priority="349" stopIfTrue="1" operator="equal">
      <formula>"отмена"</formula>
    </cfRule>
    <cfRule type="cellIs" dxfId="197" priority="350" stopIfTrue="1" operator="equal">
      <formula>"готов"</formula>
    </cfRule>
    <cfRule type="cellIs" dxfId="196" priority="351" stopIfTrue="1" operator="equal">
      <formula>"в работе"</formula>
    </cfRule>
    <cfRule type="cellIs" dxfId="195" priority="352" stopIfTrue="1" operator="equal">
      <formula>"вывезено"</formula>
    </cfRule>
  </conditionalFormatting>
  <conditionalFormatting sqref="J755:J762">
    <cfRule type="cellIs" dxfId="194" priority="5" stopIfTrue="1" operator="equal">
      <formula>"отмена"</formula>
    </cfRule>
    <cfRule type="cellIs" dxfId="193" priority="6" stopIfTrue="1" operator="equal">
      <formula>"готов"</formula>
    </cfRule>
    <cfRule type="cellIs" dxfId="192" priority="7" stopIfTrue="1" operator="equal">
      <formula>"в работе"</formula>
    </cfRule>
    <cfRule type="cellIs" dxfId="191" priority="8" stopIfTrue="1" operator="equal">
      <formula>"вывезено"</formula>
    </cfRule>
  </conditionalFormatting>
  <conditionalFormatting sqref="I755:I762">
    <cfRule type="cellIs" dxfId="190" priority="1" stopIfTrue="1" operator="equal">
      <formula>"отмена"</formula>
    </cfRule>
    <cfRule type="cellIs" dxfId="189" priority="2" stopIfTrue="1" operator="equal">
      <formula>"готов"</formula>
    </cfRule>
    <cfRule type="cellIs" dxfId="188" priority="3" stopIfTrue="1" operator="equal">
      <formula>"в работе"</formula>
    </cfRule>
    <cfRule type="cellIs" dxfId="187" priority="4" stopIfTrue="1" operator="equal">
      <formula>"вывезено"</formula>
    </cfRule>
  </conditionalFormatting>
  <pageMargins left="0.25" right="0.25" top="0.75" bottom="0.75" header="0.3" footer="0.3"/>
  <pageSetup paperSize="9" scale="38" fitToHeight="0" orientation="landscape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05"/>
  <sheetViews>
    <sheetView workbookViewId="0">
      <selection sqref="A1:O705"/>
    </sheetView>
  </sheetViews>
  <sheetFormatPr defaultRowHeight="12.75" x14ac:dyDescent="0.2"/>
  <cols>
    <col min="1" max="1" width="101.28515625" customWidth="1"/>
    <col min="2" max="2" width="11.28515625" customWidth="1"/>
    <col min="3" max="3" width="13.7109375" customWidth="1"/>
    <col min="4" max="4" width="91.140625" customWidth="1"/>
    <col min="5" max="5" width="13.7109375" customWidth="1"/>
    <col min="6" max="6" width="8" customWidth="1"/>
    <col min="7" max="7" width="20.7109375" customWidth="1"/>
    <col min="8" max="8" width="8" customWidth="1"/>
    <col min="9" max="9" width="11.85546875" customWidth="1"/>
    <col min="10" max="10" width="103.140625" customWidth="1"/>
    <col min="11" max="11" width="18" customWidth="1"/>
    <col min="12" max="12" width="15" customWidth="1"/>
    <col min="13" max="13" width="19.85546875" customWidth="1"/>
    <col min="14" max="14" width="32.140625" customWidth="1"/>
    <col min="15" max="15" width="30" customWidth="1"/>
  </cols>
  <sheetData>
    <row r="1" spans="1:15" x14ac:dyDescent="0.2">
      <c r="A1" t="s">
        <v>5574</v>
      </c>
      <c r="B1" t="s">
        <v>5346</v>
      </c>
      <c r="C1" t="s">
        <v>5347</v>
      </c>
      <c r="D1" t="s">
        <v>5348</v>
      </c>
      <c r="E1" t="s">
        <v>5349</v>
      </c>
      <c r="F1" t="s">
        <v>5350</v>
      </c>
      <c r="G1" t="s">
        <v>5351</v>
      </c>
      <c r="H1" t="s">
        <v>5352</v>
      </c>
      <c r="I1" t="s">
        <v>5353</v>
      </c>
      <c r="J1" t="s">
        <v>5354</v>
      </c>
      <c r="K1" t="s">
        <v>5355</v>
      </c>
      <c r="L1" t="s">
        <v>5356</v>
      </c>
      <c r="M1" t="s">
        <v>5357</v>
      </c>
      <c r="N1" t="s">
        <v>5358</v>
      </c>
      <c r="O1" t="s">
        <v>5359</v>
      </c>
    </row>
    <row r="2" spans="1:15" hidden="1" x14ac:dyDescent="0.2">
      <c r="A2" s="958" t="s">
        <v>6253</v>
      </c>
      <c r="B2" t="s">
        <v>6134</v>
      </c>
      <c r="C2" s="959">
        <v>45475</v>
      </c>
      <c r="D2" t="s">
        <v>5083</v>
      </c>
      <c r="E2">
        <v>440</v>
      </c>
      <c r="F2">
        <v>440</v>
      </c>
      <c r="G2">
        <v>440</v>
      </c>
      <c r="H2">
        <v>440</v>
      </c>
      <c r="I2">
        <v>440</v>
      </c>
      <c r="J2" t="s">
        <v>5446</v>
      </c>
      <c r="K2">
        <v>440</v>
      </c>
      <c r="L2">
        <v>599.24</v>
      </c>
      <c r="M2">
        <v>263667</v>
      </c>
      <c r="N2">
        <v>440</v>
      </c>
      <c r="O2">
        <v>440</v>
      </c>
    </row>
    <row r="3" spans="1:15" hidden="1" x14ac:dyDescent="0.2">
      <c r="A3" s="958" t="s">
        <v>6254</v>
      </c>
      <c r="B3" t="s">
        <v>6134</v>
      </c>
      <c r="C3" s="959">
        <v>45475</v>
      </c>
      <c r="D3" t="s">
        <v>5084</v>
      </c>
      <c r="E3">
        <v>242</v>
      </c>
      <c r="F3">
        <v>242</v>
      </c>
      <c r="G3">
        <v>242</v>
      </c>
      <c r="H3">
        <v>242</v>
      </c>
      <c r="I3">
        <v>242</v>
      </c>
      <c r="J3" t="s">
        <v>6125</v>
      </c>
      <c r="K3">
        <v>242</v>
      </c>
      <c r="L3">
        <v>455.7</v>
      </c>
      <c r="M3">
        <v>110279</v>
      </c>
      <c r="N3">
        <v>242</v>
      </c>
      <c r="O3">
        <v>242</v>
      </c>
    </row>
    <row r="4" spans="1:15" hidden="1" x14ac:dyDescent="0.2">
      <c r="A4" s="958" t="s">
        <v>6540</v>
      </c>
      <c r="B4" t="s">
        <v>6135</v>
      </c>
      <c r="C4" s="959">
        <v>45476</v>
      </c>
      <c r="D4" t="s">
        <v>6513</v>
      </c>
      <c r="E4">
        <v>240</v>
      </c>
      <c r="F4">
        <v>240</v>
      </c>
      <c r="G4">
        <v>240</v>
      </c>
      <c r="H4">
        <v>240</v>
      </c>
      <c r="I4">
        <v>240</v>
      </c>
      <c r="J4" t="s">
        <v>6514</v>
      </c>
      <c r="K4">
        <v>240</v>
      </c>
      <c r="L4">
        <v>519.17999999999995</v>
      </c>
      <c r="M4">
        <v>124602</v>
      </c>
      <c r="N4">
        <v>240</v>
      </c>
      <c r="O4">
        <v>240</v>
      </c>
    </row>
    <row r="5" spans="1:15" hidden="1" x14ac:dyDescent="0.2">
      <c r="A5" s="958" t="s">
        <v>6255</v>
      </c>
      <c r="B5" t="s">
        <v>6136</v>
      </c>
      <c r="C5" s="959">
        <v>45476</v>
      </c>
      <c r="D5" t="s">
        <v>4682</v>
      </c>
      <c r="E5">
        <v>390</v>
      </c>
      <c r="F5">
        <v>390</v>
      </c>
      <c r="G5">
        <v>390</v>
      </c>
      <c r="H5">
        <v>390</v>
      </c>
      <c r="I5">
        <v>390</v>
      </c>
      <c r="J5" t="s">
        <v>5362</v>
      </c>
      <c r="K5">
        <v>390</v>
      </c>
      <c r="L5">
        <v>141.65</v>
      </c>
      <c r="M5">
        <v>55242.33</v>
      </c>
      <c r="N5">
        <v>390</v>
      </c>
      <c r="O5">
        <v>390</v>
      </c>
    </row>
    <row r="6" spans="1:15" hidden="1" x14ac:dyDescent="0.2">
      <c r="A6" s="958" t="s">
        <v>6256</v>
      </c>
      <c r="B6" t="s">
        <v>6137</v>
      </c>
      <c r="C6" s="959">
        <v>45476</v>
      </c>
      <c r="D6" t="s">
        <v>4813</v>
      </c>
      <c r="E6">
        <v>2136</v>
      </c>
      <c r="F6">
        <v>2136</v>
      </c>
      <c r="G6">
        <v>2136</v>
      </c>
      <c r="H6">
        <v>2136</v>
      </c>
      <c r="I6">
        <v>2136</v>
      </c>
      <c r="J6" t="s">
        <v>4148</v>
      </c>
      <c r="K6">
        <v>2136</v>
      </c>
      <c r="L6">
        <v>134.5</v>
      </c>
      <c r="M6">
        <v>287292</v>
      </c>
      <c r="N6">
        <v>2136</v>
      </c>
      <c r="O6">
        <v>2100</v>
      </c>
    </row>
    <row r="7" spans="1:15" hidden="1" x14ac:dyDescent="0.2">
      <c r="A7" s="958" t="s">
        <v>6257</v>
      </c>
      <c r="B7" t="s">
        <v>6138</v>
      </c>
      <c r="C7" s="959">
        <v>45476</v>
      </c>
      <c r="D7" t="s">
        <v>5158</v>
      </c>
      <c r="E7">
        <v>1022.4</v>
      </c>
      <c r="F7">
        <v>1022.4</v>
      </c>
      <c r="G7">
        <v>1022.4</v>
      </c>
      <c r="H7">
        <v>1022.4</v>
      </c>
      <c r="I7">
        <v>1022.4</v>
      </c>
      <c r="J7" t="s">
        <v>5460</v>
      </c>
      <c r="K7">
        <v>1022.4</v>
      </c>
      <c r="L7">
        <v>136.76</v>
      </c>
      <c r="M7">
        <v>139823.82999999999</v>
      </c>
      <c r="N7">
        <v>1022.4</v>
      </c>
      <c r="O7">
        <v>1018.8</v>
      </c>
    </row>
    <row r="8" spans="1:15" hidden="1" x14ac:dyDescent="0.2">
      <c r="A8" s="958" t="s">
        <v>6258</v>
      </c>
      <c r="B8" t="s">
        <v>6139</v>
      </c>
      <c r="C8" s="959">
        <v>45476</v>
      </c>
      <c r="D8" t="s">
        <v>4582</v>
      </c>
      <c r="E8">
        <v>2886</v>
      </c>
      <c r="F8">
        <v>2886</v>
      </c>
      <c r="G8">
        <v>2886</v>
      </c>
      <c r="H8">
        <v>2886</v>
      </c>
      <c r="I8">
        <v>2886</v>
      </c>
      <c r="J8" t="s">
        <v>5393</v>
      </c>
      <c r="K8">
        <v>2886</v>
      </c>
      <c r="L8">
        <v>44.14</v>
      </c>
      <c r="M8">
        <v>127379.38</v>
      </c>
      <c r="N8">
        <v>2886</v>
      </c>
      <c r="O8">
        <v>2862</v>
      </c>
    </row>
    <row r="9" spans="1:15" hidden="1" x14ac:dyDescent="0.2">
      <c r="A9" s="958" t="s">
        <v>6259</v>
      </c>
      <c r="B9" t="s">
        <v>6140</v>
      </c>
      <c r="C9" s="959">
        <v>45477</v>
      </c>
      <c r="D9" t="s">
        <v>5202</v>
      </c>
      <c r="E9">
        <v>600</v>
      </c>
      <c r="F9">
        <v>600</v>
      </c>
      <c r="G9">
        <v>600</v>
      </c>
      <c r="H9">
        <v>600</v>
      </c>
      <c r="I9">
        <v>600</v>
      </c>
      <c r="J9" t="s">
        <v>6141</v>
      </c>
      <c r="K9">
        <v>600</v>
      </c>
      <c r="L9">
        <v>70.400000000000006</v>
      </c>
      <c r="M9">
        <v>42240</v>
      </c>
      <c r="N9">
        <v>600</v>
      </c>
      <c r="O9">
        <v>600</v>
      </c>
    </row>
    <row r="10" spans="1:15" hidden="1" x14ac:dyDescent="0.2">
      <c r="A10" s="958" t="s">
        <v>6260</v>
      </c>
      <c r="B10" t="s">
        <v>6142</v>
      </c>
      <c r="C10" s="959">
        <v>45478</v>
      </c>
      <c r="D10" t="s">
        <v>5205</v>
      </c>
      <c r="E10">
        <v>66</v>
      </c>
      <c r="F10">
        <v>66</v>
      </c>
      <c r="G10">
        <v>66</v>
      </c>
      <c r="H10">
        <v>66</v>
      </c>
      <c r="I10">
        <v>66</v>
      </c>
      <c r="J10" t="s">
        <v>6143</v>
      </c>
      <c r="K10">
        <v>66</v>
      </c>
      <c r="L10">
        <v>638.20000000000005</v>
      </c>
      <c r="M10">
        <v>42121.2</v>
      </c>
      <c r="N10">
        <v>66</v>
      </c>
      <c r="O10">
        <v>66</v>
      </c>
    </row>
    <row r="11" spans="1:15" hidden="1" x14ac:dyDescent="0.2">
      <c r="A11" s="958" t="s">
        <v>6261</v>
      </c>
      <c r="B11" t="s">
        <v>6144</v>
      </c>
      <c r="C11" s="959">
        <v>45478</v>
      </c>
      <c r="D11" t="s">
        <v>4459</v>
      </c>
      <c r="E11">
        <v>473.6</v>
      </c>
      <c r="F11">
        <v>473.6</v>
      </c>
      <c r="G11">
        <v>473.6</v>
      </c>
      <c r="H11">
        <v>473.6</v>
      </c>
      <c r="I11">
        <v>473.6</v>
      </c>
      <c r="J11" t="s">
        <v>6145</v>
      </c>
      <c r="K11">
        <v>473.6</v>
      </c>
      <c r="L11">
        <v>148.49</v>
      </c>
      <c r="M11">
        <v>70324.86</v>
      </c>
      <c r="N11">
        <v>473.6</v>
      </c>
      <c r="O11">
        <v>464</v>
      </c>
    </row>
    <row r="12" spans="1:15" hidden="1" x14ac:dyDescent="0.2">
      <c r="A12" s="958" t="s">
        <v>6262</v>
      </c>
      <c r="B12" t="s">
        <v>6146</v>
      </c>
      <c r="C12" s="959">
        <v>45478</v>
      </c>
      <c r="D12" t="s">
        <v>4662</v>
      </c>
      <c r="E12">
        <v>435.6</v>
      </c>
      <c r="F12">
        <v>435.6</v>
      </c>
      <c r="G12">
        <v>435.6</v>
      </c>
      <c r="H12">
        <v>435.6</v>
      </c>
      <c r="I12">
        <v>435.6</v>
      </c>
      <c r="J12" t="s">
        <v>6121</v>
      </c>
      <c r="K12">
        <v>435.6</v>
      </c>
      <c r="L12">
        <v>148.49</v>
      </c>
      <c r="M12">
        <v>64682.239999999998</v>
      </c>
      <c r="N12">
        <v>435.6</v>
      </c>
      <c r="O12">
        <v>435.6</v>
      </c>
    </row>
    <row r="13" spans="1:15" hidden="1" x14ac:dyDescent="0.2">
      <c r="A13" s="958" t="s">
        <v>6263</v>
      </c>
      <c r="B13" t="s">
        <v>6147</v>
      </c>
      <c r="C13" s="959">
        <v>45478</v>
      </c>
      <c r="D13" t="s">
        <v>5216</v>
      </c>
      <c r="E13">
        <v>294</v>
      </c>
      <c r="F13">
        <v>294</v>
      </c>
      <c r="G13">
        <v>294</v>
      </c>
      <c r="H13">
        <v>294</v>
      </c>
      <c r="I13">
        <v>294</v>
      </c>
      <c r="J13" t="s">
        <v>5392</v>
      </c>
      <c r="K13">
        <v>294</v>
      </c>
      <c r="L13">
        <v>243.16</v>
      </c>
      <c r="M13">
        <v>71489.63</v>
      </c>
      <c r="N13">
        <v>294</v>
      </c>
      <c r="O13">
        <v>294</v>
      </c>
    </row>
    <row r="14" spans="1:15" hidden="1" x14ac:dyDescent="0.2">
      <c r="A14" s="958" t="s">
        <v>6264</v>
      </c>
      <c r="B14" t="s">
        <v>6147</v>
      </c>
      <c r="C14" s="959">
        <v>45478</v>
      </c>
      <c r="D14" t="s">
        <v>4727</v>
      </c>
      <c r="E14">
        <v>888</v>
      </c>
      <c r="F14">
        <v>1446</v>
      </c>
      <c r="G14">
        <v>558</v>
      </c>
      <c r="H14">
        <v>1446</v>
      </c>
      <c r="I14">
        <v>558</v>
      </c>
      <c r="J14" t="s">
        <v>5366</v>
      </c>
      <c r="K14">
        <v>888</v>
      </c>
      <c r="L14">
        <v>78.489999999999995</v>
      </c>
      <c r="M14">
        <v>69698.23</v>
      </c>
      <c r="N14">
        <v>888</v>
      </c>
      <c r="O14">
        <v>330</v>
      </c>
    </row>
    <row r="15" spans="1:15" hidden="1" x14ac:dyDescent="0.2">
      <c r="A15" s="958" t="s">
        <v>6265</v>
      </c>
      <c r="B15" t="s">
        <v>6148</v>
      </c>
      <c r="C15" s="959">
        <v>45483</v>
      </c>
      <c r="D15" t="s">
        <v>1751</v>
      </c>
      <c r="E15">
        <v>78.400000000000006</v>
      </c>
      <c r="F15">
        <v>78.400000000000006</v>
      </c>
      <c r="G15">
        <v>78.400000000000006</v>
      </c>
      <c r="H15">
        <v>78.400000000000006</v>
      </c>
      <c r="I15">
        <v>78.400000000000006</v>
      </c>
      <c r="J15" t="s">
        <v>5471</v>
      </c>
      <c r="K15">
        <v>78.400000000000006</v>
      </c>
      <c r="L15">
        <v>289.97000000000003</v>
      </c>
      <c r="M15">
        <v>22733.73</v>
      </c>
      <c r="N15">
        <v>78.400000000000006</v>
      </c>
      <c r="O15">
        <v>78.400000000000006</v>
      </c>
    </row>
    <row r="16" spans="1:15" hidden="1" x14ac:dyDescent="0.2">
      <c r="A16" s="958" t="s">
        <v>6266</v>
      </c>
      <c r="B16" t="s">
        <v>6149</v>
      </c>
      <c r="C16" s="959">
        <v>45484</v>
      </c>
      <c r="D16" t="s">
        <v>2963</v>
      </c>
      <c r="E16">
        <v>591.6</v>
      </c>
      <c r="F16">
        <v>591.6</v>
      </c>
      <c r="G16">
        <v>591.6</v>
      </c>
      <c r="H16">
        <v>591.6</v>
      </c>
      <c r="I16">
        <v>591.6</v>
      </c>
      <c r="J16" t="s">
        <v>5363</v>
      </c>
      <c r="K16">
        <v>591.6</v>
      </c>
      <c r="L16">
        <v>74.989999999999995</v>
      </c>
      <c r="M16">
        <v>44366.45</v>
      </c>
      <c r="N16">
        <v>591.6</v>
      </c>
      <c r="O16">
        <v>591.6</v>
      </c>
    </row>
    <row r="17" spans="1:15" hidden="1" x14ac:dyDescent="0.2">
      <c r="A17" s="958" t="s">
        <v>6267</v>
      </c>
      <c r="B17" t="s">
        <v>6150</v>
      </c>
      <c r="C17" s="959">
        <v>45484</v>
      </c>
      <c r="D17" t="s">
        <v>4582</v>
      </c>
      <c r="E17">
        <v>2772</v>
      </c>
      <c r="F17">
        <v>2772</v>
      </c>
      <c r="G17">
        <v>2772</v>
      </c>
      <c r="H17">
        <v>2772</v>
      </c>
      <c r="I17">
        <v>2772</v>
      </c>
      <c r="J17" t="s">
        <v>5393</v>
      </c>
      <c r="K17">
        <v>2772</v>
      </c>
      <c r="L17">
        <v>44.14</v>
      </c>
      <c r="M17">
        <v>122347.76</v>
      </c>
      <c r="N17">
        <v>2772</v>
      </c>
      <c r="O17">
        <v>2772</v>
      </c>
    </row>
    <row r="18" spans="1:15" hidden="1" x14ac:dyDescent="0.2">
      <c r="A18" s="958" t="s">
        <v>6268</v>
      </c>
      <c r="B18" t="s">
        <v>6150</v>
      </c>
      <c r="C18" s="959">
        <v>45484</v>
      </c>
      <c r="D18" t="s">
        <v>4378</v>
      </c>
      <c r="E18">
        <v>1224</v>
      </c>
      <c r="F18">
        <v>1224</v>
      </c>
      <c r="G18">
        <v>1224</v>
      </c>
      <c r="H18">
        <v>1224</v>
      </c>
      <c r="I18">
        <v>1224</v>
      </c>
      <c r="J18" t="s">
        <v>5076</v>
      </c>
      <c r="K18">
        <v>1224</v>
      </c>
      <c r="L18">
        <v>93.13</v>
      </c>
      <c r="M18">
        <v>113989.9</v>
      </c>
      <c r="N18">
        <v>1224</v>
      </c>
      <c r="O18">
        <v>1224</v>
      </c>
    </row>
    <row r="19" spans="1:15" hidden="1" x14ac:dyDescent="0.2">
      <c r="A19" s="958" t="s">
        <v>6269</v>
      </c>
      <c r="B19" t="s">
        <v>6150</v>
      </c>
      <c r="C19" s="959">
        <v>45484</v>
      </c>
      <c r="D19" t="s">
        <v>4998</v>
      </c>
      <c r="E19">
        <v>768</v>
      </c>
      <c r="F19">
        <v>768</v>
      </c>
      <c r="G19">
        <v>768</v>
      </c>
      <c r="H19">
        <v>768</v>
      </c>
      <c r="I19">
        <v>768</v>
      </c>
      <c r="J19" t="s">
        <v>6123</v>
      </c>
      <c r="K19">
        <v>768</v>
      </c>
      <c r="L19">
        <v>113.78</v>
      </c>
      <c r="M19">
        <v>87379.199999999997</v>
      </c>
      <c r="N19">
        <v>768</v>
      </c>
      <c r="O19">
        <v>768</v>
      </c>
    </row>
    <row r="20" spans="1:15" hidden="1" x14ac:dyDescent="0.2">
      <c r="A20" s="958" t="s">
        <v>6270</v>
      </c>
      <c r="B20" t="s">
        <v>6151</v>
      </c>
      <c r="C20" s="959">
        <v>45484</v>
      </c>
      <c r="D20" t="s">
        <v>4813</v>
      </c>
      <c r="E20">
        <v>894</v>
      </c>
      <c r="F20">
        <v>894</v>
      </c>
      <c r="G20">
        <v>894</v>
      </c>
      <c r="H20">
        <v>894</v>
      </c>
      <c r="I20">
        <v>894</v>
      </c>
      <c r="J20" t="s">
        <v>4148</v>
      </c>
      <c r="K20">
        <v>894</v>
      </c>
      <c r="L20">
        <v>134.5</v>
      </c>
      <c r="M20">
        <v>120243</v>
      </c>
      <c r="N20">
        <v>894</v>
      </c>
      <c r="O20">
        <v>870</v>
      </c>
    </row>
    <row r="21" spans="1:15" hidden="1" x14ac:dyDescent="0.2">
      <c r="A21" s="958" t="s">
        <v>6271</v>
      </c>
      <c r="B21" t="s">
        <v>6152</v>
      </c>
      <c r="C21" s="959">
        <v>45484</v>
      </c>
      <c r="D21" t="s">
        <v>5158</v>
      </c>
      <c r="E21">
        <v>1458</v>
      </c>
      <c r="F21">
        <v>1458</v>
      </c>
      <c r="G21">
        <v>1458</v>
      </c>
      <c r="H21">
        <v>1458</v>
      </c>
      <c r="I21">
        <v>1458</v>
      </c>
      <c r="J21" t="s">
        <v>5460</v>
      </c>
      <c r="K21">
        <v>1458</v>
      </c>
      <c r="L21">
        <v>136.76</v>
      </c>
      <c r="M21">
        <v>199396.08</v>
      </c>
      <c r="N21">
        <v>1458</v>
      </c>
      <c r="O21">
        <v>1458</v>
      </c>
    </row>
    <row r="22" spans="1:15" hidden="1" x14ac:dyDescent="0.2">
      <c r="A22" s="958" t="s">
        <v>6272</v>
      </c>
      <c r="B22" t="s">
        <v>6153</v>
      </c>
      <c r="C22" s="959">
        <v>45485</v>
      </c>
      <c r="D22" t="s">
        <v>5118</v>
      </c>
      <c r="E22">
        <v>24</v>
      </c>
      <c r="F22">
        <v>24</v>
      </c>
      <c r="G22">
        <v>24</v>
      </c>
      <c r="H22">
        <v>24</v>
      </c>
      <c r="I22">
        <v>24</v>
      </c>
      <c r="J22" t="s">
        <v>6127</v>
      </c>
      <c r="K22">
        <v>24</v>
      </c>
      <c r="L22">
        <v>2769.17</v>
      </c>
      <c r="M22">
        <v>66460</v>
      </c>
      <c r="N22">
        <v>24</v>
      </c>
      <c r="O22">
        <v>24</v>
      </c>
    </row>
    <row r="23" spans="1:15" hidden="1" x14ac:dyDescent="0.2">
      <c r="A23" s="958" t="s">
        <v>6273</v>
      </c>
      <c r="B23" t="s">
        <v>6154</v>
      </c>
      <c r="C23" s="959">
        <v>45488</v>
      </c>
      <c r="D23" t="s">
        <v>4393</v>
      </c>
      <c r="E23">
        <v>528</v>
      </c>
      <c r="F23">
        <v>528</v>
      </c>
      <c r="G23">
        <v>528</v>
      </c>
      <c r="H23">
        <v>528</v>
      </c>
      <c r="I23">
        <v>528</v>
      </c>
      <c r="J23" t="s">
        <v>5472</v>
      </c>
      <c r="K23">
        <v>528</v>
      </c>
      <c r="L23">
        <v>187.19</v>
      </c>
      <c r="M23">
        <v>98836.58</v>
      </c>
      <c r="N23">
        <v>528</v>
      </c>
      <c r="O23">
        <v>528</v>
      </c>
    </row>
    <row r="24" spans="1:15" hidden="1" x14ac:dyDescent="0.2">
      <c r="A24" s="958" t="s">
        <v>6274</v>
      </c>
      <c r="B24" t="s">
        <v>6155</v>
      </c>
      <c r="C24" s="959">
        <v>45488</v>
      </c>
      <c r="D24" t="s">
        <v>4582</v>
      </c>
      <c r="E24">
        <v>2568</v>
      </c>
      <c r="F24">
        <v>2568</v>
      </c>
      <c r="G24">
        <v>2568</v>
      </c>
      <c r="H24">
        <v>2568</v>
      </c>
      <c r="I24">
        <v>2568</v>
      </c>
      <c r="J24" t="s">
        <v>5393</v>
      </c>
      <c r="K24">
        <v>2568</v>
      </c>
      <c r="L24">
        <v>44.14</v>
      </c>
      <c r="M24">
        <v>113343.82</v>
      </c>
      <c r="N24">
        <v>2568</v>
      </c>
      <c r="O24">
        <v>2532</v>
      </c>
    </row>
    <row r="25" spans="1:15" hidden="1" x14ac:dyDescent="0.2">
      <c r="A25" s="958" t="s">
        <v>6275</v>
      </c>
      <c r="B25" t="s">
        <v>6155</v>
      </c>
      <c r="C25" s="959">
        <v>45488</v>
      </c>
      <c r="D25" t="s">
        <v>4378</v>
      </c>
      <c r="E25">
        <v>1110</v>
      </c>
      <c r="F25">
        <v>1110</v>
      </c>
      <c r="G25">
        <v>1110</v>
      </c>
      <c r="H25">
        <v>1110</v>
      </c>
      <c r="I25">
        <v>1110</v>
      </c>
      <c r="J25" t="s">
        <v>5076</v>
      </c>
      <c r="K25">
        <v>1110</v>
      </c>
      <c r="L25">
        <v>93.13</v>
      </c>
      <c r="M25">
        <v>103373.19</v>
      </c>
      <c r="N25">
        <v>1110</v>
      </c>
      <c r="O25">
        <v>1110</v>
      </c>
    </row>
    <row r="26" spans="1:15" hidden="1" x14ac:dyDescent="0.2">
      <c r="A26" s="958" t="s">
        <v>6276</v>
      </c>
      <c r="B26" t="s">
        <v>6156</v>
      </c>
      <c r="C26" s="959">
        <v>45488</v>
      </c>
      <c r="D26" t="s">
        <v>5214</v>
      </c>
      <c r="E26">
        <v>567.20000000000005</v>
      </c>
      <c r="F26">
        <v>567.20000000000005</v>
      </c>
      <c r="G26">
        <v>567.20000000000005</v>
      </c>
      <c r="H26">
        <v>567.20000000000005</v>
      </c>
      <c r="I26">
        <v>567.20000000000005</v>
      </c>
      <c r="J26" t="s">
        <v>5473</v>
      </c>
      <c r="K26">
        <v>567.20000000000005</v>
      </c>
      <c r="L26">
        <v>82.1</v>
      </c>
      <c r="M26">
        <v>46567.12</v>
      </c>
      <c r="N26">
        <v>567.20000000000005</v>
      </c>
      <c r="O26">
        <v>567.20000000000005</v>
      </c>
    </row>
    <row r="27" spans="1:15" hidden="1" x14ac:dyDescent="0.2">
      <c r="A27" s="958" t="s">
        <v>6277</v>
      </c>
      <c r="B27" t="s">
        <v>6156</v>
      </c>
      <c r="C27" s="959">
        <v>45488</v>
      </c>
      <c r="D27" t="s">
        <v>5215</v>
      </c>
      <c r="E27">
        <v>2262</v>
      </c>
      <c r="F27">
        <v>2262</v>
      </c>
      <c r="G27">
        <v>1602.25</v>
      </c>
      <c r="H27">
        <v>2262</v>
      </c>
      <c r="I27">
        <v>1602.25</v>
      </c>
      <c r="J27" t="s">
        <v>5474</v>
      </c>
      <c r="K27">
        <v>2262</v>
      </c>
      <c r="L27">
        <v>91.8</v>
      </c>
      <c r="M27">
        <v>207651.6</v>
      </c>
      <c r="N27">
        <v>659.75</v>
      </c>
      <c r="O27">
        <v>2262</v>
      </c>
    </row>
    <row r="28" spans="1:15" hidden="1" x14ac:dyDescent="0.2">
      <c r="A28" s="958" t="s">
        <v>6278</v>
      </c>
      <c r="B28" t="s">
        <v>6157</v>
      </c>
      <c r="C28" s="959">
        <v>45488</v>
      </c>
      <c r="D28" t="s">
        <v>78</v>
      </c>
      <c r="E28">
        <v>1770</v>
      </c>
      <c r="F28">
        <v>1770</v>
      </c>
      <c r="G28">
        <v>1770</v>
      </c>
      <c r="H28">
        <v>1770</v>
      </c>
      <c r="I28">
        <v>1770</v>
      </c>
      <c r="J28" t="s">
        <v>5385</v>
      </c>
      <c r="K28">
        <v>1770</v>
      </c>
      <c r="L28">
        <v>74.849999999999994</v>
      </c>
      <c r="M28">
        <v>132486.26999999999</v>
      </c>
      <c r="N28">
        <v>1770</v>
      </c>
      <c r="O28">
        <v>1698</v>
      </c>
    </row>
    <row r="29" spans="1:15" hidden="1" x14ac:dyDescent="0.2">
      <c r="A29" s="958" t="s">
        <v>6279</v>
      </c>
      <c r="B29" t="s">
        <v>6158</v>
      </c>
      <c r="C29" s="959">
        <v>45490</v>
      </c>
      <c r="D29" t="s">
        <v>5216</v>
      </c>
      <c r="E29">
        <v>108</v>
      </c>
      <c r="F29">
        <v>162</v>
      </c>
      <c r="G29">
        <v>162</v>
      </c>
      <c r="H29">
        <v>144</v>
      </c>
      <c r="J29" t="s">
        <v>5392</v>
      </c>
      <c r="K29">
        <v>108</v>
      </c>
      <c r="L29">
        <v>243.16</v>
      </c>
      <c r="M29">
        <v>26261.279999999999</v>
      </c>
    </row>
    <row r="30" spans="1:15" hidden="1" x14ac:dyDescent="0.2">
      <c r="A30" s="958" t="s">
        <v>6280</v>
      </c>
      <c r="B30" t="s">
        <v>6159</v>
      </c>
      <c r="C30" s="959">
        <v>45491</v>
      </c>
      <c r="D30" t="s">
        <v>5220</v>
      </c>
      <c r="E30">
        <v>402</v>
      </c>
      <c r="F30">
        <v>402</v>
      </c>
      <c r="G30">
        <v>402</v>
      </c>
      <c r="H30">
        <v>402</v>
      </c>
      <c r="I30">
        <v>402</v>
      </c>
      <c r="J30" t="s">
        <v>5411</v>
      </c>
      <c r="K30">
        <v>402</v>
      </c>
      <c r="L30">
        <v>114.3</v>
      </c>
      <c r="M30">
        <v>45947.839999999997</v>
      </c>
      <c r="N30">
        <v>402</v>
      </c>
    </row>
    <row r="31" spans="1:15" hidden="1" x14ac:dyDescent="0.2">
      <c r="A31" s="958" t="s">
        <v>6281</v>
      </c>
      <c r="B31" t="s">
        <v>6160</v>
      </c>
      <c r="C31" s="959">
        <v>45492</v>
      </c>
      <c r="D31" t="s">
        <v>4276</v>
      </c>
      <c r="E31">
        <v>600.75</v>
      </c>
      <c r="F31">
        <v>600.75</v>
      </c>
      <c r="G31">
        <v>600.75</v>
      </c>
      <c r="H31">
        <v>600.75</v>
      </c>
      <c r="I31">
        <v>600.75</v>
      </c>
      <c r="J31" t="s">
        <v>6712</v>
      </c>
      <c r="K31">
        <v>600.75</v>
      </c>
      <c r="L31">
        <v>136.53</v>
      </c>
      <c r="M31">
        <v>82018.289999999994</v>
      </c>
      <c r="N31">
        <v>600.75</v>
      </c>
      <c r="O31">
        <v>596.29999999999995</v>
      </c>
    </row>
    <row r="32" spans="1:15" hidden="1" x14ac:dyDescent="0.2">
      <c r="A32" s="958" t="s">
        <v>6541</v>
      </c>
      <c r="B32" t="s">
        <v>6161</v>
      </c>
      <c r="C32" s="959">
        <v>45495</v>
      </c>
      <c r="D32" t="s">
        <v>6513</v>
      </c>
      <c r="E32">
        <v>172</v>
      </c>
      <c r="F32">
        <v>172</v>
      </c>
      <c r="G32">
        <v>172</v>
      </c>
      <c r="H32">
        <v>172</v>
      </c>
      <c r="I32">
        <v>172</v>
      </c>
      <c r="J32" t="s">
        <v>6514</v>
      </c>
      <c r="K32">
        <v>172</v>
      </c>
      <c r="L32">
        <v>608.37</v>
      </c>
      <c r="M32">
        <v>104640</v>
      </c>
      <c r="N32">
        <v>172</v>
      </c>
    </row>
    <row r="33" spans="1:15" hidden="1" x14ac:dyDescent="0.2">
      <c r="A33" s="958" t="s">
        <v>6282</v>
      </c>
      <c r="B33" t="s">
        <v>6162</v>
      </c>
      <c r="C33" s="959">
        <v>45496</v>
      </c>
      <c r="D33" t="s">
        <v>5862</v>
      </c>
      <c r="E33">
        <v>1542</v>
      </c>
      <c r="F33">
        <v>1542</v>
      </c>
      <c r="G33">
        <v>1542</v>
      </c>
      <c r="H33">
        <v>1542</v>
      </c>
      <c r="I33">
        <v>1542</v>
      </c>
      <c r="J33" t="s">
        <v>5831</v>
      </c>
      <c r="K33">
        <v>1542</v>
      </c>
      <c r="L33">
        <v>136.32</v>
      </c>
      <c r="M33">
        <v>210210.07</v>
      </c>
      <c r="N33">
        <v>1542</v>
      </c>
      <c r="O33">
        <v>1518</v>
      </c>
    </row>
    <row r="34" spans="1:15" hidden="1" x14ac:dyDescent="0.2">
      <c r="A34" s="958" t="s">
        <v>6283</v>
      </c>
      <c r="B34" t="s">
        <v>6163</v>
      </c>
      <c r="C34" s="959">
        <v>45496</v>
      </c>
      <c r="D34" t="s">
        <v>1751</v>
      </c>
      <c r="E34">
        <v>156.80000000000001</v>
      </c>
      <c r="F34">
        <v>156.80000000000001</v>
      </c>
      <c r="G34">
        <v>156.80000000000001</v>
      </c>
      <c r="H34">
        <v>156.80000000000001</v>
      </c>
      <c r="I34">
        <v>156.80000000000001</v>
      </c>
      <c r="J34" t="s">
        <v>5471</v>
      </c>
      <c r="K34">
        <v>156.80000000000001</v>
      </c>
      <c r="L34">
        <v>289.97000000000003</v>
      </c>
      <c r="M34">
        <v>45467.45</v>
      </c>
      <c r="N34">
        <v>156.80000000000001</v>
      </c>
      <c r="O34">
        <v>132.30000000000001</v>
      </c>
    </row>
    <row r="35" spans="1:15" hidden="1" x14ac:dyDescent="0.2">
      <c r="A35" s="958" t="s">
        <v>6284</v>
      </c>
      <c r="B35" t="s">
        <v>6164</v>
      </c>
      <c r="C35" s="959">
        <v>45496</v>
      </c>
      <c r="D35" t="s">
        <v>5204</v>
      </c>
      <c r="E35">
        <v>1000</v>
      </c>
      <c r="F35">
        <v>1000</v>
      </c>
      <c r="G35">
        <v>1000</v>
      </c>
      <c r="H35">
        <v>1000</v>
      </c>
      <c r="I35">
        <v>1000</v>
      </c>
      <c r="J35" t="s">
        <v>6165</v>
      </c>
      <c r="K35">
        <v>1000</v>
      </c>
      <c r="L35">
        <v>91.92</v>
      </c>
      <c r="M35">
        <v>91920</v>
      </c>
      <c r="N35">
        <v>1000</v>
      </c>
      <c r="O35">
        <v>500</v>
      </c>
    </row>
    <row r="36" spans="1:15" hidden="1" x14ac:dyDescent="0.2">
      <c r="A36" s="958" t="s">
        <v>6285</v>
      </c>
      <c r="B36" t="s">
        <v>6166</v>
      </c>
      <c r="C36" s="959">
        <v>45496</v>
      </c>
      <c r="D36" t="s">
        <v>6167</v>
      </c>
      <c r="E36">
        <v>950</v>
      </c>
      <c r="J36" t="s">
        <v>6168</v>
      </c>
      <c r="K36">
        <v>950</v>
      </c>
      <c r="L36">
        <v>84.48</v>
      </c>
      <c r="M36">
        <v>80253.149999999994</v>
      </c>
    </row>
    <row r="37" spans="1:15" hidden="1" x14ac:dyDescent="0.2">
      <c r="A37" s="958" t="s">
        <v>6286</v>
      </c>
      <c r="B37" t="s">
        <v>6169</v>
      </c>
      <c r="C37" s="959">
        <v>45497</v>
      </c>
      <c r="D37" t="s">
        <v>5134</v>
      </c>
      <c r="E37">
        <v>266.2</v>
      </c>
      <c r="F37">
        <v>266.2</v>
      </c>
      <c r="G37">
        <v>266.2</v>
      </c>
      <c r="H37">
        <v>266.2</v>
      </c>
      <c r="I37">
        <v>266.2</v>
      </c>
      <c r="J37" t="s">
        <v>6128</v>
      </c>
      <c r="K37">
        <v>266.2</v>
      </c>
      <c r="L37">
        <v>192.41</v>
      </c>
      <c r="M37">
        <v>51220</v>
      </c>
      <c r="N37">
        <v>266.2</v>
      </c>
      <c r="O37">
        <v>266.2</v>
      </c>
    </row>
    <row r="38" spans="1:15" hidden="1" x14ac:dyDescent="0.2">
      <c r="A38" s="958" t="s">
        <v>6287</v>
      </c>
      <c r="B38" t="s">
        <v>6169</v>
      </c>
      <c r="C38" s="959">
        <v>45497</v>
      </c>
      <c r="D38" t="s">
        <v>5135</v>
      </c>
      <c r="E38">
        <v>145.19999999999999</v>
      </c>
      <c r="F38">
        <v>145.19999999999999</v>
      </c>
      <c r="G38">
        <v>145.19999999999999</v>
      </c>
      <c r="H38">
        <v>145.19999999999999</v>
      </c>
      <c r="I38">
        <v>145.19999999999999</v>
      </c>
      <c r="J38" t="s">
        <v>6129</v>
      </c>
      <c r="K38">
        <v>145.19999999999999</v>
      </c>
      <c r="L38">
        <v>271.35000000000002</v>
      </c>
      <c r="M38">
        <v>39400</v>
      </c>
      <c r="N38">
        <v>145.19999999999999</v>
      </c>
      <c r="O38">
        <v>145.19999999999999</v>
      </c>
    </row>
    <row r="39" spans="1:15" hidden="1" x14ac:dyDescent="0.2">
      <c r="A39" s="958" t="s">
        <v>6288</v>
      </c>
      <c r="B39" t="s">
        <v>6170</v>
      </c>
      <c r="C39" s="959">
        <v>45497</v>
      </c>
      <c r="D39" t="s">
        <v>5010</v>
      </c>
      <c r="E39">
        <v>96</v>
      </c>
      <c r="F39">
        <v>96</v>
      </c>
      <c r="G39">
        <v>96</v>
      </c>
      <c r="H39">
        <v>96</v>
      </c>
      <c r="I39">
        <v>96</v>
      </c>
      <c r="J39" t="s">
        <v>5413</v>
      </c>
      <c r="K39">
        <v>96</v>
      </c>
      <c r="L39">
        <v>262.3</v>
      </c>
      <c r="M39">
        <v>25180.799999999999</v>
      </c>
      <c r="N39">
        <v>96</v>
      </c>
      <c r="O39">
        <v>96</v>
      </c>
    </row>
    <row r="40" spans="1:15" hidden="1" x14ac:dyDescent="0.2">
      <c r="A40" s="958" t="s">
        <v>6289</v>
      </c>
      <c r="B40" t="s">
        <v>6170</v>
      </c>
      <c r="C40" s="959">
        <v>45497</v>
      </c>
      <c r="D40" t="s">
        <v>5009</v>
      </c>
      <c r="E40">
        <v>96</v>
      </c>
      <c r="F40">
        <v>96</v>
      </c>
      <c r="G40">
        <v>96</v>
      </c>
      <c r="H40">
        <v>96</v>
      </c>
      <c r="I40">
        <v>96</v>
      </c>
      <c r="J40" t="s">
        <v>5412</v>
      </c>
      <c r="K40">
        <v>96</v>
      </c>
      <c r="L40">
        <v>251.6</v>
      </c>
      <c r="M40">
        <v>24153.599999999999</v>
      </c>
      <c r="N40">
        <v>96</v>
      </c>
      <c r="O40">
        <v>96</v>
      </c>
    </row>
    <row r="41" spans="1:15" hidden="1" x14ac:dyDescent="0.2">
      <c r="A41" s="958" t="s">
        <v>6542</v>
      </c>
      <c r="B41" t="s">
        <v>6171</v>
      </c>
      <c r="C41" s="959">
        <v>45497</v>
      </c>
      <c r="D41" t="s">
        <v>6515</v>
      </c>
      <c r="E41">
        <v>44</v>
      </c>
      <c r="F41">
        <v>44</v>
      </c>
      <c r="G41">
        <v>44</v>
      </c>
      <c r="H41">
        <v>44</v>
      </c>
      <c r="I41">
        <v>44</v>
      </c>
      <c r="J41" t="s">
        <v>5415</v>
      </c>
      <c r="K41">
        <v>44</v>
      </c>
      <c r="L41">
        <v>230</v>
      </c>
      <c r="M41">
        <v>10120</v>
      </c>
      <c r="N41">
        <v>44</v>
      </c>
      <c r="O41">
        <v>44</v>
      </c>
    </row>
    <row r="42" spans="1:15" hidden="1" x14ac:dyDescent="0.2">
      <c r="A42" s="958" t="s">
        <v>6290</v>
      </c>
      <c r="B42" t="s">
        <v>6171</v>
      </c>
      <c r="C42" s="959">
        <v>45497</v>
      </c>
      <c r="D42" t="s">
        <v>5141</v>
      </c>
      <c r="E42">
        <v>44</v>
      </c>
      <c r="F42">
        <v>44</v>
      </c>
      <c r="G42">
        <v>44</v>
      </c>
      <c r="H42">
        <v>44</v>
      </c>
      <c r="I42">
        <v>44</v>
      </c>
      <c r="J42" t="s">
        <v>5416</v>
      </c>
      <c r="K42">
        <v>44</v>
      </c>
      <c r="L42">
        <v>230</v>
      </c>
      <c r="M42">
        <v>10120</v>
      </c>
      <c r="N42">
        <v>44</v>
      </c>
      <c r="O42">
        <v>44</v>
      </c>
    </row>
    <row r="43" spans="1:15" hidden="1" x14ac:dyDescent="0.2">
      <c r="A43" s="958" t="s">
        <v>6291</v>
      </c>
      <c r="B43" t="s">
        <v>6171</v>
      </c>
      <c r="C43" s="959">
        <v>45497</v>
      </c>
      <c r="D43" t="s">
        <v>5142</v>
      </c>
      <c r="E43">
        <v>8</v>
      </c>
      <c r="F43">
        <v>8</v>
      </c>
      <c r="G43">
        <v>8</v>
      </c>
      <c r="H43">
        <v>8</v>
      </c>
      <c r="I43">
        <v>8</v>
      </c>
      <c r="J43" t="s">
        <v>5417</v>
      </c>
      <c r="K43">
        <v>8</v>
      </c>
      <c r="L43">
        <v>313</v>
      </c>
      <c r="M43">
        <v>2504</v>
      </c>
      <c r="N43">
        <v>8</v>
      </c>
      <c r="O43">
        <v>8</v>
      </c>
    </row>
    <row r="44" spans="1:15" hidden="1" x14ac:dyDescent="0.2">
      <c r="A44" s="958" t="s">
        <v>6292</v>
      </c>
      <c r="B44" t="s">
        <v>6171</v>
      </c>
      <c r="C44" s="959">
        <v>45497</v>
      </c>
      <c r="D44" t="s">
        <v>5143</v>
      </c>
      <c r="E44">
        <v>8</v>
      </c>
      <c r="F44">
        <v>8</v>
      </c>
      <c r="G44">
        <v>8</v>
      </c>
      <c r="H44">
        <v>8</v>
      </c>
      <c r="I44">
        <v>8</v>
      </c>
      <c r="J44" t="s">
        <v>5418</v>
      </c>
      <c r="K44">
        <v>8</v>
      </c>
      <c r="L44">
        <v>313</v>
      </c>
      <c r="M44">
        <v>2504</v>
      </c>
      <c r="N44">
        <v>8</v>
      </c>
      <c r="O44">
        <v>8</v>
      </c>
    </row>
    <row r="45" spans="1:15" hidden="1" x14ac:dyDescent="0.2">
      <c r="A45" s="958" t="s">
        <v>6293</v>
      </c>
      <c r="B45" t="s">
        <v>6171</v>
      </c>
      <c r="C45" s="959">
        <v>45497</v>
      </c>
      <c r="D45" t="s">
        <v>5144</v>
      </c>
      <c r="E45">
        <v>104</v>
      </c>
      <c r="F45">
        <v>104</v>
      </c>
      <c r="G45">
        <v>104</v>
      </c>
      <c r="H45">
        <v>104</v>
      </c>
      <c r="I45">
        <v>104</v>
      </c>
      <c r="J45" t="s">
        <v>5419</v>
      </c>
      <c r="K45">
        <v>104</v>
      </c>
      <c r="L45">
        <v>335</v>
      </c>
      <c r="M45">
        <v>34840</v>
      </c>
      <c r="N45">
        <v>104</v>
      </c>
      <c r="O45">
        <v>104</v>
      </c>
    </row>
    <row r="46" spans="1:15" hidden="1" x14ac:dyDescent="0.2">
      <c r="A46" s="958" t="s">
        <v>6294</v>
      </c>
      <c r="B46" t="s">
        <v>6171</v>
      </c>
      <c r="C46" s="959">
        <v>45497</v>
      </c>
      <c r="D46" t="s">
        <v>5145</v>
      </c>
      <c r="E46">
        <v>104</v>
      </c>
      <c r="F46">
        <v>104</v>
      </c>
      <c r="G46">
        <v>104</v>
      </c>
      <c r="H46">
        <v>104</v>
      </c>
      <c r="I46">
        <v>104</v>
      </c>
      <c r="J46" t="s">
        <v>5420</v>
      </c>
      <c r="K46">
        <v>104</v>
      </c>
      <c r="L46">
        <v>335</v>
      </c>
      <c r="M46">
        <v>34840</v>
      </c>
      <c r="N46">
        <v>104</v>
      </c>
      <c r="O46">
        <v>104</v>
      </c>
    </row>
    <row r="47" spans="1:15" hidden="1" x14ac:dyDescent="0.2">
      <c r="A47" s="958" t="s">
        <v>6295</v>
      </c>
      <c r="B47" t="s">
        <v>6172</v>
      </c>
      <c r="C47" s="959">
        <v>45498</v>
      </c>
      <c r="D47" t="s">
        <v>2234</v>
      </c>
      <c r="E47">
        <v>2592</v>
      </c>
      <c r="F47">
        <v>2592</v>
      </c>
      <c r="G47">
        <v>2592</v>
      </c>
      <c r="H47">
        <v>2592</v>
      </c>
      <c r="I47">
        <v>2592</v>
      </c>
      <c r="J47" t="s">
        <v>6173</v>
      </c>
      <c r="K47">
        <v>2592</v>
      </c>
      <c r="L47">
        <v>27.6</v>
      </c>
      <c r="M47">
        <v>71539.199999999997</v>
      </c>
      <c r="N47">
        <v>2592</v>
      </c>
      <c r="O47">
        <v>2592</v>
      </c>
    </row>
    <row r="48" spans="1:15" hidden="1" x14ac:dyDescent="0.2">
      <c r="A48" s="958" t="s">
        <v>6296</v>
      </c>
      <c r="B48" t="s">
        <v>6174</v>
      </c>
      <c r="C48" s="959">
        <v>45498</v>
      </c>
      <c r="D48" t="s">
        <v>2963</v>
      </c>
      <c r="E48">
        <v>2035.8</v>
      </c>
      <c r="F48">
        <v>2035.8</v>
      </c>
      <c r="G48">
        <v>2035.8</v>
      </c>
      <c r="H48">
        <v>2035.8</v>
      </c>
      <c r="I48">
        <v>2035.8</v>
      </c>
      <c r="J48" t="s">
        <v>5363</v>
      </c>
      <c r="K48">
        <v>2035.8</v>
      </c>
      <c r="L48">
        <v>74.989999999999995</v>
      </c>
      <c r="M48">
        <v>152672.79</v>
      </c>
      <c r="N48">
        <v>2035.8</v>
      </c>
      <c r="O48">
        <v>2035.8</v>
      </c>
    </row>
    <row r="49" spans="1:15" hidden="1" x14ac:dyDescent="0.2">
      <c r="A49" s="958" t="s">
        <v>6543</v>
      </c>
      <c r="B49" t="s">
        <v>6175</v>
      </c>
      <c r="C49" s="959">
        <v>45498</v>
      </c>
      <c r="D49" t="s">
        <v>6516</v>
      </c>
      <c r="E49">
        <v>16</v>
      </c>
      <c r="F49">
        <v>16</v>
      </c>
      <c r="G49">
        <v>16</v>
      </c>
      <c r="H49">
        <v>16</v>
      </c>
      <c r="I49">
        <v>16</v>
      </c>
      <c r="J49" t="s">
        <v>6790</v>
      </c>
      <c r="K49">
        <v>16</v>
      </c>
      <c r="L49">
        <v>5200</v>
      </c>
      <c r="M49">
        <v>83200</v>
      </c>
      <c r="N49">
        <v>16</v>
      </c>
      <c r="O49">
        <v>16</v>
      </c>
    </row>
    <row r="50" spans="1:15" hidden="1" x14ac:dyDescent="0.2">
      <c r="A50" s="958" t="s">
        <v>6544</v>
      </c>
      <c r="B50" t="s">
        <v>6175</v>
      </c>
      <c r="C50" s="959">
        <v>45498</v>
      </c>
      <c r="D50" t="s">
        <v>6517</v>
      </c>
      <c r="E50">
        <v>16</v>
      </c>
      <c r="F50">
        <v>16</v>
      </c>
      <c r="G50">
        <v>16</v>
      </c>
      <c r="H50">
        <v>16</v>
      </c>
      <c r="I50">
        <v>16</v>
      </c>
      <c r="J50" t="s">
        <v>6791</v>
      </c>
      <c r="K50">
        <v>16</v>
      </c>
      <c r="L50">
        <v>4100</v>
      </c>
      <c r="M50">
        <v>65600</v>
      </c>
      <c r="N50">
        <v>16</v>
      </c>
      <c r="O50">
        <v>16</v>
      </c>
    </row>
    <row r="51" spans="1:15" hidden="1" x14ac:dyDescent="0.2">
      <c r="A51" s="958" t="s">
        <v>6545</v>
      </c>
      <c r="B51" t="s">
        <v>6175</v>
      </c>
      <c r="C51" s="959">
        <v>45498</v>
      </c>
      <c r="D51" t="s">
        <v>6518</v>
      </c>
      <c r="E51">
        <v>16</v>
      </c>
      <c r="F51">
        <v>16</v>
      </c>
      <c r="G51">
        <v>16</v>
      </c>
      <c r="H51">
        <v>16</v>
      </c>
      <c r="I51">
        <v>16</v>
      </c>
      <c r="J51" t="s">
        <v>6792</v>
      </c>
      <c r="K51">
        <v>16</v>
      </c>
      <c r="L51">
        <v>3600</v>
      </c>
      <c r="M51">
        <v>57600</v>
      </c>
      <c r="N51">
        <v>16</v>
      </c>
      <c r="O51">
        <v>16</v>
      </c>
    </row>
    <row r="52" spans="1:15" hidden="1" x14ac:dyDescent="0.2">
      <c r="A52" s="958" t="s">
        <v>6546</v>
      </c>
      <c r="B52" t="s">
        <v>6175</v>
      </c>
      <c r="C52" s="959">
        <v>45498</v>
      </c>
      <c r="D52" t="s">
        <v>6519</v>
      </c>
      <c r="E52">
        <v>16</v>
      </c>
      <c r="F52">
        <v>16</v>
      </c>
      <c r="G52">
        <v>16</v>
      </c>
      <c r="H52">
        <v>16</v>
      </c>
      <c r="I52">
        <v>16</v>
      </c>
      <c r="J52" t="s">
        <v>6793</v>
      </c>
      <c r="K52">
        <v>16</v>
      </c>
      <c r="L52">
        <v>3300</v>
      </c>
      <c r="M52">
        <v>52800</v>
      </c>
      <c r="N52">
        <v>16</v>
      </c>
      <c r="O52">
        <v>16</v>
      </c>
    </row>
    <row r="53" spans="1:15" hidden="1" x14ac:dyDescent="0.2">
      <c r="A53" s="958" t="s">
        <v>6547</v>
      </c>
      <c r="B53" t="s">
        <v>6175</v>
      </c>
      <c r="C53" s="959">
        <v>45498</v>
      </c>
      <c r="D53" t="s">
        <v>6520</v>
      </c>
      <c r="E53">
        <v>16</v>
      </c>
      <c r="F53">
        <v>16</v>
      </c>
      <c r="G53">
        <v>16</v>
      </c>
      <c r="H53">
        <v>16</v>
      </c>
      <c r="I53">
        <v>16</v>
      </c>
      <c r="J53" t="s">
        <v>6794</v>
      </c>
      <c r="K53">
        <v>16</v>
      </c>
      <c r="L53">
        <v>3100</v>
      </c>
      <c r="M53">
        <v>49600</v>
      </c>
      <c r="N53">
        <v>16</v>
      </c>
      <c r="O53">
        <v>16</v>
      </c>
    </row>
    <row r="54" spans="1:15" hidden="1" x14ac:dyDescent="0.2">
      <c r="A54" s="958" t="s">
        <v>6297</v>
      </c>
      <c r="B54" t="s">
        <v>6176</v>
      </c>
      <c r="C54" s="959">
        <v>45498</v>
      </c>
      <c r="D54" t="s">
        <v>5056</v>
      </c>
      <c r="E54">
        <v>86</v>
      </c>
      <c r="F54">
        <v>172</v>
      </c>
      <c r="H54">
        <v>86</v>
      </c>
      <c r="J54" t="s">
        <v>5442</v>
      </c>
      <c r="K54">
        <v>86</v>
      </c>
      <c r="L54">
        <v>2750</v>
      </c>
      <c r="M54">
        <v>236500</v>
      </c>
      <c r="N54">
        <v>86</v>
      </c>
      <c r="O54">
        <v>86</v>
      </c>
    </row>
    <row r="55" spans="1:15" hidden="1" x14ac:dyDescent="0.2">
      <c r="A55" s="958" t="s">
        <v>6298</v>
      </c>
      <c r="B55" t="s">
        <v>6176</v>
      </c>
      <c r="C55" s="959">
        <v>45498</v>
      </c>
      <c r="D55" t="s">
        <v>5058</v>
      </c>
      <c r="E55">
        <v>56</v>
      </c>
      <c r="F55">
        <v>56</v>
      </c>
      <c r="G55">
        <v>56</v>
      </c>
      <c r="H55">
        <v>56</v>
      </c>
      <c r="I55">
        <v>56</v>
      </c>
      <c r="J55" t="s">
        <v>5444</v>
      </c>
      <c r="K55">
        <v>56</v>
      </c>
      <c r="L55">
        <v>2700</v>
      </c>
      <c r="M55">
        <v>151200</v>
      </c>
      <c r="N55">
        <v>56</v>
      </c>
      <c r="O55">
        <v>56</v>
      </c>
    </row>
    <row r="56" spans="1:15" hidden="1" x14ac:dyDescent="0.2">
      <c r="A56" s="958" t="s">
        <v>6299</v>
      </c>
      <c r="B56" t="s">
        <v>6176</v>
      </c>
      <c r="C56" s="959">
        <v>45498</v>
      </c>
      <c r="D56" t="s">
        <v>5057</v>
      </c>
      <c r="E56">
        <v>2</v>
      </c>
      <c r="F56">
        <v>4</v>
      </c>
      <c r="H56">
        <v>2</v>
      </c>
      <c r="J56" t="s">
        <v>5443</v>
      </c>
      <c r="K56">
        <v>2</v>
      </c>
      <c r="L56">
        <v>2600</v>
      </c>
      <c r="M56">
        <v>5200</v>
      </c>
      <c r="N56">
        <v>2</v>
      </c>
      <c r="O56">
        <v>2</v>
      </c>
    </row>
    <row r="57" spans="1:15" hidden="1" x14ac:dyDescent="0.2">
      <c r="A57" s="958" t="s">
        <v>6300</v>
      </c>
      <c r="B57" t="s">
        <v>6176</v>
      </c>
      <c r="C57" s="959">
        <v>45498</v>
      </c>
      <c r="D57" t="s">
        <v>5055</v>
      </c>
      <c r="E57">
        <v>6</v>
      </c>
      <c r="F57">
        <v>6</v>
      </c>
      <c r="G57">
        <v>6</v>
      </c>
      <c r="H57">
        <v>6</v>
      </c>
      <c r="I57">
        <v>6</v>
      </c>
      <c r="J57" t="s">
        <v>5441</v>
      </c>
      <c r="K57">
        <v>6</v>
      </c>
      <c r="L57">
        <v>2500</v>
      </c>
      <c r="M57">
        <v>15000</v>
      </c>
      <c r="N57">
        <v>6</v>
      </c>
    </row>
    <row r="58" spans="1:15" hidden="1" x14ac:dyDescent="0.2">
      <c r="A58" s="958" t="s">
        <v>6301</v>
      </c>
      <c r="B58" t="s">
        <v>6176</v>
      </c>
      <c r="C58" s="959">
        <v>45498</v>
      </c>
      <c r="D58" t="s">
        <v>5139</v>
      </c>
      <c r="E58">
        <v>4</v>
      </c>
      <c r="F58">
        <v>4</v>
      </c>
      <c r="G58">
        <v>4</v>
      </c>
      <c r="H58">
        <v>4</v>
      </c>
      <c r="I58">
        <v>4</v>
      </c>
      <c r="J58" t="s">
        <v>6133</v>
      </c>
      <c r="K58">
        <v>4</v>
      </c>
      <c r="L58">
        <v>2400</v>
      </c>
      <c r="M58">
        <v>9600</v>
      </c>
      <c r="N58">
        <v>4</v>
      </c>
      <c r="O58">
        <v>4</v>
      </c>
    </row>
    <row r="59" spans="1:15" hidden="1" x14ac:dyDescent="0.2">
      <c r="A59" s="958" t="s">
        <v>6302</v>
      </c>
      <c r="B59" t="s">
        <v>6176</v>
      </c>
      <c r="C59" s="959">
        <v>45498</v>
      </c>
      <c r="D59" t="s">
        <v>5054</v>
      </c>
      <c r="E59">
        <v>12</v>
      </c>
      <c r="F59">
        <v>12</v>
      </c>
      <c r="G59">
        <v>12</v>
      </c>
      <c r="H59">
        <v>12</v>
      </c>
      <c r="I59">
        <v>12</v>
      </c>
      <c r="J59" t="s">
        <v>5440</v>
      </c>
      <c r="K59">
        <v>12</v>
      </c>
      <c r="L59">
        <v>2300</v>
      </c>
      <c r="M59">
        <v>27600</v>
      </c>
      <c r="N59">
        <v>12</v>
      </c>
      <c r="O59">
        <v>12</v>
      </c>
    </row>
    <row r="60" spans="1:15" hidden="1" x14ac:dyDescent="0.2">
      <c r="A60" s="958" t="s">
        <v>6303</v>
      </c>
      <c r="B60" t="s">
        <v>6176</v>
      </c>
      <c r="C60" s="959">
        <v>45498</v>
      </c>
      <c r="D60" t="s">
        <v>5136</v>
      </c>
      <c r="E60">
        <v>4</v>
      </c>
      <c r="F60">
        <v>4</v>
      </c>
      <c r="G60">
        <v>4</v>
      </c>
      <c r="H60">
        <v>4</v>
      </c>
      <c r="I60">
        <v>4</v>
      </c>
      <c r="J60" t="s">
        <v>6130</v>
      </c>
      <c r="K60">
        <v>4</v>
      </c>
      <c r="L60">
        <v>2350</v>
      </c>
      <c r="M60">
        <v>9400</v>
      </c>
      <c r="N60">
        <v>4</v>
      </c>
      <c r="O60">
        <v>4</v>
      </c>
    </row>
    <row r="61" spans="1:15" hidden="1" x14ac:dyDescent="0.2">
      <c r="A61" s="958" t="s">
        <v>6304</v>
      </c>
      <c r="B61" t="s">
        <v>6176</v>
      </c>
      <c r="C61" s="959">
        <v>45498</v>
      </c>
      <c r="D61" t="s">
        <v>5137</v>
      </c>
      <c r="E61">
        <v>4</v>
      </c>
      <c r="F61">
        <v>4</v>
      </c>
      <c r="G61">
        <v>4</v>
      </c>
      <c r="H61">
        <v>4</v>
      </c>
      <c r="I61">
        <v>4</v>
      </c>
      <c r="J61" t="s">
        <v>6131</v>
      </c>
      <c r="K61">
        <v>4</v>
      </c>
      <c r="L61">
        <v>2000</v>
      </c>
      <c r="M61">
        <v>8000</v>
      </c>
      <c r="N61">
        <v>4</v>
      </c>
      <c r="O61">
        <v>4</v>
      </c>
    </row>
    <row r="62" spans="1:15" hidden="1" x14ac:dyDescent="0.2">
      <c r="A62" s="958" t="s">
        <v>6305</v>
      </c>
      <c r="B62" t="s">
        <v>6176</v>
      </c>
      <c r="C62" s="959">
        <v>45498</v>
      </c>
      <c r="D62" t="s">
        <v>5053</v>
      </c>
      <c r="E62">
        <v>2</v>
      </c>
      <c r="F62">
        <v>2</v>
      </c>
      <c r="G62">
        <v>2</v>
      </c>
      <c r="H62">
        <v>2</v>
      </c>
      <c r="I62">
        <v>2</v>
      </c>
      <c r="J62" t="s">
        <v>5439</v>
      </c>
      <c r="K62">
        <v>2</v>
      </c>
      <c r="L62">
        <v>4400</v>
      </c>
      <c r="M62">
        <v>8800</v>
      </c>
      <c r="N62">
        <v>2</v>
      </c>
      <c r="O62">
        <v>2</v>
      </c>
    </row>
    <row r="63" spans="1:15" hidden="1" x14ac:dyDescent="0.2">
      <c r="A63" s="958" t="s">
        <v>6306</v>
      </c>
      <c r="B63" t="s">
        <v>6176</v>
      </c>
      <c r="C63" s="959">
        <v>45498</v>
      </c>
      <c r="D63" t="s">
        <v>5052</v>
      </c>
      <c r="E63">
        <v>2</v>
      </c>
      <c r="F63">
        <v>2</v>
      </c>
      <c r="G63">
        <v>2</v>
      </c>
      <c r="H63">
        <v>2</v>
      </c>
      <c r="I63">
        <v>2</v>
      </c>
      <c r="J63" t="s">
        <v>5438</v>
      </c>
      <c r="K63">
        <v>2</v>
      </c>
      <c r="L63">
        <v>3800</v>
      </c>
      <c r="M63">
        <v>7600</v>
      </c>
      <c r="N63">
        <v>2</v>
      </c>
      <c r="O63">
        <v>2</v>
      </c>
    </row>
    <row r="64" spans="1:15" hidden="1" x14ac:dyDescent="0.2">
      <c r="A64" s="958" t="s">
        <v>6307</v>
      </c>
      <c r="B64" t="s">
        <v>6176</v>
      </c>
      <c r="C64" s="959">
        <v>45498</v>
      </c>
      <c r="D64" t="s">
        <v>5051</v>
      </c>
      <c r="E64">
        <v>18</v>
      </c>
      <c r="F64">
        <v>18</v>
      </c>
      <c r="G64">
        <v>18</v>
      </c>
      <c r="H64">
        <v>18</v>
      </c>
      <c r="I64">
        <v>18</v>
      </c>
      <c r="J64" t="s">
        <v>5437</v>
      </c>
      <c r="K64">
        <v>18</v>
      </c>
      <c r="L64">
        <v>1611</v>
      </c>
      <c r="M64">
        <v>28998</v>
      </c>
      <c r="N64">
        <v>18</v>
      </c>
      <c r="O64">
        <v>18</v>
      </c>
    </row>
    <row r="65" spans="1:15" hidden="1" x14ac:dyDescent="0.2">
      <c r="A65" s="958" t="s">
        <v>6308</v>
      </c>
      <c r="B65" t="s">
        <v>6176</v>
      </c>
      <c r="C65" s="959">
        <v>45498</v>
      </c>
      <c r="D65" t="s">
        <v>5047</v>
      </c>
      <c r="E65">
        <v>14</v>
      </c>
      <c r="F65">
        <v>14</v>
      </c>
      <c r="G65">
        <v>14</v>
      </c>
      <c r="H65">
        <v>14</v>
      </c>
      <c r="I65">
        <v>14</v>
      </c>
      <c r="J65" t="s">
        <v>5434</v>
      </c>
      <c r="K65">
        <v>14</v>
      </c>
      <c r="L65">
        <v>800</v>
      </c>
      <c r="M65">
        <v>11200</v>
      </c>
      <c r="N65">
        <v>14</v>
      </c>
      <c r="O65">
        <v>14</v>
      </c>
    </row>
    <row r="66" spans="1:15" hidden="1" x14ac:dyDescent="0.2">
      <c r="A66" s="958" t="s">
        <v>6309</v>
      </c>
      <c r="B66" t="s">
        <v>6176</v>
      </c>
      <c r="C66" s="959">
        <v>45498</v>
      </c>
      <c r="D66" t="s">
        <v>5048</v>
      </c>
      <c r="E66">
        <v>2</v>
      </c>
      <c r="F66">
        <v>2</v>
      </c>
      <c r="G66">
        <v>2</v>
      </c>
      <c r="H66">
        <v>2</v>
      </c>
      <c r="I66">
        <v>2</v>
      </c>
      <c r="J66" t="s">
        <v>5435</v>
      </c>
      <c r="K66">
        <v>2</v>
      </c>
      <c r="L66">
        <v>700</v>
      </c>
      <c r="M66">
        <v>1400</v>
      </c>
      <c r="N66">
        <v>2</v>
      </c>
      <c r="O66">
        <v>2</v>
      </c>
    </row>
    <row r="67" spans="1:15" hidden="1" x14ac:dyDescent="0.2">
      <c r="A67" s="958" t="s">
        <v>6310</v>
      </c>
      <c r="B67" t="s">
        <v>6176</v>
      </c>
      <c r="C67" s="959">
        <v>45498</v>
      </c>
      <c r="D67" t="s">
        <v>5049</v>
      </c>
      <c r="E67">
        <v>56</v>
      </c>
      <c r="F67">
        <v>56</v>
      </c>
      <c r="G67">
        <v>56</v>
      </c>
      <c r="H67">
        <v>56</v>
      </c>
      <c r="I67">
        <v>56</v>
      </c>
      <c r="J67" t="s">
        <v>5436</v>
      </c>
      <c r="K67">
        <v>56</v>
      </c>
      <c r="L67">
        <v>900</v>
      </c>
      <c r="M67">
        <v>50400</v>
      </c>
      <c r="N67">
        <v>56</v>
      </c>
      <c r="O67">
        <v>56</v>
      </c>
    </row>
    <row r="68" spans="1:15" hidden="1" x14ac:dyDescent="0.2">
      <c r="A68" s="958" t="s">
        <v>6311</v>
      </c>
      <c r="B68" t="s">
        <v>6176</v>
      </c>
      <c r="C68" s="959">
        <v>45498</v>
      </c>
      <c r="D68" t="s">
        <v>5138</v>
      </c>
      <c r="E68">
        <v>4</v>
      </c>
      <c r="F68">
        <v>4</v>
      </c>
      <c r="G68">
        <v>4</v>
      </c>
      <c r="H68">
        <v>4</v>
      </c>
      <c r="I68">
        <v>4</v>
      </c>
      <c r="J68" t="s">
        <v>6132</v>
      </c>
      <c r="K68">
        <v>4</v>
      </c>
      <c r="L68">
        <v>1200</v>
      </c>
      <c r="M68">
        <v>4800</v>
      </c>
      <c r="N68">
        <v>4</v>
      </c>
      <c r="O68">
        <v>4</v>
      </c>
    </row>
    <row r="69" spans="1:15" hidden="1" x14ac:dyDescent="0.2">
      <c r="A69" s="958" t="s">
        <v>6312</v>
      </c>
      <c r="B69" t="s">
        <v>6176</v>
      </c>
      <c r="C69" s="959">
        <v>45498</v>
      </c>
      <c r="D69" t="s">
        <v>5045</v>
      </c>
      <c r="E69">
        <v>10</v>
      </c>
      <c r="F69">
        <v>10</v>
      </c>
      <c r="G69">
        <v>6</v>
      </c>
      <c r="H69">
        <v>6</v>
      </c>
      <c r="I69">
        <v>6</v>
      </c>
      <c r="J69" t="s">
        <v>5433</v>
      </c>
      <c r="K69">
        <v>10</v>
      </c>
      <c r="L69">
        <v>300</v>
      </c>
      <c r="M69">
        <v>3000</v>
      </c>
      <c r="N69">
        <v>6</v>
      </c>
      <c r="O69">
        <v>6</v>
      </c>
    </row>
    <row r="70" spans="1:15" hidden="1" x14ac:dyDescent="0.2">
      <c r="A70" s="958" t="s">
        <v>6313</v>
      </c>
      <c r="B70" t="s">
        <v>6176</v>
      </c>
      <c r="C70" s="959">
        <v>45498</v>
      </c>
      <c r="D70" t="s">
        <v>5044</v>
      </c>
      <c r="E70">
        <v>220</v>
      </c>
      <c r="F70">
        <v>220</v>
      </c>
      <c r="G70">
        <v>216</v>
      </c>
      <c r="H70">
        <v>216</v>
      </c>
      <c r="I70">
        <v>216</v>
      </c>
      <c r="J70" t="s">
        <v>5432</v>
      </c>
      <c r="K70">
        <v>220</v>
      </c>
      <c r="L70">
        <v>392.73</v>
      </c>
      <c r="M70">
        <v>86400</v>
      </c>
      <c r="N70">
        <v>216</v>
      </c>
      <c r="O70">
        <v>216</v>
      </c>
    </row>
    <row r="71" spans="1:15" hidden="1" x14ac:dyDescent="0.2">
      <c r="A71" s="958" t="s">
        <v>6314</v>
      </c>
      <c r="B71" t="s">
        <v>6177</v>
      </c>
      <c r="C71" s="959">
        <v>45499</v>
      </c>
      <c r="D71" t="s">
        <v>5158</v>
      </c>
      <c r="E71">
        <v>1162.8</v>
      </c>
      <c r="F71">
        <v>1162.8</v>
      </c>
      <c r="G71">
        <v>1162.8</v>
      </c>
      <c r="H71">
        <v>1162.8</v>
      </c>
      <c r="I71">
        <v>1162.8</v>
      </c>
      <c r="J71" t="s">
        <v>5460</v>
      </c>
      <c r="K71">
        <v>1162.8</v>
      </c>
      <c r="L71">
        <v>136.76</v>
      </c>
      <c r="M71">
        <v>159024.99</v>
      </c>
      <c r="N71">
        <v>1162.8</v>
      </c>
      <c r="O71">
        <v>1152</v>
      </c>
    </row>
    <row r="72" spans="1:15" hidden="1" x14ac:dyDescent="0.2">
      <c r="A72" s="958" t="s">
        <v>6315</v>
      </c>
      <c r="B72" t="s">
        <v>6178</v>
      </c>
      <c r="C72" s="959">
        <v>45499</v>
      </c>
      <c r="D72" t="s">
        <v>1975</v>
      </c>
      <c r="E72">
        <v>494.4</v>
      </c>
      <c r="F72">
        <v>494.4</v>
      </c>
      <c r="G72">
        <v>494.4</v>
      </c>
      <c r="H72">
        <v>494.4</v>
      </c>
      <c r="I72">
        <v>494.4</v>
      </c>
      <c r="J72" t="s">
        <v>5270</v>
      </c>
      <c r="K72">
        <v>494.4</v>
      </c>
      <c r="L72">
        <v>68.69</v>
      </c>
      <c r="M72">
        <v>33958.61</v>
      </c>
      <c r="N72">
        <v>494.4</v>
      </c>
      <c r="O72">
        <v>484.1</v>
      </c>
    </row>
    <row r="73" spans="1:15" hidden="1" x14ac:dyDescent="0.2">
      <c r="A73" s="958" t="s">
        <v>6316</v>
      </c>
      <c r="B73" t="s">
        <v>6179</v>
      </c>
      <c r="C73" s="959">
        <v>45499</v>
      </c>
      <c r="D73" t="s">
        <v>5319</v>
      </c>
      <c r="E73">
        <v>163.35</v>
      </c>
      <c r="F73">
        <v>163.35</v>
      </c>
      <c r="J73" t="s">
        <v>5475</v>
      </c>
      <c r="K73">
        <v>163.35</v>
      </c>
      <c r="L73">
        <v>74.849999999999994</v>
      </c>
      <c r="M73">
        <v>12226.91</v>
      </c>
    </row>
    <row r="74" spans="1:15" hidden="1" x14ac:dyDescent="0.2">
      <c r="A74" s="958" t="s">
        <v>6317</v>
      </c>
      <c r="B74" t="s">
        <v>6180</v>
      </c>
      <c r="C74" s="959">
        <v>45499</v>
      </c>
      <c r="D74" t="s">
        <v>4994</v>
      </c>
      <c r="E74">
        <v>2184</v>
      </c>
      <c r="F74">
        <v>2184</v>
      </c>
      <c r="G74">
        <v>2184</v>
      </c>
      <c r="H74">
        <v>2184</v>
      </c>
      <c r="I74">
        <v>2184</v>
      </c>
      <c r="J74" t="s">
        <v>5365</v>
      </c>
      <c r="K74">
        <v>2184</v>
      </c>
      <c r="L74">
        <v>81.25</v>
      </c>
      <c r="M74">
        <v>177454.37</v>
      </c>
      <c r="N74">
        <v>2184</v>
      </c>
      <c r="O74">
        <v>2124</v>
      </c>
    </row>
    <row r="75" spans="1:15" hidden="1" x14ac:dyDescent="0.2">
      <c r="A75" s="958" t="s">
        <v>6318</v>
      </c>
      <c r="B75" t="s">
        <v>6180</v>
      </c>
      <c r="C75" s="959">
        <v>45499</v>
      </c>
      <c r="D75" t="s">
        <v>4998</v>
      </c>
      <c r="E75">
        <v>240</v>
      </c>
      <c r="F75">
        <v>240</v>
      </c>
      <c r="G75">
        <v>240</v>
      </c>
      <c r="H75">
        <v>240</v>
      </c>
      <c r="I75">
        <v>240</v>
      </c>
      <c r="J75" t="s">
        <v>6123</v>
      </c>
      <c r="K75">
        <v>240</v>
      </c>
      <c r="L75">
        <v>113.78</v>
      </c>
      <c r="M75">
        <v>27306</v>
      </c>
      <c r="N75">
        <v>240</v>
      </c>
      <c r="O75">
        <v>240</v>
      </c>
    </row>
    <row r="76" spans="1:15" hidden="1" x14ac:dyDescent="0.2">
      <c r="A76" s="958" t="s">
        <v>6319</v>
      </c>
      <c r="B76" t="s">
        <v>6181</v>
      </c>
      <c r="C76" s="959">
        <v>45502</v>
      </c>
      <c r="D76" t="s">
        <v>4378</v>
      </c>
      <c r="E76">
        <v>1392</v>
      </c>
      <c r="F76">
        <v>1392</v>
      </c>
      <c r="G76">
        <v>1392</v>
      </c>
      <c r="H76">
        <v>1392</v>
      </c>
      <c r="I76">
        <v>1392</v>
      </c>
      <c r="J76" t="s">
        <v>5076</v>
      </c>
      <c r="K76">
        <v>1392</v>
      </c>
      <c r="L76">
        <v>93.13</v>
      </c>
      <c r="M76">
        <v>129635.57</v>
      </c>
      <c r="N76">
        <v>1392</v>
      </c>
      <c r="O76">
        <v>1356</v>
      </c>
    </row>
    <row r="77" spans="1:15" hidden="1" x14ac:dyDescent="0.2">
      <c r="A77" s="958" t="s">
        <v>6320</v>
      </c>
      <c r="B77" t="s">
        <v>6182</v>
      </c>
      <c r="C77" s="959">
        <v>45503</v>
      </c>
      <c r="D77" t="s">
        <v>5405</v>
      </c>
      <c r="E77">
        <v>2586</v>
      </c>
      <c r="F77">
        <v>2586</v>
      </c>
      <c r="G77">
        <v>2586</v>
      </c>
      <c r="H77">
        <v>2586</v>
      </c>
      <c r="I77">
        <v>2586</v>
      </c>
      <c r="J77" t="s">
        <v>6018</v>
      </c>
      <c r="K77">
        <v>2586</v>
      </c>
      <c r="L77">
        <v>41.88</v>
      </c>
      <c r="M77">
        <v>108304.27</v>
      </c>
      <c r="N77">
        <v>2586</v>
      </c>
      <c r="O77">
        <v>2586</v>
      </c>
    </row>
    <row r="78" spans="1:15" hidden="1" x14ac:dyDescent="0.2">
      <c r="A78" s="958" t="s">
        <v>6321</v>
      </c>
      <c r="B78" t="s">
        <v>6182</v>
      </c>
      <c r="C78" s="959">
        <v>45503</v>
      </c>
      <c r="D78" t="s">
        <v>5397</v>
      </c>
      <c r="E78">
        <v>1986</v>
      </c>
      <c r="F78">
        <v>1986</v>
      </c>
      <c r="G78">
        <v>1986</v>
      </c>
      <c r="H78">
        <v>1986</v>
      </c>
      <c r="I78">
        <v>1986</v>
      </c>
      <c r="J78" t="s">
        <v>5398</v>
      </c>
      <c r="K78">
        <v>1986</v>
      </c>
      <c r="L78">
        <v>34.07</v>
      </c>
      <c r="M78">
        <v>67661.03</v>
      </c>
      <c r="N78">
        <v>1986</v>
      </c>
      <c r="O78">
        <v>1986</v>
      </c>
    </row>
    <row r="79" spans="1:15" hidden="1" x14ac:dyDescent="0.2">
      <c r="A79" s="958" t="s">
        <v>6322</v>
      </c>
      <c r="B79" t="s">
        <v>6182</v>
      </c>
      <c r="C79" s="959">
        <v>45503</v>
      </c>
      <c r="D79" t="s">
        <v>5427</v>
      </c>
      <c r="E79">
        <v>1020</v>
      </c>
      <c r="F79">
        <v>1020</v>
      </c>
      <c r="G79">
        <v>1020</v>
      </c>
      <c r="H79">
        <v>1020</v>
      </c>
      <c r="I79">
        <v>1020</v>
      </c>
      <c r="J79" t="s">
        <v>5428</v>
      </c>
      <c r="K79">
        <v>1020</v>
      </c>
      <c r="L79">
        <v>68.56</v>
      </c>
      <c r="M79">
        <v>69930.789999999994</v>
      </c>
      <c r="N79">
        <v>1020</v>
      </c>
      <c r="O79">
        <v>1020</v>
      </c>
    </row>
    <row r="80" spans="1:15" hidden="1" x14ac:dyDescent="0.2">
      <c r="A80" s="958" t="s">
        <v>6323</v>
      </c>
      <c r="B80" t="s">
        <v>6183</v>
      </c>
      <c r="C80" s="959">
        <v>45503</v>
      </c>
      <c r="D80" t="s">
        <v>4276</v>
      </c>
      <c r="E80">
        <v>4917.25</v>
      </c>
      <c r="F80">
        <v>4917.25</v>
      </c>
      <c r="G80">
        <v>4917.25</v>
      </c>
      <c r="H80">
        <v>4917.25</v>
      </c>
      <c r="I80">
        <v>4917.25</v>
      </c>
      <c r="J80" t="s">
        <v>6712</v>
      </c>
      <c r="K80">
        <v>4917.25</v>
      </c>
      <c r="L80">
        <v>136.53</v>
      </c>
      <c r="M80">
        <v>671334.93</v>
      </c>
      <c r="N80">
        <v>4917.25</v>
      </c>
      <c r="O80">
        <v>4863.8500000000004</v>
      </c>
    </row>
    <row r="81" spans="1:15" hidden="1" x14ac:dyDescent="0.2">
      <c r="A81" s="958" t="s">
        <v>6324</v>
      </c>
      <c r="B81" t="s">
        <v>6183</v>
      </c>
      <c r="C81" s="959">
        <v>45503</v>
      </c>
      <c r="D81" t="s">
        <v>6008</v>
      </c>
      <c r="E81">
        <v>1828.1</v>
      </c>
      <c r="F81">
        <v>1828.1</v>
      </c>
      <c r="G81">
        <v>1828.1</v>
      </c>
      <c r="H81">
        <v>1828.1</v>
      </c>
      <c r="I81">
        <v>1828.1</v>
      </c>
      <c r="J81" t="s">
        <v>5400</v>
      </c>
      <c r="K81">
        <v>1828.1</v>
      </c>
      <c r="L81">
        <v>115.32</v>
      </c>
      <c r="M81">
        <v>210813.75</v>
      </c>
      <c r="N81">
        <v>1828.1</v>
      </c>
      <c r="O81">
        <v>1742.25</v>
      </c>
    </row>
    <row r="82" spans="1:15" hidden="1" x14ac:dyDescent="0.2">
      <c r="A82" s="958" t="s">
        <v>6325</v>
      </c>
      <c r="B82" t="s">
        <v>6184</v>
      </c>
      <c r="C82" s="959">
        <v>45503</v>
      </c>
      <c r="D82" t="s">
        <v>5232</v>
      </c>
      <c r="E82">
        <v>193.2</v>
      </c>
      <c r="F82">
        <v>193.2</v>
      </c>
      <c r="G82">
        <v>193.2</v>
      </c>
      <c r="H82">
        <v>193.2</v>
      </c>
      <c r="I82">
        <v>193.2</v>
      </c>
      <c r="J82" t="s">
        <v>6185</v>
      </c>
      <c r="K82">
        <v>193.2</v>
      </c>
      <c r="L82">
        <v>500</v>
      </c>
      <c r="M82">
        <v>96600</v>
      </c>
      <c r="N82">
        <v>193.2</v>
      </c>
      <c r="O82">
        <v>193.2</v>
      </c>
    </row>
    <row r="83" spans="1:15" hidden="1" x14ac:dyDescent="0.2">
      <c r="A83" s="958" t="s">
        <v>6326</v>
      </c>
      <c r="B83" t="s">
        <v>6184</v>
      </c>
      <c r="C83" s="959">
        <v>45503</v>
      </c>
      <c r="D83" t="s">
        <v>5233</v>
      </c>
      <c r="E83">
        <v>11.24</v>
      </c>
      <c r="F83">
        <v>11.24</v>
      </c>
      <c r="G83">
        <v>11.24</v>
      </c>
      <c r="H83">
        <v>11.24</v>
      </c>
      <c r="I83">
        <v>11.24</v>
      </c>
      <c r="J83" t="s">
        <v>6186</v>
      </c>
      <c r="K83">
        <v>11.24</v>
      </c>
      <c r="L83">
        <v>400</v>
      </c>
      <c r="M83">
        <v>4496</v>
      </c>
      <c r="N83">
        <v>11.24</v>
      </c>
      <c r="O83">
        <v>11.24</v>
      </c>
    </row>
    <row r="84" spans="1:15" hidden="1" x14ac:dyDescent="0.2">
      <c r="A84" s="958" t="s">
        <v>6327</v>
      </c>
      <c r="B84" t="s">
        <v>6184</v>
      </c>
      <c r="C84" s="959">
        <v>45503</v>
      </c>
      <c r="D84" t="s">
        <v>5234</v>
      </c>
      <c r="E84">
        <v>345.96</v>
      </c>
      <c r="F84">
        <v>345.96</v>
      </c>
      <c r="G84">
        <v>345.96</v>
      </c>
      <c r="H84">
        <v>345.96</v>
      </c>
      <c r="I84">
        <v>345.96</v>
      </c>
      <c r="J84" t="s">
        <v>6187</v>
      </c>
      <c r="K84">
        <v>345.96</v>
      </c>
      <c r="L84">
        <v>200</v>
      </c>
      <c r="M84">
        <v>69192</v>
      </c>
      <c r="N84">
        <v>345.96</v>
      </c>
      <c r="O84">
        <v>345.96</v>
      </c>
    </row>
    <row r="85" spans="1:15" hidden="1" x14ac:dyDescent="0.2">
      <c r="A85" s="958" t="s">
        <v>6328</v>
      </c>
      <c r="B85" t="s">
        <v>6184</v>
      </c>
      <c r="C85" s="959">
        <v>45503</v>
      </c>
      <c r="D85" t="s">
        <v>5235</v>
      </c>
      <c r="E85">
        <v>72</v>
      </c>
      <c r="F85">
        <v>72</v>
      </c>
      <c r="G85">
        <v>72</v>
      </c>
      <c r="H85">
        <v>72</v>
      </c>
      <c r="I85">
        <v>72</v>
      </c>
      <c r="J85" t="s">
        <v>6188</v>
      </c>
      <c r="K85">
        <v>72</v>
      </c>
      <c r="L85">
        <v>545</v>
      </c>
      <c r="M85">
        <v>39240</v>
      </c>
      <c r="N85">
        <v>72</v>
      </c>
      <c r="O85">
        <v>72</v>
      </c>
    </row>
    <row r="86" spans="1:15" hidden="1" x14ac:dyDescent="0.2">
      <c r="A86" s="958" t="s">
        <v>6329</v>
      </c>
      <c r="B86" t="s">
        <v>6184</v>
      </c>
      <c r="C86" s="959">
        <v>45503</v>
      </c>
      <c r="D86" t="s">
        <v>5236</v>
      </c>
      <c r="E86">
        <v>23.06</v>
      </c>
      <c r="F86">
        <v>23.06</v>
      </c>
      <c r="G86">
        <v>23.06</v>
      </c>
      <c r="H86">
        <v>23.06</v>
      </c>
      <c r="I86">
        <v>23.06</v>
      </c>
      <c r="J86" t="s">
        <v>6189</v>
      </c>
      <c r="K86">
        <v>23.06</v>
      </c>
      <c r="L86">
        <v>100</v>
      </c>
      <c r="M86">
        <v>2305.6</v>
      </c>
      <c r="N86">
        <v>23.06</v>
      </c>
      <c r="O86">
        <v>23.06</v>
      </c>
    </row>
    <row r="87" spans="1:15" hidden="1" x14ac:dyDescent="0.2">
      <c r="A87" s="958" t="s">
        <v>6330</v>
      </c>
      <c r="B87" t="s">
        <v>6184</v>
      </c>
      <c r="C87" s="959">
        <v>45503</v>
      </c>
      <c r="D87" t="s">
        <v>5237</v>
      </c>
      <c r="E87">
        <v>11.92</v>
      </c>
      <c r="F87">
        <v>11.92</v>
      </c>
      <c r="G87">
        <v>11.92</v>
      </c>
      <c r="H87">
        <v>11.92</v>
      </c>
      <c r="I87">
        <v>11.92</v>
      </c>
      <c r="J87" t="s">
        <v>6190</v>
      </c>
      <c r="K87">
        <v>11.92</v>
      </c>
      <c r="L87">
        <v>100</v>
      </c>
      <c r="M87">
        <v>1192</v>
      </c>
      <c r="N87">
        <v>11.92</v>
      </c>
      <c r="O87">
        <v>11.92</v>
      </c>
    </row>
    <row r="88" spans="1:15" hidden="1" x14ac:dyDescent="0.2">
      <c r="A88" s="958" t="s">
        <v>6331</v>
      </c>
      <c r="B88" t="s">
        <v>6191</v>
      </c>
      <c r="C88" s="959">
        <v>45504</v>
      </c>
      <c r="D88" t="s">
        <v>5240</v>
      </c>
      <c r="E88">
        <v>468</v>
      </c>
      <c r="F88">
        <v>468</v>
      </c>
      <c r="G88">
        <v>468</v>
      </c>
      <c r="J88" t="s">
        <v>5808</v>
      </c>
      <c r="K88">
        <v>468</v>
      </c>
      <c r="L88">
        <v>364.17</v>
      </c>
      <c r="M88">
        <v>170430</v>
      </c>
    </row>
    <row r="89" spans="1:15" hidden="1" x14ac:dyDescent="0.2">
      <c r="A89" s="958" t="s">
        <v>6332</v>
      </c>
      <c r="B89" t="s">
        <v>6192</v>
      </c>
      <c r="C89" s="959">
        <v>45504</v>
      </c>
      <c r="D89" t="s">
        <v>5202</v>
      </c>
      <c r="E89">
        <v>2400</v>
      </c>
      <c r="F89">
        <v>2400</v>
      </c>
      <c r="G89">
        <v>2400</v>
      </c>
      <c r="H89">
        <v>2400</v>
      </c>
      <c r="I89">
        <v>2400</v>
      </c>
      <c r="J89" t="s">
        <v>6141</v>
      </c>
      <c r="K89">
        <v>2400</v>
      </c>
      <c r="L89">
        <v>44.79</v>
      </c>
      <c r="M89">
        <v>107500</v>
      </c>
      <c r="N89">
        <v>2400</v>
      </c>
      <c r="O89">
        <v>2400</v>
      </c>
    </row>
    <row r="90" spans="1:15" hidden="1" x14ac:dyDescent="0.2">
      <c r="A90" s="958" t="s">
        <v>6333</v>
      </c>
      <c r="B90" t="s">
        <v>6193</v>
      </c>
      <c r="C90" s="959">
        <v>45504</v>
      </c>
      <c r="D90" t="s">
        <v>4864</v>
      </c>
      <c r="E90">
        <v>1404</v>
      </c>
      <c r="F90">
        <v>1404</v>
      </c>
      <c r="G90">
        <v>1404</v>
      </c>
      <c r="H90">
        <v>1404</v>
      </c>
      <c r="I90">
        <v>1404</v>
      </c>
      <c r="J90" t="s">
        <v>6122</v>
      </c>
      <c r="K90">
        <v>1404</v>
      </c>
      <c r="L90">
        <v>137.83000000000001</v>
      </c>
      <c r="M90">
        <v>193519</v>
      </c>
      <c r="N90">
        <v>1404</v>
      </c>
      <c r="O90">
        <v>1377</v>
      </c>
    </row>
    <row r="91" spans="1:15" hidden="1" x14ac:dyDescent="0.2">
      <c r="A91" s="958" t="s">
        <v>6334</v>
      </c>
      <c r="B91" t="s">
        <v>6194</v>
      </c>
      <c r="C91" s="959">
        <v>45504</v>
      </c>
      <c r="D91" t="s">
        <v>4461</v>
      </c>
      <c r="E91">
        <v>594</v>
      </c>
      <c r="F91">
        <v>594</v>
      </c>
      <c r="G91">
        <v>594</v>
      </c>
      <c r="H91">
        <v>594</v>
      </c>
      <c r="I91">
        <v>594</v>
      </c>
      <c r="J91" t="s">
        <v>5391</v>
      </c>
      <c r="K91">
        <v>594</v>
      </c>
      <c r="L91">
        <v>125.55</v>
      </c>
      <c r="M91">
        <v>74576.7</v>
      </c>
      <c r="N91">
        <v>594</v>
      </c>
      <c r="O91">
        <v>594</v>
      </c>
    </row>
    <row r="92" spans="1:15" hidden="1" x14ac:dyDescent="0.2">
      <c r="A92" s="958" t="s">
        <v>6335</v>
      </c>
      <c r="B92" t="s">
        <v>6195</v>
      </c>
      <c r="C92" s="959">
        <v>45504</v>
      </c>
      <c r="D92" t="s">
        <v>5231</v>
      </c>
      <c r="E92">
        <v>5442</v>
      </c>
      <c r="F92">
        <v>5442</v>
      </c>
      <c r="G92">
        <v>3276</v>
      </c>
      <c r="H92">
        <v>3276</v>
      </c>
      <c r="I92">
        <v>3276</v>
      </c>
      <c r="J92" t="s">
        <v>5809</v>
      </c>
      <c r="K92">
        <v>5442</v>
      </c>
      <c r="L92">
        <v>106</v>
      </c>
      <c r="M92">
        <v>576840</v>
      </c>
      <c r="N92">
        <v>3276</v>
      </c>
      <c r="O92">
        <v>3276</v>
      </c>
    </row>
    <row r="93" spans="1:15" hidden="1" x14ac:dyDescent="0.2">
      <c r="A93" s="958" t="s">
        <v>6336</v>
      </c>
      <c r="B93" t="s">
        <v>6195</v>
      </c>
      <c r="C93" s="959">
        <v>45504</v>
      </c>
      <c r="D93" t="s">
        <v>5240</v>
      </c>
      <c r="E93">
        <v>468</v>
      </c>
      <c r="F93">
        <v>468</v>
      </c>
      <c r="G93">
        <v>468</v>
      </c>
      <c r="H93">
        <v>468</v>
      </c>
      <c r="I93">
        <v>468</v>
      </c>
      <c r="J93" t="s">
        <v>5808</v>
      </c>
      <c r="K93">
        <v>468</v>
      </c>
      <c r="L93">
        <v>364.17</v>
      </c>
      <c r="M93">
        <v>170430</v>
      </c>
      <c r="N93">
        <v>468</v>
      </c>
      <c r="O93">
        <v>468</v>
      </c>
    </row>
    <row r="94" spans="1:15" hidden="1" x14ac:dyDescent="0.2">
      <c r="A94" s="958" t="s">
        <v>6548</v>
      </c>
      <c r="B94" t="s">
        <v>6196</v>
      </c>
      <c r="C94" s="959">
        <v>45505</v>
      </c>
      <c r="D94" t="s">
        <v>6521</v>
      </c>
      <c r="E94">
        <v>6</v>
      </c>
      <c r="J94" t="s">
        <v>6522</v>
      </c>
      <c r="K94">
        <v>6</v>
      </c>
      <c r="L94">
        <v>945</v>
      </c>
      <c r="M94">
        <v>5670</v>
      </c>
    </row>
    <row r="95" spans="1:15" hidden="1" x14ac:dyDescent="0.2">
      <c r="A95" s="958" t="s">
        <v>6549</v>
      </c>
      <c r="B95" t="s">
        <v>6196</v>
      </c>
      <c r="C95" s="959">
        <v>45505</v>
      </c>
      <c r="D95" t="s">
        <v>6523</v>
      </c>
      <c r="E95">
        <v>4</v>
      </c>
      <c r="J95" t="s">
        <v>6524</v>
      </c>
      <c r="K95">
        <v>4</v>
      </c>
      <c r="L95">
        <v>1916</v>
      </c>
      <c r="M95">
        <v>7664</v>
      </c>
    </row>
    <row r="96" spans="1:15" hidden="1" x14ac:dyDescent="0.2">
      <c r="A96" s="958" t="s">
        <v>6550</v>
      </c>
      <c r="B96" t="s">
        <v>6196</v>
      </c>
      <c r="C96" s="959">
        <v>45505</v>
      </c>
      <c r="D96" t="s">
        <v>6525</v>
      </c>
      <c r="E96">
        <v>8</v>
      </c>
      <c r="J96" t="s">
        <v>6526</v>
      </c>
      <c r="K96">
        <v>8</v>
      </c>
      <c r="L96">
        <v>1367</v>
      </c>
      <c r="M96">
        <v>10936</v>
      </c>
    </row>
    <row r="97" spans="1:15" hidden="1" x14ac:dyDescent="0.2">
      <c r="A97" s="958" t="s">
        <v>6551</v>
      </c>
      <c r="B97" t="s">
        <v>6196</v>
      </c>
      <c r="C97" s="959">
        <v>45505</v>
      </c>
      <c r="D97" t="s">
        <v>6527</v>
      </c>
      <c r="E97">
        <v>4</v>
      </c>
      <c r="J97" t="s">
        <v>6528</v>
      </c>
      <c r="K97">
        <v>4</v>
      </c>
      <c r="L97">
        <v>1531</v>
      </c>
      <c r="M97">
        <v>6124</v>
      </c>
    </row>
    <row r="98" spans="1:15" hidden="1" x14ac:dyDescent="0.2">
      <c r="A98" s="958" t="s">
        <v>6552</v>
      </c>
      <c r="B98" t="s">
        <v>6196</v>
      </c>
      <c r="C98" s="959">
        <v>45505</v>
      </c>
      <c r="D98" t="s">
        <v>6529</v>
      </c>
      <c r="E98">
        <v>4</v>
      </c>
      <c r="J98" t="s">
        <v>6530</v>
      </c>
      <c r="K98">
        <v>4</v>
      </c>
      <c r="L98">
        <v>671.5</v>
      </c>
      <c r="M98">
        <v>2686</v>
      </c>
    </row>
    <row r="99" spans="1:15" hidden="1" x14ac:dyDescent="0.2">
      <c r="A99" s="958" t="s">
        <v>6337</v>
      </c>
      <c r="B99" t="s">
        <v>6197</v>
      </c>
      <c r="C99" s="959">
        <v>45506</v>
      </c>
      <c r="D99" t="s">
        <v>78</v>
      </c>
      <c r="E99">
        <v>228</v>
      </c>
      <c r="F99">
        <v>228</v>
      </c>
      <c r="G99">
        <v>228</v>
      </c>
      <c r="H99">
        <v>228</v>
      </c>
      <c r="I99">
        <v>228</v>
      </c>
      <c r="J99" t="s">
        <v>5385</v>
      </c>
      <c r="K99">
        <v>228</v>
      </c>
      <c r="L99">
        <v>74.849999999999994</v>
      </c>
      <c r="M99">
        <v>17065.8</v>
      </c>
      <c r="N99">
        <v>228</v>
      </c>
      <c r="O99">
        <v>228</v>
      </c>
    </row>
    <row r="100" spans="1:15" hidden="1" x14ac:dyDescent="0.2">
      <c r="A100" s="958" t="s">
        <v>6338</v>
      </c>
      <c r="B100" t="s">
        <v>6198</v>
      </c>
      <c r="C100" s="959">
        <v>45506</v>
      </c>
      <c r="D100" t="s">
        <v>4984</v>
      </c>
      <c r="E100">
        <v>180</v>
      </c>
      <c r="F100">
        <v>180</v>
      </c>
      <c r="G100">
        <v>180</v>
      </c>
      <c r="H100">
        <v>180</v>
      </c>
      <c r="I100">
        <v>180</v>
      </c>
      <c r="J100" t="s">
        <v>6124</v>
      </c>
      <c r="K100">
        <v>180</v>
      </c>
      <c r="L100">
        <v>123.33</v>
      </c>
      <c r="M100">
        <v>22200</v>
      </c>
      <c r="N100">
        <v>180</v>
      </c>
      <c r="O100">
        <v>180</v>
      </c>
    </row>
    <row r="101" spans="1:15" hidden="1" x14ac:dyDescent="0.2">
      <c r="A101" s="958" t="s">
        <v>6339</v>
      </c>
      <c r="B101" t="s">
        <v>6199</v>
      </c>
      <c r="C101" s="959">
        <v>45509</v>
      </c>
      <c r="D101" t="s">
        <v>5373</v>
      </c>
      <c r="E101">
        <v>1872</v>
      </c>
      <c r="F101">
        <v>1872</v>
      </c>
      <c r="G101">
        <v>1872</v>
      </c>
      <c r="H101">
        <v>1872</v>
      </c>
      <c r="I101">
        <v>1872</v>
      </c>
      <c r="J101" t="s">
        <v>5374</v>
      </c>
      <c r="K101">
        <v>1872</v>
      </c>
      <c r="L101">
        <v>44.7</v>
      </c>
      <c r="M101">
        <v>83682.14</v>
      </c>
      <c r="N101">
        <v>1872</v>
      </c>
      <c r="O101">
        <v>1872</v>
      </c>
    </row>
    <row r="102" spans="1:15" hidden="1" x14ac:dyDescent="0.2">
      <c r="A102" s="958" t="s">
        <v>6340</v>
      </c>
      <c r="B102" t="s">
        <v>6199</v>
      </c>
      <c r="C102" s="959">
        <v>45509</v>
      </c>
      <c r="D102" t="s">
        <v>5382</v>
      </c>
      <c r="E102">
        <v>960</v>
      </c>
      <c r="F102">
        <v>960</v>
      </c>
      <c r="G102">
        <v>960</v>
      </c>
      <c r="H102">
        <v>960</v>
      </c>
      <c r="I102">
        <v>960</v>
      </c>
      <c r="J102" t="s">
        <v>6006</v>
      </c>
      <c r="K102">
        <v>960</v>
      </c>
      <c r="L102">
        <v>49.1</v>
      </c>
      <c r="M102">
        <v>47136</v>
      </c>
      <c r="N102">
        <v>960</v>
      </c>
      <c r="O102">
        <v>960</v>
      </c>
    </row>
    <row r="103" spans="1:15" hidden="1" x14ac:dyDescent="0.2">
      <c r="A103" s="958" t="s">
        <v>6341</v>
      </c>
      <c r="B103" t="s">
        <v>6199</v>
      </c>
      <c r="C103" s="959">
        <v>45509</v>
      </c>
      <c r="D103" t="s">
        <v>6119</v>
      </c>
      <c r="E103">
        <v>1020</v>
      </c>
      <c r="F103">
        <v>1020</v>
      </c>
      <c r="G103">
        <v>1020</v>
      </c>
      <c r="H103">
        <v>1020</v>
      </c>
      <c r="I103">
        <v>1020</v>
      </c>
      <c r="J103" t="s">
        <v>6120</v>
      </c>
      <c r="K103">
        <v>1020</v>
      </c>
      <c r="L103">
        <v>52.17</v>
      </c>
      <c r="M103">
        <v>53216.46</v>
      </c>
      <c r="N103">
        <v>1020</v>
      </c>
      <c r="O103">
        <v>1020</v>
      </c>
    </row>
    <row r="104" spans="1:15" hidden="1" x14ac:dyDescent="0.2">
      <c r="A104" s="958" t="s">
        <v>6342</v>
      </c>
      <c r="B104" t="s">
        <v>6199</v>
      </c>
      <c r="C104" s="959">
        <v>45509</v>
      </c>
      <c r="D104" t="s">
        <v>5381</v>
      </c>
      <c r="E104">
        <v>1878</v>
      </c>
      <c r="F104">
        <v>1878</v>
      </c>
      <c r="G104">
        <v>1878</v>
      </c>
      <c r="H104">
        <v>1878</v>
      </c>
      <c r="I104">
        <v>1878</v>
      </c>
      <c r="J104" t="s">
        <v>6005</v>
      </c>
      <c r="K104">
        <v>1878</v>
      </c>
      <c r="L104">
        <v>55.65</v>
      </c>
      <c r="M104">
        <v>104501.31</v>
      </c>
      <c r="N104">
        <v>1878</v>
      </c>
      <c r="O104">
        <v>1878</v>
      </c>
    </row>
    <row r="105" spans="1:15" hidden="1" x14ac:dyDescent="0.2">
      <c r="A105" s="958" t="s">
        <v>6343</v>
      </c>
      <c r="B105" t="s">
        <v>6200</v>
      </c>
      <c r="C105" s="959">
        <v>45509</v>
      </c>
      <c r="D105" t="s">
        <v>4446</v>
      </c>
      <c r="E105">
        <v>734.5</v>
      </c>
      <c r="J105" t="s">
        <v>6201</v>
      </c>
      <c r="K105">
        <v>734.5</v>
      </c>
      <c r="L105">
        <v>59.49</v>
      </c>
      <c r="M105">
        <v>43698.71</v>
      </c>
    </row>
    <row r="106" spans="1:15" hidden="1" x14ac:dyDescent="0.2">
      <c r="A106" s="958" t="s">
        <v>6344</v>
      </c>
      <c r="B106" t="s">
        <v>6202</v>
      </c>
      <c r="C106" s="959">
        <v>45510</v>
      </c>
      <c r="D106" t="s">
        <v>149</v>
      </c>
      <c r="E106">
        <v>560</v>
      </c>
      <c r="F106">
        <v>560</v>
      </c>
      <c r="G106">
        <v>560</v>
      </c>
      <c r="H106">
        <v>560</v>
      </c>
      <c r="I106">
        <v>560</v>
      </c>
      <c r="J106" t="s">
        <v>5481</v>
      </c>
      <c r="K106">
        <v>560</v>
      </c>
      <c r="L106">
        <v>79.87</v>
      </c>
      <c r="M106">
        <v>44724.959999999999</v>
      </c>
      <c r="N106">
        <v>560</v>
      </c>
      <c r="O106">
        <v>560</v>
      </c>
    </row>
    <row r="107" spans="1:15" hidden="1" x14ac:dyDescent="0.2">
      <c r="A107" s="958" t="s">
        <v>6345</v>
      </c>
      <c r="B107" t="s">
        <v>6203</v>
      </c>
      <c r="C107" s="959">
        <v>45511</v>
      </c>
      <c r="D107" t="s">
        <v>5252</v>
      </c>
      <c r="E107">
        <v>768</v>
      </c>
      <c r="F107">
        <v>768</v>
      </c>
      <c r="G107">
        <v>768</v>
      </c>
      <c r="H107">
        <v>768</v>
      </c>
      <c r="I107">
        <v>768</v>
      </c>
      <c r="J107" t="s">
        <v>6660</v>
      </c>
      <c r="K107">
        <v>768</v>
      </c>
      <c r="L107">
        <v>54.48</v>
      </c>
      <c r="M107">
        <v>41840</v>
      </c>
      <c r="N107">
        <v>768</v>
      </c>
      <c r="O107">
        <v>768</v>
      </c>
    </row>
    <row r="108" spans="1:15" hidden="1" x14ac:dyDescent="0.2">
      <c r="A108" s="958" t="s">
        <v>6346</v>
      </c>
      <c r="B108" t="s">
        <v>6204</v>
      </c>
      <c r="C108" s="959">
        <v>45511</v>
      </c>
      <c r="D108" t="s">
        <v>2348</v>
      </c>
      <c r="E108">
        <v>1584</v>
      </c>
      <c r="F108">
        <v>1584</v>
      </c>
      <c r="G108">
        <v>1584</v>
      </c>
      <c r="H108">
        <v>1584</v>
      </c>
      <c r="I108">
        <v>1584</v>
      </c>
      <c r="J108" t="s">
        <v>6205</v>
      </c>
      <c r="K108">
        <v>1584</v>
      </c>
      <c r="L108">
        <v>138.68</v>
      </c>
      <c r="M108">
        <v>219665.95</v>
      </c>
      <c r="N108">
        <v>1584</v>
      </c>
      <c r="O108">
        <v>1584</v>
      </c>
    </row>
    <row r="109" spans="1:15" hidden="1" x14ac:dyDescent="0.2">
      <c r="A109" s="958" t="s">
        <v>6347</v>
      </c>
      <c r="B109" t="s">
        <v>6206</v>
      </c>
      <c r="C109" s="959">
        <v>45511</v>
      </c>
      <c r="D109" t="s">
        <v>4446</v>
      </c>
      <c r="E109">
        <v>734.5</v>
      </c>
      <c r="F109">
        <v>734.5</v>
      </c>
      <c r="G109">
        <v>734.5</v>
      </c>
      <c r="H109">
        <v>734.5</v>
      </c>
      <c r="I109">
        <v>734.5</v>
      </c>
      <c r="J109" t="s">
        <v>6201</v>
      </c>
      <c r="K109">
        <v>734.5</v>
      </c>
      <c r="L109">
        <v>70.37</v>
      </c>
      <c r="M109">
        <v>51683.17</v>
      </c>
      <c r="N109">
        <v>734.5</v>
      </c>
      <c r="O109">
        <v>723.2</v>
      </c>
    </row>
    <row r="110" spans="1:15" hidden="1" x14ac:dyDescent="0.2">
      <c r="A110" s="958" t="s">
        <v>6348</v>
      </c>
      <c r="B110" t="s">
        <v>6207</v>
      </c>
      <c r="C110" s="959">
        <v>45511</v>
      </c>
      <c r="D110" t="s">
        <v>5253</v>
      </c>
      <c r="E110">
        <v>2081.1999999999998</v>
      </c>
      <c r="F110">
        <v>2081.1999999999998</v>
      </c>
      <c r="G110">
        <v>2081.1999999999998</v>
      </c>
      <c r="H110">
        <v>2081.1999999999998</v>
      </c>
      <c r="I110">
        <v>2081.1999999999998</v>
      </c>
      <c r="J110" t="s">
        <v>6795</v>
      </c>
      <c r="K110">
        <v>2081.1999999999998</v>
      </c>
      <c r="L110">
        <v>83.63</v>
      </c>
      <c r="M110">
        <v>174040.35</v>
      </c>
      <c r="N110">
        <v>2081.1999999999998</v>
      </c>
      <c r="O110">
        <v>2075.15</v>
      </c>
    </row>
    <row r="111" spans="1:15" hidden="1" x14ac:dyDescent="0.2">
      <c r="A111" s="958" t="s">
        <v>6349</v>
      </c>
      <c r="B111" t="s">
        <v>6208</v>
      </c>
      <c r="C111" s="959">
        <v>45511</v>
      </c>
      <c r="D111" t="s">
        <v>4590</v>
      </c>
      <c r="E111">
        <v>672</v>
      </c>
      <c r="F111">
        <v>672</v>
      </c>
      <c r="G111">
        <v>672</v>
      </c>
      <c r="H111">
        <v>672</v>
      </c>
      <c r="I111">
        <v>672</v>
      </c>
      <c r="J111" t="s">
        <v>5383</v>
      </c>
      <c r="K111">
        <v>672</v>
      </c>
      <c r="L111">
        <v>168.54</v>
      </c>
      <c r="M111">
        <v>113255.52</v>
      </c>
      <c r="N111">
        <v>672</v>
      </c>
      <c r="O111">
        <v>672</v>
      </c>
    </row>
    <row r="112" spans="1:15" hidden="1" x14ac:dyDescent="0.2">
      <c r="A112" s="958" t="s">
        <v>6350</v>
      </c>
      <c r="B112" t="s">
        <v>6208</v>
      </c>
      <c r="C112" s="959">
        <v>45511</v>
      </c>
      <c r="D112" t="s">
        <v>3346</v>
      </c>
      <c r="E112">
        <v>68</v>
      </c>
      <c r="F112">
        <v>68</v>
      </c>
      <c r="G112">
        <v>68</v>
      </c>
      <c r="H112">
        <v>68</v>
      </c>
      <c r="I112">
        <v>68</v>
      </c>
      <c r="J112" t="s">
        <v>6209</v>
      </c>
      <c r="K112">
        <v>68</v>
      </c>
      <c r="L112">
        <v>168.54</v>
      </c>
      <c r="M112">
        <v>11460.38</v>
      </c>
      <c r="N112">
        <v>68</v>
      </c>
      <c r="O112">
        <v>68</v>
      </c>
    </row>
    <row r="113" spans="1:15" hidden="1" x14ac:dyDescent="0.2">
      <c r="A113" s="958" t="s">
        <v>6351</v>
      </c>
      <c r="B113" t="s">
        <v>6210</v>
      </c>
      <c r="C113" s="959">
        <v>45516</v>
      </c>
      <c r="D113" t="s">
        <v>5401</v>
      </c>
      <c r="E113">
        <v>1584</v>
      </c>
      <c r="F113">
        <v>1584</v>
      </c>
      <c r="G113">
        <v>1584</v>
      </c>
      <c r="H113">
        <v>1584</v>
      </c>
      <c r="I113">
        <v>1584</v>
      </c>
      <c r="J113" t="s">
        <v>5402</v>
      </c>
      <c r="K113">
        <v>1584</v>
      </c>
      <c r="L113">
        <v>52.79</v>
      </c>
      <c r="M113">
        <v>83624.11</v>
      </c>
      <c r="N113">
        <v>1584</v>
      </c>
      <c r="O113">
        <v>1584</v>
      </c>
    </row>
    <row r="114" spans="1:15" hidden="1" x14ac:dyDescent="0.2">
      <c r="A114" s="958" t="s">
        <v>6352</v>
      </c>
      <c r="B114" t="s">
        <v>6210</v>
      </c>
      <c r="C114" s="959">
        <v>45516</v>
      </c>
      <c r="D114" t="s">
        <v>5403</v>
      </c>
      <c r="E114">
        <v>2508</v>
      </c>
      <c r="F114">
        <v>2508</v>
      </c>
      <c r="G114">
        <v>2508</v>
      </c>
      <c r="H114">
        <v>2508</v>
      </c>
      <c r="I114">
        <v>2508</v>
      </c>
      <c r="J114" t="s">
        <v>5404</v>
      </c>
      <c r="K114">
        <v>2508</v>
      </c>
      <c r="L114">
        <v>33.64</v>
      </c>
      <c r="M114">
        <v>84356.58</v>
      </c>
      <c r="N114">
        <v>2508</v>
      </c>
      <c r="O114">
        <v>2508</v>
      </c>
    </row>
    <row r="115" spans="1:15" hidden="1" x14ac:dyDescent="0.2">
      <c r="A115" s="958" t="s">
        <v>6353</v>
      </c>
      <c r="B115" t="s">
        <v>6210</v>
      </c>
      <c r="C115" s="959">
        <v>45516</v>
      </c>
      <c r="D115" t="s">
        <v>5386</v>
      </c>
      <c r="E115">
        <v>1500</v>
      </c>
      <c r="F115">
        <v>1500</v>
      </c>
      <c r="G115">
        <v>1500</v>
      </c>
      <c r="H115">
        <v>1500</v>
      </c>
      <c r="I115">
        <v>1500</v>
      </c>
      <c r="J115" t="s">
        <v>5387</v>
      </c>
      <c r="K115">
        <v>1500</v>
      </c>
      <c r="L115">
        <v>63.61</v>
      </c>
      <c r="M115">
        <v>95418</v>
      </c>
      <c r="N115">
        <v>1500</v>
      </c>
      <c r="O115">
        <v>1500</v>
      </c>
    </row>
    <row r="116" spans="1:15" hidden="1" x14ac:dyDescent="0.2">
      <c r="A116" s="958" t="s">
        <v>6354</v>
      </c>
      <c r="B116" t="s">
        <v>6210</v>
      </c>
      <c r="C116" s="959">
        <v>45516</v>
      </c>
      <c r="D116" t="s">
        <v>5367</v>
      </c>
      <c r="E116">
        <v>5664</v>
      </c>
      <c r="F116">
        <v>5664</v>
      </c>
      <c r="G116">
        <v>5664</v>
      </c>
      <c r="H116">
        <v>5664</v>
      </c>
      <c r="I116">
        <v>5664</v>
      </c>
      <c r="J116" t="s">
        <v>5368</v>
      </c>
      <c r="K116">
        <v>5664</v>
      </c>
      <c r="L116">
        <v>31.16</v>
      </c>
      <c r="M116">
        <v>176461.92</v>
      </c>
      <c r="N116">
        <v>5664</v>
      </c>
      <c r="O116">
        <v>5664</v>
      </c>
    </row>
    <row r="117" spans="1:15" hidden="1" x14ac:dyDescent="0.2">
      <c r="A117" s="958" t="s">
        <v>6355</v>
      </c>
      <c r="B117" t="s">
        <v>6211</v>
      </c>
      <c r="C117" s="959">
        <v>45516</v>
      </c>
      <c r="D117" t="s">
        <v>5161</v>
      </c>
      <c r="E117">
        <v>1500</v>
      </c>
      <c r="F117">
        <v>1828</v>
      </c>
      <c r="G117">
        <v>328</v>
      </c>
      <c r="H117">
        <v>1500</v>
      </c>
      <c r="I117">
        <v>328</v>
      </c>
      <c r="J117" t="s">
        <v>5463</v>
      </c>
      <c r="K117">
        <v>1500</v>
      </c>
      <c r="L117">
        <v>1416.67</v>
      </c>
      <c r="M117">
        <v>2124990</v>
      </c>
      <c r="N117">
        <v>1500</v>
      </c>
      <c r="O117">
        <v>1500</v>
      </c>
    </row>
    <row r="118" spans="1:15" x14ac:dyDescent="0.2">
      <c r="A118" s="958" t="s">
        <v>6356</v>
      </c>
      <c r="B118" t="s">
        <v>6212</v>
      </c>
      <c r="C118" s="959">
        <v>45517</v>
      </c>
      <c r="D118" t="s">
        <v>2608</v>
      </c>
      <c r="E118">
        <v>5460</v>
      </c>
      <c r="F118">
        <v>5460</v>
      </c>
      <c r="G118">
        <v>5460</v>
      </c>
      <c r="H118">
        <v>5460</v>
      </c>
      <c r="I118">
        <v>5460</v>
      </c>
      <c r="J118" t="s">
        <v>5465</v>
      </c>
      <c r="K118">
        <v>5460</v>
      </c>
      <c r="L118">
        <v>133.63</v>
      </c>
      <c r="M118">
        <v>729630.71999999997</v>
      </c>
      <c r="N118">
        <v>5460</v>
      </c>
      <c r="O118">
        <v>5442</v>
      </c>
    </row>
    <row r="119" spans="1:15" hidden="1" x14ac:dyDescent="0.2">
      <c r="A119" s="958" t="s">
        <v>6357</v>
      </c>
      <c r="B119" t="s">
        <v>6213</v>
      </c>
      <c r="C119" s="959">
        <v>45517</v>
      </c>
      <c r="D119" t="s">
        <v>6117</v>
      </c>
      <c r="E119">
        <v>459</v>
      </c>
      <c r="F119">
        <v>459</v>
      </c>
      <c r="G119">
        <v>459</v>
      </c>
      <c r="H119">
        <v>459</v>
      </c>
      <c r="I119">
        <v>459</v>
      </c>
      <c r="J119" t="s">
        <v>6118</v>
      </c>
      <c r="K119">
        <v>459</v>
      </c>
      <c r="L119">
        <v>73.489999999999995</v>
      </c>
      <c r="M119">
        <v>33730.99</v>
      </c>
      <c r="N119">
        <v>459</v>
      </c>
      <c r="O119">
        <v>459</v>
      </c>
    </row>
    <row r="120" spans="1:15" hidden="1" x14ac:dyDescent="0.2">
      <c r="A120" s="958" t="s">
        <v>6358</v>
      </c>
      <c r="B120" t="s">
        <v>6214</v>
      </c>
      <c r="C120" s="959">
        <v>45518</v>
      </c>
      <c r="D120" t="s">
        <v>628</v>
      </c>
      <c r="E120">
        <v>2420</v>
      </c>
      <c r="F120">
        <v>2420</v>
      </c>
      <c r="G120">
        <v>2420</v>
      </c>
      <c r="H120">
        <v>2420</v>
      </c>
      <c r="I120">
        <v>2420</v>
      </c>
      <c r="J120" t="s">
        <v>5482</v>
      </c>
      <c r="K120">
        <v>2420</v>
      </c>
      <c r="L120">
        <v>90.41</v>
      </c>
      <c r="M120">
        <v>218780.1</v>
      </c>
      <c r="N120">
        <v>2420</v>
      </c>
      <c r="O120">
        <v>2401.85</v>
      </c>
    </row>
    <row r="121" spans="1:15" hidden="1" x14ac:dyDescent="0.2">
      <c r="A121" s="958" t="s">
        <v>6359</v>
      </c>
      <c r="B121" t="s">
        <v>6215</v>
      </c>
      <c r="C121" s="959">
        <v>45518</v>
      </c>
      <c r="D121" t="s">
        <v>5158</v>
      </c>
      <c r="E121">
        <v>1224</v>
      </c>
      <c r="F121">
        <v>1224</v>
      </c>
      <c r="G121">
        <v>1224</v>
      </c>
      <c r="H121">
        <v>1224</v>
      </c>
      <c r="I121">
        <v>1224</v>
      </c>
      <c r="J121" t="s">
        <v>5460</v>
      </c>
      <c r="K121">
        <v>1224</v>
      </c>
      <c r="L121">
        <v>136.76</v>
      </c>
      <c r="M121">
        <v>167394.73000000001</v>
      </c>
      <c r="N121">
        <v>1224</v>
      </c>
      <c r="O121">
        <v>1213.2</v>
      </c>
    </row>
    <row r="122" spans="1:15" hidden="1" x14ac:dyDescent="0.2">
      <c r="A122" s="958" t="s">
        <v>6360</v>
      </c>
      <c r="B122" t="s">
        <v>6216</v>
      </c>
      <c r="C122" s="959">
        <v>45518</v>
      </c>
      <c r="D122" t="s">
        <v>5264</v>
      </c>
      <c r="E122">
        <v>1872</v>
      </c>
      <c r="F122">
        <v>1872</v>
      </c>
      <c r="G122">
        <v>1872</v>
      </c>
      <c r="H122">
        <v>1872</v>
      </c>
      <c r="I122">
        <v>1872</v>
      </c>
      <c r="J122" t="s">
        <v>6217</v>
      </c>
      <c r="K122">
        <v>1872</v>
      </c>
      <c r="L122">
        <v>78.400000000000006</v>
      </c>
      <c r="M122">
        <v>146760.68</v>
      </c>
      <c r="N122">
        <v>1872</v>
      </c>
      <c r="O122">
        <v>1868.4</v>
      </c>
    </row>
    <row r="123" spans="1:15" hidden="1" x14ac:dyDescent="0.2">
      <c r="A123" s="958" t="s">
        <v>6361</v>
      </c>
      <c r="B123" t="s">
        <v>6218</v>
      </c>
      <c r="C123" s="959">
        <v>45518</v>
      </c>
      <c r="D123" t="s">
        <v>4590</v>
      </c>
      <c r="E123">
        <v>378</v>
      </c>
      <c r="F123">
        <v>378</v>
      </c>
      <c r="G123">
        <v>378</v>
      </c>
      <c r="H123">
        <v>378</v>
      </c>
      <c r="I123">
        <v>378</v>
      </c>
      <c r="J123" t="s">
        <v>5383</v>
      </c>
      <c r="K123">
        <v>378</v>
      </c>
      <c r="L123">
        <v>168.54</v>
      </c>
      <c r="M123">
        <v>63706.23</v>
      </c>
      <c r="N123">
        <v>378</v>
      </c>
      <c r="O123">
        <v>378</v>
      </c>
    </row>
    <row r="124" spans="1:15" hidden="1" x14ac:dyDescent="0.2">
      <c r="A124" s="958" t="s">
        <v>6362</v>
      </c>
      <c r="B124" t="s">
        <v>6218</v>
      </c>
      <c r="C124" s="959">
        <v>45518</v>
      </c>
      <c r="D124" t="s">
        <v>3346</v>
      </c>
      <c r="E124">
        <v>148</v>
      </c>
      <c r="F124">
        <v>148</v>
      </c>
      <c r="G124">
        <v>148</v>
      </c>
      <c r="H124">
        <v>148</v>
      </c>
      <c r="I124">
        <v>148</v>
      </c>
      <c r="J124" t="s">
        <v>6209</v>
      </c>
      <c r="K124">
        <v>148</v>
      </c>
      <c r="L124">
        <v>168.54</v>
      </c>
      <c r="M124">
        <v>24943.18</v>
      </c>
      <c r="N124">
        <v>148</v>
      </c>
      <c r="O124">
        <v>144</v>
      </c>
    </row>
    <row r="125" spans="1:15" hidden="1" x14ac:dyDescent="0.2">
      <c r="A125" s="958" t="s">
        <v>6553</v>
      </c>
      <c r="B125" t="s">
        <v>6219</v>
      </c>
      <c r="C125" s="959">
        <v>45518</v>
      </c>
      <c r="D125" t="s">
        <v>6531</v>
      </c>
      <c r="E125">
        <v>774</v>
      </c>
      <c r="F125">
        <v>774</v>
      </c>
      <c r="G125">
        <v>774</v>
      </c>
      <c r="H125">
        <v>774</v>
      </c>
      <c r="I125">
        <v>774</v>
      </c>
      <c r="J125" t="s">
        <v>6509</v>
      </c>
      <c r="K125">
        <v>774</v>
      </c>
      <c r="L125">
        <v>99.54</v>
      </c>
      <c r="M125">
        <v>77043.960000000006</v>
      </c>
      <c r="N125">
        <v>774</v>
      </c>
      <c r="O125">
        <v>774</v>
      </c>
    </row>
    <row r="126" spans="1:15" hidden="1" x14ac:dyDescent="0.2">
      <c r="A126" s="958" t="s">
        <v>6363</v>
      </c>
      <c r="B126" t="s">
        <v>6220</v>
      </c>
      <c r="C126" s="959">
        <v>45519</v>
      </c>
      <c r="D126" t="s">
        <v>5272</v>
      </c>
      <c r="E126">
        <v>11418</v>
      </c>
      <c r="F126">
        <v>11418</v>
      </c>
      <c r="G126">
        <v>7578</v>
      </c>
      <c r="H126">
        <v>7578</v>
      </c>
      <c r="I126">
        <v>7578</v>
      </c>
      <c r="J126" t="s">
        <v>5807</v>
      </c>
      <c r="K126">
        <v>11418</v>
      </c>
      <c r="L126">
        <v>101.68</v>
      </c>
      <c r="M126">
        <v>1161000</v>
      </c>
      <c r="N126">
        <v>7578</v>
      </c>
      <c r="O126">
        <v>7578</v>
      </c>
    </row>
    <row r="127" spans="1:15" hidden="1" x14ac:dyDescent="0.2">
      <c r="A127" s="958" t="s">
        <v>6364</v>
      </c>
      <c r="B127" t="s">
        <v>6220</v>
      </c>
      <c r="C127" s="959">
        <v>45519</v>
      </c>
      <c r="D127" t="s">
        <v>5273</v>
      </c>
      <c r="E127">
        <v>138</v>
      </c>
      <c r="F127">
        <v>138</v>
      </c>
      <c r="G127">
        <v>73.599999999999994</v>
      </c>
      <c r="H127">
        <v>73.599999999999994</v>
      </c>
      <c r="I127">
        <v>73.599999999999994</v>
      </c>
      <c r="J127" t="s">
        <v>5810</v>
      </c>
      <c r="K127">
        <v>138</v>
      </c>
      <c r="L127">
        <v>97.83</v>
      </c>
      <c r="M127">
        <v>13500</v>
      </c>
      <c r="N127">
        <v>73.599999999999994</v>
      </c>
      <c r="O127">
        <v>73.599999999999994</v>
      </c>
    </row>
    <row r="128" spans="1:15" hidden="1" x14ac:dyDescent="0.2">
      <c r="A128" s="958" t="s">
        <v>6365</v>
      </c>
      <c r="B128" t="s">
        <v>6220</v>
      </c>
      <c r="C128" s="959">
        <v>45519</v>
      </c>
      <c r="D128" t="s">
        <v>5274</v>
      </c>
      <c r="E128">
        <v>376</v>
      </c>
      <c r="F128">
        <v>356</v>
      </c>
      <c r="J128" t="s">
        <v>5483</v>
      </c>
      <c r="K128">
        <v>376</v>
      </c>
      <c r="L128">
        <v>854.12</v>
      </c>
      <c r="M128">
        <v>321150</v>
      </c>
    </row>
    <row r="129" spans="1:15" hidden="1" x14ac:dyDescent="0.2">
      <c r="A129" s="958" t="s">
        <v>6366</v>
      </c>
      <c r="B129" t="s">
        <v>6220</v>
      </c>
      <c r="C129" s="959">
        <v>45519</v>
      </c>
      <c r="D129" t="s">
        <v>5275</v>
      </c>
      <c r="E129">
        <v>1524</v>
      </c>
      <c r="F129">
        <v>1524</v>
      </c>
      <c r="G129">
        <v>1524</v>
      </c>
      <c r="H129">
        <v>1524</v>
      </c>
      <c r="I129">
        <v>1524</v>
      </c>
      <c r="J129" t="s">
        <v>5811</v>
      </c>
      <c r="K129">
        <v>1524</v>
      </c>
      <c r="L129">
        <v>248.03</v>
      </c>
      <c r="M129">
        <v>378000</v>
      </c>
      <c r="N129">
        <v>1524</v>
      </c>
      <c r="O129">
        <v>1524</v>
      </c>
    </row>
    <row r="130" spans="1:15" hidden="1" x14ac:dyDescent="0.2">
      <c r="A130" s="958" t="s">
        <v>6367</v>
      </c>
      <c r="B130" t="s">
        <v>6220</v>
      </c>
      <c r="C130" s="959">
        <v>45519</v>
      </c>
      <c r="D130" t="s">
        <v>5276</v>
      </c>
      <c r="E130">
        <v>216</v>
      </c>
      <c r="F130">
        <v>216</v>
      </c>
      <c r="G130">
        <v>48</v>
      </c>
      <c r="H130">
        <v>216</v>
      </c>
      <c r="I130">
        <v>48</v>
      </c>
      <c r="J130" t="s">
        <v>5484</v>
      </c>
      <c r="K130">
        <v>216</v>
      </c>
      <c r="L130">
        <v>483.33</v>
      </c>
      <c r="M130">
        <v>104400</v>
      </c>
      <c r="N130">
        <v>216</v>
      </c>
      <c r="O130">
        <v>216</v>
      </c>
    </row>
    <row r="131" spans="1:15" hidden="1" x14ac:dyDescent="0.2">
      <c r="A131" s="958" t="s">
        <v>6368</v>
      </c>
      <c r="B131" t="s">
        <v>6220</v>
      </c>
      <c r="C131" s="959">
        <v>45519</v>
      </c>
      <c r="D131" t="s">
        <v>5277</v>
      </c>
      <c r="E131">
        <v>54</v>
      </c>
      <c r="F131">
        <v>54</v>
      </c>
      <c r="G131">
        <v>54</v>
      </c>
      <c r="H131">
        <v>54</v>
      </c>
      <c r="I131">
        <v>54</v>
      </c>
      <c r="J131" t="s">
        <v>5812</v>
      </c>
      <c r="K131">
        <v>54</v>
      </c>
      <c r="L131">
        <v>250</v>
      </c>
      <c r="M131">
        <v>13500</v>
      </c>
      <c r="N131">
        <v>54</v>
      </c>
      <c r="O131">
        <v>54</v>
      </c>
    </row>
    <row r="132" spans="1:15" hidden="1" x14ac:dyDescent="0.2">
      <c r="A132" s="958" t="s">
        <v>6369</v>
      </c>
      <c r="B132" t="s">
        <v>6221</v>
      </c>
      <c r="C132" s="959">
        <v>45523</v>
      </c>
      <c r="D132" t="s">
        <v>5406</v>
      </c>
      <c r="E132">
        <v>1704</v>
      </c>
      <c r="F132">
        <v>2352</v>
      </c>
      <c r="G132">
        <v>1704</v>
      </c>
      <c r="H132">
        <v>1704</v>
      </c>
      <c r="I132">
        <v>1962</v>
      </c>
      <c r="J132" t="s">
        <v>5407</v>
      </c>
      <c r="K132">
        <v>1704</v>
      </c>
      <c r="L132">
        <v>27.32</v>
      </c>
      <c r="M132">
        <v>46553.279999999999</v>
      </c>
      <c r="N132">
        <v>1428</v>
      </c>
      <c r="O132">
        <v>1704</v>
      </c>
    </row>
    <row r="133" spans="1:15" hidden="1" x14ac:dyDescent="0.2">
      <c r="A133" s="958" t="s">
        <v>6370</v>
      </c>
      <c r="B133" t="s">
        <v>6221</v>
      </c>
      <c r="C133" s="959">
        <v>45523</v>
      </c>
      <c r="D133" t="s">
        <v>5367</v>
      </c>
      <c r="E133">
        <v>3936</v>
      </c>
      <c r="F133">
        <v>3936</v>
      </c>
      <c r="G133">
        <v>3936</v>
      </c>
      <c r="H133">
        <v>3936</v>
      </c>
      <c r="I133">
        <v>3936</v>
      </c>
      <c r="J133" t="s">
        <v>5368</v>
      </c>
      <c r="K133">
        <v>3936</v>
      </c>
      <c r="L133">
        <v>33.17</v>
      </c>
      <c r="M133">
        <v>130537.44</v>
      </c>
      <c r="N133">
        <v>3936</v>
      </c>
      <c r="O133">
        <v>3936</v>
      </c>
    </row>
    <row r="134" spans="1:15" hidden="1" x14ac:dyDescent="0.2">
      <c r="A134" s="958" t="s">
        <v>6371</v>
      </c>
      <c r="B134" t="s">
        <v>6221</v>
      </c>
      <c r="C134" s="959">
        <v>45523</v>
      </c>
      <c r="D134" t="s">
        <v>5388</v>
      </c>
      <c r="E134">
        <v>1890</v>
      </c>
      <c r="F134">
        <v>1890</v>
      </c>
      <c r="G134">
        <v>1890</v>
      </c>
      <c r="H134">
        <v>1890</v>
      </c>
      <c r="I134">
        <v>1890</v>
      </c>
      <c r="J134" t="s">
        <v>5389</v>
      </c>
      <c r="K134">
        <v>1890</v>
      </c>
      <c r="L134">
        <v>36.270000000000003</v>
      </c>
      <c r="M134">
        <v>68544.63</v>
      </c>
      <c r="N134">
        <v>1890</v>
      </c>
      <c r="O134">
        <v>1890</v>
      </c>
    </row>
    <row r="135" spans="1:15" hidden="1" x14ac:dyDescent="0.2">
      <c r="A135" s="958" t="s">
        <v>6554</v>
      </c>
      <c r="B135" t="s">
        <v>6222</v>
      </c>
      <c r="C135" s="959">
        <v>45523</v>
      </c>
      <c r="D135" t="s">
        <v>6531</v>
      </c>
      <c r="E135">
        <v>768</v>
      </c>
      <c r="F135">
        <v>768</v>
      </c>
      <c r="G135">
        <v>768</v>
      </c>
      <c r="H135">
        <v>768</v>
      </c>
      <c r="I135">
        <v>768</v>
      </c>
      <c r="J135" t="s">
        <v>6509</v>
      </c>
      <c r="K135">
        <v>768</v>
      </c>
      <c r="L135">
        <v>104.58</v>
      </c>
      <c r="M135">
        <v>80317.440000000002</v>
      </c>
      <c r="N135">
        <v>768</v>
      </c>
      <c r="O135">
        <v>756</v>
      </c>
    </row>
    <row r="136" spans="1:15" hidden="1" x14ac:dyDescent="0.2">
      <c r="A136" s="958" t="s">
        <v>6372</v>
      </c>
      <c r="B136" t="s">
        <v>6223</v>
      </c>
      <c r="C136" s="959">
        <v>45523</v>
      </c>
      <c r="D136" t="s">
        <v>2624</v>
      </c>
      <c r="E136">
        <v>1404</v>
      </c>
      <c r="F136">
        <v>1404</v>
      </c>
      <c r="G136">
        <v>1404</v>
      </c>
      <c r="H136">
        <v>1404</v>
      </c>
      <c r="I136">
        <v>1404</v>
      </c>
      <c r="J136" t="s">
        <v>5485</v>
      </c>
      <c r="K136">
        <v>1404</v>
      </c>
      <c r="L136">
        <v>41.47</v>
      </c>
      <c r="M136">
        <v>58223.32</v>
      </c>
      <c r="N136">
        <v>1404</v>
      </c>
      <c r="O136">
        <v>1404</v>
      </c>
    </row>
    <row r="137" spans="1:15" hidden="1" x14ac:dyDescent="0.2">
      <c r="A137" s="958" t="s">
        <v>6373</v>
      </c>
      <c r="B137" t="s">
        <v>6224</v>
      </c>
      <c r="C137" s="959">
        <v>45523</v>
      </c>
      <c r="D137" t="s">
        <v>2841</v>
      </c>
      <c r="E137">
        <v>5204.05</v>
      </c>
      <c r="F137">
        <v>5204.05</v>
      </c>
      <c r="G137">
        <v>5204.05</v>
      </c>
      <c r="H137">
        <v>5204.05</v>
      </c>
      <c r="I137">
        <v>5204.05</v>
      </c>
      <c r="J137" t="s">
        <v>5486</v>
      </c>
      <c r="K137">
        <v>5204.05</v>
      </c>
      <c r="L137">
        <v>49.23</v>
      </c>
      <c r="M137">
        <v>256216.2</v>
      </c>
      <c r="N137">
        <v>5204.05</v>
      </c>
      <c r="O137">
        <v>5204.05</v>
      </c>
    </row>
    <row r="138" spans="1:15" hidden="1" x14ac:dyDescent="0.2">
      <c r="A138" s="958" t="s">
        <v>6374</v>
      </c>
      <c r="B138" t="s">
        <v>6225</v>
      </c>
      <c r="C138" s="959">
        <v>45524</v>
      </c>
      <c r="D138" t="s">
        <v>5216</v>
      </c>
      <c r="E138">
        <v>396</v>
      </c>
      <c r="F138">
        <v>396</v>
      </c>
      <c r="G138">
        <v>396</v>
      </c>
      <c r="H138">
        <v>396</v>
      </c>
      <c r="I138">
        <v>252</v>
      </c>
      <c r="J138" t="s">
        <v>5392</v>
      </c>
      <c r="K138">
        <v>396</v>
      </c>
      <c r="L138">
        <v>255.17</v>
      </c>
      <c r="M138">
        <v>101047.32</v>
      </c>
      <c r="N138">
        <v>252</v>
      </c>
      <c r="O138">
        <v>252</v>
      </c>
    </row>
    <row r="139" spans="1:15" hidden="1" x14ac:dyDescent="0.2">
      <c r="A139" s="958" t="s">
        <v>6375</v>
      </c>
      <c r="B139" t="s">
        <v>6226</v>
      </c>
      <c r="C139" s="959">
        <v>45525</v>
      </c>
      <c r="D139" t="s">
        <v>5281</v>
      </c>
      <c r="E139">
        <v>48</v>
      </c>
      <c r="F139">
        <v>48</v>
      </c>
      <c r="G139">
        <v>48</v>
      </c>
      <c r="H139">
        <v>48</v>
      </c>
      <c r="I139">
        <v>48</v>
      </c>
      <c r="J139" t="s">
        <v>5392</v>
      </c>
      <c r="K139">
        <v>48</v>
      </c>
      <c r="L139">
        <v>254.66</v>
      </c>
      <c r="M139">
        <v>12223.68</v>
      </c>
      <c r="N139">
        <v>48</v>
      </c>
      <c r="O139">
        <v>48</v>
      </c>
    </row>
    <row r="140" spans="1:15" hidden="1" x14ac:dyDescent="0.2">
      <c r="A140" s="958" t="s">
        <v>6376</v>
      </c>
      <c r="B140" t="s">
        <v>6226</v>
      </c>
      <c r="C140" s="959">
        <v>45525</v>
      </c>
      <c r="D140" t="s">
        <v>4461</v>
      </c>
      <c r="E140">
        <v>96</v>
      </c>
      <c r="F140">
        <v>96</v>
      </c>
      <c r="G140">
        <v>96</v>
      </c>
      <c r="H140">
        <v>96</v>
      </c>
      <c r="I140">
        <v>96</v>
      </c>
      <c r="J140" t="s">
        <v>5391</v>
      </c>
      <c r="K140">
        <v>96</v>
      </c>
      <c r="L140">
        <v>131.75</v>
      </c>
      <c r="M140">
        <v>12648</v>
      </c>
      <c r="N140">
        <v>96</v>
      </c>
      <c r="O140">
        <v>96</v>
      </c>
    </row>
    <row r="141" spans="1:15" hidden="1" x14ac:dyDescent="0.2">
      <c r="A141" s="958" t="s">
        <v>6377</v>
      </c>
      <c r="B141" t="s">
        <v>6227</v>
      </c>
      <c r="C141" s="959">
        <v>45526</v>
      </c>
      <c r="D141" t="s">
        <v>5373</v>
      </c>
      <c r="E141">
        <v>2928</v>
      </c>
      <c r="F141">
        <v>2928</v>
      </c>
      <c r="G141">
        <v>2928</v>
      </c>
      <c r="H141">
        <v>2928</v>
      </c>
      <c r="I141">
        <v>2928</v>
      </c>
      <c r="J141" t="s">
        <v>5374</v>
      </c>
      <c r="K141">
        <v>2928</v>
      </c>
      <c r="L141">
        <v>47.59</v>
      </c>
      <c r="M141">
        <v>139331.81</v>
      </c>
      <c r="N141">
        <v>2928</v>
      </c>
      <c r="O141">
        <v>2928</v>
      </c>
    </row>
    <row r="142" spans="1:15" hidden="1" x14ac:dyDescent="0.2">
      <c r="A142" s="958" t="s">
        <v>6378</v>
      </c>
      <c r="B142" t="s">
        <v>6227</v>
      </c>
      <c r="C142" s="959">
        <v>45526</v>
      </c>
      <c r="D142" t="s">
        <v>5409</v>
      </c>
      <c r="E142">
        <v>1656</v>
      </c>
      <c r="F142">
        <v>1656</v>
      </c>
      <c r="G142">
        <v>1656</v>
      </c>
      <c r="H142">
        <v>1656</v>
      </c>
      <c r="I142">
        <v>1656</v>
      </c>
      <c r="J142" t="s">
        <v>5410</v>
      </c>
      <c r="K142">
        <v>1656</v>
      </c>
      <c r="L142">
        <v>67.72</v>
      </c>
      <c r="M142">
        <v>112137.7</v>
      </c>
      <c r="N142">
        <v>1656</v>
      </c>
      <c r="O142">
        <v>1656</v>
      </c>
    </row>
    <row r="143" spans="1:15" hidden="1" x14ac:dyDescent="0.2">
      <c r="A143" s="958" t="s">
        <v>6379</v>
      </c>
      <c r="B143" t="s">
        <v>6228</v>
      </c>
      <c r="C143" s="959">
        <v>45526</v>
      </c>
      <c r="D143" t="s">
        <v>5284</v>
      </c>
      <c r="E143">
        <v>12.6</v>
      </c>
      <c r="F143">
        <v>12.6</v>
      </c>
      <c r="G143">
        <v>12.6</v>
      </c>
      <c r="H143">
        <v>12.6</v>
      </c>
      <c r="J143" t="s">
        <v>6229</v>
      </c>
      <c r="K143">
        <v>12.6</v>
      </c>
      <c r="L143">
        <v>91.43</v>
      </c>
      <c r="M143">
        <v>1152.01</v>
      </c>
    </row>
    <row r="144" spans="1:15" hidden="1" x14ac:dyDescent="0.2">
      <c r="A144" s="958" t="s">
        <v>6380</v>
      </c>
      <c r="B144" t="s">
        <v>6230</v>
      </c>
      <c r="C144" s="959">
        <v>45527</v>
      </c>
      <c r="D144" t="s">
        <v>5684</v>
      </c>
      <c r="E144">
        <v>36</v>
      </c>
      <c r="F144">
        <v>60</v>
      </c>
      <c r="G144">
        <v>60</v>
      </c>
      <c r="H144">
        <v>60</v>
      </c>
      <c r="I144">
        <v>60</v>
      </c>
      <c r="J144" t="s">
        <v>6126</v>
      </c>
      <c r="K144">
        <v>36</v>
      </c>
      <c r="L144">
        <v>2135</v>
      </c>
      <c r="M144">
        <v>76860</v>
      </c>
      <c r="N144">
        <v>60</v>
      </c>
      <c r="O144">
        <v>36</v>
      </c>
    </row>
    <row r="145" spans="1:15" hidden="1" x14ac:dyDescent="0.2">
      <c r="A145" s="958" t="s">
        <v>6380</v>
      </c>
      <c r="B145" t="s">
        <v>6230</v>
      </c>
      <c r="C145" s="959">
        <v>45527</v>
      </c>
      <c r="D145" t="s">
        <v>5684</v>
      </c>
      <c r="E145">
        <v>24</v>
      </c>
      <c r="F145">
        <v>60</v>
      </c>
      <c r="G145">
        <v>60</v>
      </c>
      <c r="H145">
        <v>60</v>
      </c>
      <c r="I145">
        <v>60</v>
      </c>
      <c r="J145" t="s">
        <v>5487</v>
      </c>
      <c r="K145">
        <v>24</v>
      </c>
      <c r="L145">
        <v>2135</v>
      </c>
      <c r="M145">
        <v>51240</v>
      </c>
      <c r="N145">
        <v>60</v>
      </c>
      <c r="O145">
        <v>24</v>
      </c>
    </row>
    <row r="146" spans="1:15" hidden="1" x14ac:dyDescent="0.2">
      <c r="A146" s="958" t="s">
        <v>6381</v>
      </c>
      <c r="B146" t="s">
        <v>6231</v>
      </c>
      <c r="C146" s="959">
        <v>45527</v>
      </c>
      <c r="D146" t="s">
        <v>4461</v>
      </c>
      <c r="E146">
        <v>192</v>
      </c>
      <c r="F146">
        <v>192</v>
      </c>
      <c r="G146">
        <v>192</v>
      </c>
      <c r="H146">
        <v>192</v>
      </c>
      <c r="I146">
        <v>192</v>
      </c>
      <c r="J146" t="s">
        <v>5391</v>
      </c>
      <c r="K146">
        <v>192</v>
      </c>
      <c r="L146">
        <v>131.75</v>
      </c>
      <c r="M146">
        <v>25296</v>
      </c>
      <c r="N146">
        <v>192</v>
      </c>
      <c r="O146">
        <v>192</v>
      </c>
    </row>
    <row r="147" spans="1:15" hidden="1" x14ac:dyDescent="0.2">
      <c r="A147" s="958" t="s">
        <v>6382</v>
      </c>
      <c r="B147" t="s">
        <v>6232</v>
      </c>
      <c r="C147" s="959">
        <v>45531</v>
      </c>
      <c r="D147" t="s">
        <v>1975</v>
      </c>
      <c r="E147">
        <v>1019.7</v>
      </c>
      <c r="F147">
        <v>1019.7</v>
      </c>
      <c r="G147">
        <v>1019.7</v>
      </c>
      <c r="H147">
        <v>1019.7</v>
      </c>
      <c r="I147">
        <v>1019.7</v>
      </c>
      <c r="J147" t="s">
        <v>5270</v>
      </c>
      <c r="K147">
        <v>1019.7</v>
      </c>
      <c r="L147">
        <v>68.69</v>
      </c>
      <c r="M147">
        <v>70039.62</v>
      </c>
      <c r="N147">
        <v>1019.7</v>
      </c>
      <c r="O147">
        <v>1019.7</v>
      </c>
    </row>
    <row r="148" spans="1:15" hidden="1" x14ac:dyDescent="0.2">
      <c r="A148" s="958" t="s">
        <v>6383</v>
      </c>
      <c r="B148" t="s">
        <v>6233</v>
      </c>
      <c r="C148" s="959">
        <v>45532</v>
      </c>
      <c r="D148" t="s">
        <v>4682</v>
      </c>
      <c r="E148">
        <v>330</v>
      </c>
      <c r="F148">
        <v>330</v>
      </c>
      <c r="G148">
        <v>330</v>
      </c>
      <c r="H148">
        <v>330</v>
      </c>
      <c r="I148">
        <v>330</v>
      </c>
      <c r="J148" t="s">
        <v>6698</v>
      </c>
      <c r="K148">
        <v>330</v>
      </c>
      <c r="L148">
        <v>148.82</v>
      </c>
      <c r="M148">
        <v>49110.27</v>
      </c>
      <c r="N148">
        <v>330</v>
      </c>
      <c r="O148">
        <v>330</v>
      </c>
    </row>
    <row r="149" spans="1:15" hidden="1" x14ac:dyDescent="0.2">
      <c r="A149" s="958" t="s">
        <v>6384</v>
      </c>
      <c r="B149" t="s">
        <v>6233</v>
      </c>
      <c r="C149" s="959">
        <v>45532</v>
      </c>
      <c r="D149" t="s">
        <v>4675</v>
      </c>
      <c r="E149">
        <v>216</v>
      </c>
      <c r="F149">
        <v>216</v>
      </c>
      <c r="G149">
        <v>216</v>
      </c>
      <c r="H149">
        <v>216</v>
      </c>
      <c r="I149">
        <v>216</v>
      </c>
      <c r="J149" t="s">
        <v>6234</v>
      </c>
      <c r="K149">
        <v>216</v>
      </c>
      <c r="L149">
        <v>220.9</v>
      </c>
      <c r="M149">
        <v>47715.37</v>
      </c>
      <c r="N149">
        <v>216</v>
      </c>
      <c r="O149">
        <v>216</v>
      </c>
    </row>
    <row r="150" spans="1:15" hidden="1" x14ac:dyDescent="0.2">
      <c r="A150" s="958" t="s">
        <v>6385</v>
      </c>
      <c r="B150" t="s">
        <v>6235</v>
      </c>
      <c r="C150" s="959">
        <v>45532</v>
      </c>
      <c r="D150" t="s">
        <v>2719</v>
      </c>
      <c r="E150">
        <v>336</v>
      </c>
      <c r="F150">
        <v>336</v>
      </c>
      <c r="G150">
        <v>336</v>
      </c>
      <c r="H150">
        <v>336</v>
      </c>
      <c r="I150">
        <v>336</v>
      </c>
      <c r="J150" t="s">
        <v>5488</v>
      </c>
      <c r="K150">
        <v>336</v>
      </c>
      <c r="L150">
        <v>313.13</v>
      </c>
      <c r="M150">
        <v>105212.02</v>
      </c>
      <c r="N150">
        <v>336</v>
      </c>
      <c r="O150">
        <v>336</v>
      </c>
    </row>
    <row r="151" spans="1:15" hidden="1" x14ac:dyDescent="0.2">
      <c r="A151" s="958" t="s">
        <v>6386</v>
      </c>
      <c r="B151" t="s">
        <v>6236</v>
      </c>
      <c r="C151" s="959">
        <v>45532</v>
      </c>
      <c r="D151" t="s">
        <v>5289</v>
      </c>
      <c r="E151">
        <v>1767.9</v>
      </c>
      <c r="F151">
        <v>1767.9</v>
      </c>
      <c r="G151">
        <v>1767.9</v>
      </c>
      <c r="H151">
        <v>1767.9</v>
      </c>
      <c r="I151">
        <v>1767.9</v>
      </c>
      <c r="J151" t="s">
        <v>5489</v>
      </c>
      <c r="K151">
        <v>1767.9</v>
      </c>
      <c r="L151">
        <v>97.78</v>
      </c>
      <c r="M151">
        <v>172858.19</v>
      </c>
      <c r="N151">
        <v>1767.9</v>
      </c>
      <c r="O151">
        <v>1764.35</v>
      </c>
    </row>
    <row r="152" spans="1:15" hidden="1" x14ac:dyDescent="0.2">
      <c r="A152" s="958" t="s">
        <v>6387</v>
      </c>
      <c r="B152" t="s">
        <v>6237</v>
      </c>
      <c r="C152" s="959">
        <v>45532</v>
      </c>
      <c r="D152" t="s">
        <v>5158</v>
      </c>
      <c r="E152">
        <v>1296</v>
      </c>
      <c r="F152">
        <v>1296</v>
      </c>
      <c r="G152">
        <v>1296</v>
      </c>
      <c r="H152">
        <v>1296</v>
      </c>
      <c r="I152">
        <v>1296</v>
      </c>
      <c r="J152" t="s">
        <v>5460</v>
      </c>
      <c r="K152">
        <v>1296</v>
      </c>
      <c r="L152">
        <v>146.97</v>
      </c>
      <c r="M152">
        <v>190468.45</v>
      </c>
      <c r="N152">
        <v>1296</v>
      </c>
      <c r="O152">
        <v>1296</v>
      </c>
    </row>
    <row r="153" spans="1:15" hidden="1" x14ac:dyDescent="0.2">
      <c r="A153" s="958" t="s">
        <v>6388</v>
      </c>
      <c r="B153" t="s">
        <v>6238</v>
      </c>
      <c r="C153" s="959">
        <v>45532</v>
      </c>
      <c r="D153" t="s">
        <v>4590</v>
      </c>
      <c r="E153">
        <v>198</v>
      </c>
      <c r="F153">
        <v>198</v>
      </c>
      <c r="G153">
        <v>198</v>
      </c>
      <c r="H153">
        <v>198</v>
      </c>
      <c r="I153">
        <v>198</v>
      </c>
      <c r="J153" t="s">
        <v>5383</v>
      </c>
      <c r="K153">
        <v>198</v>
      </c>
      <c r="L153">
        <v>179.92</v>
      </c>
      <c r="M153">
        <v>35624.660000000003</v>
      </c>
      <c r="N153">
        <v>198</v>
      </c>
      <c r="O153">
        <v>198</v>
      </c>
    </row>
    <row r="154" spans="1:15" hidden="1" x14ac:dyDescent="0.2">
      <c r="A154" s="958" t="s">
        <v>6389</v>
      </c>
      <c r="B154" t="s">
        <v>6239</v>
      </c>
      <c r="C154" s="959">
        <v>45532</v>
      </c>
      <c r="D154" t="s">
        <v>5091</v>
      </c>
      <c r="E154">
        <v>1188</v>
      </c>
      <c r="F154">
        <v>1188</v>
      </c>
      <c r="G154">
        <v>1188</v>
      </c>
      <c r="H154">
        <v>1188</v>
      </c>
      <c r="I154">
        <v>1188</v>
      </c>
      <c r="J154" t="s">
        <v>5411</v>
      </c>
      <c r="K154">
        <v>1188</v>
      </c>
      <c r="L154">
        <v>74.38</v>
      </c>
      <c r="M154">
        <v>88361.66</v>
      </c>
      <c r="N154">
        <v>1188</v>
      </c>
      <c r="O154">
        <v>1188</v>
      </c>
    </row>
    <row r="155" spans="1:15" hidden="1" x14ac:dyDescent="0.2">
      <c r="A155" s="958" t="s">
        <v>6390</v>
      </c>
      <c r="B155" t="s">
        <v>6240</v>
      </c>
      <c r="C155" s="959">
        <v>45532</v>
      </c>
      <c r="D155" t="s">
        <v>5083</v>
      </c>
      <c r="E155">
        <v>150</v>
      </c>
      <c r="F155">
        <v>150</v>
      </c>
      <c r="G155">
        <v>150</v>
      </c>
      <c r="H155">
        <v>150</v>
      </c>
      <c r="I155">
        <v>150</v>
      </c>
      <c r="J155" t="s">
        <v>5446</v>
      </c>
      <c r="K155">
        <v>150</v>
      </c>
      <c r="L155">
        <v>650.41</v>
      </c>
      <c r="M155">
        <v>97561.52</v>
      </c>
      <c r="N155">
        <v>150</v>
      </c>
      <c r="O155">
        <v>150</v>
      </c>
    </row>
    <row r="156" spans="1:15" hidden="1" x14ac:dyDescent="0.2">
      <c r="A156" s="958" t="s">
        <v>6391</v>
      </c>
      <c r="B156" t="s">
        <v>6240</v>
      </c>
      <c r="C156" s="959">
        <v>45532</v>
      </c>
      <c r="D156" t="s">
        <v>5084</v>
      </c>
      <c r="E156">
        <v>309</v>
      </c>
      <c r="F156">
        <v>309</v>
      </c>
      <c r="G156">
        <v>309</v>
      </c>
      <c r="H156">
        <v>309</v>
      </c>
      <c r="I156">
        <v>309</v>
      </c>
      <c r="J156" t="s">
        <v>6125</v>
      </c>
      <c r="K156">
        <v>309</v>
      </c>
      <c r="L156">
        <v>547.89</v>
      </c>
      <c r="M156">
        <v>169297.76</v>
      </c>
      <c r="N156">
        <v>309</v>
      </c>
      <c r="O156">
        <v>309</v>
      </c>
    </row>
    <row r="157" spans="1:15" hidden="1" x14ac:dyDescent="0.2">
      <c r="A157" s="958" t="s">
        <v>6392</v>
      </c>
      <c r="B157" t="s">
        <v>6241</v>
      </c>
      <c r="C157" s="959">
        <v>45532</v>
      </c>
      <c r="D157" t="s">
        <v>5490</v>
      </c>
      <c r="E157">
        <v>724</v>
      </c>
      <c r="F157">
        <v>724</v>
      </c>
      <c r="G157">
        <v>724</v>
      </c>
      <c r="H157">
        <v>724</v>
      </c>
      <c r="I157">
        <v>724</v>
      </c>
      <c r="J157" t="s">
        <v>5491</v>
      </c>
      <c r="K157">
        <v>724</v>
      </c>
      <c r="L157">
        <v>76.739999999999995</v>
      </c>
      <c r="M157">
        <v>55562</v>
      </c>
      <c r="N157">
        <v>724</v>
      </c>
      <c r="O157">
        <v>724</v>
      </c>
    </row>
    <row r="158" spans="1:15" hidden="1" x14ac:dyDescent="0.2">
      <c r="A158" s="958" t="s">
        <v>6393</v>
      </c>
      <c r="B158" t="s">
        <v>6242</v>
      </c>
      <c r="C158" s="959">
        <v>45533</v>
      </c>
      <c r="D158" t="s">
        <v>5291</v>
      </c>
      <c r="E158">
        <v>363</v>
      </c>
      <c r="F158">
        <v>363</v>
      </c>
      <c r="G158">
        <v>363</v>
      </c>
      <c r="H158">
        <v>363</v>
      </c>
      <c r="I158">
        <v>363</v>
      </c>
      <c r="J158" t="s">
        <v>6243</v>
      </c>
      <c r="K158">
        <v>363</v>
      </c>
      <c r="L158">
        <v>137.33000000000001</v>
      </c>
      <c r="M158">
        <v>49850</v>
      </c>
      <c r="N158">
        <v>363</v>
      </c>
      <c r="O158">
        <v>363</v>
      </c>
    </row>
    <row r="159" spans="1:15" hidden="1" x14ac:dyDescent="0.2">
      <c r="A159" s="958" t="s">
        <v>6394</v>
      </c>
      <c r="B159" t="s">
        <v>6242</v>
      </c>
      <c r="C159" s="959">
        <v>45533</v>
      </c>
      <c r="D159" t="s">
        <v>5292</v>
      </c>
      <c r="E159">
        <v>72.599999999999994</v>
      </c>
      <c r="F159">
        <v>72.599999999999994</v>
      </c>
      <c r="G159">
        <v>72.599999999999994</v>
      </c>
      <c r="H159">
        <v>72.599999999999994</v>
      </c>
      <c r="I159">
        <v>72.599999999999994</v>
      </c>
      <c r="J159" t="s">
        <v>5492</v>
      </c>
      <c r="K159">
        <v>72.599999999999994</v>
      </c>
      <c r="L159">
        <v>343.32</v>
      </c>
      <c r="M159">
        <v>24925</v>
      </c>
      <c r="N159">
        <v>72.599999999999994</v>
      </c>
      <c r="O159">
        <v>72.599999999999994</v>
      </c>
    </row>
    <row r="160" spans="1:15" hidden="1" x14ac:dyDescent="0.2">
      <c r="A160" s="958" t="s">
        <v>6395</v>
      </c>
      <c r="B160" t="s">
        <v>6242</v>
      </c>
      <c r="C160" s="959">
        <v>45533</v>
      </c>
      <c r="D160" t="s">
        <v>5164</v>
      </c>
      <c r="E160">
        <v>145.19999999999999</v>
      </c>
      <c r="F160">
        <v>145.19999999999999</v>
      </c>
      <c r="G160">
        <v>145.19999999999999</v>
      </c>
      <c r="H160">
        <v>145.19999999999999</v>
      </c>
      <c r="I160">
        <v>145.19999999999999</v>
      </c>
      <c r="J160" t="s">
        <v>5466</v>
      </c>
      <c r="K160">
        <v>145.19999999999999</v>
      </c>
      <c r="L160">
        <v>446.32</v>
      </c>
      <c r="M160">
        <v>64805</v>
      </c>
      <c r="N160">
        <v>145.19999999999999</v>
      </c>
      <c r="O160">
        <v>145.19999999999999</v>
      </c>
    </row>
    <row r="161" spans="1:15" hidden="1" x14ac:dyDescent="0.2">
      <c r="A161" s="958" t="s">
        <v>6396</v>
      </c>
      <c r="B161" t="s">
        <v>6242</v>
      </c>
      <c r="C161" s="959">
        <v>45533</v>
      </c>
      <c r="D161" t="s">
        <v>5493</v>
      </c>
      <c r="E161">
        <v>6.1</v>
      </c>
      <c r="F161">
        <v>6.1</v>
      </c>
      <c r="G161">
        <v>6.1</v>
      </c>
      <c r="H161">
        <v>6.1</v>
      </c>
      <c r="I161">
        <v>6.1</v>
      </c>
      <c r="J161" t="s">
        <v>6244</v>
      </c>
      <c r="K161">
        <v>6.1</v>
      </c>
      <c r="L161">
        <v>817.21</v>
      </c>
      <c r="M161">
        <v>4985</v>
      </c>
      <c r="N161">
        <v>6.1</v>
      </c>
      <c r="O161">
        <v>6.1</v>
      </c>
    </row>
    <row r="162" spans="1:15" hidden="1" x14ac:dyDescent="0.2">
      <c r="A162" s="958" t="s">
        <v>6397</v>
      </c>
      <c r="B162" t="s">
        <v>6242</v>
      </c>
      <c r="C162" s="959">
        <v>45533</v>
      </c>
      <c r="D162" t="s">
        <v>6245</v>
      </c>
      <c r="E162">
        <v>4.8</v>
      </c>
      <c r="F162">
        <v>4.8</v>
      </c>
      <c r="G162">
        <v>4.8</v>
      </c>
      <c r="H162">
        <v>4.8</v>
      </c>
      <c r="I162">
        <v>4.8</v>
      </c>
      <c r="J162" t="s">
        <v>6246</v>
      </c>
      <c r="K162">
        <v>4.8</v>
      </c>
      <c r="L162">
        <v>1038.54</v>
      </c>
      <c r="M162">
        <v>4985</v>
      </c>
      <c r="N162">
        <v>4.8</v>
      </c>
      <c r="O162">
        <v>4.8</v>
      </c>
    </row>
    <row r="163" spans="1:15" hidden="1" x14ac:dyDescent="0.2">
      <c r="A163" s="958" t="s">
        <v>6398</v>
      </c>
      <c r="B163" t="s">
        <v>6247</v>
      </c>
      <c r="C163" s="959">
        <v>45533</v>
      </c>
      <c r="D163" t="s">
        <v>2963</v>
      </c>
      <c r="E163">
        <v>1339.8</v>
      </c>
      <c r="F163">
        <v>1339.8</v>
      </c>
      <c r="G163">
        <v>1339.8</v>
      </c>
      <c r="H163">
        <v>1339.8</v>
      </c>
      <c r="I163">
        <v>1339.8</v>
      </c>
      <c r="J163" t="s">
        <v>5363</v>
      </c>
      <c r="K163">
        <v>1339.8</v>
      </c>
      <c r="L163">
        <v>78.44</v>
      </c>
      <c r="M163">
        <v>105096.59</v>
      </c>
      <c r="N163">
        <v>1339.8</v>
      </c>
      <c r="O163">
        <v>1339.8</v>
      </c>
    </row>
    <row r="164" spans="1:15" hidden="1" x14ac:dyDescent="0.2">
      <c r="A164" s="958" t="s">
        <v>6399</v>
      </c>
      <c r="B164" t="s">
        <v>6248</v>
      </c>
      <c r="C164" s="959">
        <v>45534</v>
      </c>
      <c r="D164" t="s">
        <v>5367</v>
      </c>
      <c r="E164">
        <v>8100</v>
      </c>
      <c r="F164">
        <v>8100</v>
      </c>
      <c r="G164">
        <v>8100</v>
      </c>
      <c r="H164">
        <v>8100</v>
      </c>
      <c r="I164">
        <v>8100</v>
      </c>
      <c r="J164" t="s">
        <v>5368</v>
      </c>
      <c r="K164">
        <v>8100</v>
      </c>
      <c r="L164">
        <v>33.17</v>
      </c>
      <c r="M164">
        <v>268636.5</v>
      </c>
      <c r="N164">
        <v>8100</v>
      </c>
      <c r="O164">
        <v>8100</v>
      </c>
    </row>
    <row r="165" spans="1:15" hidden="1" x14ac:dyDescent="0.2">
      <c r="A165" s="958" t="s">
        <v>6400</v>
      </c>
      <c r="B165" t="s">
        <v>6249</v>
      </c>
      <c r="C165" s="959">
        <v>45534</v>
      </c>
      <c r="D165" t="s">
        <v>5294</v>
      </c>
      <c r="E165">
        <v>26</v>
      </c>
      <c r="F165">
        <v>26</v>
      </c>
      <c r="G165">
        <v>26</v>
      </c>
      <c r="H165">
        <v>26</v>
      </c>
      <c r="I165">
        <v>26</v>
      </c>
      <c r="J165" t="s">
        <v>6250</v>
      </c>
      <c r="K165">
        <v>26</v>
      </c>
      <c r="L165">
        <v>5032.21</v>
      </c>
      <c r="M165">
        <v>130837.36</v>
      </c>
      <c r="N165">
        <v>26</v>
      </c>
      <c r="O165">
        <v>26</v>
      </c>
    </row>
    <row r="166" spans="1:15" hidden="1" x14ac:dyDescent="0.2">
      <c r="A166" s="958" t="s">
        <v>6401</v>
      </c>
      <c r="B166" t="s">
        <v>6251</v>
      </c>
      <c r="C166" s="959">
        <v>45534</v>
      </c>
      <c r="D166" t="s">
        <v>78</v>
      </c>
      <c r="E166">
        <v>3114</v>
      </c>
      <c r="F166">
        <v>3114</v>
      </c>
      <c r="G166">
        <v>3114</v>
      </c>
      <c r="H166">
        <v>3114</v>
      </c>
      <c r="I166">
        <v>3114</v>
      </c>
      <c r="J166" t="s">
        <v>5385</v>
      </c>
      <c r="K166">
        <v>3114</v>
      </c>
      <c r="L166">
        <v>79.91</v>
      </c>
      <c r="M166">
        <v>248835.07</v>
      </c>
      <c r="N166">
        <v>3114</v>
      </c>
      <c r="O166">
        <v>3114</v>
      </c>
    </row>
    <row r="167" spans="1:15" hidden="1" x14ac:dyDescent="0.2">
      <c r="A167" s="958" t="s">
        <v>6402</v>
      </c>
      <c r="B167" t="s">
        <v>6252</v>
      </c>
      <c r="C167" s="959">
        <v>45534</v>
      </c>
      <c r="D167" t="s">
        <v>5289</v>
      </c>
      <c r="E167">
        <v>170.4</v>
      </c>
      <c r="F167">
        <v>170.4</v>
      </c>
      <c r="G167">
        <v>170.4</v>
      </c>
      <c r="H167">
        <v>170.4</v>
      </c>
      <c r="I167">
        <v>170.4</v>
      </c>
      <c r="J167" t="s">
        <v>5489</v>
      </c>
      <c r="K167">
        <v>170.4</v>
      </c>
      <c r="L167">
        <v>117.33</v>
      </c>
      <c r="M167">
        <v>19993.240000000002</v>
      </c>
      <c r="N167">
        <v>170.4</v>
      </c>
      <c r="O167">
        <v>170.4</v>
      </c>
    </row>
    <row r="168" spans="1:15" hidden="1" x14ac:dyDescent="0.2">
      <c r="A168" s="958" t="s">
        <v>5575</v>
      </c>
      <c r="B168" t="s">
        <v>5494</v>
      </c>
      <c r="C168" s="959">
        <v>45538</v>
      </c>
      <c r="D168" t="s">
        <v>5298</v>
      </c>
      <c r="E168">
        <v>56</v>
      </c>
      <c r="F168">
        <v>56</v>
      </c>
      <c r="G168">
        <v>56</v>
      </c>
      <c r="H168">
        <v>56</v>
      </c>
      <c r="I168">
        <v>56</v>
      </c>
      <c r="J168" t="s">
        <v>5495</v>
      </c>
      <c r="K168">
        <v>56</v>
      </c>
      <c r="L168">
        <v>515.66999999999996</v>
      </c>
      <c r="M168">
        <v>28877.5</v>
      </c>
      <c r="N168">
        <v>56</v>
      </c>
      <c r="O168">
        <v>56</v>
      </c>
    </row>
    <row r="169" spans="1:15" hidden="1" x14ac:dyDescent="0.2">
      <c r="A169" s="958" t="s">
        <v>5576</v>
      </c>
      <c r="B169" t="s">
        <v>5494</v>
      </c>
      <c r="C169" s="959">
        <v>45538</v>
      </c>
      <c r="D169" t="s">
        <v>5299</v>
      </c>
      <c r="E169">
        <v>66</v>
      </c>
      <c r="F169">
        <v>66</v>
      </c>
      <c r="G169">
        <v>66</v>
      </c>
      <c r="H169">
        <v>66</v>
      </c>
      <c r="I169">
        <v>66</v>
      </c>
      <c r="J169" t="s">
        <v>5453</v>
      </c>
      <c r="K169">
        <v>66</v>
      </c>
      <c r="L169">
        <v>350.03</v>
      </c>
      <c r="M169">
        <v>23102</v>
      </c>
      <c r="N169">
        <v>66</v>
      </c>
      <c r="O169">
        <v>66</v>
      </c>
    </row>
    <row r="170" spans="1:15" hidden="1" x14ac:dyDescent="0.2">
      <c r="A170" s="958" t="s">
        <v>5577</v>
      </c>
      <c r="B170" t="s">
        <v>5494</v>
      </c>
      <c r="C170" s="959">
        <v>45538</v>
      </c>
      <c r="D170" t="s">
        <v>5300</v>
      </c>
      <c r="E170">
        <v>28</v>
      </c>
      <c r="F170">
        <v>28</v>
      </c>
      <c r="G170">
        <v>28</v>
      </c>
      <c r="H170">
        <v>28</v>
      </c>
      <c r="I170">
        <v>28</v>
      </c>
      <c r="J170" t="s">
        <v>5496</v>
      </c>
      <c r="K170">
        <v>28</v>
      </c>
      <c r="L170">
        <v>1031.3399999999999</v>
      </c>
      <c r="M170">
        <v>28877.5</v>
      </c>
      <c r="N170">
        <v>28</v>
      </c>
      <c r="O170">
        <v>28</v>
      </c>
    </row>
    <row r="171" spans="1:15" hidden="1" x14ac:dyDescent="0.2">
      <c r="A171" s="958" t="s">
        <v>5578</v>
      </c>
      <c r="B171" t="s">
        <v>5494</v>
      </c>
      <c r="C171" s="959">
        <v>45538</v>
      </c>
      <c r="D171" t="s">
        <v>5301</v>
      </c>
      <c r="E171">
        <v>6</v>
      </c>
      <c r="F171">
        <v>6</v>
      </c>
      <c r="G171">
        <v>6</v>
      </c>
      <c r="H171">
        <v>6</v>
      </c>
      <c r="I171">
        <v>6</v>
      </c>
      <c r="J171" t="s">
        <v>5497</v>
      </c>
      <c r="K171">
        <v>6</v>
      </c>
      <c r="L171">
        <v>481.29</v>
      </c>
      <c r="M171">
        <v>2887.75</v>
      </c>
      <c r="N171">
        <v>6</v>
      </c>
      <c r="O171">
        <v>6</v>
      </c>
    </row>
    <row r="172" spans="1:15" hidden="1" x14ac:dyDescent="0.2">
      <c r="A172" s="958" t="s">
        <v>5579</v>
      </c>
      <c r="B172" t="s">
        <v>5494</v>
      </c>
      <c r="C172" s="959">
        <v>45538</v>
      </c>
      <c r="D172" t="s">
        <v>5302</v>
      </c>
      <c r="E172">
        <v>6</v>
      </c>
      <c r="F172">
        <v>6</v>
      </c>
      <c r="G172">
        <v>6</v>
      </c>
      <c r="H172">
        <v>6</v>
      </c>
      <c r="I172">
        <v>6</v>
      </c>
      <c r="J172" t="s">
        <v>5498</v>
      </c>
      <c r="K172">
        <v>6</v>
      </c>
      <c r="L172">
        <v>481.29</v>
      </c>
      <c r="M172">
        <v>2887.75</v>
      </c>
      <c r="N172">
        <v>6</v>
      </c>
      <c r="O172">
        <v>6</v>
      </c>
    </row>
    <row r="173" spans="1:15" hidden="1" x14ac:dyDescent="0.2">
      <c r="A173" s="958" t="s">
        <v>5580</v>
      </c>
      <c r="B173" t="s">
        <v>5494</v>
      </c>
      <c r="C173" s="959">
        <v>45538</v>
      </c>
      <c r="D173" t="s">
        <v>5303</v>
      </c>
      <c r="E173">
        <v>6</v>
      </c>
      <c r="F173">
        <v>6</v>
      </c>
      <c r="G173">
        <v>6</v>
      </c>
      <c r="H173">
        <v>6</v>
      </c>
      <c r="I173">
        <v>6</v>
      </c>
      <c r="J173" t="s">
        <v>5499</v>
      </c>
      <c r="K173">
        <v>6</v>
      </c>
      <c r="L173">
        <v>481.25</v>
      </c>
      <c r="M173">
        <v>2887.5</v>
      </c>
      <c r="N173">
        <v>6</v>
      </c>
      <c r="O173">
        <v>6</v>
      </c>
    </row>
    <row r="174" spans="1:15" hidden="1" x14ac:dyDescent="0.2">
      <c r="A174" s="958" t="s">
        <v>5581</v>
      </c>
      <c r="B174" t="s">
        <v>5494</v>
      </c>
      <c r="C174" s="959">
        <v>45538</v>
      </c>
      <c r="D174" t="s">
        <v>5112</v>
      </c>
      <c r="E174">
        <v>85</v>
      </c>
      <c r="F174">
        <v>85</v>
      </c>
      <c r="G174">
        <v>85</v>
      </c>
      <c r="H174">
        <v>85</v>
      </c>
      <c r="I174">
        <v>85</v>
      </c>
      <c r="J174" t="s">
        <v>5454</v>
      </c>
      <c r="K174">
        <v>85</v>
      </c>
      <c r="L174">
        <v>290</v>
      </c>
      <c r="M174">
        <v>24650</v>
      </c>
      <c r="N174">
        <v>85</v>
      </c>
      <c r="O174">
        <v>85</v>
      </c>
    </row>
    <row r="175" spans="1:15" hidden="1" x14ac:dyDescent="0.2">
      <c r="A175" s="958" t="s">
        <v>5582</v>
      </c>
      <c r="B175" t="s">
        <v>5494</v>
      </c>
      <c r="C175" s="959">
        <v>45538</v>
      </c>
      <c r="D175" t="s">
        <v>5114</v>
      </c>
      <c r="E175">
        <v>15</v>
      </c>
      <c r="F175">
        <v>15</v>
      </c>
      <c r="G175">
        <v>15</v>
      </c>
      <c r="H175">
        <v>15</v>
      </c>
      <c r="I175">
        <v>15</v>
      </c>
      <c r="J175" t="s">
        <v>5455</v>
      </c>
      <c r="K175">
        <v>15</v>
      </c>
      <c r="L175">
        <v>440</v>
      </c>
      <c r="M175">
        <v>6600</v>
      </c>
      <c r="N175">
        <v>15</v>
      </c>
      <c r="O175">
        <v>15</v>
      </c>
    </row>
    <row r="176" spans="1:15" hidden="1" x14ac:dyDescent="0.2">
      <c r="A176" s="958" t="s">
        <v>5583</v>
      </c>
      <c r="B176" t="s">
        <v>5494</v>
      </c>
      <c r="C176" s="959">
        <v>45538</v>
      </c>
      <c r="D176" t="s">
        <v>5304</v>
      </c>
      <c r="E176">
        <v>72</v>
      </c>
      <c r="F176">
        <v>72</v>
      </c>
      <c r="G176">
        <v>72</v>
      </c>
      <c r="H176">
        <v>72</v>
      </c>
      <c r="I176">
        <v>72</v>
      </c>
      <c r="J176" t="s">
        <v>5500</v>
      </c>
      <c r="K176">
        <v>72</v>
      </c>
      <c r="L176">
        <v>360.97</v>
      </c>
      <c r="M176">
        <v>25990</v>
      </c>
      <c r="N176">
        <v>72</v>
      </c>
      <c r="O176">
        <v>72</v>
      </c>
    </row>
    <row r="177" spans="1:15" hidden="1" x14ac:dyDescent="0.2">
      <c r="A177" s="958" t="s">
        <v>5866</v>
      </c>
      <c r="B177" t="s">
        <v>5501</v>
      </c>
      <c r="C177" s="959">
        <v>45539</v>
      </c>
      <c r="D177" t="s">
        <v>5862</v>
      </c>
      <c r="E177">
        <v>648</v>
      </c>
      <c r="F177">
        <v>648</v>
      </c>
      <c r="G177">
        <v>648</v>
      </c>
      <c r="H177">
        <v>648</v>
      </c>
      <c r="I177">
        <v>648</v>
      </c>
      <c r="J177" t="s">
        <v>5831</v>
      </c>
      <c r="K177">
        <v>648</v>
      </c>
      <c r="L177">
        <v>143.06</v>
      </c>
      <c r="M177">
        <v>92699.64</v>
      </c>
      <c r="N177">
        <v>648</v>
      </c>
      <c r="O177">
        <v>648</v>
      </c>
    </row>
    <row r="178" spans="1:15" hidden="1" x14ac:dyDescent="0.2">
      <c r="A178" s="958" t="s">
        <v>5584</v>
      </c>
      <c r="B178" t="s">
        <v>5502</v>
      </c>
      <c r="C178" s="959">
        <v>45539</v>
      </c>
      <c r="D178" t="s">
        <v>4544</v>
      </c>
      <c r="E178">
        <v>512</v>
      </c>
      <c r="F178">
        <v>512</v>
      </c>
      <c r="G178">
        <v>512</v>
      </c>
      <c r="H178">
        <v>512</v>
      </c>
      <c r="I178">
        <v>512</v>
      </c>
      <c r="J178" t="s">
        <v>5379</v>
      </c>
      <c r="K178">
        <v>512</v>
      </c>
      <c r="L178">
        <v>164.61</v>
      </c>
      <c r="M178">
        <v>84278.48</v>
      </c>
      <c r="N178">
        <v>512</v>
      </c>
      <c r="O178">
        <v>512</v>
      </c>
    </row>
    <row r="179" spans="1:15" hidden="1" x14ac:dyDescent="0.2">
      <c r="A179" s="958" t="s">
        <v>5585</v>
      </c>
      <c r="B179" t="s">
        <v>5503</v>
      </c>
      <c r="C179" s="959">
        <v>45539</v>
      </c>
      <c r="D179" t="s">
        <v>4785</v>
      </c>
      <c r="E179">
        <v>1152</v>
      </c>
      <c r="F179">
        <v>1152</v>
      </c>
      <c r="G179">
        <v>1152</v>
      </c>
      <c r="H179">
        <v>1152</v>
      </c>
      <c r="I179">
        <v>1152</v>
      </c>
      <c r="J179" t="s">
        <v>5384</v>
      </c>
      <c r="K179">
        <v>1152</v>
      </c>
      <c r="L179">
        <v>190.65</v>
      </c>
      <c r="M179">
        <v>219623.04000000001</v>
      </c>
      <c r="N179">
        <v>1152</v>
      </c>
      <c r="O179">
        <v>1146</v>
      </c>
    </row>
    <row r="180" spans="1:15" hidden="1" x14ac:dyDescent="0.2">
      <c r="A180" s="958" t="s">
        <v>5586</v>
      </c>
      <c r="B180" t="s">
        <v>5504</v>
      </c>
      <c r="C180" s="959">
        <v>45541</v>
      </c>
      <c r="D180" t="s">
        <v>2202</v>
      </c>
      <c r="E180">
        <v>696</v>
      </c>
      <c r="F180">
        <v>696</v>
      </c>
      <c r="G180">
        <v>696</v>
      </c>
      <c r="H180">
        <v>696</v>
      </c>
      <c r="I180">
        <v>696</v>
      </c>
      <c r="J180" t="s">
        <v>5449</v>
      </c>
      <c r="K180">
        <v>696</v>
      </c>
      <c r="L180">
        <v>130.86000000000001</v>
      </c>
      <c r="M180">
        <v>91077.17</v>
      </c>
      <c r="N180">
        <v>696</v>
      </c>
      <c r="O180">
        <v>696</v>
      </c>
    </row>
    <row r="181" spans="1:15" hidden="1" x14ac:dyDescent="0.2">
      <c r="A181" s="958" t="s">
        <v>5587</v>
      </c>
      <c r="B181" t="s">
        <v>5505</v>
      </c>
      <c r="C181" s="959">
        <v>45541</v>
      </c>
      <c r="D181" t="s">
        <v>4393</v>
      </c>
      <c r="E181">
        <v>396</v>
      </c>
      <c r="F181">
        <v>396</v>
      </c>
      <c r="G181">
        <v>396</v>
      </c>
      <c r="H181">
        <v>396</v>
      </c>
      <c r="I181">
        <v>396</v>
      </c>
      <c r="J181" t="s">
        <v>5472</v>
      </c>
      <c r="K181">
        <v>396</v>
      </c>
      <c r="L181">
        <v>196.67</v>
      </c>
      <c r="M181">
        <v>77880.73</v>
      </c>
      <c r="N181">
        <v>396</v>
      </c>
      <c r="O181">
        <v>396</v>
      </c>
    </row>
    <row r="182" spans="1:15" hidden="1" x14ac:dyDescent="0.2">
      <c r="A182" s="958" t="s">
        <v>5588</v>
      </c>
      <c r="B182" t="s">
        <v>5506</v>
      </c>
      <c r="C182" s="959">
        <v>45541</v>
      </c>
      <c r="D182" t="s">
        <v>5158</v>
      </c>
      <c r="E182">
        <v>1162.8</v>
      </c>
      <c r="F182">
        <v>1162.8</v>
      </c>
      <c r="G182">
        <v>1162.8</v>
      </c>
      <c r="H182">
        <v>1162.8</v>
      </c>
      <c r="I182">
        <v>1162.8</v>
      </c>
      <c r="J182" t="s">
        <v>5460</v>
      </c>
      <c r="K182">
        <v>1162.8</v>
      </c>
      <c r="L182">
        <v>146.97</v>
      </c>
      <c r="M182">
        <v>170896.72</v>
      </c>
      <c r="N182">
        <v>1162.8</v>
      </c>
      <c r="O182">
        <v>1162.8</v>
      </c>
    </row>
    <row r="183" spans="1:15" hidden="1" x14ac:dyDescent="0.2">
      <c r="A183" s="958" t="s">
        <v>5589</v>
      </c>
      <c r="B183" t="s">
        <v>5507</v>
      </c>
      <c r="C183" s="959">
        <v>45544</v>
      </c>
      <c r="D183" t="s">
        <v>4667</v>
      </c>
      <c r="E183">
        <v>870</v>
      </c>
      <c r="F183">
        <v>870</v>
      </c>
      <c r="G183">
        <v>870</v>
      </c>
      <c r="H183">
        <v>870</v>
      </c>
      <c r="I183">
        <v>870</v>
      </c>
      <c r="J183" t="s">
        <v>5508</v>
      </c>
      <c r="K183">
        <v>870</v>
      </c>
      <c r="L183">
        <v>158.52000000000001</v>
      </c>
      <c r="M183">
        <v>137914.14000000001</v>
      </c>
      <c r="N183">
        <v>870</v>
      </c>
      <c r="O183">
        <v>846</v>
      </c>
    </row>
    <row r="184" spans="1:15" hidden="1" x14ac:dyDescent="0.2">
      <c r="A184" s="958" t="s">
        <v>5590</v>
      </c>
      <c r="B184" t="s">
        <v>5509</v>
      </c>
      <c r="C184" s="959">
        <v>45547</v>
      </c>
      <c r="D184" t="s">
        <v>652</v>
      </c>
      <c r="E184">
        <v>1149.5</v>
      </c>
      <c r="F184">
        <v>1149.5</v>
      </c>
      <c r="G184">
        <v>1149.5</v>
      </c>
      <c r="H184">
        <v>1149.5</v>
      </c>
      <c r="I184">
        <v>1149.5</v>
      </c>
      <c r="J184" t="s">
        <v>5510</v>
      </c>
      <c r="K184">
        <v>1149.5</v>
      </c>
      <c r="L184">
        <v>56.02</v>
      </c>
      <c r="M184">
        <v>64395.91</v>
      </c>
      <c r="N184">
        <v>1149.5</v>
      </c>
      <c r="O184">
        <v>1149.5</v>
      </c>
    </row>
    <row r="185" spans="1:15" hidden="1" x14ac:dyDescent="0.2">
      <c r="A185" s="958" t="s">
        <v>5591</v>
      </c>
      <c r="B185" t="s">
        <v>5511</v>
      </c>
      <c r="C185" s="959">
        <v>45547</v>
      </c>
      <c r="D185" t="s">
        <v>1362</v>
      </c>
      <c r="E185">
        <v>237.9</v>
      </c>
      <c r="F185">
        <v>237.9</v>
      </c>
      <c r="G185">
        <v>237.9</v>
      </c>
      <c r="H185">
        <v>237.9</v>
      </c>
      <c r="I185">
        <v>237.9</v>
      </c>
      <c r="J185" t="s">
        <v>5361</v>
      </c>
      <c r="K185">
        <v>237.9</v>
      </c>
      <c r="L185">
        <v>513.71</v>
      </c>
      <c r="M185">
        <v>122211.48</v>
      </c>
      <c r="N185">
        <v>237.9</v>
      </c>
      <c r="O185">
        <v>237.9</v>
      </c>
    </row>
    <row r="186" spans="1:15" hidden="1" x14ac:dyDescent="0.2">
      <c r="A186" s="958" t="s">
        <v>5592</v>
      </c>
      <c r="B186" t="s">
        <v>5512</v>
      </c>
      <c r="C186" s="959">
        <v>45547</v>
      </c>
      <c r="D186" t="s">
        <v>5313</v>
      </c>
      <c r="E186">
        <v>36</v>
      </c>
      <c r="F186">
        <v>36</v>
      </c>
      <c r="G186">
        <v>36</v>
      </c>
      <c r="H186">
        <v>36</v>
      </c>
      <c r="I186">
        <v>36</v>
      </c>
      <c r="J186" t="s">
        <v>5513</v>
      </c>
      <c r="K186">
        <v>36</v>
      </c>
      <c r="L186">
        <v>774.76</v>
      </c>
      <c r="M186">
        <v>27891.200000000001</v>
      </c>
      <c r="N186">
        <v>36</v>
      </c>
      <c r="O186">
        <v>36</v>
      </c>
    </row>
    <row r="187" spans="1:15" hidden="1" x14ac:dyDescent="0.2">
      <c r="A187" s="958" t="s">
        <v>5593</v>
      </c>
      <c r="B187" t="s">
        <v>5514</v>
      </c>
      <c r="C187" s="959">
        <v>45547</v>
      </c>
      <c r="D187" t="s">
        <v>5515</v>
      </c>
      <c r="E187">
        <v>498</v>
      </c>
      <c r="F187">
        <v>498</v>
      </c>
      <c r="G187">
        <v>498</v>
      </c>
      <c r="H187">
        <v>498</v>
      </c>
      <c r="I187">
        <v>498</v>
      </c>
      <c r="J187" t="s">
        <v>5516</v>
      </c>
      <c r="K187">
        <v>498</v>
      </c>
      <c r="L187">
        <v>255.24</v>
      </c>
      <c r="M187">
        <v>127109.88</v>
      </c>
      <c r="N187">
        <v>498</v>
      </c>
      <c r="O187">
        <v>498</v>
      </c>
    </row>
    <row r="188" spans="1:15" hidden="1" x14ac:dyDescent="0.2">
      <c r="A188" s="958" t="s">
        <v>5681</v>
      </c>
      <c r="B188" t="s">
        <v>5680</v>
      </c>
      <c r="C188" s="959">
        <v>45548</v>
      </c>
      <c r="D188" t="s">
        <v>5490</v>
      </c>
      <c r="E188">
        <v>1810</v>
      </c>
      <c r="F188">
        <v>1810</v>
      </c>
      <c r="G188">
        <v>1810</v>
      </c>
      <c r="H188">
        <v>1810</v>
      </c>
      <c r="I188">
        <v>1810</v>
      </c>
      <c r="J188" t="s">
        <v>5491</v>
      </c>
      <c r="K188">
        <v>1810</v>
      </c>
      <c r="L188">
        <v>78.14</v>
      </c>
      <c r="M188">
        <v>141430</v>
      </c>
      <c r="N188">
        <v>1810</v>
      </c>
      <c r="O188">
        <v>1810</v>
      </c>
    </row>
    <row r="189" spans="1:15" hidden="1" x14ac:dyDescent="0.2">
      <c r="A189" s="958" t="s">
        <v>5594</v>
      </c>
      <c r="B189" t="s">
        <v>5517</v>
      </c>
      <c r="C189" s="959">
        <v>45551</v>
      </c>
      <c r="D189" t="s">
        <v>4544</v>
      </c>
      <c r="E189">
        <v>776</v>
      </c>
      <c r="F189">
        <v>776</v>
      </c>
      <c r="G189">
        <v>776</v>
      </c>
      <c r="H189">
        <v>776</v>
      </c>
      <c r="I189">
        <v>776</v>
      </c>
      <c r="J189" t="s">
        <v>5379</v>
      </c>
      <c r="K189">
        <v>776</v>
      </c>
      <c r="L189">
        <v>164.61</v>
      </c>
      <c r="M189">
        <v>127734.57</v>
      </c>
      <c r="N189">
        <v>776</v>
      </c>
      <c r="O189">
        <v>772</v>
      </c>
    </row>
    <row r="190" spans="1:15" hidden="1" x14ac:dyDescent="0.2">
      <c r="A190" s="958" t="s">
        <v>5595</v>
      </c>
      <c r="B190" t="s">
        <v>5517</v>
      </c>
      <c r="C190" s="959">
        <v>45551</v>
      </c>
      <c r="D190" t="s">
        <v>3974</v>
      </c>
      <c r="E190">
        <v>1508.8</v>
      </c>
      <c r="F190">
        <v>1508.8</v>
      </c>
      <c r="G190">
        <v>1508.8</v>
      </c>
      <c r="H190">
        <v>1508.8</v>
      </c>
      <c r="I190">
        <v>1508.8</v>
      </c>
      <c r="J190" t="s">
        <v>5380</v>
      </c>
      <c r="K190">
        <v>1508.8</v>
      </c>
      <c r="L190">
        <v>164.61</v>
      </c>
      <c r="M190">
        <v>248358.14</v>
      </c>
      <c r="N190">
        <v>1508.8</v>
      </c>
      <c r="O190">
        <v>1481.2</v>
      </c>
    </row>
    <row r="191" spans="1:15" hidden="1" x14ac:dyDescent="0.2">
      <c r="A191" s="958" t="s">
        <v>6466</v>
      </c>
      <c r="B191" t="s">
        <v>5518</v>
      </c>
      <c r="C191" s="959">
        <v>45551</v>
      </c>
      <c r="D191" t="s">
        <v>6463</v>
      </c>
      <c r="E191">
        <v>1356</v>
      </c>
      <c r="F191">
        <v>1356</v>
      </c>
      <c r="G191">
        <v>1356</v>
      </c>
      <c r="H191">
        <v>1356</v>
      </c>
      <c r="I191">
        <v>1356</v>
      </c>
      <c r="J191" t="s">
        <v>5399</v>
      </c>
      <c r="K191">
        <v>1356</v>
      </c>
      <c r="L191">
        <v>53.9</v>
      </c>
      <c r="M191">
        <v>73088.399999999994</v>
      </c>
      <c r="N191">
        <v>1356</v>
      </c>
      <c r="O191">
        <v>1328</v>
      </c>
    </row>
    <row r="192" spans="1:15" hidden="1" x14ac:dyDescent="0.2">
      <c r="A192" s="958" t="s">
        <v>5596</v>
      </c>
      <c r="B192" t="s">
        <v>5519</v>
      </c>
      <c r="C192" s="959">
        <v>45551</v>
      </c>
      <c r="D192" t="s">
        <v>78</v>
      </c>
      <c r="E192">
        <v>1332</v>
      </c>
      <c r="F192">
        <v>1332</v>
      </c>
      <c r="G192">
        <v>1332</v>
      </c>
      <c r="H192">
        <v>1332</v>
      </c>
      <c r="I192">
        <v>1332</v>
      </c>
      <c r="J192" t="s">
        <v>5385</v>
      </c>
      <c r="K192">
        <v>1332</v>
      </c>
      <c r="L192">
        <v>79.91</v>
      </c>
      <c r="M192">
        <v>106440.12</v>
      </c>
      <c r="N192">
        <v>1332</v>
      </c>
      <c r="O192">
        <v>1272</v>
      </c>
    </row>
    <row r="193" spans="1:15" hidden="1" x14ac:dyDescent="0.2">
      <c r="A193" s="958" t="s">
        <v>5597</v>
      </c>
      <c r="B193" t="s">
        <v>5520</v>
      </c>
      <c r="C193" s="959">
        <v>45551</v>
      </c>
      <c r="D193" t="s">
        <v>5311</v>
      </c>
      <c r="E193">
        <v>1530</v>
      </c>
      <c r="F193">
        <v>1530</v>
      </c>
      <c r="G193">
        <v>1530</v>
      </c>
      <c r="H193">
        <v>1530</v>
      </c>
      <c r="I193">
        <v>1530</v>
      </c>
      <c r="J193" t="s">
        <v>5378</v>
      </c>
      <c r="K193">
        <v>1530</v>
      </c>
      <c r="L193">
        <v>41.34</v>
      </c>
      <c r="M193">
        <v>63252.19</v>
      </c>
      <c r="N193">
        <v>1530</v>
      </c>
      <c r="O193">
        <v>1530</v>
      </c>
    </row>
    <row r="194" spans="1:15" hidden="1" x14ac:dyDescent="0.2">
      <c r="A194" s="958" t="s">
        <v>5598</v>
      </c>
      <c r="B194" t="s">
        <v>5521</v>
      </c>
      <c r="C194" s="959">
        <v>45552</v>
      </c>
      <c r="D194" t="s">
        <v>5522</v>
      </c>
      <c r="E194">
        <v>4002</v>
      </c>
      <c r="F194">
        <v>4002</v>
      </c>
      <c r="G194">
        <v>4002</v>
      </c>
      <c r="H194">
        <v>4002</v>
      </c>
      <c r="I194">
        <v>4002</v>
      </c>
      <c r="J194" t="s">
        <v>5523</v>
      </c>
      <c r="K194">
        <v>4002</v>
      </c>
      <c r="L194">
        <v>35.270000000000003</v>
      </c>
      <c r="M194">
        <v>141165.35</v>
      </c>
      <c r="N194">
        <v>4002</v>
      </c>
      <c r="O194">
        <v>4002</v>
      </c>
    </row>
    <row r="195" spans="1:15" hidden="1" x14ac:dyDescent="0.2">
      <c r="A195" s="958" t="s">
        <v>5599</v>
      </c>
      <c r="B195" t="s">
        <v>5524</v>
      </c>
      <c r="C195" s="959">
        <v>45552</v>
      </c>
      <c r="D195" t="s">
        <v>5522</v>
      </c>
      <c r="E195">
        <v>90</v>
      </c>
      <c r="F195">
        <v>90</v>
      </c>
      <c r="G195">
        <v>90</v>
      </c>
      <c r="H195">
        <v>90</v>
      </c>
      <c r="I195">
        <v>90</v>
      </c>
      <c r="J195" t="s">
        <v>5523</v>
      </c>
      <c r="K195">
        <v>90</v>
      </c>
      <c r="L195">
        <v>35.270000000000003</v>
      </c>
      <c r="M195">
        <v>3174.3</v>
      </c>
      <c r="N195">
        <v>90</v>
      </c>
      <c r="O195">
        <v>90</v>
      </c>
    </row>
    <row r="196" spans="1:15" hidden="1" x14ac:dyDescent="0.2">
      <c r="A196" s="958" t="s">
        <v>5600</v>
      </c>
      <c r="B196" t="s">
        <v>5525</v>
      </c>
      <c r="C196" s="959">
        <v>45552</v>
      </c>
      <c r="D196" t="s">
        <v>2561</v>
      </c>
      <c r="E196">
        <v>942</v>
      </c>
      <c r="F196">
        <v>942</v>
      </c>
      <c r="G196">
        <v>942</v>
      </c>
      <c r="H196">
        <v>942</v>
      </c>
      <c r="I196">
        <v>942</v>
      </c>
      <c r="J196" t="s">
        <v>5408</v>
      </c>
      <c r="K196">
        <v>942</v>
      </c>
      <c r="L196">
        <v>167.68</v>
      </c>
      <c r="M196">
        <v>157957.29</v>
      </c>
      <c r="N196">
        <v>942</v>
      </c>
      <c r="O196">
        <v>852</v>
      </c>
    </row>
    <row r="197" spans="1:15" hidden="1" x14ac:dyDescent="0.2">
      <c r="A197" s="958" t="s">
        <v>5601</v>
      </c>
      <c r="B197" t="s">
        <v>5526</v>
      </c>
      <c r="C197" s="959">
        <v>45552</v>
      </c>
      <c r="D197" t="s">
        <v>4461</v>
      </c>
      <c r="E197">
        <v>270</v>
      </c>
      <c r="F197">
        <v>270</v>
      </c>
      <c r="G197">
        <v>270</v>
      </c>
      <c r="H197">
        <v>270</v>
      </c>
      <c r="I197">
        <v>270</v>
      </c>
      <c r="J197" t="s">
        <v>5391</v>
      </c>
      <c r="K197">
        <v>270</v>
      </c>
      <c r="L197">
        <v>131.75</v>
      </c>
      <c r="M197">
        <v>35572.5</v>
      </c>
      <c r="N197">
        <v>270</v>
      </c>
      <c r="O197">
        <v>270</v>
      </c>
    </row>
    <row r="198" spans="1:15" hidden="1" x14ac:dyDescent="0.2">
      <c r="A198" s="958" t="s">
        <v>5602</v>
      </c>
      <c r="B198" t="s">
        <v>5527</v>
      </c>
      <c r="C198" s="959">
        <v>45552</v>
      </c>
      <c r="D198" t="s">
        <v>1975</v>
      </c>
      <c r="E198">
        <v>2348.4</v>
      </c>
      <c r="F198">
        <v>2348.4</v>
      </c>
      <c r="G198">
        <v>988.8</v>
      </c>
      <c r="H198">
        <v>2348.4</v>
      </c>
      <c r="I198">
        <v>988.8</v>
      </c>
      <c r="J198" t="s">
        <v>5270</v>
      </c>
      <c r="K198">
        <v>2348.4</v>
      </c>
      <c r="L198">
        <v>68.69</v>
      </c>
      <c r="M198">
        <v>161311.6</v>
      </c>
      <c r="N198">
        <v>2348.4</v>
      </c>
      <c r="O198">
        <v>2343.25</v>
      </c>
    </row>
    <row r="199" spans="1:15" hidden="1" x14ac:dyDescent="0.2">
      <c r="A199" s="958" t="s">
        <v>5603</v>
      </c>
      <c r="B199" t="s">
        <v>5527</v>
      </c>
      <c r="C199" s="959">
        <v>45552</v>
      </c>
      <c r="D199" t="s">
        <v>2841</v>
      </c>
      <c r="E199">
        <v>4049.75</v>
      </c>
      <c r="F199">
        <v>4049.75</v>
      </c>
      <c r="G199">
        <v>4049.75</v>
      </c>
      <c r="H199">
        <v>4049.75</v>
      </c>
      <c r="I199">
        <v>4049.75</v>
      </c>
      <c r="J199" t="s">
        <v>5486</v>
      </c>
      <c r="K199">
        <v>4049.75</v>
      </c>
      <c r="L199">
        <v>49.23</v>
      </c>
      <c r="M199">
        <v>199385.39</v>
      </c>
      <c r="N199">
        <v>4049.75</v>
      </c>
      <c r="O199">
        <v>4049.75</v>
      </c>
    </row>
    <row r="200" spans="1:15" hidden="1" x14ac:dyDescent="0.2">
      <c r="A200" s="958" t="s">
        <v>5604</v>
      </c>
      <c r="B200" t="s">
        <v>5528</v>
      </c>
      <c r="C200" s="959">
        <v>45553</v>
      </c>
      <c r="D200" t="s">
        <v>4732</v>
      </c>
      <c r="E200">
        <v>60</v>
      </c>
      <c r="F200">
        <v>60</v>
      </c>
      <c r="G200">
        <v>60</v>
      </c>
      <c r="J200" t="s">
        <v>5369</v>
      </c>
      <c r="K200">
        <v>60</v>
      </c>
      <c r="L200">
        <v>202.09</v>
      </c>
      <c r="M200">
        <v>12125.25</v>
      </c>
      <c r="N200">
        <v>60</v>
      </c>
      <c r="O200">
        <v>60</v>
      </c>
    </row>
    <row r="201" spans="1:15" hidden="1" x14ac:dyDescent="0.2">
      <c r="A201" s="958" t="s">
        <v>5605</v>
      </c>
      <c r="B201" t="s">
        <v>5529</v>
      </c>
      <c r="C201" s="959">
        <v>45554</v>
      </c>
      <c r="D201" t="s">
        <v>5318</v>
      </c>
      <c r="E201">
        <v>2466</v>
      </c>
      <c r="F201">
        <v>2466</v>
      </c>
      <c r="G201">
        <v>2466</v>
      </c>
      <c r="H201">
        <v>2466</v>
      </c>
      <c r="I201">
        <v>2466</v>
      </c>
      <c r="J201" t="s">
        <v>5530</v>
      </c>
      <c r="K201">
        <v>2466</v>
      </c>
      <c r="L201">
        <v>97.15</v>
      </c>
      <c r="M201">
        <v>239576.83</v>
      </c>
      <c r="N201">
        <v>2466</v>
      </c>
      <c r="O201">
        <v>2466</v>
      </c>
    </row>
    <row r="202" spans="1:15" hidden="1" x14ac:dyDescent="0.2">
      <c r="A202" s="958" t="s">
        <v>5606</v>
      </c>
      <c r="B202" t="s">
        <v>5531</v>
      </c>
      <c r="C202" s="959">
        <v>45554</v>
      </c>
      <c r="D202" t="s">
        <v>5319</v>
      </c>
      <c r="E202">
        <v>163.35</v>
      </c>
      <c r="F202">
        <v>163.35</v>
      </c>
      <c r="G202">
        <v>163.35</v>
      </c>
      <c r="H202">
        <v>163.35</v>
      </c>
      <c r="I202">
        <v>163.35</v>
      </c>
      <c r="J202" t="s">
        <v>5475</v>
      </c>
      <c r="K202">
        <v>163.35</v>
      </c>
      <c r="L202">
        <v>79.91</v>
      </c>
      <c r="M202">
        <v>13053.05</v>
      </c>
      <c r="N202">
        <v>163.35</v>
      </c>
    </row>
    <row r="203" spans="1:15" hidden="1" x14ac:dyDescent="0.2">
      <c r="A203" s="958" t="s">
        <v>5607</v>
      </c>
      <c r="B203" t="s">
        <v>5532</v>
      </c>
      <c r="C203" s="959">
        <v>45554</v>
      </c>
      <c r="D203" t="s">
        <v>5296</v>
      </c>
      <c r="E203">
        <v>2256</v>
      </c>
      <c r="F203">
        <v>2256</v>
      </c>
      <c r="G203">
        <v>2256</v>
      </c>
      <c r="H203">
        <v>2256</v>
      </c>
      <c r="I203">
        <v>2256</v>
      </c>
      <c r="J203" t="s">
        <v>5533</v>
      </c>
      <c r="K203">
        <v>2256</v>
      </c>
      <c r="L203">
        <v>71.680000000000007</v>
      </c>
      <c r="M203">
        <v>161701.06</v>
      </c>
      <c r="N203">
        <v>2256</v>
      </c>
      <c r="O203">
        <v>2184</v>
      </c>
    </row>
    <row r="204" spans="1:15" hidden="1" x14ac:dyDescent="0.2">
      <c r="A204" s="958" t="s">
        <v>5608</v>
      </c>
      <c r="B204" t="s">
        <v>5534</v>
      </c>
      <c r="C204" s="959">
        <v>45558</v>
      </c>
      <c r="D204" t="s">
        <v>2841</v>
      </c>
      <c r="E204">
        <v>669.3</v>
      </c>
      <c r="F204">
        <v>669.3</v>
      </c>
      <c r="G204">
        <v>669.3</v>
      </c>
      <c r="H204">
        <v>669.3</v>
      </c>
      <c r="I204">
        <v>669.3</v>
      </c>
      <c r="J204" t="s">
        <v>5486</v>
      </c>
      <c r="K204">
        <v>669.3</v>
      </c>
      <c r="L204">
        <v>49.23</v>
      </c>
      <c r="M204">
        <v>32952.32</v>
      </c>
      <c r="N204">
        <v>669.3</v>
      </c>
      <c r="O204">
        <v>669.3</v>
      </c>
    </row>
    <row r="205" spans="1:15" hidden="1" x14ac:dyDescent="0.2">
      <c r="A205" s="958" t="s">
        <v>5609</v>
      </c>
      <c r="B205" t="s">
        <v>5535</v>
      </c>
      <c r="C205" s="959">
        <v>45558</v>
      </c>
      <c r="D205" t="s">
        <v>5320</v>
      </c>
      <c r="E205">
        <v>517.75</v>
      </c>
      <c r="F205">
        <v>517.75</v>
      </c>
      <c r="G205">
        <v>517.75</v>
      </c>
      <c r="H205">
        <v>517.75</v>
      </c>
      <c r="I205">
        <v>517.75</v>
      </c>
      <c r="J205" t="s">
        <v>5536</v>
      </c>
      <c r="K205">
        <v>517.75</v>
      </c>
      <c r="L205">
        <v>313.13</v>
      </c>
      <c r="M205">
        <v>162123.57999999999</v>
      </c>
      <c r="N205">
        <v>517.75</v>
      </c>
      <c r="O205">
        <v>517.75</v>
      </c>
    </row>
    <row r="206" spans="1:15" hidden="1" x14ac:dyDescent="0.2">
      <c r="A206" s="958" t="s">
        <v>5610</v>
      </c>
      <c r="B206" t="s">
        <v>5537</v>
      </c>
      <c r="C206" s="959">
        <v>45561</v>
      </c>
      <c r="D206" t="s">
        <v>4667</v>
      </c>
      <c r="E206">
        <v>882</v>
      </c>
      <c r="F206">
        <v>882</v>
      </c>
      <c r="G206">
        <v>882</v>
      </c>
      <c r="H206">
        <v>882</v>
      </c>
      <c r="I206">
        <v>882</v>
      </c>
      <c r="J206" t="s">
        <v>5508</v>
      </c>
      <c r="K206">
        <v>882</v>
      </c>
      <c r="L206">
        <v>158.52000000000001</v>
      </c>
      <c r="M206">
        <v>139816.4</v>
      </c>
      <c r="N206">
        <v>882</v>
      </c>
      <c r="O206">
        <v>882</v>
      </c>
    </row>
    <row r="207" spans="1:15" hidden="1" x14ac:dyDescent="0.2">
      <c r="A207" s="958" t="s">
        <v>5611</v>
      </c>
      <c r="B207" t="s">
        <v>5538</v>
      </c>
      <c r="C207" s="959">
        <v>45562</v>
      </c>
      <c r="D207" t="s">
        <v>5367</v>
      </c>
      <c r="E207">
        <v>1236</v>
      </c>
      <c r="F207">
        <v>1236</v>
      </c>
      <c r="G207">
        <v>1236</v>
      </c>
      <c r="H207">
        <v>1236</v>
      </c>
      <c r="I207">
        <v>1236</v>
      </c>
      <c r="J207" t="s">
        <v>5368</v>
      </c>
      <c r="K207">
        <v>1236</v>
      </c>
      <c r="N207">
        <v>1236</v>
      </c>
      <c r="O207">
        <v>1236</v>
      </c>
    </row>
    <row r="208" spans="1:15" hidden="1" x14ac:dyDescent="0.2">
      <c r="A208" s="958" t="s">
        <v>5612</v>
      </c>
      <c r="B208" t="s">
        <v>5538</v>
      </c>
      <c r="C208" s="959">
        <v>45562</v>
      </c>
      <c r="D208" t="s">
        <v>5390</v>
      </c>
      <c r="E208">
        <v>2538</v>
      </c>
      <c r="F208">
        <v>2538</v>
      </c>
      <c r="G208">
        <v>2538</v>
      </c>
      <c r="H208">
        <v>2538</v>
      </c>
      <c r="I208">
        <v>2538</v>
      </c>
      <c r="J208" t="s">
        <v>6007</v>
      </c>
      <c r="K208">
        <v>2538</v>
      </c>
      <c r="N208">
        <v>2532</v>
      </c>
      <c r="O208">
        <v>2532</v>
      </c>
    </row>
    <row r="209" spans="1:15" hidden="1" x14ac:dyDescent="0.2">
      <c r="A209" s="958" t="s">
        <v>5613</v>
      </c>
      <c r="B209" t="s">
        <v>5538</v>
      </c>
      <c r="C209" s="959">
        <v>45562</v>
      </c>
      <c r="D209" t="s">
        <v>5427</v>
      </c>
      <c r="E209">
        <v>534</v>
      </c>
      <c r="F209">
        <v>534</v>
      </c>
      <c r="G209">
        <v>534</v>
      </c>
      <c r="H209">
        <v>534</v>
      </c>
      <c r="I209">
        <v>534</v>
      </c>
      <c r="J209" t="s">
        <v>5428</v>
      </c>
      <c r="K209">
        <v>534</v>
      </c>
      <c r="N209">
        <v>534</v>
      </c>
      <c r="O209">
        <v>534</v>
      </c>
    </row>
    <row r="210" spans="1:15" hidden="1" x14ac:dyDescent="0.2">
      <c r="A210" s="958" t="s">
        <v>6555</v>
      </c>
      <c r="B210" t="s">
        <v>5539</v>
      </c>
      <c r="C210" s="959">
        <v>45562</v>
      </c>
      <c r="D210" t="s">
        <v>6532</v>
      </c>
      <c r="E210">
        <v>24</v>
      </c>
      <c r="F210">
        <v>24</v>
      </c>
      <c r="G210">
        <v>24</v>
      </c>
      <c r="H210">
        <v>24</v>
      </c>
      <c r="I210">
        <v>24</v>
      </c>
      <c r="J210" t="s">
        <v>6796</v>
      </c>
      <c r="K210">
        <v>24</v>
      </c>
      <c r="L210">
        <v>1300.67</v>
      </c>
      <c r="M210">
        <v>31216</v>
      </c>
      <c r="N210">
        <v>24</v>
      </c>
      <c r="O210">
        <v>24</v>
      </c>
    </row>
    <row r="211" spans="1:15" hidden="1" x14ac:dyDescent="0.2">
      <c r="A211" s="958" t="s">
        <v>6556</v>
      </c>
      <c r="B211" t="s">
        <v>5539</v>
      </c>
      <c r="C211" s="959">
        <v>45562</v>
      </c>
      <c r="D211" t="s">
        <v>6533</v>
      </c>
      <c r="E211">
        <v>24</v>
      </c>
      <c r="F211">
        <v>24</v>
      </c>
      <c r="G211">
        <v>24</v>
      </c>
      <c r="H211">
        <v>24</v>
      </c>
      <c r="I211">
        <v>24</v>
      </c>
      <c r="J211" t="s">
        <v>6797</v>
      </c>
      <c r="K211">
        <v>24</v>
      </c>
      <c r="L211">
        <v>1948.33</v>
      </c>
      <c r="M211">
        <v>46760</v>
      </c>
      <c r="N211">
        <v>24</v>
      </c>
      <c r="O211">
        <v>24</v>
      </c>
    </row>
    <row r="212" spans="1:15" hidden="1" x14ac:dyDescent="0.2">
      <c r="A212" s="958" t="s">
        <v>6557</v>
      </c>
      <c r="B212" t="s">
        <v>5539</v>
      </c>
      <c r="C212" s="959">
        <v>45562</v>
      </c>
      <c r="D212" t="s">
        <v>6534</v>
      </c>
      <c r="E212">
        <v>24</v>
      </c>
      <c r="F212">
        <v>24</v>
      </c>
      <c r="G212">
        <v>24</v>
      </c>
      <c r="H212">
        <v>24</v>
      </c>
      <c r="I212">
        <v>24</v>
      </c>
      <c r="J212" t="s">
        <v>6798</v>
      </c>
      <c r="K212">
        <v>24</v>
      </c>
      <c r="L212">
        <v>1069.33</v>
      </c>
      <c r="M212">
        <v>25664</v>
      </c>
      <c r="N212">
        <v>24</v>
      </c>
      <c r="O212">
        <v>24</v>
      </c>
    </row>
    <row r="213" spans="1:15" hidden="1" x14ac:dyDescent="0.2">
      <c r="A213" s="958" t="s">
        <v>6558</v>
      </c>
      <c r="B213" t="s">
        <v>5539</v>
      </c>
      <c r="C213" s="959">
        <v>45562</v>
      </c>
      <c r="D213" t="s">
        <v>6535</v>
      </c>
      <c r="E213">
        <v>32</v>
      </c>
      <c r="F213">
        <v>32</v>
      </c>
      <c r="G213">
        <v>32</v>
      </c>
      <c r="H213">
        <v>32</v>
      </c>
      <c r="I213">
        <v>32</v>
      </c>
      <c r="J213" t="s">
        <v>6799</v>
      </c>
      <c r="K213">
        <v>32</v>
      </c>
      <c r="L213">
        <v>2454.25</v>
      </c>
      <c r="M213">
        <v>78536</v>
      </c>
      <c r="N213">
        <v>32</v>
      </c>
      <c r="O213">
        <v>32</v>
      </c>
    </row>
    <row r="214" spans="1:15" hidden="1" x14ac:dyDescent="0.2">
      <c r="A214" s="958" t="s">
        <v>6559</v>
      </c>
      <c r="B214" t="s">
        <v>5539</v>
      </c>
      <c r="C214" s="959">
        <v>45562</v>
      </c>
      <c r="D214" t="s">
        <v>6536</v>
      </c>
      <c r="E214">
        <v>32</v>
      </c>
      <c r="F214">
        <v>32</v>
      </c>
      <c r="G214">
        <v>32</v>
      </c>
      <c r="H214">
        <v>32</v>
      </c>
      <c r="I214">
        <v>32</v>
      </c>
      <c r="J214" t="s">
        <v>6570</v>
      </c>
      <c r="K214">
        <v>32</v>
      </c>
      <c r="L214">
        <v>4081.5</v>
      </c>
      <c r="M214">
        <v>130608</v>
      </c>
      <c r="N214">
        <v>32</v>
      </c>
      <c r="O214">
        <v>32</v>
      </c>
    </row>
    <row r="215" spans="1:15" hidden="1" x14ac:dyDescent="0.2">
      <c r="A215" s="958" t="s">
        <v>5614</v>
      </c>
      <c r="B215" t="s">
        <v>5540</v>
      </c>
      <c r="C215" s="959">
        <v>45562</v>
      </c>
      <c r="D215" t="s">
        <v>5271</v>
      </c>
      <c r="E215">
        <v>715</v>
      </c>
      <c r="F215">
        <v>715</v>
      </c>
      <c r="G215">
        <v>715</v>
      </c>
      <c r="H215">
        <v>715</v>
      </c>
      <c r="I215">
        <v>715</v>
      </c>
      <c r="J215" t="s">
        <v>5464</v>
      </c>
      <c r="K215">
        <v>715</v>
      </c>
      <c r="L215">
        <v>200.32</v>
      </c>
      <c r="M215">
        <v>143228.79999999999</v>
      </c>
      <c r="N215">
        <v>715</v>
      </c>
      <c r="O215">
        <v>715</v>
      </c>
    </row>
    <row r="216" spans="1:15" hidden="1" x14ac:dyDescent="0.2">
      <c r="A216" s="958" t="s">
        <v>5615</v>
      </c>
      <c r="B216" t="s">
        <v>5540</v>
      </c>
      <c r="C216" s="959">
        <v>45562</v>
      </c>
      <c r="D216" t="s">
        <v>5371</v>
      </c>
      <c r="E216">
        <v>624</v>
      </c>
      <c r="F216">
        <v>624</v>
      </c>
      <c r="G216">
        <v>624</v>
      </c>
      <c r="H216">
        <v>624</v>
      </c>
      <c r="I216">
        <v>624</v>
      </c>
      <c r="J216" t="s">
        <v>5372</v>
      </c>
      <c r="K216">
        <v>624</v>
      </c>
      <c r="L216">
        <v>197.73</v>
      </c>
      <c r="M216">
        <v>123382.27</v>
      </c>
      <c r="N216">
        <v>611</v>
      </c>
      <c r="O216">
        <v>611</v>
      </c>
    </row>
    <row r="217" spans="1:15" hidden="1" x14ac:dyDescent="0.2">
      <c r="A217" s="958" t="s">
        <v>5616</v>
      </c>
      <c r="B217" t="s">
        <v>5540</v>
      </c>
      <c r="C217" s="959">
        <v>45562</v>
      </c>
      <c r="D217" t="s">
        <v>4491</v>
      </c>
      <c r="E217">
        <v>650</v>
      </c>
      <c r="F217">
        <v>650</v>
      </c>
      <c r="G217">
        <v>650</v>
      </c>
      <c r="H217">
        <v>650</v>
      </c>
      <c r="I217">
        <v>650</v>
      </c>
      <c r="J217" t="s">
        <v>6025</v>
      </c>
      <c r="K217">
        <v>650</v>
      </c>
      <c r="L217">
        <v>172.96</v>
      </c>
      <c r="M217">
        <v>112424</v>
      </c>
      <c r="N217">
        <v>650</v>
      </c>
      <c r="O217">
        <v>650</v>
      </c>
    </row>
    <row r="218" spans="1:15" hidden="1" x14ac:dyDescent="0.2">
      <c r="A218" s="958" t="s">
        <v>5617</v>
      </c>
      <c r="B218" t="s">
        <v>5540</v>
      </c>
      <c r="C218" s="959">
        <v>45562</v>
      </c>
      <c r="D218" t="s">
        <v>5342</v>
      </c>
      <c r="E218">
        <v>558</v>
      </c>
      <c r="F218">
        <v>1116</v>
      </c>
      <c r="G218">
        <v>558</v>
      </c>
      <c r="H218">
        <v>558</v>
      </c>
      <c r="I218">
        <v>558</v>
      </c>
      <c r="J218" t="s">
        <v>5541</v>
      </c>
      <c r="K218">
        <v>558</v>
      </c>
      <c r="L218">
        <v>135.04</v>
      </c>
      <c r="M218">
        <v>75352.320000000007</v>
      </c>
      <c r="N218">
        <v>558</v>
      </c>
      <c r="O218">
        <v>558</v>
      </c>
    </row>
    <row r="219" spans="1:15" hidden="1" x14ac:dyDescent="0.2">
      <c r="A219" s="958" t="s">
        <v>5618</v>
      </c>
      <c r="B219" t="s">
        <v>5542</v>
      </c>
      <c r="C219" s="959">
        <v>45562</v>
      </c>
      <c r="D219" t="s">
        <v>5373</v>
      </c>
      <c r="E219">
        <v>2868</v>
      </c>
      <c r="F219">
        <v>2868</v>
      </c>
      <c r="G219">
        <v>2868</v>
      </c>
      <c r="H219">
        <v>2868</v>
      </c>
      <c r="I219">
        <v>2868</v>
      </c>
      <c r="J219" t="s">
        <v>5374</v>
      </c>
      <c r="K219">
        <v>2868</v>
      </c>
      <c r="N219">
        <v>2868</v>
      </c>
      <c r="O219">
        <v>2868</v>
      </c>
    </row>
    <row r="220" spans="1:15" hidden="1" x14ac:dyDescent="0.2">
      <c r="A220" s="958" t="s">
        <v>5619</v>
      </c>
      <c r="B220" t="s">
        <v>5543</v>
      </c>
      <c r="C220" s="959">
        <v>45562</v>
      </c>
      <c r="D220" t="s">
        <v>5370</v>
      </c>
      <c r="E220">
        <v>338</v>
      </c>
      <c r="F220">
        <v>338</v>
      </c>
      <c r="G220">
        <v>338</v>
      </c>
      <c r="H220">
        <v>338</v>
      </c>
      <c r="I220">
        <v>338</v>
      </c>
      <c r="J220" t="s">
        <v>6887</v>
      </c>
      <c r="K220">
        <v>338</v>
      </c>
      <c r="L220">
        <v>199.68</v>
      </c>
      <c r="M220">
        <v>67491.839999999997</v>
      </c>
      <c r="N220">
        <v>318.5</v>
      </c>
      <c r="O220">
        <v>318.5</v>
      </c>
    </row>
    <row r="221" spans="1:15" hidden="1" x14ac:dyDescent="0.2">
      <c r="A221" s="958" t="s">
        <v>5620</v>
      </c>
      <c r="B221" t="s">
        <v>5543</v>
      </c>
      <c r="C221" s="959">
        <v>45562</v>
      </c>
      <c r="D221" t="s">
        <v>5429</v>
      </c>
      <c r="E221">
        <v>351</v>
      </c>
      <c r="F221">
        <v>351</v>
      </c>
      <c r="G221">
        <v>351</v>
      </c>
      <c r="H221">
        <v>351</v>
      </c>
      <c r="I221">
        <v>351</v>
      </c>
      <c r="J221" t="s">
        <v>6888</v>
      </c>
      <c r="K221">
        <v>351</v>
      </c>
      <c r="L221">
        <v>198.4</v>
      </c>
      <c r="M221">
        <v>69638.399999999994</v>
      </c>
      <c r="N221">
        <v>351</v>
      </c>
      <c r="O221">
        <v>351</v>
      </c>
    </row>
    <row r="222" spans="1:15" hidden="1" x14ac:dyDescent="0.2">
      <c r="A222" s="958" t="s">
        <v>5621</v>
      </c>
      <c r="B222" t="s">
        <v>5543</v>
      </c>
      <c r="C222" s="959">
        <v>45562</v>
      </c>
      <c r="D222" t="s">
        <v>4733</v>
      </c>
      <c r="E222">
        <v>357.5</v>
      </c>
      <c r="F222">
        <v>357.5</v>
      </c>
      <c r="G222">
        <v>357.5</v>
      </c>
      <c r="H222">
        <v>357.5</v>
      </c>
      <c r="I222">
        <v>357.5</v>
      </c>
      <c r="J222" t="s">
        <v>6889</v>
      </c>
      <c r="K222">
        <v>357.5</v>
      </c>
      <c r="L222">
        <v>173.12</v>
      </c>
      <c r="M222">
        <v>61890.400000000001</v>
      </c>
      <c r="N222">
        <v>357.5</v>
      </c>
      <c r="O222">
        <v>357.5</v>
      </c>
    </row>
    <row r="223" spans="1:15" hidden="1" x14ac:dyDescent="0.2">
      <c r="A223" s="958" t="s">
        <v>5622</v>
      </c>
      <c r="B223" t="s">
        <v>5544</v>
      </c>
      <c r="C223" s="959">
        <v>45562</v>
      </c>
      <c r="D223" t="s">
        <v>1472</v>
      </c>
      <c r="E223">
        <v>450</v>
      </c>
      <c r="F223">
        <v>450</v>
      </c>
      <c r="G223">
        <v>450</v>
      </c>
      <c r="H223">
        <v>450</v>
      </c>
      <c r="I223">
        <v>450</v>
      </c>
      <c r="J223" t="s">
        <v>5448</v>
      </c>
      <c r="K223">
        <v>450</v>
      </c>
      <c r="L223">
        <v>187.64</v>
      </c>
      <c r="M223">
        <v>84438</v>
      </c>
      <c r="N223">
        <v>450</v>
      </c>
      <c r="O223">
        <v>450</v>
      </c>
    </row>
    <row r="224" spans="1:15" hidden="1" x14ac:dyDescent="0.2">
      <c r="A224" s="958" t="s">
        <v>5623</v>
      </c>
      <c r="B224" t="s">
        <v>5545</v>
      </c>
      <c r="C224" s="959">
        <v>45562</v>
      </c>
      <c r="D224" t="s">
        <v>2841</v>
      </c>
      <c r="E224">
        <v>4297.1000000000004</v>
      </c>
      <c r="F224">
        <v>4297.1000000000004</v>
      </c>
      <c r="G224">
        <v>4297.1000000000004</v>
      </c>
      <c r="H224">
        <v>4297.1000000000004</v>
      </c>
      <c r="I224">
        <v>4297.1000000000004</v>
      </c>
      <c r="J224" t="s">
        <v>5486</v>
      </c>
      <c r="K224">
        <v>4297.1000000000004</v>
      </c>
      <c r="L224">
        <v>49.23</v>
      </c>
      <c r="M224">
        <v>211563.42</v>
      </c>
      <c r="N224">
        <v>4297.1000000000004</v>
      </c>
      <c r="O224">
        <v>4282.55</v>
      </c>
    </row>
    <row r="225" spans="1:15" hidden="1" x14ac:dyDescent="0.2">
      <c r="A225" s="958" t="s">
        <v>5624</v>
      </c>
      <c r="B225" t="s">
        <v>5546</v>
      </c>
      <c r="C225" s="959">
        <v>45565</v>
      </c>
      <c r="D225" t="s">
        <v>4994</v>
      </c>
      <c r="E225">
        <v>1920</v>
      </c>
      <c r="F225">
        <v>1920</v>
      </c>
      <c r="G225">
        <v>1920</v>
      </c>
      <c r="H225">
        <v>1920</v>
      </c>
      <c r="I225">
        <v>1920</v>
      </c>
      <c r="J225" t="s">
        <v>5459</v>
      </c>
      <c r="K225">
        <v>1920</v>
      </c>
      <c r="N225">
        <v>1890</v>
      </c>
      <c r="O225">
        <v>1890</v>
      </c>
    </row>
    <row r="226" spans="1:15" hidden="1" x14ac:dyDescent="0.2">
      <c r="A226" s="958" t="s">
        <v>5625</v>
      </c>
      <c r="B226" t="s">
        <v>5546</v>
      </c>
      <c r="C226" s="959">
        <v>45565</v>
      </c>
      <c r="D226" t="s">
        <v>4378</v>
      </c>
      <c r="E226">
        <v>540</v>
      </c>
      <c r="F226">
        <v>540</v>
      </c>
      <c r="G226">
        <v>540</v>
      </c>
      <c r="H226">
        <v>540</v>
      </c>
      <c r="I226">
        <v>540</v>
      </c>
      <c r="J226" t="s">
        <v>5547</v>
      </c>
      <c r="K226">
        <v>540</v>
      </c>
      <c r="N226">
        <v>540</v>
      </c>
      <c r="O226">
        <v>540</v>
      </c>
    </row>
    <row r="227" spans="1:15" hidden="1" x14ac:dyDescent="0.2">
      <c r="A227" s="958" t="s">
        <v>5626</v>
      </c>
      <c r="B227" t="s">
        <v>5546</v>
      </c>
      <c r="C227" s="959">
        <v>45565</v>
      </c>
      <c r="D227" t="s">
        <v>5003</v>
      </c>
      <c r="E227">
        <v>1818</v>
      </c>
      <c r="F227">
        <v>1818</v>
      </c>
      <c r="G227">
        <v>1818</v>
      </c>
      <c r="H227">
        <v>1818</v>
      </c>
      <c r="I227">
        <v>1818</v>
      </c>
      <c r="J227" t="s">
        <v>5548</v>
      </c>
      <c r="K227">
        <v>1818</v>
      </c>
      <c r="N227">
        <v>1812</v>
      </c>
      <c r="O227">
        <v>1812</v>
      </c>
    </row>
    <row r="228" spans="1:15" hidden="1" x14ac:dyDescent="0.2">
      <c r="A228" s="958" t="s">
        <v>5627</v>
      </c>
      <c r="B228" t="s">
        <v>5546</v>
      </c>
      <c r="C228" s="959">
        <v>45565</v>
      </c>
      <c r="D228" t="s">
        <v>5091</v>
      </c>
      <c r="E228">
        <v>972</v>
      </c>
      <c r="F228">
        <v>972</v>
      </c>
      <c r="G228">
        <v>972</v>
      </c>
      <c r="H228">
        <v>972</v>
      </c>
      <c r="I228">
        <v>972</v>
      </c>
      <c r="J228" t="s">
        <v>5220</v>
      </c>
      <c r="K228">
        <v>972</v>
      </c>
      <c r="N228">
        <v>972</v>
      </c>
      <c r="O228">
        <v>972</v>
      </c>
    </row>
    <row r="229" spans="1:15" hidden="1" x14ac:dyDescent="0.2">
      <c r="A229" s="958" t="s">
        <v>5628</v>
      </c>
      <c r="B229" t="s">
        <v>5549</v>
      </c>
      <c r="C229" s="959">
        <v>45565</v>
      </c>
      <c r="D229" t="s">
        <v>5341</v>
      </c>
      <c r="E229">
        <v>108</v>
      </c>
      <c r="F229">
        <v>108</v>
      </c>
      <c r="G229">
        <v>108</v>
      </c>
      <c r="H229">
        <v>108</v>
      </c>
      <c r="I229">
        <v>108</v>
      </c>
      <c r="J229" t="s">
        <v>5550</v>
      </c>
      <c r="K229">
        <v>108</v>
      </c>
      <c r="L229">
        <v>112.37</v>
      </c>
      <c r="M229">
        <v>12135.96</v>
      </c>
      <c r="N229">
        <v>108</v>
      </c>
      <c r="O229">
        <v>108</v>
      </c>
    </row>
    <row r="230" spans="1:15" hidden="1" x14ac:dyDescent="0.2">
      <c r="A230" s="958" t="s">
        <v>5629</v>
      </c>
      <c r="B230" t="s">
        <v>5549</v>
      </c>
      <c r="C230" s="959">
        <v>45565</v>
      </c>
      <c r="D230" t="s">
        <v>5342</v>
      </c>
      <c r="E230">
        <v>66</v>
      </c>
      <c r="F230">
        <v>66</v>
      </c>
      <c r="G230">
        <v>66</v>
      </c>
      <c r="H230">
        <v>66</v>
      </c>
      <c r="I230">
        <v>66</v>
      </c>
      <c r="J230" t="s">
        <v>5541</v>
      </c>
      <c r="K230">
        <v>66</v>
      </c>
      <c r="L230">
        <v>179.35</v>
      </c>
      <c r="M230">
        <v>11837.1</v>
      </c>
      <c r="N230">
        <v>66</v>
      </c>
      <c r="O230">
        <v>66</v>
      </c>
    </row>
    <row r="231" spans="1:15" hidden="1" x14ac:dyDescent="0.2">
      <c r="A231" s="958" t="s">
        <v>5630</v>
      </c>
      <c r="B231" t="s">
        <v>5551</v>
      </c>
      <c r="C231" s="959">
        <v>45566</v>
      </c>
      <c r="D231" t="s">
        <v>5318</v>
      </c>
      <c r="E231">
        <v>1020</v>
      </c>
      <c r="F231">
        <v>1020</v>
      </c>
      <c r="G231">
        <v>1020</v>
      </c>
      <c r="H231">
        <v>1020</v>
      </c>
      <c r="I231">
        <v>1020</v>
      </c>
      <c r="J231" t="s">
        <v>5530</v>
      </c>
      <c r="K231">
        <v>1020</v>
      </c>
      <c r="L231">
        <v>97.15</v>
      </c>
      <c r="M231">
        <v>99093</v>
      </c>
      <c r="N231">
        <v>1020</v>
      </c>
      <c r="O231">
        <v>1020</v>
      </c>
    </row>
    <row r="232" spans="1:15" hidden="1" x14ac:dyDescent="0.2">
      <c r="A232" s="958" t="s">
        <v>5631</v>
      </c>
      <c r="B232" t="s">
        <v>5552</v>
      </c>
      <c r="C232" s="959">
        <v>45566</v>
      </c>
      <c r="D232" t="s">
        <v>628</v>
      </c>
      <c r="E232">
        <v>2438.15</v>
      </c>
      <c r="F232">
        <v>2438.15</v>
      </c>
      <c r="G232">
        <v>2438.15</v>
      </c>
      <c r="H232">
        <v>2438.15</v>
      </c>
      <c r="I232">
        <v>2438.15</v>
      </c>
      <c r="J232" t="s">
        <v>5482</v>
      </c>
      <c r="K232">
        <v>2438.15</v>
      </c>
      <c r="L232">
        <v>88.4</v>
      </c>
      <c r="M232">
        <v>215522.71</v>
      </c>
      <c r="N232">
        <v>2438.15</v>
      </c>
      <c r="O232">
        <v>2377.65</v>
      </c>
    </row>
    <row r="233" spans="1:15" hidden="1" x14ac:dyDescent="0.2">
      <c r="A233" s="958" t="s">
        <v>5632</v>
      </c>
      <c r="B233" t="s">
        <v>5553</v>
      </c>
      <c r="C233" s="959">
        <v>45566</v>
      </c>
      <c r="D233" t="s">
        <v>5320</v>
      </c>
      <c r="E233">
        <v>381.5</v>
      </c>
      <c r="F233">
        <v>381.5</v>
      </c>
      <c r="G233">
        <v>381.5</v>
      </c>
      <c r="H233">
        <v>381.5</v>
      </c>
      <c r="I233">
        <v>381.5</v>
      </c>
      <c r="J233" t="s">
        <v>5536</v>
      </c>
      <c r="K233">
        <v>381.5</v>
      </c>
      <c r="L233">
        <v>313.13</v>
      </c>
      <c r="M233">
        <v>119459.1</v>
      </c>
      <c r="N233">
        <v>381.5</v>
      </c>
      <c r="O233">
        <v>381.5</v>
      </c>
    </row>
    <row r="234" spans="1:15" hidden="1" x14ac:dyDescent="0.2">
      <c r="A234" s="958" t="s">
        <v>5633</v>
      </c>
      <c r="B234" t="s">
        <v>5554</v>
      </c>
      <c r="C234" s="959">
        <v>45566</v>
      </c>
      <c r="D234" t="s">
        <v>5158</v>
      </c>
      <c r="E234">
        <v>453.6</v>
      </c>
      <c r="F234">
        <v>453.6</v>
      </c>
      <c r="G234">
        <v>453.6</v>
      </c>
      <c r="H234">
        <v>453.6</v>
      </c>
      <c r="I234">
        <v>453.6</v>
      </c>
      <c r="J234" t="s">
        <v>5460</v>
      </c>
      <c r="K234">
        <v>453.6</v>
      </c>
      <c r="L234">
        <v>146.97</v>
      </c>
      <c r="M234">
        <v>66663.960000000006</v>
      </c>
      <c r="N234">
        <v>453.6</v>
      </c>
      <c r="O234">
        <v>453.6</v>
      </c>
    </row>
    <row r="235" spans="1:15" hidden="1" x14ac:dyDescent="0.2">
      <c r="A235" s="958" t="s">
        <v>5634</v>
      </c>
      <c r="B235" t="s">
        <v>5555</v>
      </c>
      <c r="C235" s="959">
        <v>45566</v>
      </c>
      <c r="D235" t="s">
        <v>2624</v>
      </c>
      <c r="E235">
        <v>1110</v>
      </c>
      <c r="F235">
        <v>1110</v>
      </c>
      <c r="G235">
        <v>1110</v>
      </c>
      <c r="H235">
        <v>1110</v>
      </c>
      <c r="I235">
        <v>1110</v>
      </c>
      <c r="J235" t="s">
        <v>5485</v>
      </c>
      <c r="K235">
        <v>1110</v>
      </c>
      <c r="L235">
        <v>41.47</v>
      </c>
      <c r="M235">
        <v>46031.26</v>
      </c>
      <c r="N235">
        <v>1110</v>
      </c>
      <c r="O235">
        <v>1110</v>
      </c>
    </row>
    <row r="236" spans="1:15" hidden="1" x14ac:dyDescent="0.2">
      <c r="A236" s="958" t="s">
        <v>5635</v>
      </c>
      <c r="B236" t="s">
        <v>5556</v>
      </c>
      <c r="C236" s="959">
        <v>45566</v>
      </c>
      <c r="D236" t="s">
        <v>4378</v>
      </c>
      <c r="E236">
        <v>960</v>
      </c>
      <c r="F236">
        <v>1920</v>
      </c>
      <c r="G236">
        <v>960</v>
      </c>
      <c r="H236">
        <v>960</v>
      </c>
      <c r="I236">
        <v>960</v>
      </c>
      <c r="J236" t="s">
        <v>5076</v>
      </c>
      <c r="K236">
        <v>960</v>
      </c>
      <c r="L236">
        <v>99.42</v>
      </c>
      <c r="M236">
        <v>95444.64</v>
      </c>
      <c r="N236">
        <v>960</v>
      </c>
      <c r="O236">
        <v>960</v>
      </c>
    </row>
    <row r="237" spans="1:15" hidden="1" x14ac:dyDescent="0.2">
      <c r="A237" s="958" t="s">
        <v>5636</v>
      </c>
      <c r="B237" t="s">
        <v>5556</v>
      </c>
      <c r="C237" s="959">
        <v>45566</v>
      </c>
      <c r="D237" t="s">
        <v>5091</v>
      </c>
      <c r="E237">
        <v>864</v>
      </c>
      <c r="F237">
        <v>864</v>
      </c>
      <c r="G237">
        <v>864</v>
      </c>
      <c r="H237">
        <v>864</v>
      </c>
      <c r="I237">
        <v>864</v>
      </c>
      <c r="J237" t="s">
        <v>5411</v>
      </c>
      <c r="K237">
        <v>864</v>
      </c>
      <c r="L237">
        <v>74.38</v>
      </c>
      <c r="M237">
        <v>64263.02</v>
      </c>
      <c r="N237">
        <v>864</v>
      </c>
      <c r="O237">
        <v>864</v>
      </c>
    </row>
    <row r="238" spans="1:15" hidden="1" x14ac:dyDescent="0.2">
      <c r="A238" s="958" t="s">
        <v>5637</v>
      </c>
      <c r="B238" t="s">
        <v>5557</v>
      </c>
      <c r="C238" s="959">
        <v>45567</v>
      </c>
      <c r="D238" t="s">
        <v>4903</v>
      </c>
      <c r="E238">
        <v>14</v>
      </c>
      <c r="F238">
        <v>14</v>
      </c>
      <c r="G238">
        <v>14</v>
      </c>
      <c r="H238">
        <v>14</v>
      </c>
      <c r="I238">
        <v>14</v>
      </c>
      <c r="J238" t="s">
        <v>5395</v>
      </c>
      <c r="K238">
        <v>14</v>
      </c>
      <c r="L238">
        <v>3115.71</v>
      </c>
      <c r="M238">
        <v>43620</v>
      </c>
      <c r="N238">
        <v>14</v>
      </c>
      <c r="O238">
        <v>14</v>
      </c>
    </row>
    <row r="239" spans="1:15" hidden="1" x14ac:dyDescent="0.2">
      <c r="A239" s="958" t="s">
        <v>5638</v>
      </c>
      <c r="B239" t="s">
        <v>5557</v>
      </c>
      <c r="C239" s="959">
        <v>45567</v>
      </c>
      <c r="D239" t="s">
        <v>4904</v>
      </c>
      <c r="E239">
        <v>14</v>
      </c>
      <c r="F239">
        <v>14</v>
      </c>
      <c r="G239">
        <v>14</v>
      </c>
      <c r="H239">
        <v>14</v>
      </c>
      <c r="I239">
        <v>14</v>
      </c>
      <c r="J239" t="s">
        <v>5396</v>
      </c>
      <c r="K239">
        <v>14</v>
      </c>
      <c r="L239">
        <v>2150</v>
      </c>
      <c r="M239">
        <v>30100</v>
      </c>
      <c r="N239">
        <v>14</v>
      </c>
      <c r="O239">
        <v>14</v>
      </c>
    </row>
    <row r="240" spans="1:15" hidden="1" x14ac:dyDescent="0.2">
      <c r="A240" s="958" t="s">
        <v>5639</v>
      </c>
      <c r="B240" t="s">
        <v>5558</v>
      </c>
      <c r="C240" s="959">
        <v>45569</v>
      </c>
      <c r="D240" t="s">
        <v>5340</v>
      </c>
      <c r="E240">
        <v>36.299999999999997</v>
      </c>
      <c r="F240">
        <v>36.299999999999997</v>
      </c>
      <c r="G240">
        <v>36.299999999999997</v>
      </c>
      <c r="H240">
        <v>36.299999999999997</v>
      </c>
      <c r="I240">
        <v>36.299999999999997</v>
      </c>
      <c r="J240" t="s">
        <v>5559</v>
      </c>
      <c r="K240">
        <v>36.299999999999997</v>
      </c>
      <c r="L240">
        <v>804.55</v>
      </c>
      <c r="M240">
        <v>29205</v>
      </c>
      <c r="N240">
        <v>36.299999999999997</v>
      </c>
      <c r="O240">
        <v>36.299999999999997</v>
      </c>
    </row>
    <row r="241" spans="1:15" hidden="1" x14ac:dyDescent="0.2">
      <c r="A241" s="958" t="s">
        <v>5640</v>
      </c>
      <c r="B241" t="s">
        <v>5558</v>
      </c>
      <c r="C241" s="959">
        <v>45569</v>
      </c>
      <c r="D241" t="s">
        <v>5166</v>
      </c>
      <c r="E241">
        <v>54.45</v>
      </c>
      <c r="F241">
        <v>54.45</v>
      </c>
      <c r="G241">
        <v>54.45</v>
      </c>
      <c r="H241">
        <v>54.45</v>
      </c>
      <c r="I241">
        <v>54.45</v>
      </c>
      <c r="J241" t="s">
        <v>5469</v>
      </c>
      <c r="K241">
        <v>54.45</v>
      </c>
      <c r="L241">
        <v>655.56</v>
      </c>
      <c r="M241">
        <v>35695</v>
      </c>
      <c r="N241">
        <v>54.45</v>
      </c>
      <c r="O241">
        <v>54.45</v>
      </c>
    </row>
    <row r="242" spans="1:15" hidden="1" x14ac:dyDescent="0.2">
      <c r="A242" s="958" t="s">
        <v>5641</v>
      </c>
      <c r="B242" t="s">
        <v>5560</v>
      </c>
      <c r="C242" s="959">
        <v>45569</v>
      </c>
      <c r="D242" t="s">
        <v>5406</v>
      </c>
      <c r="E242">
        <v>90</v>
      </c>
      <c r="F242">
        <v>90</v>
      </c>
      <c r="G242">
        <v>90</v>
      </c>
      <c r="H242">
        <v>90</v>
      </c>
      <c r="I242">
        <v>90</v>
      </c>
      <c r="J242" t="s">
        <v>5407</v>
      </c>
      <c r="K242">
        <v>90</v>
      </c>
      <c r="L242">
        <v>27.32</v>
      </c>
      <c r="M242">
        <v>2459.16</v>
      </c>
      <c r="N242">
        <v>90</v>
      </c>
      <c r="O242">
        <v>90</v>
      </c>
    </row>
    <row r="243" spans="1:15" hidden="1" x14ac:dyDescent="0.2">
      <c r="A243" s="958" t="s">
        <v>5642</v>
      </c>
      <c r="B243" t="s">
        <v>5561</v>
      </c>
      <c r="C243" s="959">
        <v>45572</v>
      </c>
      <c r="D243" t="s">
        <v>78</v>
      </c>
      <c r="E243">
        <v>4242</v>
      </c>
      <c r="F243">
        <v>8484</v>
      </c>
      <c r="G243">
        <v>4242</v>
      </c>
      <c r="H243">
        <v>8484</v>
      </c>
      <c r="I243">
        <v>4242</v>
      </c>
      <c r="J243" t="s">
        <v>5385</v>
      </c>
      <c r="K243">
        <v>4242</v>
      </c>
      <c r="L243">
        <v>79.91</v>
      </c>
      <c r="M243">
        <v>338971.86</v>
      </c>
      <c r="N243">
        <v>4242</v>
      </c>
      <c r="O243">
        <v>3462</v>
      </c>
    </row>
    <row r="244" spans="1:15" hidden="1" x14ac:dyDescent="0.2">
      <c r="A244" s="958" t="s">
        <v>5643</v>
      </c>
      <c r="B244" t="s">
        <v>5562</v>
      </c>
      <c r="C244" s="959">
        <v>45572</v>
      </c>
      <c r="D244" t="s">
        <v>5344</v>
      </c>
      <c r="E244">
        <v>138</v>
      </c>
      <c r="F244">
        <v>138</v>
      </c>
      <c r="G244">
        <v>138</v>
      </c>
      <c r="H244">
        <v>138</v>
      </c>
      <c r="I244">
        <v>138</v>
      </c>
      <c r="J244" t="s">
        <v>5563</v>
      </c>
      <c r="K244">
        <v>138</v>
      </c>
      <c r="L244">
        <v>29.18</v>
      </c>
      <c r="M244">
        <v>4027.39</v>
      </c>
      <c r="N244">
        <v>138</v>
      </c>
      <c r="O244">
        <v>138</v>
      </c>
    </row>
    <row r="245" spans="1:15" hidden="1" x14ac:dyDescent="0.2">
      <c r="A245" s="958" t="s">
        <v>5644</v>
      </c>
      <c r="B245" t="s">
        <v>5564</v>
      </c>
      <c r="C245" s="959">
        <v>45573</v>
      </c>
      <c r="D245" t="s">
        <v>3901</v>
      </c>
      <c r="E245">
        <v>480</v>
      </c>
      <c r="F245">
        <v>480</v>
      </c>
      <c r="G245">
        <v>480</v>
      </c>
      <c r="H245">
        <v>480</v>
      </c>
      <c r="I245">
        <v>480</v>
      </c>
      <c r="J245" t="s">
        <v>5565</v>
      </c>
      <c r="K245">
        <v>480</v>
      </c>
      <c r="L245">
        <v>94.59</v>
      </c>
      <c r="M245">
        <v>45405.36</v>
      </c>
      <c r="N245">
        <v>480</v>
      </c>
      <c r="O245">
        <v>480</v>
      </c>
    </row>
    <row r="246" spans="1:15" hidden="1" x14ac:dyDescent="0.2">
      <c r="A246" s="958" t="s">
        <v>5645</v>
      </c>
      <c r="B246" t="s">
        <v>5566</v>
      </c>
      <c r="C246" s="959">
        <v>45573</v>
      </c>
      <c r="D246" t="s">
        <v>5567</v>
      </c>
      <c r="E246">
        <v>377</v>
      </c>
      <c r="F246">
        <v>384.8</v>
      </c>
      <c r="G246">
        <v>377</v>
      </c>
      <c r="H246">
        <v>377</v>
      </c>
      <c r="I246">
        <v>377</v>
      </c>
      <c r="J246" t="s">
        <v>5568</v>
      </c>
      <c r="K246">
        <v>377</v>
      </c>
      <c r="L246">
        <v>378.93</v>
      </c>
      <c r="M246">
        <v>142855</v>
      </c>
      <c r="N246">
        <v>377</v>
      </c>
      <c r="O246">
        <v>377</v>
      </c>
    </row>
    <row r="247" spans="1:15" hidden="1" x14ac:dyDescent="0.2">
      <c r="A247" s="958" t="s">
        <v>5646</v>
      </c>
      <c r="B247" t="s">
        <v>5566</v>
      </c>
      <c r="C247" s="959">
        <v>45573</v>
      </c>
      <c r="D247" t="s">
        <v>5569</v>
      </c>
      <c r="E247">
        <v>240</v>
      </c>
      <c r="F247">
        <v>240</v>
      </c>
      <c r="G247">
        <v>240</v>
      </c>
      <c r="H247">
        <v>240</v>
      </c>
      <c r="I247">
        <v>240</v>
      </c>
      <c r="J247" t="s">
        <v>5570</v>
      </c>
      <c r="K247">
        <v>240</v>
      </c>
      <c r="L247">
        <v>357.69</v>
      </c>
      <c r="M247">
        <v>85845</v>
      </c>
      <c r="N247">
        <v>240</v>
      </c>
      <c r="O247">
        <v>240</v>
      </c>
    </row>
    <row r="248" spans="1:15" hidden="1" x14ac:dyDescent="0.2">
      <c r="A248" s="958" t="s">
        <v>5647</v>
      </c>
      <c r="B248" t="s">
        <v>5571</v>
      </c>
      <c r="C248" s="959">
        <v>45573</v>
      </c>
      <c r="D248" t="s">
        <v>4727</v>
      </c>
      <c r="E248">
        <v>558</v>
      </c>
      <c r="F248">
        <v>558</v>
      </c>
      <c r="G248">
        <v>558</v>
      </c>
      <c r="H248">
        <v>558</v>
      </c>
      <c r="I248">
        <v>558</v>
      </c>
      <c r="J248" t="s">
        <v>5366</v>
      </c>
      <c r="K248">
        <v>558</v>
      </c>
      <c r="L248">
        <v>82.37</v>
      </c>
      <c r="M248">
        <v>45959.67</v>
      </c>
      <c r="N248">
        <v>558</v>
      </c>
      <c r="O248">
        <v>558</v>
      </c>
    </row>
    <row r="249" spans="1:15" hidden="1" x14ac:dyDescent="0.2">
      <c r="A249" s="958" t="s">
        <v>5649</v>
      </c>
      <c r="B249" t="s">
        <v>5650</v>
      </c>
      <c r="C249" s="959">
        <v>45574</v>
      </c>
      <c r="D249" t="s">
        <v>4733</v>
      </c>
      <c r="E249">
        <v>292.5</v>
      </c>
      <c r="F249">
        <v>585</v>
      </c>
      <c r="G249">
        <v>292.5</v>
      </c>
      <c r="H249">
        <v>585</v>
      </c>
      <c r="I249">
        <v>292.5</v>
      </c>
      <c r="J249" t="s">
        <v>6889</v>
      </c>
      <c r="K249">
        <v>292.5</v>
      </c>
      <c r="L249">
        <v>229.93</v>
      </c>
      <c r="M249">
        <v>67254.53</v>
      </c>
      <c r="N249">
        <v>292.5</v>
      </c>
    </row>
    <row r="250" spans="1:15" hidden="1" x14ac:dyDescent="0.2">
      <c r="A250" s="958" t="s">
        <v>5651</v>
      </c>
      <c r="B250" t="s">
        <v>5650</v>
      </c>
      <c r="C250" s="959">
        <v>45574</v>
      </c>
      <c r="D250" t="s">
        <v>5370</v>
      </c>
      <c r="E250">
        <v>442</v>
      </c>
      <c r="F250">
        <v>884</v>
      </c>
      <c r="G250">
        <v>442</v>
      </c>
      <c r="H250">
        <v>884</v>
      </c>
      <c r="I250">
        <v>442</v>
      </c>
      <c r="J250" t="s">
        <v>6887</v>
      </c>
      <c r="K250">
        <v>442</v>
      </c>
      <c r="L250">
        <v>265.2</v>
      </c>
      <c r="M250">
        <v>117218.4</v>
      </c>
      <c r="N250">
        <v>442</v>
      </c>
    </row>
    <row r="251" spans="1:15" hidden="1" x14ac:dyDescent="0.2">
      <c r="A251" s="958" t="s">
        <v>5652</v>
      </c>
      <c r="B251" t="s">
        <v>5650</v>
      </c>
      <c r="C251" s="959">
        <v>45574</v>
      </c>
      <c r="D251" t="s">
        <v>4491</v>
      </c>
      <c r="E251">
        <v>136.5</v>
      </c>
      <c r="F251">
        <v>273</v>
      </c>
      <c r="G251">
        <v>136.5</v>
      </c>
      <c r="H251">
        <v>273</v>
      </c>
      <c r="I251">
        <v>136.5</v>
      </c>
      <c r="J251" t="s">
        <v>6889</v>
      </c>
      <c r="K251">
        <v>136.5</v>
      </c>
      <c r="L251">
        <v>229.71</v>
      </c>
      <c r="M251">
        <v>31355.42</v>
      </c>
      <c r="N251">
        <v>136.5</v>
      </c>
    </row>
    <row r="252" spans="1:15" hidden="1" x14ac:dyDescent="0.2">
      <c r="A252" s="958" t="s">
        <v>5653</v>
      </c>
      <c r="B252" t="s">
        <v>5650</v>
      </c>
      <c r="C252" s="959">
        <v>45574</v>
      </c>
      <c r="D252" t="s">
        <v>5271</v>
      </c>
      <c r="E252">
        <v>364</v>
      </c>
      <c r="F252">
        <v>728</v>
      </c>
      <c r="G252">
        <v>364</v>
      </c>
      <c r="H252">
        <v>728</v>
      </c>
      <c r="I252">
        <v>364</v>
      </c>
      <c r="J252" t="s">
        <v>6887</v>
      </c>
      <c r="K252">
        <v>364</v>
      </c>
      <c r="L252">
        <v>266.05</v>
      </c>
      <c r="M252">
        <v>96842.2</v>
      </c>
      <c r="N252">
        <v>364</v>
      </c>
    </row>
    <row r="253" spans="1:15" hidden="1" x14ac:dyDescent="0.2">
      <c r="A253" s="958" t="s">
        <v>5654</v>
      </c>
      <c r="B253" t="s">
        <v>5655</v>
      </c>
      <c r="C253" s="959">
        <v>45575</v>
      </c>
      <c r="D253" t="s">
        <v>4491</v>
      </c>
      <c r="E253">
        <v>136.5</v>
      </c>
      <c r="F253">
        <v>136.5</v>
      </c>
      <c r="G253">
        <v>136.5</v>
      </c>
      <c r="H253">
        <v>136.5</v>
      </c>
      <c r="I253">
        <v>136.5</v>
      </c>
      <c r="J253" t="s">
        <v>6889</v>
      </c>
      <c r="K253">
        <v>136.5</v>
      </c>
      <c r="L253">
        <v>229.71</v>
      </c>
      <c r="M253">
        <v>31355.759999999998</v>
      </c>
      <c r="N253">
        <v>136.5</v>
      </c>
      <c r="O253">
        <v>656.5</v>
      </c>
    </row>
    <row r="254" spans="1:15" hidden="1" x14ac:dyDescent="0.2">
      <c r="A254" s="958" t="s">
        <v>5656</v>
      </c>
      <c r="B254" t="s">
        <v>5655</v>
      </c>
      <c r="C254" s="959">
        <v>45575</v>
      </c>
      <c r="D254" t="s">
        <v>4733</v>
      </c>
      <c r="E254">
        <v>520</v>
      </c>
      <c r="F254">
        <v>520</v>
      </c>
      <c r="G254">
        <v>520</v>
      </c>
      <c r="H254">
        <v>520</v>
      </c>
      <c r="I254">
        <v>520</v>
      </c>
      <c r="J254" t="s">
        <v>6889</v>
      </c>
      <c r="K254">
        <v>520</v>
      </c>
      <c r="L254">
        <v>229.93</v>
      </c>
      <c r="M254">
        <v>119561</v>
      </c>
      <c r="N254">
        <v>520</v>
      </c>
      <c r="O254">
        <v>656.5</v>
      </c>
    </row>
    <row r="255" spans="1:15" hidden="1" x14ac:dyDescent="0.2">
      <c r="A255" s="958" t="s">
        <v>5657</v>
      </c>
      <c r="B255" t="s">
        <v>5655</v>
      </c>
      <c r="C255" s="959">
        <v>45575</v>
      </c>
      <c r="D255" t="s">
        <v>5370</v>
      </c>
      <c r="E255">
        <v>780</v>
      </c>
      <c r="F255">
        <v>780</v>
      </c>
      <c r="G255">
        <v>780</v>
      </c>
      <c r="H255">
        <v>780</v>
      </c>
      <c r="I255">
        <v>780</v>
      </c>
      <c r="J255" t="s">
        <v>6887</v>
      </c>
      <c r="K255">
        <v>780</v>
      </c>
      <c r="L255">
        <v>265.2</v>
      </c>
      <c r="M255">
        <v>206856</v>
      </c>
      <c r="N255">
        <v>780</v>
      </c>
      <c r="O255">
        <v>429</v>
      </c>
    </row>
    <row r="256" spans="1:15" hidden="1" x14ac:dyDescent="0.2">
      <c r="A256" s="958" t="s">
        <v>5658</v>
      </c>
      <c r="B256" t="s">
        <v>5655</v>
      </c>
      <c r="C256" s="959">
        <v>45575</v>
      </c>
      <c r="D256" t="s">
        <v>5429</v>
      </c>
      <c r="E256">
        <v>273</v>
      </c>
      <c r="F256">
        <v>273</v>
      </c>
      <c r="G256">
        <v>273</v>
      </c>
      <c r="H256">
        <v>273</v>
      </c>
      <c r="I256">
        <v>273</v>
      </c>
      <c r="J256" t="s">
        <v>5372</v>
      </c>
      <c r="K256">
        <v>273</v>
      </c>
      <c r="L256">
        <v>263.5</v>
      </c>
      <c r="M256">
        <v>71935.5</v>
      </c>
      <c r="N256">
        <v>273</v>
      </c>
    </row>
    <row r="257" spans="1:15" hidden="1" x14ac:dyDescent="0.2">
      <c r="A257" s="958" t="s">
        <v>5659</v>
      </c>
      <c r="B257" t="s">
        <v>5660</v>
      </c>
      <c r="C257" s="959">
        <v>45575</v>
      </c>
      <c r="D257" t="s">
        <v>5381</v>
      </c>
      <c r="E257">
        <v>1260</v>
      </c>
      <c r="F257">
        <v>1260</v>
      </c>
      <c r="G257">
        <v>1260</v>
      </c>
      <c r="H257">
        <v>1260</v>
      </c>
      <c r="I257">
        <v>1260</v>
      </c>
      <c r="J257" t="s">
        <v>6005</v>
      </c>
      <c r="K257">
        <v>1260</v>
      </c>
      <c r="L257">
        <v>59.24</v>
      </c>
      <c r="M257">
        <v>74636.100000000006</v>
      </c>
      <c r="N257">
        <v>1260</v>
      </c>
      <c r="O257">
        <v>1260</v>
      </c>
    </row>
    <row r="258" spans="1:15" hidden="1" x14ac:dyDescent="0.2">
      <c r="A258" s="958" t="s">
        <v>5661</v>
      </c>
      <c r="B258" t="s">
        <v>5660</v>
      </c>
      <c r="C258" s="959">
        <v>45575</v>
      </c>
      <c r="D258" t="s">
        <v>5382</v>
      </c>
      <c r="E258">
        <v>1236</v>
      </c>
      <c r="F258">
        <v>1236</v>
      </c>
      <c r="G258">
        <v>1236</v>
      </c>
      <c r="H258">
        <v>1236</v>
      </c>
      <c r="I258">
        <v>1236</v>
      </c>
      <c r="J258" t="s">
        <v>6006</v>
      </c>
      <c r="K258">
        <v>1236</v>
      </c>
      <c r="L258">
        <v>52.27</v>
      </c>
      <c r="M258">
        <v>64608.19</v>
      </c>
      <c r="N258">
        <v>1236</v>
      </c>
      <c r="O258">
        <v>1236</v>
      </c>
    </row>
    <row r="259" spans="1:15" hidden="1" x14ac:dyDescent="0.2">
      <c r="A259" s="958" t="s">
        <v>5668</v>
      </c>
      <c r="B259" t="s">
        <v>5663</v>
      </c>
      <c r="C259" s="959">
        <v>45579</v>
      </c>
      <c r="D259" t="s">
        <v>2841</v>
      </c>
      <c r="E259">
        <v>2197.0500000000002</v>
      </c>
      <c r="F259">
        <v>2197.0500000000002</v>
      </c>
      <c r="G259">
        <v>2197.0500000000002</v>
      </c>
      <c r="H259">
        <v>2197.0500000000002</v>
      </c>
      <c r="I259">
        <v>2197.0500000000002</v>
      </c>
      <c r="J259" t="s">
        <v>5486</v>
      </c>
      <c r="K259">
        <v>2197.0500000000002</v>
      </c>
      <c r="L259">
        <v>49.23</v>
      </c>
      <c r="M259">
        <v>108160.77</v>
      </c>
      <c r="N259">
        <v>2197.0500000000002</v>
      </c>
      <c r="O259">
        <v>2197.0500000000002</v>
      </c>
    </row>
    <row r="260" spans="1:15" hidden="1" x14ac:dyDescent="0.2">
      <c r="A260" s="958" t="s">
        <v>5669</v>
      </c>
      <c r="B260" t="s">
        <v>5663</v>
      </c>
      <c r="C260" s="959">
        <v>45579</v>
      </c>
      <c r="D260" t="s">
        <v>1975</v>
      </c>
      <c r="E260">
        <v>2904.6</v>
      </c>
      <c r="F260">
        <v>2904.6</v>
      </c>
      <c r="G260">
        <v>2904.6</v>
      </c>
      <c r="H260">
        <v>2904.6</v>
      </c>
      <c r="I260">
        <v>2904.6</v>
      </c>
      <c r="J260" t="s">
        <v>5270</v>
      </c>
      <c r="K260">
        <v>2904.6</v>
      </c>
      <c r="L260">
        <v>68.69</v>
      </c>
      <c r="M260">
        <v>199506.81</v>
      </c>
      <c r="N260">
        <v>2904.6</v>
      </c>
      <c r="O260">
        <v>2899.45</v>
      </c>
    </row>
    <row r="261" spans="1:15" hidden="1" x14ac:dyDescent="0.2">
      <c r="A261" s="958" t="s">
        <v>5670</v>
      </c>
      <c r="B261" t="s">
        <v>5664</v>
      </c>
      <c r="C261" s="959">
        <v>45579</v>
      </c>
      <c r="D261" t="s">
        <v>4544</v>
      </c>
      <c r="E261">
        <v>1008</v>
      </c>
      <c r="F261">
        <v>1008</v>
      </c>
      <c r="G261">
        <v>1008</v>
      </c>
      <c r="H261">
        <v>1008</v>
      </c>
      <c r="I261">
        <v>1008</v>
      </c>
      <c r="J261" t="s">
        <v>5379</v>
      </c>
      <c r="K261">
        <v>1008</v>
      </c>
      <c r="L261">
        <v>164.61</v>
      </c>
      <c r="M261">
        <v>165923.25</v>
      </c>
      <c r="N261">
        <v>1008</v>
      </c>
      <c r="O261">
        <v>1008</v>
      </c>
    </row>
    <row r="262" spans="1:15" hidden="1" x14ac:dyDescent="0.2">
      <c r="A262" s="958" t="s">
        <v>5671</v>
      </c>
      <c r="B262" t="s">
        <v>5665</v>
      </c>
      <c r="C262" s="959">
        <v>45579</v>
      </c>
      <c r="D262" t="s">
        <v>2561</v>
      </c>
      <c r="E262">
        <v>288</v>
      </c>
      <c r="F262">
        <v>288</v>
      </c>
      <c r="G262">
        <v>288</v>
      </c>
      <c r="H262">
        <v>288</v>
      </c>
      <c r="I262">
        <v>288</v>
      </c>
      <c r="J262" t="s">
        <v>5408</v>
      </c>
      <c r="K262">
        <v>288</v>
      </c>
      <c r="L262">
        <v>167.68</v>
      </c>
      <c r="M262">
        <v>48292.68</v>
      </c>
      <c r="N262">
        <v>288</v>
      </c>
      <c r="O262">
        <v>258</v>
      </c>
    </row>
    <row r="263" spans="1:15" hidden="1" x14ac:dyDescent="0.2">
      <c r="A263" s="958" t="s">
        <v>5672</v>
      </c>
      <c r="B263" t="s">
        <v>5666</v>
      </c>
      <c r="C263" s="959">
        <v>45579</v>
      </c>
      <c r="D263" t="s">
        <v>5320</v>
      </c>
      <c r="E263">
        <v>168.95</v>
      </c>
      <c r="F263">
        <v>168.95</v>
      </c>
      <c r="G263">
        <v>168.95</v>
      </c>
      <c r="H263">
        <v>168.95</v>
      </c>
      <c r="I263">
        <v>168.95</v>
      </c>
      <c r="J263" t="s">
        <v>5536</v>
      </c>
      <c r="K263">
        <v>168.95</v>
      </c>
      <c r="L263">
        <v>313.13</v>
      </c>
      <c r="M263">
        <v>52903.48</v>
      </c>
      <c r="N263">
        <v>168.95</v>
      </c>
      <c r="O263">
        <v>168.95</v>
      </c>
    </row>
    <row r="264" spans="1:15" hidden="1" x14ac:dyDescent="0.2">
      <c r="A264" s="958" t="s">
        <v>5673</v>
      </c>
      <c r="B264" t="s">
        <v>5667</v>
      </c>
      <c r="C264" s="959">
        <v>45579</v>
      </c>
      <c r="D264" t="s">
        <v>4582</v>
      </c>
      <c r="E264">
        <v>840</v>
      </c>
      <c r="F264">
        <v>840</v>
      </c>
      <c r="G264">
        <v>840</v>
      </c>
      <c r="H264">
        <v>840</v>
      </c>
      <c r="I264">
        <v>840</v>
      </c>
      <c r="J264" t="s">
        <v>5393</v>
      </c>
      <c r="K264">
        <v>840</v>
      </c>
      <c r="L264">
        <v>39.9</v>
      </c>
      <c r="M264">
        <v>33511.800000000003</v>
      </c>
      <c r="N264">
        <v>840</v>
      </c>
      <c r="O264">
        <v>840</v>
      </c>
    </row>
    <row r="265" spans="1:15" hidden="1" x14ac:dyDescent="0.2">
      <c r="A265" s="958" t="s">
        <v>5674</v>
      </c>
      <c r="B265" t="s">
        <v>5667</v>
      </c>
      <c r="C265" s="959">
        <v>45579</v>
      </c>
      <c r="D265" t="s">
        <v>5091</v>
      </c>
      <c r="E265">
        <v>756</v>
      </c>
      <c r="F265">
        <v>756</v>
      </c>
      <c r="G265">
        <v>756</v>
      </c>
      <c r="H265">
        <v>756</v>
      </c>
      <c r="I265">
        <v>756</v>
      </c>
      <c r="J265" t="s">
        <v>5411</v>
      </c>
      <c r="K265">
        <v>756</v>
      </c>
      <c r="L265">
        <v>74.38</v>
      </c>
      <c r="M265">
        <v>56231.28</v>
      </c>
      <c r="N265">
        <v>756</v>
      </c>
      <c r="O265">
        <v>732</v>
      </c>
    </row>
    <row r="266" spans="1:15" hidden="1" x14ac:dyDescent="0.2">
      <c r="A266" s="958" t="s">
        <v>5690</v>
      </c>
      <c r="B266" t="s">
        <v>5689</v>
      </c>
      <c r="C266" s="959">
        <v>45581</v>
      </c>
      <c r="D266" t="s">
        <v>5367</v>
      </c>
      <c r="E266">
        <v>4608</v>
      </c>
      <c r="F266">
        <v>4608</v>
      </c>
      <c r="G266">
        <v>4608</v>
      </c>
      <c r="H266">
        <v>4608</v>
      </c>
      <c r="I266">
        <v>4608</v>
      </c>
      <c r="J266" t="s">
        <v>5368</v>
      </c>
      <c r="K266">
        <v>4608</v>
      </c>
      <c r="L266">
        <v>33.17</v>
      </c>
      <c r="M266">
        <v>152824.32000000001</v>
      </c>
      <c r="N266">
        <v>4608</v>
      </c>
      <c r="O266">
        <v>4608</v>
      </c>
    </row>
    <row r="267" spans="1:15" hidden="1" x14ac:dyDescent="0.2">
      <c r="A267" s="958" t="s">
        <v>5698</v>
      </c>
      <c r="B267" t="s">
        <v>5699</v>
      </c>
      <c r="C267" s="959">
        <v>45586</v>
      </c>
      <c r="D267" t="s">
        <v>1751</v>
      </c>
      <c r="E267">
        <v>529.20000000000005</v>
      </c>
      <c r="F267">
        <v>529.20000000000005</v>
      </c>
      <c r="G267">
        <v>529.20000000000005</v>
      </c>
      <c r="H267">
        <v>529.20000000000005</v>
      </c>
      <c r="I267">
        <v>529.20000000000005</v>
      </c>
      <c r="J267" t="s">
        <v>5471</v>
      </c>
      <c r="K267">
        <v>529.20000000000005</v>
      </c>
      <c r="L267">
        <v>359.3</v>
      </c>
      <c r="M267">
        <v>190140.18</v>
      </c>
      <c r="N267">
        <v>529.20000000000005</v>
      </c>
      <c r="O267">
        <v>529.20000000000005</v>
      </c>
    </row>
    <row r="268" spans="1:15" hidden="1" x14ac:dyDescent="0.2">
      <c r="A268" s="958" t="s">
        <v>6011</v>
      </c>
      <c r="B268" t="s">
        <v>5700</v>
      </c>
      <c r="C268" s="959">
        <v>45586</v>
      </c>
      <c r="D268" t="s">
        <v>6008</v>
      </c>
      <c r="E268">
        <v>606</v>
      </c>
      <c r="F268">
        <v>606</v>
      </c>
      <c r="G268">
        <v>606</v>
      </c>
      <c r="H268">
        <v>606</v>
      </c>
      <c r="I268">
        <v>606</v>
      </c>
      <c r="J268" t="s">
        <v>5400</v>
      </c>
      <c r="K268">
        <v>606</v>
      </c>
      <c r="L268">
        <v>115.32</v>
      </c>
      <c r="M268">
        <v>69883.009999999995</v>
      </c>
      <c r="N268">
        <v>606</v>
      </c>
      <c r="O268">
        <v>595.9</v>
      </c>
    </row>
    <row r="269" spans="1:15" hidden="1" x14ac:dyDescent="0.2">
      <c r="A269" s="958" t="s">
        <v>5702</v>
      </c>
      <c r="B269" t="s">
        <v>5701</v>
      </c>
      <c r="C269" s="959">
        <v>45586</v>
      </c>
      <c r="D269" t="s">
        <v>5252</v>
      </c>
      <c r="E269">
        <v>768</v>
      </c>
      <c r="J269" t="s">
        <v>6660</v>
      </c>
      <c r="K269">
        <v>768</v>
      </c>
      <c r="L269">
        <v>75.959999999999994</v>
      </c>
      <c r="M269">
        <v>58340</v>
      </c>
      <c r="N269">
        <v>768</v>
      </c>
      <c r="O269">
        <v>768</v>
      </c>
    </row>
    <row r="270" spans="1:15" hidden="1" x14ac:dyDescent="0.2">
      <c r="A270" s="958" t="s">
        <v>5704</v>
      </c>
      <c r="B270" t="s">
        <v>5705</v>
      </c>
      <c r="C270" s="959">
        <v>45586</v>
      </c>
      <c r="D270" t="s">
        <v>4903</v>
      </c>
      <c r="E270">
        <v>11</v>
      </c>
      <c r="F270">
        <v>11</v>
      </c>
      <c r="G270">
        <v>11</v>
      </c>
      <c r="H270">
        <v>11</v>
      </c>
      <c r="I270">
        <v>11</v>
      </c>
      <c r="J270" t="s">
        <v>5395</v>
      </c>
      <c r="K270">
        <v>11</v>
      </c>
      <c r="L270">
        <v>3290.91</v>
      </c>
      <c r="M270">
        <v>36200</v>
      </c>
      <c r="N270">
        <v>11</v>
      </c>
      <c r="O270">
        <v>11</v>
      </c>
    </row>
    <row r="271" spans="1:15" hidden="1" x14ac:dyDescent="0.2">
      <c r="A271" s="958" t="s">
        <v>5706</v>
      </c>
      <c r="B271" t="s">
        <v>5707</v>
      </c>
      <c r="C271" s="959">
        <v>45587</v>
      </c>
      <c r="D271" t="s">
        <v>5382</v>
      </c>
      <c r="E271">
        <v>912</v>
      </c>
      <c r="F271">
        <v>912</v>
      </c>
      <c r="G271">
        <v>912</v>
      </c>
      <c r="H271">
        <v>912</v>
      </c>
      <c r="I271">
        <v>912</v>
      </c>
      <c r="J271" t="s">
        <v>6006</v>
      </c>
      <c r="K271">
        <v>912</v>
      </c>
      <c r="L271">
        <v>52.27</v>
      </c>
      <c r="M271">
        <v>47672.06</v>
      </c>
      <c r="N271">
        <v>912</v>
      </c>
      <c r="O271">
        <v>912</v>
      </c>
    </row>
    <row r="272" spans="1:15" hidden="1" x14ac:dyDescent="0.2">
      <c r="A272" s="958" t="s">
        <v>5718</v>
      </c>
      <c r="B272" t="s">
        <v>5715</v>
      </c>
      <c r="C272" s="959">
        <v>45587</v>
      </c>
      <c r="D272" t="s">
        <v>5712</v>
      </c>
      <c r="E272">
        <v>797.45</v>
      </c>
      <c r="F272">
        <v>797.45</v>
      </c>
      <c r="G272">
        <v>797.45</v>
      </c>
      <c r="H272">
        <v>797.45</v>
      </c>
      <c r="I272">
        <v>797.45</v>
      </c>
      <c r="J272" t="s">
        <v>5716</v>
      </c>
      <c r="K272">
        <v>797.45</v>
      </c>
      <c r="L272">
        <v>421.34</v>
      </c>
      <c r="M272">
        <v>336000</v>
      </c>
      <c r="N272">
        <v>797.45</v>
      </c>
      <c r="O272">
        <v>797.45</v>
      </c>
    </row>
    <row r="273" spans="1:15" hidden="1" x14ac:dyDescent="0.2">
      <c r="A273" s="958" t="s">
        <v>5867</v>
      </c>
      <c r="B273" t="s">
        <v>5717</v>
      </c>
      <c r="C273" s="959">
        <v>45587</v>
      </c>
      <c r="D273" t="s">
        <v>5862</v>
      </c>
      <c r="E273">
        <v>450</v>
      </c>
      <c r="F273">
        <v>450</v>
      </c>
      <c r="G273">
        <v>450</v>
      </c>
      <c r="H273">
        <v>450</v>
      </c>
      <c r="I273">
        <v>450</v>
      </c>
      <c r="J273" t="s">
        <v>5831</v>
      </c>
      <c r="K273">
        <v>450</v>
      </c>
      <c r="L273">
        <v>143.06</v>
      </c>
      <c r="M273">
        <v>64374.75</v>
      </c>
      <c r="N273">
        <v>450</v>
      </c>
      <c r="O273">
        <v>438</v>
      </c>
    </row>
    <row r="274" spans="1:15" hidden="1" x14ac:dyDescent="0.2">
      <c r="A274" s="958" t="s">
        <v>5724</v>
      </c>
      <c r="B274" t="s">
        <v>5721</v>
      </c>
      <c r="C274" s="959">
        <v>45589</v>
      </c>
      <c r="D274" t="s">
        <v>3678</v>
      </c>
      <c r="E274">
        <v>681</v>
      </c>
      <c r="F274">
        <v>681</v>
      </c>
      <c r="G274">
        <v>681</v>
      </c>
      <c r="H274">
        <v>681</v>
      </c>
      <c r="I274">
        <v>681</v>
      </c>
      <c r="J274" t="s">
        <v>5461</v>
      </c>
      <c r="K274">
        <v>681</v>
      </c>
      <c r="L274">
        <v>371.28</v>
      </c>
      <c r="M274">
        <v>252841.68</v>
      </c>
      <c r="N274">
        <v>681</v>
      </c>
      <c r="O274">
        <v>681</v>
      </c>
    </row>
    <row r="275" spans="1:15" hidden="1" x14ac:dyDescent="0.2">
      <c r="A275" s="958" t="s">
        <v>5725</v>
      </c>
      <c r="B275" t="s">
        <v>5722</v>
      </c>
      <c r="C275" s="959">
        <v>45589</v>
      </c>
      <c r="D275" t="s">
        <v>3121</v>
      </c>
      <c r="E275">
        <v>624.15</v>
      </c>
      <c r="F275">
        <v>1248.3</v>
      </c>
      <c r="G275">
        <v>624.15</v>
      </c>
      <c r="H275">
        <v>624.15</v>
      </c>
      <c r="I275">
        <v>624.15</v>
      </c>
      <c r="J275" t="s">
        <v>5423</v>
      </c>
      <c r="K275">
        <v>624.15</v>
      </c>
      <c r="L275">
        <v>149.66</v>
      </c>
      <c r="M275">
        <v>93410.29</v>
      </c>
      <c r="N275">
        <v>624.15</v>
      </c>
      <c r="O275">
        <v>624.15</v>
      </c>
    </row>
    <row r="276" spans="1:15" hidden="1" x14ac:dyDescent="0.2">
      <c r="A276" s="958" t="s">
        <v>5726</v>
      </c>
      <c r="B276" t="s">
        <v>5722</v>
      </c>
      <c r="C276" s="959">
        <v>45589</v>
      </c>
      <c r="D276" t="s">
        <v>85</v>
      </c>
      <c r="E276">
        <v>1147.5</v>
      </c>
      <c r="F276">
        <v>2295</v>
      </c>
      <c r="G276">
        <v>1147.5</v>
      </c>
      <c r="H276">
        <v>1147.5</v>
      </c>
      <c r="I276">
        <v>1147.5</v>
      </c>
      <c r="J276" t="s">
        <v>5422</v>
      </c>
      <c r="K276">
        <v>1147.5</v>
      </c>
      <c r="L276">
        <v>149.66</v>
      </c>
      <c r="M276">
        <v>171734.85</v>
      </c>
      <c r="N276">
        <v>1147.5</v>
      </c>
      <c r="O276">
        <v>1147.5</v>
      </c>
    </row>
    <row r="277" spans="1:15" hidden="1" x14ac:dyDescent="0.2">
      <c r="A277" s="958" t="s">
        <v>5727</v>
      </c>
      <c r="B277" t="s">
        <v>5723</v>
      </c>
      <c r="C277" s="959">
        <v>45589</v>
      </c>
      <c r="D277" t="s">
        <v>3645</v>
      </c>
      <c r="E277">
        <v>540</v>
      </c>
      <c r="F277">
        <v>540</v>
      </c>
      <c r="G277">
        <v>540</v>
      </c>
      <c r="H277">
        <v>540</v>
      </c>
      <c r="I277">
        <v>540</v>
      </c>
      <c r="J277" t="s">
        <v>5720</v>
      </c>
      <c r="K277">
        <v>540</v>
      </c>
      <c r="L277">
        <v>191.45</v>
      </c>
      <c r="M277">
        <v>103380.49</v>
      </c>
      <c r="N277">
        <v>540</v>
      </c>
      <c r="O277">
        <v>540</v>
      </c>
    </row>
    <row r="278" spans="1:15" hidden="1" x14ac:dyDescent="0.2">
      <c r="A278" s="958" t="s">
        <v>6012</v>
      </c>
      <c r="B278" t="s">
        <v>5797</v>
      </c>
      <c r="C278" s="959">
        <v>45590</v>
      </c>
      <c r="D278" t="s">
        <v>6008</v>
      </c>
      <c r="E278">
        <v>3368.35</v>
      </c>
      <c r="F278">
        <v>3368.35</v>
      </c>
      <c r="G278">
        <v>3368.35</v>
      </c>
      <c r="H278">
        <v>3368.35</v>
      </c>
      <c r="I278">
        <v>3368.35</v>
      </c>
      <c r="J278" t="s">
        <v>5400</v>
      </c>
      <c r="K278">
        <v>3368.35</v>
      </c>
      <c r="L278">
        <v>115.32</v>
      </c>
      <c r="M278">
        <v>388433.07</v>
      </c>
      <c r="N278">
        <v>3368.35</v>
      </c>
      <c r="O278">
        <v>3327.95</v>
      </c>
    </row>
    <row r="279" spans="1:15" hidden="1" x14ac:dyDescent="0.2">
      <c r="A279" s="958" t="s">
        <v>5800</v>
      </c>
      <c r="B279" t="s">
        <v>5797</v>
      </c>
      <c r="C279" s="959">
        <v>45590</v>
      </c>
      <c r="D279" t="s">
        <v>4276</v>
      </c>
      <c r="E279">
        <v>258.10000000000002</v>
      </c>
      <c r="F279">
        <v>258.10000000000002</v>
      </c>
      <c r="G279">
        <v>258.10000000000002</v>
      </c>
      <c r="H279">
        <v>258.10000000000002</v>
      </c>
      <c r="I279">
        <v>258.10000000000002</v>
      </c>
      <c r="J279" t="s">
        <v>6712</v>
      </c>
      <c r="K279">
        <v>258.10000000000002</v>
      </c>
      <c r="L279">
        <v>136.53</v>
      </c>
      <c r="M279">
        <v>35238.39</v>
      </c>
      <c r="N279">
        <v>258.10000000000002</v>
      </c>
      <c r="O279">
        <v>258.10000000000002</v>
      </c>
    </row>
    <row r="280" spans="1:15" hidden="1" x14ac:dyDescent="0.2">
      <c r="A280" s="958" t="s">
        <v>5741</v>
      </c>
      <c r="B280" t="s">
        <v>5737</v>
      </c>
      <c r="C280" s="959">
        <v>45590</v>
      </c>
      <c r="D280" t="s">
        <v>5276</v>
      </c>
      <c r="E280">
        <v>72</v>
      </c>
      <c r="J280" t="s">
        <v>5484</v>
      </c>
      <c r="K280">
        <v>72</v>
      </c>
      <c r="L280">
        <v>308.33</v>
      </c>
      <c r="M280">
        <v>22200</v>
      </c>
    </row>
    <row r="281" spans="1:15" hidden="1" x14ac:dyDescent="0.2">
      <c r="A281" s="958" t="s">
        <v>5742</v>
      </c>
      <c r="B281" t="s">
        <v>5737</v>
      </c>
      <c r="C281" s="959">
        <v>45590</v>
      </c>
      <c r="D281" t="s">
        <v>5273</v>
      </c>
      <c r="E281">
        <v>248.4</v>
      </c>
      <c r="J281" t="s">
        <v>5810</v>
      </c>
      <c r="K281">
        <v>248.4</v>
      </c>
      <c r="L281">
        <v>68.44</v>
      </c>
      <c r="M281">
        <v>17000</v>
      </c>
    </row>
    <row r="282" spans="1:15" hidden="1" x14ac:dyDescent="0.2">
      <c r="A282" s="958" t="s">
        <v>5743</v>
      </c>
      <c r="B282" t="s">
        <v>5737</v>
      </c>
      <c r="C282" s="959">
        <v>45590</v>
      </c>
      <c r="D282" t="s">
        <v>5275</v>
      </c>
      <c r="E282">
        <v>1008</v>
      </c>
      <c r="J282" t="s">
        <v>5811</v>
      </c>
      <c r="K282">
        <v>1008</v>
      </c>
      <c r="L282">
        <v>320.44</v>
      </c>
      <c r="M282">
        <v>323000</v>
      </c>
    </row>
    <row r="283" spans="1:15" hidden="1" x14ac:dyDescent="0.2">
      <c r="A283" s="958" t="s">
        <v>5744</v>
      </c>
      <c r="B283" t="s">
        <v>5737</v>
      </c>
      <c r="C283" s="959">
        <v>45590</v>
      </c>
      <c r="D283" t="s">
        <v>5729</v>
      </c>
      <c r="E283">
        <v>36</v>
      </c>
      <c r="J283" t="s">
        <v>5813</v>
      </c>
      <c r="K283">
        <v>36</v>
      </c>
      <c r="L283">
        <v>472.22</v>
      </c>
      <c r="M283">
        <v>17000</v>
      </c>
    </row>
    <row r="284" spans="1:15" hidden="1" x14ac:dyDescent="0.2">
      <c r="A284" s="958" t="s">
        <v>5745</v>
      </c>
      <c r="B284" t="s">
        <v>5737</v>
      </c>
      <c r="C284" s="959">
        <v>45590</v>
      </c>
      <c r="D284" t="s">
        <v>5231</v>
      </c>
      <c r="E284">
        <v>948</v>
      </c>
      <c r="J284" t="s">
        <v>5809</v>
      </c>
      <c r="K284">
        <v>948</v>
      </c>
      <c r="L284">
        <v>125.53</v>
      </c>
      <c r="M284">
        <v>119000</v>
      </c>
    </row>
    <row r="285" spans="1:15" hidden="1" x14ac:dyDescent="0.2">
      <c r="A285" s="958" t="s">
        <v>5746</v>
      </c>
      <c r="B285" t="s">
        <v>5737</v>
      </c>
      <c r="C285" s="959">
        <v>45590</v>
      </c>
      <c r="D285" t="s">
        <v>5274</v>
      </c>
      <c r="E285">
        <v>88</v>
      </c>
      <c r="J285" t="s">
        <v>5483</v>
      </c>
      <c r="K285">
        <v>88</v>
      </c>
      <c r="L285">
        <v>964.77</v>
      </c>
      <c r="M285">
        <v>84900</v>
      </c>
    </row>
    <row r="286" spans="1:15" hidden="1" x14ac:dyDescent="0.2">
      <c r="A286" s="958" t="s">
        <v>5747</v>
      </c>
      <c r="B286" t="s">
        <v>5737</v>
      </c>
      <c r="C286" s="959">
        <v>45590</v>
      </c>
      <c r="D286" t="s">
        <v>5240</v>
      </c>
      <c r="E286">
        <v>360</v>
      </c>
      <c r="J286" t="s">
        <v>5808</v>
      </c>
      <c r="K286">
        <v>360</v>
      </c>
      <c r="L286">
        <v>498.89</v>
      </c>
      <c r="M286">
        <v>179600</v>
      </c>
    </row>
    <row r="287" spans="1:15" hidden="1" x14ac:dyDescent="0.2">
      <c r="A287" s="958" t="s">
        <v>5748</v>
      </c>
      <c r="B287" t="s">
        <v>5738</v>
      </c>
      <c r="C287" s="959">
        <v>45590</v>
      </c>
      <c r="D287" t="s">
        <v>5730</v>
      </c>
      <c r="E287">
        <v>12</v>
      </c>
      <c r="J287" t="s">
        <v>5814</v>
      </c>
      <c r="K287">
        <v>12</v>
      </c>
      <c r="L287">
        <v>141.66999999999999</v>
      </c>
      <c r="M287">
        <v>1700</v>
      </c>
    </row>
    <row r="288" spans="1:15" hidden="1" x14ac:dyDescent="0.2">
      <c r="A288" s="958" t="s">
        <v>5749</v>
      </c>
      <c r="B288" t="s">
        <v>5738</v>
      </c>
      <c r="C288" s="959">
        <v>45590</v>
      </c>
      <c r="D288" t="s">
        <v>5731</v>
      </c>
      <c r="E288">
        <v>2058</v>
      </c>
      <c r="J288" t="s">
        <v>5815</v>
      </c>
      <c r="K288">
        <v>2058</v>
      </c>
      <c r="L288">
        <v>99.13</v>
      </c>
      <c r="M288">
        <v>204000</v>
      </c>
    </row>
    <row r="289" spans="1:15" hidden="1" x14ac:dyDescent="0.2">
      <c r="A289" s="958" t="s">
        <v>5750</v>
      </c>
      <c r="B289" t="s">
        <v>5738</v>
      </c>
      <c r="C289" s="959">
        <v>45590</v>
      </c>
      <c r="D289" t="s">
        <v>5732</v>
      </c>
      <c r="E289">
        <v>228</v>
      </c>
      <c r="J289" t="s">
        <v>5816</v>
      </c>
      <c r="K289">
        <v>228</v>
      </c>
      <c r="L289">
        <v>74.56</v>
      </c>
      <c r="M289">
        <v>17000</v>
      </c>
    </row>
    <row r="290" spans="1:15" hidden="1" x14ac:dyDescent="0.2">
      <c r="A290" s="958" t="s">
        <v>5751</v>
      </c>
      <c r="B290" t="s">
        <v>5738</v>
      </c>
      <c r="C290" s="959">
        <v>45590</v>
      </c>
      <c r="D290" t="s">
        <v>5733</v>
      </c>
      <c r="E290">
        <v>36</v>
      </c>
      <c r="J290" t="s">
        <v>5817</v>
      </c>
      <c r="K290">
        <v>36</v>
      </c>
      <c r="L290">
        <v>236.11</v>
      </c>
      <c r="M290">
        <v>8500</v>
      </c>
    </row>
    <row r="291" spans="1:15" hidden="1" x14ac:dyDescent="0.2">
      <c r="A291" s="958" t="s">
        <v>5752</v>
      </c>
      <c r="B291" t="s">
        <v>5738</v>
      </c>
      <c r="C291" s="959">
        <v>45590</v>
      </c>
      <c r="D291" t="s">
        <v>5272</v>
      </c>
      <c r="E291">
        <v>3744</v>
      </c>
      <c r="J291" t="s">
        <v>5807</v>
      </c>
      <c r="K291">
        <v>3744</v>
      </c>
      <c r="L291">
        <v>118.06</v>
      </c>
      <c r="M291">
        <v>442000</v>
      </c>
    </row>
    <row r="292" spans="1:15" hidden="1" x14ac:dyDescent="0.2">
      <c r="A292" s="958" t="s">
        <v>5753</v>
      </c>
      <c r="B292" t="s">
        <v>5738</v>
      </c>
      <c r="C292" s="959">
        <v>45590</v>
      </c>
      <c r="D292" t="s">
        <v>5277</v>
      </c>
      <c r="E292">
        <v>6</v>
      </c>
      <c r="J292" t="s">
        <v>5812</v>
      </c>
      <c r="K292">
        <v>6</v>
      </c>
      <c r="L292">
        <v>566.66999999999996</v>
      </c>
      <c r="M292">
        <v>3400</v>
      </c>
    </row>
    <row r="293" spans="1:15" hidden="1" x14ac:dyDescent="0.2">
      <c r="A293" s="958" t="s">
        <v>5754</v>
      </c>
      <c r="B293" t="s">
        <v>5738</v>
      </c>
      <c r="C293" s="959">
        <v>45590</v>
      </c>
      <c r="D293" t="s">
        <v>5231</v>
      </c>
      <c r="E293">
        <v>2328</v>
      </c>
      <c r="J293" t="s">
        <v>5809</v>
      </c>
      <c r="K293">
        <v>2328</v>
      </c>
      <c r="L293">
        <v>146.05000000000001</v>
      </c>
      <c r="M293">
        <v>340000</v>
      </c>
    </row>
    <row r="294" spans="1:15" hidden="1" x14ac:dyDescent="0.2">
      <c r="A294" s="958" t="s">
        <v>5755</v>
      </c>
      <c r="B294" t="s">
        <v>5738</v>
      </c>
      <c r="C294" s="959">
        <v>45590</v>
      </c>
      <c r="D294" t="s">
        <v>5734</v>
      </c>
      <c r="E294">
        <v>966</v>
      </c>
      <c r="J294" t="s">
        <v>5818</v>
      </c>
      <c r="K294">
        <v>966</v>
      </c>
      <c r="L294">
        <v>158.38999999999999</v>
      </c>
      <c r="M294">
        <v>153000</v>
      </c>
    </row>
    <row r="295" spans="1:15" hidden="1" x14ac:dyDescent="0.2">
      <c r="A295" s="958" t="s">
        <v>5756</v>
      </c>
      <c r="B295" t="s">
        <v>5738</v>
      </c>
      <c r="C295" s="959">
        <v>45590</v>
      </c>
      <c r="D295" t="s">
        <v>5735</v>
      </c>
      <c r="E295">
        <v>612</v>
      </c>
      <c r="J295" t="s">
        <v>5739</v>
      </c>
      <c r="K295">
        <v>612</v>
      </c>
      <c r="L295">
        <v>111.11</v>
      </c>
      <c r="M295">
        <v>68000</v>
      </c>
    </row>
    <row r="296" spans="1:15" hidden="1" x14ac:dyDescent="0.2">
      <c r="A296" s="958" t="s">
        <v>5757</v>
      </c>
      <c r="B296" t="s">
        <v>5738</v>
      </c>
      <c r="C296" s="959">
        <v>45590</v>
      </c>
      <c r="D296" t="s">
        <v>5736</v>
      </c>
      <c r="E296">
        <v>24</v>
      </c>
      <c r="J296" t="s">
        <v>5740</v>
      </c>
      <c r="K296">
        <v>24</v>
      </c>
      <c r="L296">
        <v>141.66999999999999</v>
      </c>
      <c r="M296">
        <v>3400</v>
      </c>
    </row>
    <row r="297" spans="1:15" hidden="1" x14ac:dyDescent="0.2">
      <c r="A297" s="958" t="s">
        <v>5765</v>
      </c>
      <c r="B297" t="s">
        <v>5758</v>
      </c>
      <c r="C297" s="959">
        <v>45593</v>
      </c>
      <c r="D297" t="s">
        <v>5367</v>
      </c>
      <c r="E297">
        <v>2304</v>
      </c>
      <c r="F297">
        <v>2304</v>
      </c>
      <c r="G297">
        <v>2304</v>
      </c>
      <c r="H297">
        <v>2304</v>
      </c>
      <c r="I297">
        <v>2304</v>
      </c>
      <c r="J297" t="s">
        <v>5368</v>
      </c>
      <c r="K297">
        <v>2304</v>
      </c>
      <c r="L297">
        <v>33.17</v>
      </c>
      <c r="M297">
        <v>76412.160000000003</v>
      </c>
      <c r="N297">
        <v>2304</v>
      </c>
      <c r="O297">
        <v>2304</v>
      </c>
    </row>
    <row r="298" spans="1:15" hidden="1" x14ac:dyDescent="0.2">
      <c r="A298" s="958" t="s">
        <v>5766</v>
      </c>
      <c r="B298" t="s">
        <v>5759</v>
      </c>
      <c r="C298" s="959">
        <v>45593</v>
      </c>
      <c r="D298" t="s">
        <v>3403</v>
      </c>
      <c r="E298">
        <v>1890</v>
      </c>
      <c r="F298">
        <v>1890</v>
      </c>
      <c r="G298">
        <v>1890</v>
      </c>
      <c r="H298">
        <v>1890</v>
      </c>
      <c r="I298">
        <v>1890</v>
      </c>
      <c r="J298" t="s">
        <v>5445</v>
      </c>
      <c r="K298">
        <v>1890</v>
      </c>
      <c r="L298">
        <v>72.39</v>
      </c>
      <c r="M298">
        <v>136818.04999999999</v>
      </c>
      <c r="N298">
        <v>1890</v>
      </c>
      <c r="O298">
        <v>1878</v>
      </c>
    </row>
    <row r="299" spans="1:15" hidden="1" x14ac:dyDescent="0.2">
      <c r="A299" s="958" t="s">
        <v>5767</v>
      </c>
      <c r="B299" t="s">
        <v>5760</v>
      </c>
      <c r="C299" s="959">
        <v>45593</v>
      </c>
      <c r="D299" t="s">
        <v>4813</v>
      </c>
      <c r="E299">
        <v>1548</v>
      </c>
      <c r="F299">
        <v>1548</v>
      </c>
      <c r="G299">
        <v>1548</v>
      </c>
      <c r="H299">
        <v>1548</v>
      </c>
      <c r="I299">
        <v>1548</v>
      </c>
      <c r="J299" t="s">
        <v>4148</v>
      </c>
      <c r="K299">
        <v>1548</v>
      </c>
      <c r="L299">
        <v>140.69</v>
      </c>
      <c r="M299">
        <v>217781.93</v>
      </c>
      <c r="N299">
        <v>1548</v>
      </c>
      <c r="O299">
        <v>1500</v>
      </c>
    </row>
    <row r="300" spans="1:15" hidden="1" x14ac:dyDescent="0.2">
      <c r="A300" s="958" t="s">
        <v>5768</v>
      </c>
      <c r="B300" t="s">
        <v>5761</v>
      </c>
      <c r="C300" s="959">
        <v>45593</v>
      </c>
      <c r="D300" t="s">
        <v>4582</v>
      </c>
      <c r="E300">
        <v>1932</v>
      </c>
      <c r="F300">
        <v>1932</v>
      </c>
      <c r="G300">
        <v>1932</v>
      </c>
      <c r="H300">
        <v>1932</v>
      </c>
      <c r="I300">
        <v>1932</v>
      </c>
      <c r="J300" t="s">
        <v>5393</v>
      </c>
      <c r="K300">
        <v>1932</v>
      </c>
      <c r="L300">
        <v>39.9</v>
      </c>
      <c r="M300">
        <v>77077.14</v>
      </c>
      <c r="N300">
        <v>1932</v>
      </c>
      <c r="O300">
        <v>1932</v>
      </c>
    </row>
    <row r="301" spans="1:15" hidden="1" x14ac:dyDescent="0.2">
      <c r="A301" s="958" t="s">
        <v>5769</v>
      </c>
      <c r="B301" t="s">
        <v>5761</v>
      </c>
      <c r="C301" s="959">
        <v>45593</v>
      </c>
      <c r="D301" t="s">
        <v>4994</v>
      </c>
      <c r="E301">
        <v>1704</v>
      </c>
      <c r="F301">
        <v>1704</v>
      </c>
      <c r="G301">
        <v>1704</v>
      </c>
      <c r="H301">
        <v>1704</v>
      </c>
      <c r="I301">
        <v>1704</v>
      </c>
      <c r="J301" t="s">
        <v>5365</v>
      </c>
      <c r="K301">
        <v>1704</v>
      </c>
      <c r="L301">
        <v>86.74</v>
      </c>
      <c r="M301">
        <v>147808.37</v>
      </c>
      <c r="N301">
        <v>1704</v>
      </c>
      <c r="O301">
        <v>1704</v>
      </c>
    </row>
    <row r="302" spans="1:15" hidden="1" x14ac:dyDescent="0.2">
      <c r="A302" s="958" t="s">
        <v>5770</v>
      </c>
      <c r="B302" t="s">
        <v>5761</v>
      </c>
      <c r="C302" s="959">
        <v>45593</v>
      </c>
      <c r="D302" t="s">
        <v>5003</v>
      </c>
      <c r="E302">
        <v>1434</v>
      </c>
      <c r="F302">
        <v>1434</v>
      </c>
      <c r="G302">
        <v>1434</v>
      </c>
      <c r="H302">
        <v>1434</v>
      </c>
      <c r="I302">
        <v>1434</v>
      </c>
      <c r="J302" t="s">
        <v>5414</v>
      </c>
      <c r="K302">
        <v>1434</v>
      </c>
      <c r="L302">
        <v>108.39</v>
      </c>
      <c r="M302">
        <v>155428.39000000001</v>
      </c>
      <c r="N302">
        <v>1434</v>
      </c>
      <c r="O302">
        <v>1434</v>
      </c>
    </row>
    <row r="303" spans="1:15" hidden="1" x14ac:dyDescent="0.2">
      <c r="A303" s="958" t="s">
        <v>6560</v>
      </c>
      <c r="B303" t="s">
        <v>5762</v>
      </c>
      <c r="C303" s="959">
        <v>45593</v>
      </c>
      <c r="D303" t="s">
        <v>6516</v>
      </c>
      <c r="E303">
        <v>16</v>
      </c>
      <c r="F303">
        <v>16</v>
      </c>
      <c r="G303">
        <v>4</v>
      </c>
      <c r="H303">
        <v>4</v>
      </c>
      <c r="I303">
        <v>4</v>
      </c>
      <c r="J303" t="s">
        <v>6790</v>
      </c>
      <c r="K303">
        <v>16</v>
      </c>
      <c r="L303">
        <v>6222.5</v>
      </c>
      <c r="M303">
        <v>99560</v>
      </c>
      <c r="N303">
        <v>16</v>
      </c>
      <c r="O303">
        <v>16</v>
      </c>
    </row>
    <row r="304" spans="1:15" hidden="1" x14ac:dyDescent="0.2">
      <c r="A304" s="958" t="s">
        <v>6561</v>
      </c>
      <c r="B304" t="s">
        <v>5762</v>
      </c>
      <c r="C304" s="959">
        <v>45593</v>
      </c>
      <c r="D304" t="s">
        <v>6517</v>
      </c>
      <c r="E304">
        <v>16</v>
      </c>
      <c r="F304">
        <v>16</v>
      </c>
      <c r="G304">
        <v>4</v>
      </c>
      <c r="H304">
        <v>4</v>
      </c>
      <c r="I304">
        <v>4</v>
      </c>
      <c r="J304" t="s">
        <v>6791</v>
      </c>
      <c r="K304">
        <v>16</v>
      </c>
      <c r="L304">
        <v>6222.5</v>
      </c>
      <c r="M304">
        <v>99560</v>
      </c>
      <c r="N304">
        <v>16</v>
      </c>
      <c r="O304">
        <v>16</v>
      </c>
    </row>
    <row r="305" spans="1:15" hidden="1" x14ac:dyDescent="0.2">
      <c r="A305" s="958" t="s">
        <v>6562</v>
      </c>
      <c r="B305" t="s">
        <v>5762</v>
      </c>
      <c r="C305" s="959">
        <v>45593</v>
      </c>
      <c r="D305" t="s">
        <v>6518</v>
      </c>
      <c r="E305">
        <v>16</v>
      </c>
      <c r="F305">
        <v>16</v>
      </c>
      <c r="G305">
        <v>4</v>
      </c>
      <c r="H305">
        <v>4</v>
      </c>
      <c r="I305">
        <v>4</v>
      </c>
      <c r="J305" t="s">
        <v>6792</v>
      </c>
      <c r="K305">
        <v>16</v>
      </c>
      <c r="L305">
        <v>4760</v>
      </c>
      <c r="M305">
        <v>76160</v>
      </c>
      <c r="N305">
        <v>16</v>
      </c>
      <c r="O305">
        <v>16</v>
      </c>
    </row>
    <row r="306" spans="1:15" hidden="1" x14ac:dyDescent="0.2">
      <c r="A306" s="958" t="s">
        <v>6563</v>
      </c>
      <c r="B306" t="s">
        <v>5762</v>
      </c>
      <c r="C306" s="959">
        <v>45593</v>
      </c>
      <c r="D306" t="s">
        <v>6519</v>
      </c>
      <c r="E306">
        <v>16</v>
      </c>
      <c r="F306">
        <v>16</v>
      </c>
      <c r="G306">
        <v>4</v>
      </c>
      <c r="H306">
        <v>4</v>
      </c>
      <c r="I306">
        <v>4</v>
      </c>
      <c r="J306" t="s">
        <v>6793</v>
      </c>
      <c r="K306">
        <v>16</v>
      </c>
      <c r="L306">
        <v>3297.5</v>
      </c>
      <c r="M306">
        <v>52760</v>
      </c>
      <c r="N306">
        <v>16</v>
      </c>
      <c r="O306">
        <v>16</v>
      </c>
    </row>
    <row r="307" spans="1:15" hidden="1" x14ac:dyDescent="0.2">
      <c r="A307" s="958" t="s">
        <v>6564</v>
      </c>
      <c r="B307" t="s">
        <v>5762</v>
      </c>
      <c r="C307" s="959">
        <v>45593</v>
      </c>
      <c r="D307" t="s">
        <v>6520</v>
      </c>
      <c r="E307">
        <v>16</v>
      </c>
      <c r="F307">
        <v>16</v>
      </c>
      <c r="G307">
        <v>4</v>
      </c>
      <c r="H307">
        <v>4</v>
      </c>
      <c r="I307">
        <v>4</v>
      </c>
      <c r="J307" t="s">
        <v>6794</v>
      </c>
      <c r="K307">
        <v>16</v>
      </c>
      <c r="L307">
        <v>1835</v>
      </c>
      <c r="M307">
        <v>29360</v>
      </c>
      <c r="N307">
        <v>16</v>
      </c>
      <c r="O307">
        <v>16</v>
      </c>
    </row>
    <row r="308" spans="1:15" hidden="1" x14ac:dyDescent="0.2">
      <c r="A308" s="958" t="s">
        <v>6565</v>
      </c>
      <c r="B308" t="s">
        <v>5763</v>
      </c>
      <c r="C308" s="959">
        <v>45593</v>
      </c>
      <c r="D308" t="s">
        <v>6515</v>
      </c>
      <c r="E308">
        <v>32</v>
      </c>
      <c r="F308">
        <v>32</v>
      </c>
      <c r="G308">
        <v>32</v>
      </c>
      <c r="H308">
        <v>32</v>
      </c>
      <c r="I308">
        <v>32</v>
      </c>
      <c r="J308" t="s">
        <v>5415</v>
      </c>
      <c r="K308">
        <v>32</v>
      </c>
      <c r="L308">
        <v>337.5</v>
      </c>
      <c r="M308">
        <v>10800</v>
      </c>
      <c r="N308">
        <v>32</v>
      </c>
      <c r="O308">
        <v>32</v>
      </c>
    </row>
    <row r="309" spans="1:15" hidden="1" x14ac:dyDescent="0.2">
      <c r="A309" s="958" t="s">
        <v>5771</v>
      </c>
      <c r="B309" t="s">
        <v>5763</v>
      </c>
      <c r="C309" s="959">
        <v>45593</v>
      </c>
      <c r="D309" t="s">
        <v>5141</v>
      </c>
      <c r="E309">
        <v>32</v>
      </c>
      <c r="F309">
        <v>32</v>
      </c>
      <c r="G309">
        <v>32</v>
      </c>
      <c r="H309">
        <v>32</v>
      </c>
      <c r="I309">
        <v>32</v>
      </c>
      <c r="J309" t="s">
        <v>5416</v>
      </c>
      <c r="K309">
        <v>32</v>
      </c>
      <c r="L309">
        <v>337.5</v>
      </c>
      <c r="M309">
        <v>10800</v>
      </c>
      <c r="N309">
        <v>32</v>
      </c>
      <c r="O309">
        <v>32</v>
      </c>
    </row>
    <row r="310" spans="1:15" hidden="1" x14ac:dyDescent="0.2">
      <c r="A310" s="958" t="s">
        <v>5772</v>
      </c>
      <c r="B310" t="s">
        <v>5763</v>
      </c>
      <c r="C310" s="959">
        <v>45593</v>
      </c>
      <c r="D310" t="s">
        <v>5142</v>
      </c>
      <c r="E310">
        <v>8</v>
      </c>
      <c r="F310">
        <v>8</v>
      </c>
      <c r="G310">
        <v>8</v>
      </c>
      <c r="H310">
        <v>8</v>
      </c>
      <c r="I310">
        <v>8</v>
      </c>
      <c r="J310" t="s">
        <v>5417</v>
      </c>
      <c r="K310">
        <v>8</v>
      </c>
      <c r="L310">
        <v>375</v>
      </c>
      <c r="M310">
        <v>3000</v>
      </c>
      <c r="N310">
        <v>8</v>
      </c>
      <c r="O310">
        <v>8</v>
      </c>
    </row>
    <row r="311" spans="1:15" hidden="1" x14ac:dyDescent="0.2">
      <c r="A311" s="958" t="s">
        <v>5773</v>
      </c>
      <c r="B311" t="s">
        <v>5763</v>
      </c>
      <c r="C311" s="959">
        <v>45593</v>
      </c>
      <c r="D311" t="s">
        <v>5143</v>
      </c>
      <c r="E311">
        <v>8</v>
      </c>
      <c r="F311">
        <v>8</v>
      </c>
      <c r="G311">
        <v>8</v>
      </c>
      <c r="H311">
        <v>8</v>
      </c>
      <c r="I311">
        <v>8</v>
      </c>
      <c r="J311" t="s">
        <v>5418</v>
      </c>
      <c r="K311">
        <v>8</v>
      </c>
      <c r="L311">
        <v>375</v>
      </c>
      <c r="M311">
        <v>3000</v>
      </c>
      <c r="N311">
        <v>8</v>
      </c>
      <c r="O311">
        <v>8</v>
      </c>
    </row>
    <row r="312" spans="1:15" hidden="1" x14ac:dyDescent="0.2">
      <c r="A312" s="958" t="s">
        <v>5774</v>
      </c>
      <c r="B312" t="s">
        <v>5763</v>
      </c>
      <c r="C312" s="959">
        <v>45593</v>
      </c>
      <c r="D312" t="s">
        <v>5144</v>
      </c>
      <c r="E312">
        <v>80</v>
      </c>
      <c r="F312">
        <v>80</v>
      </c>
      <c r="G312">
        <v>80</v>
      </c>
      <c r="H312">
        <v>80</v>
      </c>
      <c r="I312">
        <v>80</v>
      </c>
      <c r="J312" t="s">
        <v>5419</v>
      </c>
      <c r="K312">
        <v>80</v>
      </c>
      <c r="L312">
        <v>330</v>
      </c>
      <c r="M312">
        <v>26400</v>
      </c>
      <c r="N312">
        <v>80</v>
      </c>
      <c r="O312">
        <v>80</v>
      </c>
    </row>
    <row r="313" spans="1:15" hidden="1" x14ac:dyDescent="0.2">
      <c r="A313" s="958" t="s">
        <v>5775</v>
      </c>
      <c r="B313" t="s">
        <v>5763</v>
      </c>
      <c r="C313" s="959">
        <v>45593</v>
      </c>
      <c r="D313" t="s">
        <v>5145</v>
      </c>
      <c r="E313">
        <v>80</v>
      </c>
      <c r="F313">
        <v>80</v>
      </c>
      <c r="G313">
        <v>80</v>
      </c>
      <c r="H313">
        <v>80</v>
      </c>
      <c r="I313">
        <v>80</v>
      </c>
      <c r="J313" t="s">
        <v>5420</v>
      </c>
      <c r="K313">
        <v>80</v>
      </c>
      <c r="L313">
        <v>330</v>
      </c>
      <c r="M313">
        <v>26400</v>
      </c>
      <c r="N313">
        <v>80</v>
      </c>
      <c r="O313">
        <v>80</v>
      </c>
    </row>
    <row r="314" spans="1:15" hidden="1" x14ac:dyDescent="0.2">
      <c r="A314" s="958" t="s">
        <v>5776</v>
      </c>
      <c r="B314" t="s">
        <v>5764</v>
      </c>
      <c r="C314" s="959">
        <v>45593</v>
      </c>
      <c r="D314" t="s">
        <v>5047</v>
      </c>
      <c r="E314">
        <v>16</v>
      </c>
      <c r="J314" t="s">
        <v>5434</v>
      </c>
      <c r="K314">
        <v>16</v>
      </c>
      <c r="L314">
        <v>698.75</v>
      </c>
      <c r="M314">
        <v>11180</v>
      </c>
      <c r="N314">
        <v>16</v>
      </c>
      <c r="O314">
        <v>16</v>
      </c>
    </row>
    <row r="315" spans="1:15" hidden="1" x14ac:dyDescent="0.2">
      <c r="A315" s="958" t="s">
        <v>5777</v>
      </c>
      <c r="B315" t="s">
        <v>5764</v>
      </c>
      <c r="C315" s="959">
        <v>45593</v>
      </c>
      <c r="D315" t="s">
        <v>5049</v>
      </c>
      <c r="E315">
        <v>40</v>
      </c>
      <c r="J315" t="s">
        <v>5436</v>
      </c>
      <c r="K315">
        <v>40</v>
      </c>
      <c r="L315">
        <v>908.38</v>
      </c>
      <c r="M315">
        <v>36335</v>
      </c>
      <c r="N315">
        <v>40</v>
      </c>
      <c r="O315">
        <v>40</v>
      </c>
    </row>
    <row r="316" spans="1:15" hidden="1" x14ac:dyDescent="0.2">
      <c r="A316" s="958" t="s">
        <v>5778</v>
      </c>
      <c r="B316" t="s">
        <v>5764</v>
      </c>
      <c r="C316" s="959">
        <v>45593</v>
      </c>
      <c r="D316" t="s">
        <v>5044</v>
      </c>
      <c r="E316">
        <v>160</v>
      </c>
      <c r="J316" t="s">
        <v>5432</v>
      </c>
      <c r="K316">
        <v>160</v>
      </c>
      <c r="L316">
        <v>174.69</v>
      </c>
      <c r="M316">
        <v>27950</v>
      </c>
      <c r="N316">
        <v>160</v>
      </c>
      <c r="O316">
        <v>160</v>
      </c>
    </row>
    <row r="317" spans="1:15" hidden="1" x14ac:dyDescent="0.2">
      <c r="A317" s="958" t="s">
        <v>5779</v>
      </c>
      <c r="B317" t="s">
        <v>5764</v>
      </c>
      <c r="C317" s="959">
        <v>45593</v>
      </c>
      <c r="D317" t="s">
        <v>5051</v>
      </c>
      <c r="E317">
        <v>20</v>
      </c>
      <c r="J317" t="s">
        <v>5437</v>
      </c>
      <c r="K317">
        <v>20</v>
      </c>
      <c r="L317">
        <v>2096.25</v>
      </c>
      <c r="M317">
        <v>41925</v>
      </c>
      <c r="N317">
        <v>20</v>
      </c>
      <c r="O317">
        <v>20</v>
      </c>
    </row>
    <row r="318" spans="1:15" hidden="1" x14ac:dyDescent="0.2">
      <c r="A318" s="958" t="s">
        <v>5780</v>
      </c>
      <c r="B318" t="s">
        <v>5764</v>
      </c>
      <c r="C318" s="959">
        <v>45593</v>
      </c>
      <c r="D318" t="s">
        <v>5054</v>
      </c>
      <c r="E318">
        <v>8</v>
      </c>
      <c r="J318" t="s">
        <v>5440</v>
      </c>
      <c r="K318">
        <v>8</v>
      </c>
      <c r="L318">
        <v>2795</v>
      </c>
      <c r="M318">
        <v>22360</v>
      </c>
      <c r="N318">
        <v>8</v>
      </c>
      <c r="O318">
        <v>8</v>
      </c>
    </row>
    <row r="319" spans="1:15" hidden="1" x14ac:dyDescent="0.2">
      <c r="A319" s="958" t="s">
        <v>5781</v>
      </c>
      <c r="B319" t="s">
        <v>5764</v>
      </c>
      <c r="C319" s="959">
        <v>45593</v>
      </c>
      <c r="D319" t="s">
        <v>5055</v>
      </c>
      <c r="E319">
        <v>4</v>
      </c>
      <c r="J319" t="s">
        <v>5441</v>
      </c>
      <c r="K319">
        <v>4</v>
      </c>
      <c r="L319">
        <v>3493.75</v>
      </c>
      <c r="M319">
        <v>13975</v>
      </c>
      <c r="N319">
        <v>4</v>
      </c>
      <c r="O319">
        <v>4</v>
      </c>
    </row>
    <row r="320" spans="1:15" hidden="1" x14ac:dyDescent="0.2">
      <c r="A320" s="958" t="s">
        <v>5782</v>
      </c>
      <c r="B320" t="s">
        <v>5764</v>
      </c>
      <c r="C320" s="959">
        <v>45593</v>
      </c>
      <c r="D320" t="s">
        <v>5056</v>
      </c>
      <c r="E320">
        <v>60</v>
      </c>
      <c r="J320" t="s">
        <v>5442</v>
      </c>
      <c r="K320">
        <v>60</v>
      </c>
      <c r="L320">
        <v>3260.83</v>
      </c>
      <c r="M320">
        <v>195650</v>
      </c>
      <c r="N320">
        <v>60</v>
      </c>
      <c r="O320">
        <v>60</v>
      </c>
    </row>
    <row r="321" spans="1:15" hidden="1" x14ac:dyDescent="0.2">
      <c r="A321" s="958" t="s">
        <v>5783</v>
      </c>
      <c r="B321" t="s">
        <v>5764</v>
      </c>
      <c r="C321" s="959">
        <v>45593</v>
      </c>
      <c r="D321" t="s">
        <v>5058</v>
      </c>
      <c r="E321">
        <v>48</v>
      </c>
      <c r="J321" t="s">
        <v>5444</v>
      </c>
      <c r="K321">
        <v>48</v>
      </c>
      <c r="L321">
        <v>3377.29</v>
      </c>
      <c r="M321">
        <v>162110</v>
      </c>
      <c r="N321">
        <v>48</v>
      </c>
      <c r="O321">
        <v>48</v>
      </c>
    </row>
    <row r="322" spans="1:15" hidden="1" x14ac:dyDescent="0.2">
      <c r="A322" s="958" t="s">
        <v>5784</v>
      </c>
      <c r="B322" t="s">
        <v>5764</v>
      </c>
      <c r="C322" s="959">
        <v>45593</v>
      </c>
      <c r="D322" t="s">
        <v>5057</v>
      </c>
      <c r="E322">
        <v>4</v>
      </c>
      <c r="J322" t="s">
        <v>5443</v>
      </c>
      <c r="K322">
        <v>4</v>
      </c>
      <c r="L322">
        <v>3493.75</v>
      </c>
      <c r="M322">
        <v>13975</v>
      </c>
      <c r="N322">
        <v>4</v>
      </c>
      <c r="O322">
        <v>4</v>
      </c>
    </row>
    <row r="323" spans="1:15" hidden="1" x14ac:dyDescent="0.2">
      <c r="A323" s="958" t="s">
        <v>5785</v>
      </c>
      <c r="B323" t="s">
        <v>5764</v>
      </c>
      <c r="C323" s="959">
        <v>45593</v>
      </c>
      <c r="D323" t="s">
        <v>5053</v>
      </c>
      <c r="E323">
        <v>4</v>
      </c>
      <c r="J323" t="s">
        <v>5439</v>
      </c>
      <c r="K323">
        <v>4</v>
      </c>
      <c r="L323">
        <v>2795</v>
      </c>
      <c r="M323">
        <v>11180</v>
      </c>
      <c r="N323">
        <v>4</v>
      </c>
      <c r="O323">
        <v>4</v>
      </c>
    </row>
    <row r="324" spans="1:15" hidden="1" x14ac:dyDescent="0.2">
      <c r="A324" s="958" t="s">
        <v>5786</v>
      </c>
      <c r="B324" t="s">
        <v>5764</v>
      </c>
      <c r="C324" s="959">
        <v>45593</v>
      </c>
      <c r="D324" t="s">
        <v>5052</v>
      </c>
      <c r="E324">
        <v>4</v>
      </c>
      <c r="J324" t="s">
        <v>5438</v>
      </c>
      <c r="K324">
        <v>4</v>
      </c>
      <c r="L324">
        <v>3493.75</v>
      </c>
      <c r="M324">
        <v>13975</v>
      </c>
      <c r="N324">
        <v>4</v>
      </c>
      <c r="O324">
        <v>4</v>
      </c>
    </row>
    <row r="325" spans="1:15" hidden="1" x14ac:dyDescent="0.2">
      <c r="A325" s="958" t="s">
        <v>5787</v>
      </c>
      <c r="B325" t="s">
        <v>5764</v>
      </c>
      <c r="C325" s="959">
        <v>45593</v>
      </c>
      <c r="D325" t="s">
        <v>5048</v>
      </c>
      <c r="E325">
        <v>4</v>
      </c>
      <c r="J325" t="s">
        <v>5435</v>
      </c>
      <c r="K325">
        <v>4</v>
      </c>
      <c r="L325">
        <v>698.75</v>
      </c>
      <c r="M325">
        <v>2795</v>
      </c>
      <c r="N325">
        <v>4</v>
      </c>
      <c r="O325">
        <v>4</v>
      </c>
    </row>
    <row r="326" spans="1:15" hidden="1" x14ac:dyDescent="0.2">
      <c r="A326" s="958" t="s">
        <v>5788</v>
      </c>
      <c r="B326" t="s">
        <v>5764</v>
      </c>
      <c r="C326" s="959">
        <v>45593</v>
      </c>
      <c r="D326" t="s">
        <v>5045</v>
      </c>
      <c r="E326">
        <v>12</v>
      </c>
      <c r="J326" t="s">
        <v>5433</v>
      </c>
      <c r="K326">
        <v>12</v>
      </c>
      <c r="L326">
        <v>465.83</v>
      </c>
      <c r="M326">
        <v>5590</v>
      </c>
      <c r="N326">
        <v>12</v>
      </c>
      <c r="O326">
        <v>12</v>
      </c>
    </row>
    <row r="327" spans="1:15" hidden="1" x14ac:dyDescent="0.2">
      <c r="A327" s="958" t="s">
        <v>6566</v>
      </c>
      <c r="B327" t="s">
        <v>5728</v>
      </c>
      <c r="C327" s="959">
        <v>45593</v>
      </c>
      <c r="D327" t="s">
        <v>6513</v>
      </c>
      <c r="E327">
        <v>348</v>
      </c>
      <c r="F327">
        <v>348</v>
      </c>
      <c r="G327">
        <v>348</v>
      </c>
      <c r="H327">
        <v>348</v>
      </c>
      <c r="I327">
        <v>348</v>
      </c>
      <c r="J327" t="s">
        <v>6537</v>
      </c>
      <c r="K327">
        <v>348</v>
      </c>
      <c r="L327">
        <v>562.17999999999995</v>
      </c>
      <c r="M327">
        <v>195640</v>
      </c>
      <c r="N327">
        <v>348</v>
      </c>
      <c r="O327">
        <v>348</v>
      </c>
    </row>
    <row r="328" spans="1:15" hidden="1" x14ac:dyDescent="0.2">
      <c r="A328" s="958" t="s">
        <v>5793</v>
      </c>
      <c r="B328" t="s">
        <v>5791</v>
      </c>
      <c r="C328" s="959">
        <v>45594</v>
      </c>
      <c r="D328" t="s">
        <v>5790</v>
      </c>
      <c r="E328">
        <v>270</v>
      </c>
      <c r="F328">
        <v>270</v>
      </c>
      <c r="G328">
        <v>270</v>
      </c>
      <c r="H328">
        <v>270</v>
      </c>
      <c r="I328">
        <v>270</v>
      </c>
      <c r="J328" t="s">
        <v>5792</v>
      </c>
      <c r="K328">
        <v>270</v>
      </c>
      <c r="L328">
        <v>51.89</v>
      </c>
      <c r="M328">
        <v>14010.3</v>
      </c>
      <c r="N328">
        <v>270</v>
      </c>
      <c r="O328">
        <v>270</v>
      </c>
    </row>
    <row r="329" spans="1:15" hidden="1" x14ac:dyDescent="0.2">
      <c r="A329" s="958" t="s">
        <v>5801</v>
      </c>
      <c r="B329" t="s">
        <v>5798</v>
      </c>
      <c r="C329" s="959">
        <v>45597</v>
      </c>
      <c r="D329" t="s">
        <v>5164</v>
      </c>
      <c r="E329">
        <v>42.35</v>
      </c>
      <c r="F329">
        <v>42.35</v>
      </c>
      <c r="G329">
        <v>40.75</v>
      </c>
      <c r="H329">
        <v>40.75</v>
      </c>
      <c r="I329">
        <v>40.75</v>
      </c>
      <c r="J329" t="s">
        <v>5466</v>
      </c>
      <c r="K329">
        <v>42.35</v>
      </c>
      <c r="L329">
        <v>510.04</v>
      </c>
      <c r="M329">
        <v>21600.19</v>
      </c>
      <c r="N329">
        <v>40.75</v>
      </c>
      <c r="O329">
        <v>36.299999999999997</v>
      </c>
    </row>
    <row r="330" spans="1:15" hidden="1" x14ac:dyDescent="0.2">
      <c r="A330" s="958" t="s">
        <v>5802</v>
      </c>
      <c r="B330" t="s">
        <v>5799</v>
      </c>
      <c r="C330" s="959">
        <v>45597</v>
      </c>
      <c r="D330" t="s">
        <v>4567</v>
      </c>
      <c r="E330">
        <v>288</v>
      </c>
      <c r="F330">
        <v>288</v>
      </c>
      <c r="G330">
        <v>288</v>
      </c>
      <c r="H330">
        <v>288</v>
      </c>
      <c r="I330">
        <v>288</v>
      </c>
      <c r="J330" t="s">
        <v>5394</v>
      </c>
      <c r="K330">
        <v>288</v>
      </c>
      <c r="L330">
        <v>126.48</v>
      </c>
      <c r="M330">
        <v>36426.239999999998</v>
      </c>
      <c r="N330">
        <v>288</v>
      </c>
      <c r="O330">
        <v>288</v>
      </c>
    </row>
    <row r="331" spans="1:15" hidden="1" x14ac:dyDescent="0.2">
      <c r="A331" s="958" t="s">
        <v>5806</v>
      </c>
      <c r="B331" t="s">
        <v>5805</v>
      </c>
      <c r="C331" s="959">
        <v>45598</v>
      </c>
      <c r="D331" t="s">
        <v>5430</v>
      </c>
      <c r="E331">
        <v>240</v>
      </c>
      <c r="F331">
        <v>240</v>
      </c>
      <c r="G331">
        <v>240</v>
      </c>
      <c r="H331">
        <v>240</v>
      </c>
      <c r="I331">
        <v>240</v>
      </c>
      <c r="J331" t="s">
        <v>5431</v>
      </c>
      <c r="K331">
        <v>240</v>
      </c>
      <c r="L331">
        <v>195.83</v>
      </c>
      <c r="M331">
        <v>47000</v>
      </c>
      <c r="N331">
        <v>240</v>
      </c>
      <c r="O331">
        <v>240</v>
      </c>
    </row>
    <row r="332" spans="1:15" hidden="1" x14ac:dyDescent="0.2">
      <c r="A332" s="958" t="s">
        <v>5820</v>
      </c>
      <c r="B332" t="s">
        <v>5819</v>
      </c>
      <c r="C332" s="959">
        <v>45598</v>
      </c>
      <c r="D332" t="s">
        <v>117</v>
      </c>
      <c r="E332">
        <v>540</v>
      </c>
      <c r="J332" t="s">
        <v>5424</v>
      </c>
      <c r="K332">
        <v>540</v>
      </c>
      <c r="L332">
        <v>78.900000000000006</v>
      </c>
      <c r="M332">
        <v>42604.38</v>
      </c>
      <c r="N332">
        <v>540</v>
      </c>
      <c r="O332">
        <v>540</v>
      </c>
    </row>
    <row r="333" spans="1:15" hidden="1" x14ac:dyDescent="0.2">
      <c r="A333" s="958" t="s">
        <v>5821</v>
      </c>
      <c r="B333" t="s">
        <v>5819</v>
      </c>
      <c r="C333" s="959">
        <v>45598</v>
      </c>
      <c r="D333" t="s">
        <v>3502</v>
      </c>
      <c r="E333">
        <v>655</v>
      </c>
      <c r="J333" t="s">
        <v>5377</v>
      </c>
      <c r="K333">
        <v>655</v>
      </c>
      <c r="L333">
        <v>60.15</v>
      </c>
      <c r="M333">
        <v>39398.910000000003</v>
      </c>
      <c r="N333">
        <v>655</v>
      </c>
      <c r="O333">
        <v>655</v>
      </c>
    </row>
    <row r="334" spans="1:15" hidden="1" x14ac:dyDescent="0.2">
      <c r="A334" s="958" t="s">
        <v>5822</v>
      </c>
      <c r="B334" t="s">
        <v>5819</v>
      </c>
      <c r="C334" s="959">
        <v>45598</v>
      </c>
      <c r="D334" t="s">
        <v>299</v>
      </c>
      <c r="E334">
        <v>1435</v>
      </c>
      <c r="F334">
        <v>595</v>
      </c>
      <c r="G334">
        <v>200</v>
      </c>
      <c r="H334">
        <v>400</v>
      </c>
      <c r="I334">
        <v>200</v>
      </c>
      <c r="J334" t="s">
        <v>5450</v>
      </c>
      <c r="K334">
        <v>1435</v>
      </c>
      <c r="L334">
        <v>62.84</v>
      </c>
      <c r="M334">
        <v>90168.94</v>
      </c>
      <c r="N334">
        <v>1830</v>
      </c>
      <c r="O334">
        <v>1425</v>
      </c>
    </row>
    <row r="335" spans="1:15" hidden="1" x14ac:dyDescent="0.2">
      <c r="A335" s="958" t="s">
        <v>5829</v>
      </c>
      <c r="B335" t="s">
        <v>5828</v>
      </c>
      <c r="C335" s="959">
        <v>45603</v>
      </c>
      <c r="D335" t="s">
        <v>5083</v>
      </c>
      <c r="E335">
        <v>328</v>
      </c>
      <c r="F335">
        <v>328</v>
      </c>
      <c r="G335">
        <v>328</v>
      </c>
      <c r="H335">
        <v>328</v>
      </c>
      <c r="I335">
        <v>328</v>
      </c>
      <c r="J335" t="s">
        <v>5446</v>
      </c>
      <c r="K335">
        <v>328</v>
      </c>
      <c r="L335">
        <v>668.6</v>
      </c>
      <c r="M335">
        <v>219300</v>
      </c>
      <c r="N335">
        <v>328</v>
      </c>
      <c r="O335">
        <v>328</v>
      </c>
    </row>
    <row r="336" spans="1:15" hidden="1" x14ac:dyDescent="0.2">
      <c r="A336" s="958" t="s">
        <v>5833</v>
      </c>
      <c r="B336" t="s">
        <v>5832</v>
      </c>
      <c r="C336" s="959">
        <v>45607</v>
      </c>
      <c r="D336" t="s">
        <v>5367</v>
      </c>
      <c r="E336">
        <v>3552</v>
      </c>
      <c r="F336">
        <v>3552</v>
      </c>
      <c r="G336">
        <v>3552</v>
      </c>
      <c r="H336">
        <v>3552</v>
      </c>
      <c r="I336">
        <v>3552</v>
      </c>
      <c r="J336" t="s">
        <v>5368</v>
      </c>
      <c r="K336">
        <v>3552</v>
      </c>
      <c r="L336">
        <v>33.17</v>
      </c>
      <c r="M336">
        <v>117802.08</v>
      </c>
      <c r="N336">
        <v>3552</v>
      </c>
      <c r="O336">
        <v>3552</v>
      </c>
    </row>
    <row r="337" spans="1:15" hidden="1" x14ac:dyDescent="0.2">
      <c r="A337" s="958" t="s">
        <v>5841</v>
      </c>
      <c r="B337" t="s">
        <v>5837</v>
      </c>
      <c r="C337" s="959">
        <v>45607</v>
      </c>
      <c r="D337" t="s">
        <v>4785</v>
      </c>
      <c r="E337">
        <v>1854</v>
      </c>
      <c r="F337">
        <v>1854</v>
      </c>
      <c r="G337">
        <v>1854</v>
      </c>
      <c r="H337">
        <v>1854</v>
      </c>
      <c r="I337">
        <v>1854</v>
      </c>
      <c r="J337" t="s">
        <v>5384</v>
      </c>
      <c r="K337">
        <v>1854</v>
      </c>
      <c r="L337">
        <v>190.65</v>
      </c>
      <c r="M337">
        <v>353455.83</v>
      </c>
      <c r="N337">
        <v>1854</v>
      </c>
      <c r="O337">
        <v>1848</v>
      </c>
    </row>
    <row r="338" spans="1:15" hidden="1" x14ac:dyDescent="0.2">
      <c r="A338" s="958" t="s">
        <v>5842</v>
      </c>
      <c r="B338" t="s">
        <v>5838</v>
      </c>
      <c r="C338" s="959">
        <v>45607</v>
      </c>
      <c r="D338" t="s">
        <v>3802</v>
      </c>
      <c r="E338">
        <v>2103</v>
      </c>
      <c r="F338">
        <v>2103</v>
      </c>
      <c r="G338">
        <v>2103</v>
      </c>
      <c r="H338">
        <v>2103</v>
      </c>
      <c r="I338">
        <v>2103</v>
      </c>
      <c r="J338" t="s">
        <v>5839</v>
      </c>
      <c r="K338">
        <v>2103</v>
      </c>
      <c r="L338">
        <v>44.32</v>
      </c>
      <c r="M338">
        <v>93201.81</v>
      </c>
      <c r="N338">
        <v>2103</v>
      </c>
      <c r="O338">
        <v>2103</v>
      </c>
    </row>
    <row r="339" spans="1:15" hidden="1" x14ac:dyDescent="0.2">
      <c r="A339" s="958" t="s">
        <v>5843</v>
      </c>
      <c r="B339" t="s">
        <v>5840</v>
      </c>
      <c r="C339" s="959">
        <v>45607</v>
      </c>
      <c r="D339" t="s">
        <v>2841</v>
      </c>
      <c r="E339">
        <v>2759.65</v>
      </c>
      <c r="F339">
        <v>2759.65</v>
      </c>
      <c r="G339">
        <v>2759.65</v>
      </c>
      <c r="H339">
        <v>2759.65</v>
      </c>
      <c r="I339">
        <v>2759.65</v>
      </c>
      <c r="J339" t="s">
        <v>5486</v>
      </c>
      <c r="K339">
        <v>2759.65</v>
      </c>
      <c r="L339">
        <v>49.23</v>
      </c>
      <c r="M339">
        <v>135868.60999999999</v>
      </c>
      <c r="N339">
        <v>2759.65</v>
      </c>
      <c r="O339">
        <v>2759.65</v>
      </c>
    </row>
    <row r="340" spans="1:15" hidden="1" x14ac:dyDescent="0.2">
      <c r="A340" s="958" t="s">
        <v>5848</v>
      </c>
      <c r="B340" t="s">
        <v>5845</v>
      </c>
      <c r="C340" s="959">
        <v>45607</v>
      </c>
      <c r="D340" t="s">
        <v>5320</v>
      </c>
      <c r="E340">
        <v>316.10000000000002</v>
      </c>
      <c r="F340">
        <v>316.10000000000002</v>
      </c>
      <c r="G340">
        <v>316.10000000000002</v>
      </c>
      <c r="H340">
        <v>316.10000000000002</v>
      </c>
      <c r="I340">
        <v>316.10000000000002</v>
      </c>
      <c r="J340" t="s">
        <v>5536</v>
      </c>
      <c r="K340">
        <v>316.10000000000002</v>
      </c>
      <c r="L340">
        <v>313.13</v>
      </c>
      <c r="M340">
        <v>98980.71</v>
      </c>
      <c r="N340">
        <v>316.10000000000002</v>
      </c>
      <c r="O340">
        <v>316.10000000000002</v>
      </c>
    </row>
    <row r="341" spans="1:15" hidden="1" x14ac:dyDescent="0.2">
      <c r="A341" s="958" t="s">
        <v>5849</v>
      </c>
      <c r="B341" t="s">
        <v>5846</v>
      </c>
      <c r="C341" s="959">
        <v>45607</v>
      </c>
      <c r="D341" t="s">
        <v>4582</v>
      </c>
      <c r="E341">
        <v>3318</v>
      </c>
      <c r="F341">
        <v>3318</v>
      </c>
      <c r="G341">
        <v>3318</v>
      </c>
      <c r="H341">
        <v>3318</v>
      </c>
      <c r="I341">
        <v>3318</v>
      </c>
      <c r="J341" t="s">
        <v>5393</v>
      </c>
      <c r="K341">
        <v>3318</v>
      </c>
      <c r="L341">
        <v>39.9</v>
      </c>
      <c r="M341">
        <v>132371.60999999999</v>
      </c>
      <c r="N341">
        <v>3318</v>
      </c>
      <c r="O341">
        <v>3264</v>
      </c>
    </row>
    <row r="342" spans="1:15" hidden="1" x14ac:dyDescent="0.2">
      <c r="A342" s="958" t="s">
        <v>5850</v>
      </c>
      <c r="B342" t="s">
        <v>5846</v>
      </c>
      <c r="C342" s="959">
        <v>45607</v>
      </c>
      <c r="D342" t="s">
        <v>4378</v>
      </c>
      <c r="E342">
        <v>3276</v>
      </c>
      <c r="F342">
        <v>3276</v>
      </c>
      <c r="G342">
        <v>3276</v>
      </c>
      <c r="H342">
        <v>3276</v>
      </c>
      <c r="I342">
        <v>3276</v>
      </c>
      <c r="J342" t="s">
        <v>5076</v>
      </c>
      <c r="K342">
        <v>3276</v>
      </c>
      <c r="L342">
        <v>99.42</v>
      </c>
      <c r="M342">
        <v>325704.83</v>
      </c>
      <c r="N342">
        <v>3276</v>
      </c>
      <c r="O342">
        <v>3270</v>
      </c>
    </row>
    <row r="343" spans="1:15" hidden="1" x14ac:dyDescent="0.2">
      <c r="A343" s="958" t="s">
        <v>5851</v>
      </c>
      <c r="B343" t="s">
        <v>5846</v>
      </c>
      <c r="C343" s="959">
        <v>45607</v>
      </c>
      <c r="D343" t="s">
        <v>5091</v>
      </c>
      <c r="E343">
        <v>756</v>
      </c>
      <c r="F343">
        <v>756</v>
      </c>
      <c r="G343">
        <v>756</v>
      </c>
      <c r="H343">
        <v>756</v>
      </c>
      <c r="I343">
        <v>756</v>
      </c>
      <c r="J343" t="s">
        <v>5411</v>
      </c>
      <c r="K343">
        <v>756</v>
      </c>
      <c r="L343">
        <v>74.38</v>
      </c>
      <c r="M343">
        <v>56230.15</v>
      </c>
      <c r="N343">
        <v>756</v>
      </c>
      <c r="O343">
        <v>756</v>
      </c>
    </row>
    <row r="344" spans="1:15" hidden="1" x14ac:dyDescent="0.2">
      <c r="A344" s="958" t="s">
        <v>5852</v>
      </c>
      <c r="B344" t="s">
        <v>5847</v>
      </c>
      <c r="C344" s="959">
        <v>45607</v>
      </c>
      <c r="D344" t="s">
        <v>5253</v>
      </c>
      <c r="E344">
        <v>1052.7</v>
      </c>
      <c r="F344">
        <v>1052.7</v>
      </c>
      <c r="G344">
        <v>1052.7</v>
      </c>
      <c r="H344">
        <v>1052.7</v>
      </c>
      <c r="I344">
        <v>1052.7</v>
      </c>
      <c r="J344" t="s">
        <v>6795</v>
      </c>
      <c r="K344">
        <v>1052.7</v>
      </c>
      <c r="L344">
        <v>98.12</v>
      </c>
      <c r="M344">
        <v>103290.92</v>
      </c>
      <c r="N344">
        <v>1052.7</v>
      </c>
      <c r="O344">
        <v>1052.7</v>
      </c>
    </row>
    <row r="345" spans="1:15" hidden="1" x14ac:dyDescent="0.2">
      <c r="A345" s="958" t="s">
        <v>5858</v>
      </c>
      <c r="B345" t="s">
        <v>5857</v>
      </c>
      <c r="C345" s="959">
        <v>45608</v>
      </c>
      <c r="D345" t="s">
        <v>5216</v>
      </c>
      <c r="E345">
        <v>246</v>
      </c>
      <c r="F345">
        <v>246</v>
      </c>
      <c r="G345">
        <v>246</v>
      </c>
      <c r="H345">
        <v>246</v>
      </c>
      <c r="I345">
        <v>246</v>
      </c>
      <c r="J345" t="s">
        <v>5392</v>
      </c>
      <c r="K345">
        <v>246</v>
      </c>
      <c r="L345">
        <v>255.17</v>
      </c>
      <c r="M345">
        <v>62771.82</v>
      </c>
      <c r="N345">
        <v>246</v>
      </c>
      <c r="O345">
        <v>654</v>
      </c>
    </row>
    <row r="346" spans="1:15" hidden="1" x14ac:dyDescent="0.2">
      <c r="A346" s="958" t="s">
        <v>5868</v>
      </c>
      <c r="B346" t="s">
        <v>5857</v>
      </c>
      <c r="C346" s="959">
        <v>45608</v>
      </c>
      <c r="D346" t="s">
        <v>5862</v>
      </c>
      <c r="E346">
        <v>180</v>
      </c>
      <c r="F346">
        <v>180</v>
      </c>
      <c r="G346">
        <v>180</v>
      </c>
      <c r="H346">
        <v>180</v>
      </c>
      <c r="I346">
        <v>180</v>
      </c>
      <c r="J346" t="s">
        <v>5831</v>
      </c>
      <c r="K346">
        <v>180</v>
      </c>
      <c r="L346">
        <v>143.06</v>
      </c>
      <c r="M346">
        <v>25749.9</v>
      </c>
      <c r="N346">
        <v>180</v>
      </c>
      <c r="O346">
        <v>180</v>
      </c>
    </row>
    <row r="347" spans="1:15" hidden="1" x14ac:dyDescent="0.2">
      <c r="A347" s="958" t="s">
        <v>5859</v>
      </c>
      <c r="B347" t="s">
        <v>5857</v>
      </c>
      <c r="C347" s="959">
        <v>45608</v>
      </c>
      <c r="D347" t="s">
        <v>5281</v>
      </c>
      <c r="E347">
        <v>408</v>
      </c>
      <c r="F347">
        <v>408</v>
      </c>
      <c r="G347">
        <v>408</v>
      </c>
      <c r="H347">
        <v>408</v>
      </c>
      <c r="I347">
        <v>408</v>
      </c>
      <c r="J347" t="s">
        <v>5392</v>
      </c>
      <c r="K347">
        <v>408</v>
      </c>
      <c r="L347">
        <v>254.66</v>
      </c>
      <c r="M347">
        <v>103901.28</v>
      </c>
      <c r="N347">
        <v>408</v>
      </c>
      <c r="O347">
        <v>654</v>
      </c>
    </row>
    <row r="348" spans="1:15" hidden="1" x14ac:dyDescent="0.2">
      <c r="A348" s="958" t="s">
        <v>5869</v>
      </c>
      <c r="B348" t="s">
        <v>5863</v>
      </c>
      <c r="C348" s="959">
        <v>45611</v>
      </c>
      <c r="D348" t="s">
        <v>4378</v>
      </c>
      <c r="E348">
        <v>1512</v>
      </c>
      <c r="F348">
        <v>1512</v>
      </c>
      <c r="G348">
        <v>1512</v>
      </c>
      <c r="H348">
        <v>1512</v>
      </c>
      <c r="I348">
        <v>1512</v>
      </c>
      <c r="J348" t="s">
        <v>5547</v>
      </c>
      <c r="K348">
        <v>1512</v>
      </c>
      <c r="N348">
        <v>1512</v>
      </c>
      <c r="O348">
        <v>1506</v>
      </c>
    </row>
    <row r="349" spans="1:15" hidden="1" x14ac:dyDescent="0.2">
      <c r="A349" s="958" t="s">
        <v>5870</v>
      </c>
      <c r="B349" t="s">
        <v>5863</v>
      </c>
      <c r="C349" s="959">
        <v>45611</v>
      </c>
      <c r="D349" t="s">
        <v>4998</v>
      </c>
      <c r="E349">
        <v>726</v>
      </c>
      <c r="F349">
        <v>726</v>
      </c>
      <c r="G349">
        <v>726</v>
      </c>
      <c r="H349">
        <v>726</v>
      </c>
      <c r="I349">
        <v>726</v>
      </c>
      <c r="J349" t="s">
        <v>5864</v>
      </c>
      <c r="K349">
        <v>726</v>
      </c>
      <c r="N349">
        <v>726</v>
      </c>
      <c r="O349">
        <v>726</v>
      </c>
    </row>
    <row r="350" spans="1:15" hidden="1" x14ac:dyDescent="0.2">
      <c r="A350" s="958" t="s">
        <v>5871</v>
      </c>
      <c r="B350" t="s">
        <v>5863</v>
      </c>
      <c r="C350" s="959">
        <v>45611</v>
      </c>
      <c r="D350" t="s">
        <v>5091</v>
      </c>
      <c r="E350">
        <v>864</v>
      </c>
      <c r="F350">
        <v>864</v>
      </c>
      <c r="G350">
        <v>864</v>
      </c>
      <c r="H350">
        <v>864</v>
      </c>
      <c r="I350">
        <v>864</v>
      </c>
      <c r="J350" t="s">
        <v>5220</v>
      </c>
      <c r="K350">
        <v>864</v>
      </c>
      <c r="N350">
        <v>864</v>
      </c>
      <c r="O350">
        <v>864</v>
      </c>
    </row>
    <row r="351" spans="1:15" hidden="1" x14ac:dyDescent="0.2">
      <c r="A351" s="958" t="s">
        <v>5872</v>
      </c>
      <c r="B351" t="s">
        <v>5865</v>
      </c>
      <c r="C351" s="959">
        <v>45611</v>
      </c>
      <c r="D351" t="s">
        <v>5367</v>
      </c>
      <c r="E351">
        <v>16830</v>
      </c>
      <c r="F351">
        <v>16830</v>
      </c>
      <c r="G351">
        <v>16830</v>
      </c>
      <c r="H351">
        <v>16830</v>
      </c>
      <c r="I351">
        <v>16830</v>
      </c>
      <c r="J351" t="s">
        <v>5368</v>
      </c>
      <c r="K351">
        <v>16830</v>
      </c>
      <c r="N351">
        <v>16830</v>
      </c>
      <c r="O351">
        <v>16788</v>
      </c>
    </row>
    <row r="352" spans="1:15" hidden="1" x14ac:dyDescent="0.2">
      <c r="A352" s="958" t="s">
        <v>5873</v>
      </c>
      <c r="B352" t="s">
        <v>5865</v>
      </c>
      <c r="C352" s="959">
        <v>45611</v>
      </c>
      <c r="D352" t="s">
        <v>5397</v>
      </c>
      <c r="E352">
        <v>2604</v>
      </c>
      <c r="F352">
        <v>2604</v>
      </c>
      <c r="G352">
        <v>2604</v>
      </c>
      <c r="H352">
        <v>2604</v>
      </c>
      <c r="I352">
        <v>2604</v>
      </c>
      <c r="J352" t="s">
        <v>5398</v>
      </c>
      <c r="K352">
        <v>2604</v>
      </c>
      <c r="N352">
        <v>2604</v>
      </c>
      <c r="O352">
        <v>2268</v>
      </c>
    </row>
    <row r="353" spans="1:15" hidden="1" x14ac:dyDescent="0.2">
      <c r="A353" s="958" t="s">
        <v>5874</v>
      </c>
      <c r="B353" t="s">
        <v>5865</v>
      </c>
      <c r="C353" s="959">
        <v>45611</v>
      </c>
      <c r="D353" t="s">
        <v>5388</v>
      </c>
      <c r="E353">
        <v>1620</v>
      </c>
      <c r="F353">
        <v>1620</v>
      </c>
      <c r="G353">
        <v>1620</v>
      </c>
      <c r="H353">
        <v>1620</v>
      </c>
      <c r="I353">
        <v>1620</v>
      </c>
      <c r="J353" t="s">
        <v>5389</v>
      </c>
      <c r="K353">
        <v>1620</v>
      </c>
      <c r="N353">
        <v>1620</v>
      </c>
      <c r="O353">
        <v>1620</v>
      </c>
    </row>
    <row r="354" spans="1:15" hidden="1" x14ac:dyDescent="0.2">
      <c r="A354" s="958" t="s">
        <v>5875</v>
      </c>
      <c r="B354" t="s">
        <v>5865</v>
      </c>
      <c r="C354" s="959">
        <v>45611</v>
      </c>
      <c r="D354" t="s">
        <v>5403</v>
      </c>
      <c r="E354">
        <v>5580</v>
      </c>
      <c r="F354">
        <v>5580</v>
      </c>
      <c r="G354">
        <v>5580</v>
      </c>
      <c r="H354">
        <v>5580</v>
      </c>
      <c r="I354">
        <v>5580</v>
      </c>
      <c r="J354" t="s">
        <v>5404</v>
      </c>
      <c r="K354">
        <v>5580</v>
      </c>
      <c r="N354">
        <v>5580</v>
      </c>
      <c r="O354">
        <v>5532</v>
      </c>
    </row>
    <row r="355" spans="1:15" hidden="1" x14ac:dyDescent="0.2">
      <c r="A355" s="958" t="s">
        <v>5876</v>
      </c>
      <c r="B355" t="s">
        <v>5865</v>
      </c>
      <c r="C355" s="959">
        <v>45611</v>
      </c>
      <c r="D355" t="s">
        <v>5425</v>
      </c>
      <c r="E355">
        <v>1278</v>
      </c>
      <c r="F355">
        <v>1278</v>
      </c>
      <c r="G355">
        <v>1278</v>
      </c>
      <c r="H355">
        <v>1278</v>
      </c>
      <c r="I355">
        <v>1278</v>
      </c>
      <c r="J355" t="s">
        <v>5426</v>
      </c>
      <c r="K355">
        <v>1278</v>
      </c>
      <c r="N355">
        <v>1278</v>
      </c>
      <c r="O355">
        <v>1278</v>
      </c>
    </row>
    <row r="356" spans="1:15" hidden="1" x14ac:dyDescent="0.2">
      <c r="A356" s="958" t="s">
        <v>5877</v>
      </c>
      <c r="B356" t="s">
        <v>5865</v>
      </c>
      <c r="C356" s="959">
        <v>45611</v>
      </c>
      <c r="D356" t="s">
        <v>5405</v>
      </c>
      <c r="E356">
        <v>2784</v>
      </c>
      <c r="F356">
        <v>2784</v>
      </c>
      <c r="G356">
        <v>2784</v>
      </c>
      <c r="H356">
        <v>2784</v>
      </c>
      <c r="I356">
        <v>2784</v>
      </c>
      <c r="J356" t="s">
        <v>6018</v>
      </c>
      <c r="K356">
        <v>2784</v>
      </c>
      <c r="N356">
        <v>2784</v>
      </c>
      <c r="O356">
        <v>2784</v>
      </c>
    </row>
    <row r="357" spans="1:15" hidden="1" x14ac:dyDescent="0.2">
      <c r="A357" s="958" t="s">
        <v>5878</v>
      </c>
      <c r="B357" t="s">
        <v>5865</v>
      </c>
      <c r="C357" s="959">
        <v>45611</v>
      </c>
      <c r="D357" t="s">
        <v>5390</v>
      </c>
      <c r="E357">
        <v>2520</v>
      </c>
      <c r="F357">
        <v>2520</v>
      </c>
      <c r="G357">
        <v>2520</v>
      </c>
      <c r="H357">
        <v>2520</v>
      </c>
      <c r="I357">
        <v>2520</v>
      </c>
      <c r="J357" t="s">
        <v>6007</v>
      </c>
      <c r="K357">
        <v>2520</v>
      </c>
      <c r="N357">
        <v>2520</v>
      </c>
      <c r="O357">
        <v>2520</v>
      </c>
    </row>
    <row r="358" spans="1:15" hidden="1" x14ac:dyDescent="0.2">
      <c r="A358" s="958" t="s">
        <v>5879</v>
      </c>
      <c r="B358" t="s">
        <v>5865</v>
      </c>
      <c r="C358" s="959">
        <v>45611</v>
      </c>
      <c r="D358" t="s">
        <v>5427</v>
      </c>
      <c r="E358">
        <v>600</v>
      </c>
      <c r="F358">
        <v>600</v>
      </c>
      <c r="G358">
        <v>600</v>
      </c>
      <c r="H358">
        <v>600</v>
      </c>
      <c r="I358">
        <v>600</v>
      </c>
      <c r="J358" t="s">
        <v>5428</v>
      </c>
      <c r="K358">
        <v>600</v>
      </c>
      <c r="N358">
        <v>600</v>
      </c>
      <c r="O358">
        <v>600</v>
      </c>
    </row>
    <row r="359" spans="1:15" hidden="1" x14ac:dyDescent="0.2">
      <c r="A359" s="958" t="s">
        <v>5880</v>
      </c>
      <c r="B359" t="s">
        <v>5865</v>
      </c>
      <c r="C359" s="959">
        <v>45611</v>
      </c>
      <c r="D359" t="s">
        <v>5386</v>
      </c>
      <c r="E359">
        <v>1230</v>
      </c>
      <c r="F359">
        <v>1230</v>
      </c>
      <c r="G359">
        <v>1230</v>
      </c>
      <c r="H359">
        <v>1230</v>
      </c>
      <c r="I359">
        <v>1230</v>
      </c>
      <c r="J359" t="s">
        <v>5387</v>
      </c>
      <c r="K359">
        <v>1230</v>
      </c>
      <c r="N359">
        <v>1230</v>
      </c>
      <c r="O359">
        <v>1230</v>
      </c>
    </row>
    <row r="360" spans="1:15" hidden="1" x14ac:dyDescent="0.2">
      <c r="A360" s="958" t="s">
        <v>5928</v>
      </c>
      <c r="B360" t="s">
        <v>5929</v>
      </c>
      <c r="C360" s="959">
        <v>45611</v>
      </c>
      <c r="D360" t="s">
        <v>5881</v>
      </c>
      <c r="E360">
        <v>459</v>
      </c>
      <c r="F360">
        <v>459</v>
      </c>
      <c r="G360">
        <v>459</v>
      </c>
      <c r="H360">
        <v>459</v>
      </c>
      <c r="I360">
        <v>459</v>
      </c>
      <c r="J360" t="s">
        <v>5930</v>
      </c>
      <c r="K360">
        <v>459</v>
      </c>
      <c r="L360">
        <v>104.8</v>
      </c>
      <c r="M360">
        <v>48103.199999999997</v>
      </c>
      <c r="N360">
        <v>459</v>
      </c>
      <c r="O360">
        <v>459</v>
      </c>
    </row>
    <row r="361" spans="1:15" hidden="1" x14ac:dyDescent="0.2">
      <c r="A361" s="958" t="s">
        <v>5897</v>
      </c>
      <c r="B361" t="s">
        <v>5886</v>
      </c>
      <c r="C361" s="959">
        <v>45614</v>
      </c>
      <c r="D361" t="s">
        <v>5320</v>
      </c>
      <c r="E361">
        <v>877.45</v>
      </c>
      <c r="F361">
        <v>877.45</v>
      </c>
      <c r="G361">
        <v>877.45</v>
      </c>
      <c r="H361">
        <v>877.45</v>
      </c>
      <c r="I361">
        <v>877.45</v>
      </c>
      <c r="J361" t="s">
        <v>5536</v>
      </c>
      <c r="K361">
        <v>877.45</v>
      </c>
      <c r="L361">
        <v>313.13</v>
      </c>
      <c r="M361">
        <v>274756.8</v>
      </c>
      <c r="N361">
        <v>877.45</v>
      </c>
      <c r="O361">
        <v>877.45</v>
      </c>
    </row>
    <row r="362" spans="1:15" hidden="1" x14ac:dyDescent="0.2">
      <c r="A362" s="958" t="s">
        <v>5898</v>
      </c>
      <c r="B362" t="s">
        <v>5887</v>
      </c>
      <c r="C362" s="959">
        <v>45614</v>
      </c>
      <c r="D362" t="s">
        <v>2623</v>
      </c>
      <c r="E362">
        <v>2520</v>
      </c>
      <c r="F362">
        <v>2520</v>
      </c>
      <c r="G362">
        <v>2520</v>
      </c>
      <c r="H362">
        <v>2520</v>
      </c>
      <c r="I362">
        <v>2520</v>
      </c>
      <c r="J362" t="s">
        <v>5888</v>
      </c>
      <c r="K362">
        <v>2520</v>
      </c>
      <c r="L362">
        <v>39.21</v>
      </c>
      <c r="M362">
        <v>98810.71</v>
      </c>
      <c r="N362">
        <v>2520</v>
      </c>
      <c r="O362">
        <v>2520</v>
      </c>
    </row>
    <row r="363" spans="1:15" hidden="1" x14ac:dyDescent="0.2">
      <c r="A363" s="958" t="s">
        <v>5899</v>
      </c>
      <c r="B363" t="s">
        <v>5889</v>
      </c>
      <c r="C363" s="959">
        <v>45614</v>
      </c>
      <c r="D363" t="s">
        <v>5883</v>
      </c>
      <c r="E363">
        <v>3.1</v>
      </c>
      <c r="F363">
        <v>3.1</v>
      </c>
      <c r="G363">
        <v>3.1</v>
      </c>
      <c r="H363">
        <v>3.1</v>
      </c>
      <c r="I363">
        <v>3.1</v>
      </c>
      <c r="J363" t="s">
        <v>5890</v>
      </c>
      <c r="K363">
        <v>3.1</v>
      </c>
      <c r="L363">
        <v>253.06</v>
      </c>
      <c r="M363">
        <v>784.49</v>
      </c>
      <c r="N363">
        <v>3.1</v>
      </c>
      <c r="O363">
        <v>3.1</v>
      </c>
    </row>
    <row r="364" spans="1:15" hidden="1" x14ac:dyDescent="0.2">
      <c r="A364" s="958" t="s">
        <v>5900</v>
      </c>
      <c r="B364" t="s">
        <v>5891</v>
      </c>
      <c r="C364" s="959">
        <v>45614</v>
      </c>
      <c r="D364" t="s">
        <v>5003</v>
      </c>
      <c r="E364">
        <v>2112</v>
      </c>
      <c r="F364">
        <v>2112</v>
      </c>
      <c r="G364">
        <v>2112</v>
      </c>
      <c r="H364">
        <v>2112</v>
      </c>
      <c r="I364">
        <v>2112</v>
      </c>
      <c r="J364" t="s">
        <v>5414</v>
      </c>
      <c r="K364">
        <v>2112</v>
      </c>
      <c r="L364">
        <v>108.39</v>
      </c>
      <c r="M364">
        <v>228915.46</v>
      </c>
      <c r="N364">
        <v>2112</v>
      </c>
      <c r="O364">
        <v>2112</v>
      </c>
    </row>
    <row r="365" spans="1:15" hidden="1" x14ac:dyDescent="0.2">
      <c r="A365" s="958" t="s">
        <v>5901</v>
      </c>
      <c r="B365" t="s">
        <v>5892</v>
      </c>
      <c r="C365" s="959">
        <v>45614</v>
      </c>
      <c r="D365" t="s">
        <v>2719</v>
      </c>
      <c r="E365">
        <v>228</v>
      </c>
      <c r="F365">
        <v>228</v>
      </c>
      <c r="G365">
        <v>228</v>
      </c>
      <c r="H365">
        <v>228</v>
      </c>
      <c r="I365">
        <v>228</v>
      </c>
      <c r="J365" t="s">
        <v>5488</v>
      </c>
      <c r="K365">
        <v>228</v>
      </c>
      <c r="L365">
        <v>313.13</v>
      </c>
      <c r="M365">
        <v>71393.87</v>
      </c>
      <c r="N365">
        <v>228</v>
      </c>
      <c r="O365">
        <v>228</v>
      </c>
    </row>
    <row r="366" spans="1:15" hidden="1" x14ac:dyDescent="0.2">
      <c r="A366" s="958" t="s">
        <v>5902</v>
      </c>
      <c r="B366" t="s">
        <v>5893</v>
      </c>
      <c r="C366" s="959">
        <v>45614</v>
      </c>
      <c r="D366" t="s">
        <v>2963</v>
      </c>
      <c r="E366">
        <v>626.4</v>
      </c>
      <c r="F366">
        <v>626.4</v>
      </c>
      <c r="G366">
        <v>626.4</v>
      </c>
      <c r="H366">
        <v>626.4</v>
      </c>
      <c r="I366">
        <v>626.4</v>
      </c>
      <c r="J366" t="s">
        <v>5363</v>
      </c>
      <c r="K366">
        <v>626.4</v>
      </c>
      <c r="L366">
        <v>78.44</v>
      </c>
      <c r="M366">
        <v>49136.07</v>
      </c>
      <c r="N366">
        <v>626.4</v>
      </c>
      <c r="O366">
        <v>626.4</v>
      </c>
    </row>
    <row r="367" spans="1:15" hidden="1" x14ac:dyDescent="0.2">
      <c r="A367" s="958" t="s">
        <v>5903</v>
      </c>
      <c r="B367" t="s">
        <v>5894</v>
      </c>
      <c r="C367" s="959">
        <v>45614</v>
      </c>
      <c r="D367" t="s">
        <v>2964</v>
      </c>
      <c r="E367">
        <v>3849.1</v>
      </c>
      <c r="F367">
        <v>3849.1</v>
      </c>
      <c r="G367">
        <v>3849.1</v>
      </c>
      <c r="H367">
        <v>3849.1</v>
      </c>
      <c r="I367">
        <v>3849.1</v>
      </c>
      <c r="J367" t="s">
        <v>5895</v>
      </c>
      <c r="K367">
        <v>3849.1</v>
      </c>
      <c r="L367">
        <v>42.03</v>
      </c>
      <c r="M367">
        <v>161760.35</v>
      </c>
      <c r="N367">
        <v>3849.1</v>
      </c>
      <c r="O367">
        <v>3849.1</v>
      </c>
    </row>
    <row r="368" spans="1:15" hidden="1" x14ac:dyDescent="0.2">
      <c r="A368" s="958" t="s">
        <v>5904</v>
      </c>
      <c r="B368" t="s">
        <v>5896</v>
      </c>
      <c r="C368" s="959">
        <v>45614</v>
      </c>
      <c r="D368" t="s">
        <v>4785</v>
      </c>
      <c r="E368">
        <v>390</v>
      </c>
      <c r="F368">
        <v>390</v>
      </c>
      <c r="G368">
        <v>390</v>
      </c>
      <c r="H368">
        <v>390</v>
      </c>
      <c r="I368">
        <v>390</v>
      </c>
      <c r="J368" t="s">
        <v>5384</v>
      </c>
      <c r="K368">
        <v>390</v>
      </c>
      <c r="L368">
        <v>190.65</v>
      </c>
      <c r="M368">
        <v>74351.55</v>
      </c>
      <c r="N368">
        <v>390</v>
      </c>
      <c r="O368">
        <v>390</v>
      </c>
    </row>
    <row r="369" spans="1:15" hidden="1" x14ac:dyDescent="0.2">
      <c r="A369" s="958" t="s">
        <v>5908</v>
      </c>
      <c r="B369" t="s">
        <v>5905</v>
      </c>
      <c r="C369" s="959">
        <v>45615</v>
      </c>
      <c r="D369" t="s">
        <v>5906</v>
      </c>
      <c r="E369">
        <v>1036</v>
      </c>
      <c r="F369">
        <v>1036</v>
      </c>
      <c r="G369">
        <v>1036</v>
      </c>
      <c r="H369">
        <v>1036</v>
      </c>
      <c r="I369">
        <v>1036</v>
      </c>
      <c r="J369" t="s">
        <v>5907</v>
      </c>
      <c r="K369">
        <v>1036</v>
      </c>
      <c r="L369">
        <v>268.11</v>
      </c>
      <c r="M369">
        <v>277760</v>
      </c>
      <c r="N369">
        <v>1036</v>
      </c>
      <c r="O369">
        <v>1036</v>
      </c>
    </row>
    <row r="370" spans="1:15" hidden="1" x14ac:dyDescent="0.2">
      <c r="A370" s="958" t="s">
        <v>5910</v>
      </c>
      <c r="B370" t="s">
        <v>5909</v>
      </c>
      <c r="C370" s="959">
        <v>45617</v>
      </c>
      <c r="D370" t="s">
        <v>5085</v>
      </c>
      <c r="E370">
        <v>480</v>
      </c>
      <c r="F370">
        <v>480</v>
      </c>
      <c r="G370">
        <v>480</v>
      </c>
      <c r="H370">
        <v>480</v>
      </c>
      <c r="I370">
        <v>480</v>
      </c>
      <c r="J370" t="s">
        <v>5447</v>
      </c>
      <c r="K370">
        <v>480</v>
      </c>
      <c r="L370">
        <v>134.38</v>
      </c>
      <c r="M370">
        <v>64500</v>
      </c>
      <c r="N370">
        <v>480</v>
      </c>
      <c r="O370">
        <v>480</v>
      </c>
    </row>
    <row r="371" spans="1:15" hidden="1" x14ac:dyDescent="0.2">
      <c r="A371" s="958" t="s">
        <v>5912</v>
      </c>
      <c r="B371" t="s">
        <v>5911</v>
      </c>
      <c r="C371" s="959">
        <v>45618</v>
      </c>
      <c r="D371" t="s">
        <v>4461</v>
      </c>
      <c r="E371">
        <v>300</v>
      </c>
      <c r="F371">
        <v>300</v>
      </c>
      <c r="G371">
        <v>300</v>
      </c>
      <c r="H371">
        <v>300</v>
      </c>
      <c r="I371">
        <v>300</v>
      </c>
      <c r="J371" t="s">
        <v>5391</v>
      </c>
      <c r="K371">
        <v>300</v>
      </c>
      <c r="L371">
        <v>131.75</v>
      </c>
      <c r="M371">
        <v>39525</v>
      </c>
      <c r="N371">
        <v>300</v>
      </c>
      <c r="O371">
        <v>300</v>
      </c>
    </row>
    <row r="372" spans="1:15" hidden="1" x14ac:dyDescent="0.2">
      <c r="A372" s="958" t="s">
        <v>5920</v>
      </c>
      <c r="B372" t="s">
        <v>5914</v>
      </c>
      <c r="C372" s="959">
        <v>45621</v>
      </c>
      <c r="D372" t="s">
        <v>149</v>
      </c>
      <c r="E372">
        <v>150</v>
      </c>
      <c r="F372">
        <v>150</v>
      </c>
      <c r="G372">
        <v>150</v>
      </c>
      <c r="H372">
        <v>150</v>
      </c>
      <c r="I372">
        <v>150</v>
      </c>
      <c r="J372" t="s">
        <v>5481</v>
      </c>
      <c r="K372">
        <v>150</v>
      </c>
      <c r="L372">
        <v>83.54</v>
      </c>
      <c r="M372">
        <v>12530.7</v>
      </c>
      <c r="N372">
        <v>150</v>
      </c>
      <c r="O372">
        <v>150</v>
      </c>
    </row>
    <row r="373" spans="1:15" hidden="1" x14ac:dyDescent="0.2">
      <c r="A373" s="958" t="s">
        <v>5921</v>
      </c>
      <c r="B373" t="s">
        <v>5915</v>
      </c>
      <c r="C373" s="959">
        <v>45621</v>
      </c>
      <c r="D373" t="s">
        <v>5215</v>
      </c>
      <c r="E373">
        <v>980.2</v>
      </c>
      <c r="F373">
        <v>980.2</v>
      </c>
      <c r="G373">
        <v>980.2</v>
      </c>
      <c r="H373">
        <v>980.2</v>
      </c>
      <c r="I373">
        <v>980.2</v>
      </c>
      <c r="J373" t="s">
        <v>5474</v>
      </c>
      <c r="K373">
        <v>980.2</v>
      </c>
      <c r="L373">
        <v>93.12</v>
      </c>
      <c r="M373">
        <v>91274</v>
      </c>
      <c r="N373">
        <v>980.2</v>
      </c>
      <c r="O373">
        <v>980.2</v>
      </c>
    </row>
    <row r="374" spans="1:15" hidden="1" x14ac:dyDescent="0.2">
      <c r="A374" s="958" t="s">
        <v>5922</v>
      </c>
      <c r="B374" t="s">
        <v>5915</v>
      </c>
      <c r="C374" s="959">
        <v>45621</v>
      </c>
      <c r="D374" t="s">
        <v>5214</v>
      </c>
      <c r="E374">
        <v>1134.4000000000001</v>
      </c>
      <c r="F374">
        <v>1134.4000000000001</v>
      </c>
      <c r="G374">
        <v>1134.4000000000001</v>
      </c>
      <c r="H374">
        <v>1134.4000000000001</v>
      </c>
      <c r="I374">
        <v>1134.4000000000001</v>
      </c>
      <c r="J374" t="s">
        <v>5473</v>
      </c>
      <c r="K374">
        <v>1134.4000000000001</v>
      </c>
      <c r="L374">
        <v>86.79</v>
      </c>
      <c r="M374">
        <v>98459</v>
      </c>
      <c r="N374">
        <v>1134.4000000000001</v>
      </c>
      <c r="O374">
        <v>1134.4000000000001</v>
      </c>
    </row>
    <row r="375" spans="1:15" hidden="1" x14ac:dyDescent="0.2">
      <c r="A375" s="958" t="s">
        <v>5923</v>
      </c>
      <c r="B375" t="s">
        <v>5916</v>
      </c>
      <c r="C375" s="959">
        <v>45621</v>
      </c>
      <c r="D375" t="s">
        <v>1975</v>
      </c>
      <c r="E375">
        <v>3332.05</v>
      </c>
      <c r="F375">
        <v>3332.05</v>
      </c>
      <c r="G375">
        <v>3332.05</v>
      </c>
      <c r="H375">
        <v>3332.05</v>
      </c>
      <c r="I375">
        <v>3332.05</v>
      </c>
      <c r="J375" t="s">
        <v>5270</v>
      </c>
      <c r="K375">
        <v>3332.05</v>
      </c>
      <c r="L375">
        <v>68.69</v>
      </c>
      <c r="M375">
        <v>228866.85</v>
      </c>
      <c r="N375">
        <v>3332.05</v>
      </c>
      <c r="O375">
        <v>3332.05</v>
      </c>
    </row>
    <row r="376" spans="1:15" hidden="1" x14ac:dyDescent="0.2">
      <c r="A376" s="958" t="s">
        <v>5924</v>
      </c>
      <c r="B376" t="s">
        <v>5917</v>
      </c>
      <c r="C376" s="959">
        <v>45621</v>
      </c>
      <c r="D376" t="s">
        <v>4276</v>
      </c>
      <c r="E376">
        <v>356</v>
      </c>
      <c r="J376" t="s">
        <v>6712</v>
      </c>
      <c r="K376">
        <v>356</v>
      </c>
      <c r="L376">
        <v>136.53</v>
      </c>
      <c r="M376">
        <v>48603.43</v>
      </c>
    </row>
    <row r="377" spans="1:15" hidden="1" x14ac:dyDescent="0.2">
      <c r="A377" s="958" t="s">
        <v>5925</v>
      </c>
      <c r="B377" t="s">
        <v>5918</v>
      </c>
      <c r="C377" s="959">
        <v>45621</v>
      </c>
      <c r="D377" t="s">
        <v>2965</v>
      </c>
      <c r="E377">
        <v>4141.8999999999996</v>
      </c>
      <c r="F377">
        <v>4141.8999999999996</v>
      </c>
      <c r="G377">
        <v>1335.9</v>
      </c>
      <c r="H377">
        <v>1335.9</v>
      </c>
      <c r="I377">
        <v>1335.9</v>
      </c>
      <c r="J377" t="s">
        <v>5919</v>
      </c>
      <c r="K377">
        <v>4141.8999999999996</v>
      </c>
      <c r="L377">
        <v>40.29</v>
      </c>
      <c r="M377">
        <v>166889.57999999999</v>
      </c>
      <c r="N377">
        <v>4141.8999999999996</v>
      </c>
      <c r="O377">
        <v>4141.8999999999996</v>
      </c>
    </row>
    <row r="378" spans="1:15" hidden="1" x14ac:dyDescent="0.2">
      <c r="A378" s="958" t="s">
        <v>5927</v>
      </c>
      <c r="B378" t="s">
        <v>5926</v>
      </c>
      <c r="C378" s="959">
        <v>45622</v>
      </c>
      <c r="D378" t="s">
        <v>5216</v>
      </c>
      <c r="E378">
        <v>810</v>
      </c>
      <c r="F378">
        <v>810</v>
      </c>
      <c r="G378">
        <v>810</v>
      </c>
      <c r="H378">
        <v>810</v>
      </c>
      <c r="I378">
        <v>810</v>
      </c>
      <c r="J378" t="s">
        <v>5392</v>
      </c>
      <c r="K378">
        <v>810</v>
      </c>
      <c r="L378">
        <v>255.17</v>
      </c>
      <c r="M378">
        <v>206687.7</v>
      </c>
      <c r="N378">
        <v>810</v>
      </c>
      <c r="O378">
        <v>810</v>
      </c>
    </row>
    <row r="379" spans="1:15" hidden="1" x14ac:dyDescent="0.2">
      <c r="A379" s="958" t="s">
        <v>5933</v>
      </c>
      <c r="B379" t="s">
        <v>5932</v>
      </c>
      <c r="C379" s="959">
        <v>45623</v>
      </c>
      <c r="D379" t="s">
        <v>5712</v>
      </c>
      <c r="E379">
        <v>639.6</v>
      </c>
      <c r="F379">
        <v>639.6</v>
      </c>
      <c r="G379">
        <v>639.6</v>
      </c>
      <c r="H379">
        <v>639.6</v>
      </c>
      <c r="I379">
        <v>639.6</v>
      </c>
      <c r="J379" t="s">
        <v>5716</v>
      </c>
      <c r="K379">
        <v>639.6</v>
      </c>
      <c r="L379">
        <v>426.83</v>
      </c>
      <c r="M379">
        <v>273000</v>
      </c>
      <c r="N379">
        <v>639.6</v>
      </c>
      <c r="O379">
        <v>639.6</v>
      </c>
    </row>
    <row r="380" spans="1:15" hidden="1" x14ac:dyDescent="0.2">
      <c r="A380" s="958" t="s">
        <v>5939</v>
      </c>
      <c r="B380" t="s">
        <v>5936</v>
      </c>
      <c r="C380" s="959">
        <v>45624</v>
      </c>
      <c r="D380" t="s">
        <v>5382</v>
      </c>
      <c r="E380">
        <v>3168</v>
      </c>
      <c r="F380">
        <v>3168</v>
      </c>
      <c r="G380">
        <v>3168</v>
      </c>
      <c r="H380">
        <v>3168</v>
      </c>
      <c r="I380">
        <v>3168</v>
      </c>
      <c r="J380" t="s">
        <v>6006</v>
      </c>
      <c r="K380">
        <v>3168</v>
      </c>
      <c r="L380">
        <v>52.27</v>
      </c>
      <c r="M380">
        <v>165597.70000000001</v>
      </c>
      <c r="N380">
        <v>3168</v>
      </c>
      <c r="O380">
        <v>3168</v>
      </c>
    </row>
    <row r="381" spans="1:15" hidden="1" x14ac:dyDescent="0.2">
      <c r="A381" s="958" t="s">
        <v>5940</v>
      </c>
      <c r="B381" t="s">
        <v>5936</v>
      </c>
      <c r="C381" s="959">
        <v>45624</v>
      </c>
      <c r="D381" t="s">
        <v>5381</v>
      </c>
      <c r="E381">
        <v>2898</v>
      </c>
      <c r="F381">
        <v>2898</v>
      </c>
      <c r="G381">
        <v>2898</v>
      </c>
      <c r="H381">
        <v>2898</v>
      </c>
      <c r="I381">
        <v>2898</v>
      </c>
      <c r="J381" t="s">
        <v>6005</v>
      </c>
      <c r="K381">
        <v>2898</v>
      </c>
      <c r="L381">
        <v>59.24</v>
      </c>
      <c r="M381">
        <v>171663.03</v>
      </c>
      <c r="N381">
        <v>2898</v>
      </c>
      <c r="O381">
        <v>2898</v>
      </c>
    </row>
    <row r="382" spans="1:15" hidden="1" x14ac:dyDescent="0.2">
      <c r="A382" s="958" t="s">
        <v>5941</v>
      </c>
      <c r="B382" t="s">
        <v>5937</v>
      </c>
      <c r="C382" s="959">
        <v>45624</v>
      </c>
      <c r="D382" t="s">
        <v>5010</v>
      </c>
      <c r="E382">
        <v>72</v>
      </c>
      <c r="F382">
        <v>72</v>
      </c>
      <c r="G382">
        <v>72</v>
      </c>
      <c r="H382">
        <v>72</v>
      </c>
      <c r="I382">
        <v>72</v>
      </c>
      <c r="J382" t="s">
        <v>5413</v>
      </c>
      <c r="K382">
        <v>72</v>
      </c>
      <c r="L382">
        <v>326.39</v>
      </c>
      <c r="M382">
        <v>23500</v>
      </c>
      <c r="N382">
        <v>72</v>
      </c>
      <c r="O382">
        <v>72</v>
      </c>
    </row>
    <row r="383" spans="1:15" hidden="1" x14ac:dyDescent="0.2">
      <c r="A383" s="958" t="s">
        <v>5942</v>
      </c>
      <c r="B383" t="s">
        <v>5937</v>
      </c>
      <c r="C383" s="959">
        <v>45624</v>
      </c>
      <c r="D383" t="s">
        <v>5009</v>
      </c>
      <c r="E383">
        <v>120</v>
      </c>
      <c r="F383">
        <v>120</v>
      </c>
      <c r="G383">
        <v>120</v>
      </c>
      <c r="H383">
        <v>120</v>
      </c>
      <c r="I383">
        <v>120</v>
      </c>
      <c r="J383" t="s">
        <v>5412</v>
      </c>
      <c r="K383">
        <v>120</v>
      </c>
      <c r="L383">
        <v>195.83</v>
      </c>
      <c r="M383">
        <v>23500</v>
      </c>
      <c r="N383">
        <v>120</v>
      </c>
      <c r="O383">
        <v>120</v>
      </c>
    </row>
    <row r="384" spans="1:15" hidden="1" x14ac:dyDescent="0.2">
      <c r="A384" s="958" t="s">
        <v>5943</v>
      </c>
      <c r="B384" t="s">
        <v>5937</v>
      </c>
      <c r="C384" s="959">
        <v>45624</v>
      </c>
      <c r="D384" t="s">
        <v>5934</v>
      </c>
      <c r="E384">
        <v>120</v>
      </c>
      <c r="F384">
        <v>120</v>
      </c>
      <c r="G384">
        <v>120</v>
      </c>
      <c r="H384">
        <v>120</v>
      </c>
      <c r="I384">
        <v>120</v>
      </c>
      <c r="J384" t="s">
        <v>5938</v>
      </c>
      <c r="K384">
        <v>120</v>
      </c>
      <c r="L384">
        <v>195.83</v>
      </c>
      <c r="M384">
        <v>23500</v>
      </c>
      <c r="N384">
        <v>120</v>
      </c>
      <c r="O384">
        <v>75</v>
      </c>
    </row>
    <row r="385" spans="1:15" hidden="1" x14ac:dyDescent="0.2">
      <c r="A385" s="958" t="s">
        <v>5949</v>
      </c>
      <c r="B385" t="s">
        <v>5947</v>
      </c>
      <c r="C385" s="959">
        <v>45628</v>
      </c>
      <c r="D385" t="s">
        <v>5946</v>
      </c>
      <c r="E385">
        <v>1380</v>
      </c>
      <c r="F385">
        <v>1380</v>
      </c>
      <c r="G385">
        <v>1380</v>
      </c>
      <c r="H385">
        <v>1380</v>
      </c>
      <c r="I385">
        <v>1380</v>
      </c>
      <c r="J385" t="s">
        <v>5948</v>
      </c>
      <c r="K385">
        <v>1380</v>
      </c>
      <c r="L385">
        <v>63.56</v>
      </c>
      <c r="M385">
        <v>87714</v>
      </c>
      <c r="N385">
        <v>1380</v>
      </c>
      <c r="O385">
        <v>1380</v>
      </c>
    </row>
    <row r="386" spans="1:15" hidden="1" x14ac:dyDescent="0.2">
      <c r="A386" s="958" t="s">
        <v>6013</v>
      </c>
      <c r="B386" t="s">
        <v>5954</v>
      </c>
      <c r="C386" s="959">
        <v>45630</v>
      </c>
      <c r="D386" t="s">
        <v>6008</v>
      </c>
      <c r="E386">
        <v>2136.15</v>
      </c>
      <c r="F386">
        <v>2136.15</v>
      </c>
      <c r="G386">
        <v>2136.15</v>
      </c>
      <c r="H386">
        <v>2136.15</v>
      </c>
      <c r="I386">
        <v>2136.15</v>
      </c>
      <c r="J386" t="s">
        <v>5400</v>
      </c>
      <c r="K386">
        <v>2136.15</v>
      </c>
      <c r="L386">
        <v>115.32</v>
      </c>
      <c r="M386">
        <v>246337.61</v>
      </c>
      <c r="N386">
        <v>2136.15</v>
      </c>
      <c r="O386">
        <v>2126.0500000000002</v>
      </c>
    </row>
    <row r="387" spans="1:15" hidden="1" x14ac:dyDescent="0.2">
      <c r="A387" s="958" t="s">
        <v>5958</v>
      </c>
      <c r="B387" t="s">
        <v>5955</v>
      </c>
      <c r="C387" s="959">
        <v>45631</v>
      </c>
      <c r="D387" t="s">
        <v>5862</v>
      </c>
      <c r="E387">
        <v>90</v>
      </c>
      <c r="F387">
        <v>90</v>
      </c>
      <c r="G387">
        <v>90</v>
      </c>
      <c r="H387">
        <v>90</v>
      </c>
      <c r="I387">
        <v>90</v>
      </c>
      <c r="J387" t="s">
        <v>5831</v>
      </c>
      <c r="K387">
        <v>90</v>
      </c>
      <c r="L387">
        <v>143.06</v>
      </c>
      <c r="M387">
        <v>12874.95</v>
      </c>
      <c r="N387">
        <v>90</v>
      </c>
      <c r="O387">
        <v>90</v>
      </c>
    </row>
    <row r="388" spans="1:15" hidden="1" x14ac:dyDescent="0.2">
      <c r="A388" s="958" t="s">
        <v>5959</v>
      </c>
      <c r="B388" t="s">
        <v>5956</v>
      </c>
      <c r="C388" s="959">
        <v>45631</v>
      </c>
      <c r="D388" t="s">
        <v>1751</v>
      </c>
      <c r="E388">
        <v>220.5</v>
      </c>
      <c r="F388">
        <v>220.5</v>
      </c>
      <c r="G388">
        <v>220.5</v>
      </c>
      <c r="H388">
        <v>220.5</v>
      </c>
      <c r="I388">
        <v>220.5</v>
      </c>
      <c r="J388" t="s">
        <v>5471</v>
      </c>
      <c r="K388">
        <v>220.5</v>
      </c>
      <c r="L388">
        <v>303.3</v>
      </c>
      <c r="M388">
        <v>66878.31</v>
      </c>
      <c r="N388">
        <v>220.5</v>
      </c>
      <c r="O388">
        <v>215.6</v>
      </c>
    </row>
    <row r="389" spans="1:15" hidden="1" x14ac:dyDescent="0.2">
      <c r="A389" s="958" t="s">
        <v>5960</v>
      </c>
      <c r="B389" t="s">
        <v>5956</v>
      </c>
      <c r="C389" s="959">
        <v>45631</v>
      </c>
      <c r="D389" t="s">
        <v>1863</v>
      </c>
      <c r="E389">
        <v>499.8</v>
      </c>
      <c r="F389">
        <v>499.8</v>
      </c>
      <c r="G389">
        <v>499.8</v>
      </c>
      <c r="H389">
        <v>499.8</v>
      </c>
      <c r="I389">
        <v>499.8</v>
      </c>
      <c r="J389" t="s">
        <v>5957</v>
      </c>
      <c r="K389">
        <v>499.8</v>
      </c>
      <c r="L389">
        <v>178.68</v>
      </c>
      <c r="M389">
        <v>89303.51</v>
      </c>
      <c r="N389">
        <v>499.8</v>
      </c>
      <c r="O389">
        <v>499.8</v>
      </c>
    </row>
    <row r="390" spans="1:15" hidden="1" x14ac:dyDescent="0.2">
      <c r="A390" s="958" t="s">
        <v>5964</v>
      </c>
      <c r="B390" t="s">
        <v>5962</v>
      </c>
      <c r="C390" s="959">
        <v>45631</v>
      </c>
      <c r="D390" t="s">
        <v>5961</v>
      </c>
      <c r="E390">
        <v>73.5</v>
      </c>
      <c r="F390">
        <v>73.5</v>
      </c>
      <c r="G390">
        <v>73.5</v>
      </c>
      <c r="H390">
        <v>73.5</v>
      </c>
      <c r="I390">
        <v>73.5</v>
      </c>
      <c r="J390" t="s">
        <v>5963</v>
      </c>
      <c r="K390">
        <v>73.5</v>
      </c>
      <c r="L390">
        <v>353.74</v>
      </c>
      <c r="M390">
        <v>26000</v>
      </c>
      <c r="N390">
        <v>73.5</v>
      </c>
      <c r="O390">
        <v>73.5</v>
      </c>
    </row>
    <row r="391" spans="1:15" hidden="1" x14ac:dyDescent="0.2">
      <c r="A391" s="958" t="s">
        <v>5968</v>
      </c>
      <c r="B391" t="s">
        <v>5965</v>
      </c>
      <c r="C391" s="959">
        <v>45632</v>
      </c>
      <c r="D391" t="s">
        <v>4682</v>
      </c>
      <c r="E391">
        <v>360</v>
      </c>
      <c r="F391">
        <v>360</v>
      </c>
      <c r="G391">
        <v>360</v>
      </c>
      <c r="H391">
        <v>360</v>
      </c>
      <c r="I391">
        <v>360</v>
      </c>
      <c r="J391" t="s">
        <v>5362</v>
      </c>
      <c r="K391">
        <v>360</v>
      </c>
      <c r="L391">
        <v>148.82</v>
      </c>
      <c r="M391">
        <v>53574.84</v>
      </c>
      <c r="N391">
        <v>360</v>
      </c>
      <c r="O391">
        <v>360</v>
      </c>
    </row>
    <row r="392" spans="1:15" hidden="1" x14ac:dyDescent="0.2">
      <c r="A392" s="958" t="s">
        <v>5969</v>
      </c>
      <c r="B392" t="s">
        <v>5966</v>
      </c>
      <c r="C392" s="959">
        <v>45632</v>
      </c>
      <c r="D392" t="s">
        <v>628</v>
      </c>
      <c r="E392">
        <v>2069.1</v>
      </c>
      <c r="F392">
        <v>2069.1</v>
      </c>
      <c r="G392">
        <v>2069.1</v>
      </c>
      <c r="H392">
        <v>2069.1</v>
      </c>
      <c r="I392">
        <v>2069.1</v>
      </c>
      <c r="J392" t="s">
        <v>5967</v>
      </c>
      <c r="K392">
        <v>2069.1</v>
      </c>
      <c r="L392">
        <v>88.4</v>
      </c>
      <c r="M392">
        <v>182900.16</v>
      </c>
      <c r="N392">
        <v>2069.1</v>
      </c>
      <c r="O392">
        <v>2069.1</v>
      </c>
    </row>
    <row r="393" spans="1:15" hidden="1" x14ac:dyDescent="0.2">
      <c r="A393" s="958" t="s">
        <v>5974</v>
      </c>
      <c r="B393" t="s">
        <v>5970</v>
      </c>
      <c r="C393" s="959">
        <v>45635</v>
      </c>
      <c r="D393" t="s">
        <v>5010</v>
      </c>
      <c r="E393">
        <v>96</v>
      </c>
      <c r="F393">
        <v>96</v>
      </c>
      <c r="G393">
        <v>96</v>
      </c>
      <c r="H393">
        <v>96</v>
      </c>
      <c r="I393">
        <v>96</v>
      </c>
      <c r="J393" t="s">
        <v>5413</v>
      </c>
      <c r="K393">
        <v>96</v>
      </c>
      <c r="L393">
        <v>263.02</v>
      </c>
      <c r="M393">
        <v>25250</v>
      </c>
      <c r="N393">
        <v>96</v>
      </c>
      <c r="O393">
        <v>96</v>
      </c>
    </row>
    <row r="394" spans="1:15" hidden="1" x14ac:dyDescent="0.2">
      <c r="A394" s="958" t="s">
        <v>5975</v>
      </c>
      <c r="B394" t="s">
        <v>5971</v>
      </c>
      <c r="C394" s="959">
        <v>45635</v>
      </c>
      <c r="D394" t="s">
        <v>5972</v>
      </c>
      <c r="E394">
        <v>900</v>
      </c>
      <c r="F394">
        <v>900</v>
      </c>
      <c r="G394">
        <v>900</v>
      </c>
      <c r="H394">
        <v>900</v>
      </c>
      <c r="I394">
        <v>900</v>
      </c>
      <c r="J394" t="s">
        <v>5973</v>
      </c>
      <c r="K394">
        <v>900</v>
      </c>
      <c r="L394">
        <v>52.92</v>
      </c>
      <c r="M394">
        <v>47628</v>
      </c>
      <c r="N394">
        <v>900</v>
      </c>
      <c r="O394">
        <v>900</v>
      </c>
    </row>
    <row r="395" spans="1:15" hidden="1" x14ac:dyDescent="0.2">
      <c r="A395" s="958" t="s">
        <v>5977</v>
      </c>
      <c r="B395" t="s">
        <v>5976</v>
      </c>
      <c r="C395" s="959">
        <v>45635</v>
      </c>
      <c r="D395" t="s">
        <v>5862</v>
      </c>
      <c r="E395">
        <v>180</v>
      </c>
      <c r="F395">
        <v>180</v>
      </c>
      <c r="G395">
        <v>180</v>
      </c>
      <c r="H395">
        <v>180</v>
      </c>
      <c r="I395">
        <v>180</v>
      </c>
      <c r="J395" t="s">
        <v>5831</v>
      </c>
      <c r="K395">
        <v>180</v>
      </c>
      <c r="L395">
        <v>143.06</v>
      </c>
      <c r="M395">
        <v>25749.9</v>
      </c>
      <c r="N395">
        <v>180</v>
      </c>
      <c r="O395">
        <v>180</v>
      </c>
    </row>
    <row r="396" spans="1:15" hidden="1" x14ac:dyDescent="0.2">
      <c r="A396" s="958" t="s">
        <v>5998</v>
      </c>
      <c r="B396" t="s">
        <v>5996</v>
      </c>
      <c r="C396" s="959">
        <v>45638</v>
      </c>
      <c r="D396" t="s">
        <v>2608</v>
      </c>
      <c r="E396">
        <v>3852</v>
      </c>
      <c r="F396">
        <v>3852</v>
      </c>
      <c r="G396">
        <v>3852</v>
      </c>
      <c r="H396">
        <v>3852</v>
      </c>
      <c r="I396">
        <v>3852</v>
      </c>
      <c r="J396" t="s">
        <v>5465</v>
      </c>
      <c r="K396">
        <v>3852</v>
      </c>
      <c r="L396">
        <v>141.05000000000001</v>
      </c>
      <c r="M396">
        <v>543324.6</v>
      </c>
      <c r="N396">
        <v>3852</v>
      </c>
      <c r="O396">
        <v>3852</v>
      </c>
    </row>
    <row r="397" spans="1:15" hidden="1" x14ac:dyDescent="0.2">
      <c r="A397" s="958" t="s">
        <v>5999</v>
      </c>
      <c r="B397" t="s">
        <v>5997</v>
      </c>
      <c r="C397" s="959">
        <v>45638</v>
      </c>
      <c r="D397" t="s">
        <v>1975</v>
      </c>
      <c r="E397">
        <v>236.9</v>
      </c>
      <c r="F397">
        <v>236.9</v>
      </c>
      <c r="G397">
        <v>236.9</v>
      </c>
      <c r="H397">
        <v>236.9</v>
      </c>
      <c r="I397">
        <v>236.9</v>
      </c>
      <c r="J397" t="s">
        <v>5270</v>
      </c>
      <c r="K397">
        <v>236.9</v>
      </c>
      <c r="L397">
        <v>68.69</v>
      </c>
      <c r="M397">
        <v>16272.66</v>
      </c>
      <c r="N397">
        <v>236.9</v>
      </c>
      <c r="O397">
        <v>236.9</v>
      </c>
    </row>
    <row r="398" spans="1:15" hidden="1" x14ac:dyDescent="0.2">
      <c r="A398" s="958" t="s">
        <v>6000</v>
      </c>
      <c r="B398" t="s">
        <v>5997</v>
      </c>
      <c r="C398" s="959">
        <v>45638</v>
      </c>
      <c r="D398" t="s">
        <v>2841</v>
      </c>
      <c r="E398">
        <v>7294.4</v>
      </c>
      <c r="F398">
        <v>7294.4</v>
      </c>
      <c r="G398">
        <v>7294.4</v>
      </c>
      <c r="H398">
        <v>7294.4</v>
      </c>
      <c r="I398">
        <v>7294.4</v>
      </c>
      <c r="J398" t="s">
        <v>5486</v>
      </c>
      <c r="K398">
        <v>7294.4</v>
      </c>
      <c r="L398">
        <v>47.32</v>
      </c>
      <c r="M398">
        <v>345185.6</v>
      </c>
      <c r="N398">
        <v>7294.4</v>
      </c>
      <c r="O398">
        <v>7255.6</v>
      </c>
    </row>
    <row r="399" spans="1:15" hidden="1" x14ac:dyDescent="0.2">
      <c r="A399" s="958" t="s">
        <v>6014</v>
      </c>
      <c r="B399" t="s">
        <v>6009</v>
      </c>
      <c r="C399" s="959">
        <v>45639</v>
      </c>
      <c r="D399" t="s">
        <v>6004</v>
      </c>
      <c r="E399">
        <v>180</v>
      </c>
      <c r="J399" t="s">
        <v>6010</v>
      </c>
      <c r="K399">
        <v>180</v>
      </c>
      <c r="L399">
        <v>155.28</v>
      </c>
      <c r="M399">
        <v>27950</v>
      </c>
    </row>
    <row r="400" spans="1:15" hidden="1" x14ac:dyDescent="0.2">
      <c r="A400" s="958" t="s">
        <v>6015</v>
      </c>
      <c r="B400" t="s">
        <v>6009</v>
      </c>
      <c r="C400" s="959">
        <v>45639</v>
      </c>
      <c r="D400" t="s">
        <v>5292</v>
      </c>
      <c r="E400">
        <v>72.599999999999994</v>
      </c>
      <c r="J400" t="s">
        <v>5492</v>
      </c>
      <c r="K400">
        <v>72.599999999999994</v>
      </c>
      <c r="L400">
        <v>384.99</v>
      </c>
      <c r="M400">
        <v>27950</v>
      </c>
    </row>
    <row r="401" spans="1:15" hidden="1" x14ac:dyDescent="0.2">
      <c r="A401" s="958" t="s">
        <v>6016</v>
      </c>
      <c r="B401" t="s">
        <v>6009</v>
      </c>
      <c r="C401" s="959">
        <v>45639</v>
      </c>
      <c r="D401" t="s">
        <v>5467</v>
      </c>
      <c r="E401">
        <v>72.599999999999994</v>
      </c>
      <c r="J401" t="s">
        <v>5468</v>
      </c>
      <c r="K401">
        <v>72.599999999999994</v>
      </c>
      <c r="L401">
        <v>296.14</v>
      </c>
      <c r="M401">
        <v>21500</v>
      </c>
    </row>
    <row r="402" spans="1:15" hidden="1" x14ac:dyDescent="0.2">
      <c r="A402" s="958" t="s">
        <v>6017</v>
      </c>
      <c r="B402" t="s">
        <v>6009</v>
      </c>
      <c r="C402" s="959">
        <v>45639</v>
      </c>
      <c r="D402" t="s">
        <v>5166</v>
      </c>
      <c r="E402">
        <v>54.45</v>
      </c>
      <c r="J402" t="s">
        <v>5469</v>
      </c>
      <c r="K402">
        <v>54.45</v>
      </c>
      <c r="L402">
        <v>427.92</v>
      </c>
      <c r="M402">
        <v>23300</v>
      </c>
    </row>
    <row r="403" spans="1:15" hidden="1" x14ac:dyDescent="0.2">
      <c r="A403" s="958" t="s">
        <v>6022</v>
      </c>
      <c r="B403" t="s">
        <v>6020</v>
      </c>
      <c r="C403" s="959">
        <v>45642</v>
      </c>
      <c r="D403" t="s">
        <v>5161</v>
      </c>
      <c r="E403">
        <v>198</v>
      </c>
      <c r="F403">
        <v>198</v>
      </c>
      <c r="G403">
        <v>198</v>
      </c>
      <c r="H403">
        <v>198</v>
      </c>
      <c r="I403">
        <v>198</v>
      </c>
      <c r="J403" t="s">
        <v>5463</v>
      </c>
      <c r="K403">
        <v>198</v>
      </c>
      <c r="L403">
        <v>1459.5</v>
      </c>
      <c r="M403">
        <v>288981</v>
      </c>
      <c r="N403">
        <v>198</v>
      </c>
      <c r="O403">
        <v>198</v>
      </c>
    </row>
    <row r="404" spans="1:15" hidden="1" x14ac:dyDescent="0.2">
      <c r="A404" s="958" t="s">
        <v>6023</v>
      </c>
      <c r="B404" t="s">
        <v>6021</v>
      </c>
      <c r="C404" s="959">
        <v>45642</v>
      </c>
      <c r="D404" t="s">
        <v>6019</v>
      </c>
      <c r="E404">
        <v>1660.8</v>
      </c>
      <c r="F404">
        <v>1660.8</v>
      </c>
      <c r="J404" t="s">
        <v>5376</v>
      </c>
      <c r="K404">
        <v>1660.8</v>
      </c>
      <c r="L404">
        <v>253.01</v>
      </c>
      <c r="M404">
        <v>420202.83</v>
      </c>
    </row>
    <row r="405" spans="1:15" hidden="1" x14ac:dyDescent="0.2">
      <c r="A405" s="958" t="s">
        <v>6024</v>
      </c>
      <c r="B405" t="s">
        <v>6021</v>
      </c>
      <c r="C405" s="959">
        <v>45642</v>
      </c>
      <c r="D405" t="s">
        <v>5099</v>
      </c>
      <c r="E405">
        <v>697.15</v>
      </c>
      <c r="F405">
        <v>697.15</v>
      </c>
      <c r="G405">
        <v>697.15</v>
      </c>
      <c r="H405">
        <v>697.15</v>
      </c>
      <c r="I405">
        <v>697.15</v>
      </c>
      <c r="J405" t="s">
        <v>5375</v>
      </c>
      <c r="K405">
        <v>697.15</v>
      </c>
      <c r="L405">
        <v>253.01</v>
      </c>
      <c r="M405">
        <v>176387.52</v>
      </c>
      <c r="N405">
        <v>697.15</v>
      </c>
      <c r="O405">
        <v>689.85</v>
      </c>
    </row>
    <row r="406" spans="1:15" hidden="1" x14ac:dyDescent="0.2">
      <c r="A406" s="958" t="s">
        <v>6027</v>
      </c>
      <c r="B406" t="s">
        <v>6026</v>
      </c>
      <c r="C406" s="959">
        <v>45643</v>
      </c>
      <c r="D406" t="s">
        <v>1863</v>
      </c>
      <c r="E406">
        <v>68.599999999999994</v>
      </c>
      <c r="F406">
        <v>68.599999999999994</v>
      </c>
      <c r="G406">
        <v>68.599999999999994</v>
      </c>
      <c r="H406">
        <v>68.599999999999994</v>
      </c>
      <c r="I406">
        <v>68.599999999999994</v>
      </c>
      <c r="J406" t="s">
        <v>5957</v>
      </c>
      <c r="K406">
        <v>68.599999999999994</v>
      </c>
      <c r="L406">
        <v>178.68</v>
      </c>
      <c r="M406">
        <v>12257.35</v>
      </c>
      <c r="N406">
        <v>68.599999999999994</v>
      </c>
      <c r="O406">
        <v>68.599999999999994</v>
      </c>
    </row>
    <row r="407" spans="1:15" hidden="1" x14ac:dyDescent="0.2">
      <c r="A407" s="958" t="s">
        <v>6033</v>
      </c>
      <c r="B407" t="s">
        <v>6031</v>
      </c>
      <c r="C407" s="959">
        <v>45645</v>
      </c>
      <c r="D407" t="s">
        <v>4813</v>
      </c>
      <c r="E407">
        <v>2550</v>
      </c>
      <c r="F407">
        <v>2550</v>
      </c>
      <c r="G407">
        <v>2550</v>
      </c>
      <c r="H407">
        <v>2550</v>
      </c>
      <c r="I407">
        <v>2550</v>
      </c>
      <c r="J407" t="s">
        <v>4148</v>
      </c>
      <c r="K407">
        <v>2550</v>
      </c>
      <c r="L407">
        <v>140.69</v>
      </c>
      <c r="M407">
        <v>358749.3</v>
      </c>
      <c r="N407">
        <v>2550</v>
      </c>
      <c r="O407">
        <v>2490</v>
      </c>
    </row>
    <row r="408" spans="1:15" hidden="1" x14ac:dyDescent="0.2">
      <c r="A408" s="958" t="s">
        <v>6034</v>
      </c>
      <c r="B408" t="s">
        <v>6032</v>
      </c>
      <c r="C408" s="959">
        <v>45645</v>
      </c>
      <c r="D408" t="s">
        <v>4590</v>
      </c>
      <c r="E408">
        <v>636</v>
      </c>
      <c r="F408">
        <v>636</v>
      </c>
      <c r="G408">
        <v>636</v>
      </c>
      <c r="H408">
        <v>636</v>
      </c>
      <c r="I408">
        <v>636</v>
      </c>
      <c r="J408" t="s">
        <v>5383</v>
      </c>
      <c r="K408">
        <v>636</v>
      </c>
      <c r="L408">
        <v>179.92</v>
      </c>
      <c r="M408">
        <v>114430.71</v>
      </c>
      <c r="N408">
        <v>636</v>
      </c>
      <c r="O408">
        <v>636</v>
      </c>
    </row>
    <row r="409" spans="1:15" hidden="1" x14ac:dyDescent="0.2">
      <c r="A409" s="958" t="s">
        <v>6039</v>
      </c>
      <c r="B409" t="s">
        <v>6035</v>
      </c>
      <c r="C409" s="959">
        <v>45645</v>
      </c>
      <c r="D409" t="s">
        <v>6029</v>
      </c>
      <c r="E409">
        <v>12.1</v>
      </c>
      <c r="F409">
        <v>12.1</v>
      </c>
      <c r="G409">
        <v>12.1</v>
      </c>
      <c r="H409">
        <v>12.1</v>
      </c>
      <c r="I409">
        <v>12.1</v>
      </c>
      <c r="J409" t="s">
        <v>6036</v>
      </c>
      <c r="K409">
        <v>12.1</v>
      </c>
      <c r="L409">
        <v>94.86</v>
      </c>
      <c r="M409">
        <v>1147.8499999999999</v>
      </c>
      <c r="N409">
        <v>12.1</v>
      </c>
      <c r="O409">
        <v>12.1</v>
      </c>
    </row>
    <row r="410" spans="1:15" hidden="1" x14ac:dyDescent="0.2">
      <c r="A410" s="958" t="s">
        <v>6040</v>
      </c>
      <c r="B410" t="s">
        <v>6035</v>
      </c>
      <c r="C410" s="959">
        <v>45645</v>
      </c>
      <c r="D410" t="s">
        <v>6030</v>
      </c>
      <c r="E410">
        <v>12.1</v>
      </c>
      <c r="F410">
        <v>12.1</v>
      </c>
      <c r="G410">
        <v>12.1</v>
      </c>
      <c r="H410">
        <v>12.1</v>
      </c>
      <c r="I410">
        <v>12.1</v>
      </c>
      <c r="J410" t="s">
        <v>6037</v>
      </c>
      <c r="K410">
        <v>12.1</v>
      </c>
      <c r="L410">
        <v>81.709999999999994</v>
      </c>
      <c r="M410">
        <v>988.67</v>
      </c>
      <c r="N410">
        <v>12.1</v>
      </c>
      <c r="O410">
        <v>12.1</v>
      </c>
    </row>
    <row r="411" spans="1:15" hidden="1" x14ac:dyDescent="0.2">
      <c r="A411" s="958" t="s">
        <v>6041</v>
      </c>
      <c r="B411" t="s">
        <v>6038</v>
      </c>
      <c r="C411" s="959">
        <v>45646</v>
      </c>
      <c r="D411" t="s">
        <v>5401</v>
      </c>
      <c r="E411">
        <v>1584</v>
      </c>
      <c r="F411">
        <v>1584</v>
      </c>
      <c r="G411">
        <v>1584</v>
      </c>
      <c r="H411">
        <v>1584</v>
      </c>
      <c r="I411">
        <v>1584</v>
      </c>
      <c r="J411" t="s">
        <v>5402</v>
      </c>
      <c r="K411">
        <v>1584</v>
      </c>
      <c r="L411">
        <v>56.2</v>
      </c>
      <c r="M411">
        <v>89019.22</v>
      </c>
      <c r="N411">
        <v>1584</v>
      </c>
      <c r="O411">
        <v>1584</v>
      </c>
    </row>
    <row r="412" spans="1:15" hidden="1" x14ac:dyDescent="0.2">
      <c r="A412" s="958" t="s">
        <v>6042</v>
      </c>
      <c r="B412" t="s">
        <v>6038</v>
      </c>
      <c r="C412" s="959">
        <v>45646</v>
      </c>
      <c r="D412" t="s">
        <v>5406</v>
      </c>
      <c r="E412">
        <v>3168</v>
      </c>
      <c r="F412">
        <v>3168</v>
      </c>
      <c r="G412">
        <v>3168</v>
      </c>
      <c r="H412">
        <v>3168</v>
      </c>
      <c r="I412">
        <v>3168</v>
      </c>
      <c r="J412" t="s">
        <v>5407</v>
      </c>
      <c r="K412">
        <v>3168</v>
      </c>
      <c r="L412">
        <v>27.32</v>
      </c>
      <c r="M412">
        <v>86562.43</v>
      </c>
      <c r="N412">
        <v>3168</v>
      </c>
      <c r="O412">
        <v>3168</v>
      </c>
    </row>
    <row r="413" spans="1:15" hidden="1" x14ac:dyDescent="0.2">
      <c r="A413" s="958" t="s">
        <v>6043</v>
      </c>
      <c r="B413" t="s">
        <v>6044</v>
      </c>
      <c r="C413" s="959">
        <v>45649</v>
      </c>
      <c r="D413" t="s">
        <v>6008</v>
      </c>
      <c r="E413">
        <v>2232.1</v>
      </c>
      <c r="F413">
        <v>2232.1</v>
      </c>
      <c r="G413">
        <v>2232.1</v>
      </c>
      <c r="H413">
        <v>2232.1</v>
      </c>
      <c r="I413">
        <v>2232.1</v>
      </c>
      <c r="J413" t="s">
        <v>5400</v>
      </c>
      <c r="K413">
        <v>2232.1</v>
      </c>
      <c r="L413">
        <v>115.32</v>
      </c>
      <c r="M413">
        <v>257402.42</v>
      </c>
      <c r="N413">
        <v>2232.1</v>
      </c>
      <c r="O413">
        <v>2222</v>
      </c>
    </row>
    <row r="414" spans="1:15" hidden="1" x14ac:dyDescent="0.2">
      <c r="A414" s="958" t="s">
        <v>6050</v>
      </c>
      <c r="B414" t="s">
        <v>6047</v>
      </c>
      <c r="C414" s="959">
        <v>45649</v>
      </c>
      <c r="D414" t="s">
        <v>2202</v>
      </c>
      <c r="E414">
        <v>708</v>
      </c>
      <c r="F414">
        <v>708</v>
      </c>
      <c r="G414">
        <v>708</v>
      </c>
      <c r="H414">
        <v>708</v>
      </c>
      <c r="I414">
        <v>708</v>
      </c>
      <c r="J414" t="s">
        <v>5449</v>
      </c>
      <c r="K414">
        <v>708</v>
      </c>
      <c r="L414">
        <v>130.86000000000001</v>
      </c>
      <c r="M414">
        <v>92647.46</v>
      </c>
      <c r="N414">
        <v>708</v>
      </c>
      <c r="O414">
        <v>708</v>
      </c>
    </row>
    <row r="415" spans="1:15" hidden="1" x14ac:dyDescent="0.2">
      <c r="A415" s="958" t="s">
        <v>6051</v>
      </c>
      <c r="B415" t="s">
        <v>6048</v>
      </c>
      <c r="C415" s="959">
        <v>45649</v>
      </c>
      <c r="D415" t="s">
        <v>5289</v>
      </c>
      <c r="E415">
        <v>788.1</v>
      </c>
      <c r="F415">
        <v>788.1</v>
      </c>
      <c r="G415">
        <v>788.1</v>
      </c>
      <c r="H415">
        <v>788.1</v>
      </c>
      <c r="I415">
        <v>788.1</v>
      </c>
      <c r="J415" t="s">
        <v>5489</v>
      </c>
      <c r="K415">
        <v>788.1</v>
      </c>
      <c r="L415">
        <v>117.33</v>
      </c>
      <c r="M415">
        <v>92468.72</v>
      </c>
      <c r="N415">
        <v>788.1</v>
      </c>
      <c r="O415">
        <v>788.1</v>
      </c>
    </row>
    <row r="416" spans="1:15" hidden="1" x14ac:dyDescent="0.2">
      <c r="A416" s="958" t="s">
        <v>6052</v>
      </c>
      <c r="B416" t="s">
        <v>6049</v>
      </c>
      <c r="C416" s="959">
        <v>45649</v>
      </c>
      <c r="D416" t="s">
        <v>4994</v>
      </c>
      <c r="E416">
        <v>864</v>
      </c>
      <c r="F416">
        <v>864</v>
      </c>
      <c r="G416">
        <v>864</v>
      </c>
      <c r="H416">
        <v>864</v>
      </c>
      <c r="I416">
        <v>864</v>
      </c>
      <c r="J416" t="s">
        <v>5365</v>
      </c>
      <c r="K416">
        <v>864</v>
      </c>
      <c r="L416">
        <v>86.74</v>
      </c>
      <c r="M416">
        <v>74945.09</v>
      </c>
      <c r="N416">
        <v>864</v>
      </c>
      <c r="O416">
        <v>864</v>
      </c>
    </row>
    <row r="417" spans="1:15" hidden="1" x14ac:dyDescent="0.2">
      <c r="A417" s="958" t="s">
        <v>6053</v>
      </c>
      <c r="B417" t="s">
        <v>6049</v>
      </c>
      <c r="C417" s="959">
        <v>45649</v>
      </c>
      <c r="D417" t="s">
        <v>5003</v>
      </c>
      <c r="E417">
        <v>216</v>
      </c>
      <c r="F417">
        <v>216</v>
      </c>
      <c r="G417">
        <v>216</v>
      </c>
      <c r="H417">
        <v>216</v>
      </c>
      <c r="I417">
        <v>216</v>
      </c>
      <c r="J417" t="s">
        <v>5414</v>
      </c>
      <c r="K417">
        <v>216</v>
      </c>
      <c r="L417">
        <v>108.39</v>
      </c>
      <c r="M417">
        <v>23411.81</v>
      </c>
      <c r="N417">
        <v>216</v>
      </c>
      <c r="O417">
        <v>216</v>
      </c>
    </row>
    <row r="418" spans="1:15" hidden="1" x14ac:dyDescent="0.2">
      <c r="A418" s="958" t="s">
        <v>6058</v>
      </c>
      <c r="B418" t="s">
        <v>6057</v>
      </c>
      <c r="C418" s="959">
        <v>45651</v>
      </c>
      <c r="D418" t="s">
        <v>6055</v>
      </c>
      <c r="E418">
        <v>80.400000000000006</v>
      </c>
      <c r="F418">
        <v>79.06</v>
      </c>
      <c r="G418">
        <v>79.06</v>
      </c>
      <c r="H418">
        <v>79.06</v>
      </c>
      <c r="I418">
        <v>79.06</v>
      </c>
      <c r="J418" t="s">
        <v>6491</v>
      </c>
      <c r="K418">
        <v>80.400000000000006</v>
      </c>
      <c r="L418">
        <v>323.38</v>
      </c>
      <c r="M418">
        <v>26000</v>
      </c>
      <c r="N418">
        <v>79.06</v>
      </c>
      <c r="O418">
        <v>79.06</v>
      </c>
    </row>
    <row r="419" spans="1:15" hidden="1" x14ac:dyDescent="0.2">
      <c r="A419" s="958" t="s">
        <v>6065</v>
      </c>
      <c r="B419" t="s">
        <v>6060</v>
      </c>
      <c r="C419" s="959">
        <v>45652</v>
      </c>
      <c r="D419" t="s">
        <v>6061</v>
      </c>
      <c r="E419">
        <v>672</v>
      </c>
      <c r="F419">
        <v>672</v>
      </c>
      <c r="G419">
        <v>672</v>
      </c>
      <c r="H419">
        <v>672</v>
      </c>
      <c r="I419">
        <v>672</v>
      </c>
      <c r="J419" t="s">
        <v>6062</v>
      </c>
      <c r="K419">
        <v>672</v>
      </c>
      <c r="L419">
        <v>94.35</v>
      </c>
      <c r="M419">
        <v>63403.199999999997</v>
      </c>
      <c r="N419">
        <v>672</v>
      </c>
      <c r="O419">
        <v>672</v>
      </c>
    </row>
    <row r="420" spans="1:15" hidden="1" x14ac:dyDescent="0.2">
      <c r="A420" s="958" t="s">
        <v>6066</v>
      </c>
      <c r="B420" t="s">
        <v>6060</v>
      </c>
      <c r="C420" s="959">
        <v>45652</v>
      </c>
      <c r="D420" t="s">
        <v>6063</v>
      </c>
      <c r="E420">
        <v>240</v>
      </c>
      <c r="F420">
        <v>240</v>
      </c>
      <c r="G420">
        <v>240</v>
      </c>
      <c r="H420">
        <v>240</v>
      </c>
      <c r="I420">
        <v>240</v>
      </c>
      <c r="J420" t="s">
        <v>6064</v>
      </c>
      <c r="K420">
        <v>240</v>
      </c>
      <c r="L420">
        <v>58.75</v>
      </c>
      <c r="M420">
        <v>14100.1</v>
      </c>
      <c r="N420">
        <v>240</v>
      </c>
      <c r="O420">
        <v>240</v>
      </c>
    </row>
    <row r="421" spans="1:15" hidden="1" x14ac:dyDescent="0.2">
      <c r="A421" s="958" t="s">
        <v>6467</v>
      </c>
      <c r="B421" t="s">
        <v>6070</v>
      </c>
      <c r="C421" s="959">
        <v>45653</v>
      </c>
      <c r="D421" t="s">
        <v>6463</v>
      </c>
      <c r="E421">
        <v>1460</v>
      </c>
      <c r="F421">
        <v>1460</v>
      </c>
      <c r="G421">
        <v>1460</v>
      </c>
      <c r="H421">
        <v>1460</v>
      </c>
      <c r="I421">
        <v>1460</v>
      </c>
      <c r="J421" t="s">
        <v>5399</v>
      </c>
      <c r="K421">
        <v>1460</v>
      </c>
      <c r="L421">
        <v>49.1</v>
      </c>
      <c r="M421">
        <v>71686</v>
      </c>
      <c r="N421">
        <v>1460</v>
      </c>
      <c r="O421">
        <v>1436</v>
      </c>
    </row>
    <row r="422" spans="1:15" hidden="1" x14ac:dyDescent="0.2">
      <c r="A422" s="958" t="s">
        <v>6074</v>
      </c>
      <c r="B422" t="s">
        <v>6071</v>
      </c>
      <c r="C422" s="959">
        <v>45653</v>
      </c>
      <c r="D422" t="s">
        <v>1684</v>
      </c>
      <c r="E422">
        <v>1320</v>
      </c>
      <c r="F422">
        <v>1320</v>
      </c>
      <c r="G422">
        <v>1320</v>
      </c>
      <c r="H422">
        <v>1320</v>
      </c>
      <c r="I422">
        <v>1320</v>
      </c>
      <c r="J422" t="s">
        <v>6102</v>
      </c>
      <c r="K422">
        <v>1320</v>
      </c>
      <c r="L422">
        <v>50.44</v>
      </c>
      <c r="M422">
        <v>66577.5</v>
      </c>
      <c r="N422">
        <v>1320</v>
      </c>
      <c r="O422">
        <v>1320</v>
      </c>
    </row>
    <row r="423" spans="1:15" hidden="1" x14ac:dyDescent="0.2">
      <c r="A423" s="958" t="s">
        <v>6075</v>
      </c>
      <c r="B423" t="s">
        <v>6071</v>
      </c>
      <c r="C423" s="959">
        <v>45653</v>
      </c>
      <c r="D423" t="s">
        <v>1686</v>
      </c>
      <c r="E423">
        <v>2088</v>
      </c>
      <c r="F423">
        <v>2088</v>
      </c>
      <c r="G423">
        <v>2088</v>
      </c>
      <c r="H423">
        <v>2088</v>
      </c>
      <c r="I423">
        <v>2088</v>
      </c>
      <c r="J423" t="s">
        <v>5421</v>
      </c>
      <c r="K423">
        <v>2088</v>
      </c>
      <c r="L423">
        <v>38.18</v>
      </c>
      <c r="M423">
        <v>79709.399999999994</v>
      </c>
      <c r="N423">
        <v>2088</v>
      </c>
      <c r="O423">
        <v>2088</v>
      </c>
    </row>
    <row r="424" spans="1:15" hidden="1" x14ac:dyDescent="0.2">
      <c r="A424" s="958" t="s">
        <v>6076</v>
      </c>
      <c r="B424" t="s">
        <v>6072</v>
      </c>
      <c r="C424" s="959">
        <v>45653</v>
      </c>
      <c r="D424" t="s">
        <v>2841</v>
      </c>
      <c r="E424">
        <v>727.5</v>
      </c>
      <c r="F424">
        <v>727.5</v>
      </c>
      <c r="G424">
        <v>727.5</v>
      </c>
      <c r="H424">
        <v>727.5</v>
      </c>
      <c r="I424">
        <v>727.5</v>
      </c>
      <c r="J424" t="s">
        <v>5486</v>
      </c>
      <c r="K424">
        <v>727.5</v>
      </c>
      <c r="L424">
        <v>47.32</v>
      </c>
      <c r="M424">
        <v>34425.300000000003</v>
      </c>
      <c r="N424">
        <v>727.5</v>
      </c>
      <c r="O424">
        <v>727.5</v>
      </c>
    </row>
    <row r="425" spans="1:15" hidden="1" x14ac:dyDescent="0.2">
      <c r="A425" s="958" t="s">
        <v>6077</v>
      </c>
      <c r="B425" t="s">
        <v>6073</v>
      </c>
      <c r="C425" s="959">
        <v>45653</v>
      </c>
      <c r="D425" t="s">
        <v>4276</v>
      </c>
      <c r="E425">
        <v>1624.25</v>
      </c>
      <c r="F425">
        <v>1624.25</v>
      </c>
      <c r="G425">
        <v>1624.25</v>
      </c>
      <c r="H425">
        <v>1624.25</v>
      </c>
      <c r="I425">
        <v>1624.25</v>
      </c>
      <c r="J425" t="s">
        <v>6712</v>
      </c>
      <c r="K425">
        <v>1624.25</v>
      </c>
      <c r="L425">
        <v>136.53</v>
      </c>
      <c r="M425">
        <v>221758.85</v>
      </c>
      <c r="N425">
        <v>1624.25</v>
      </c>
      <c r="O425">
        <v>1615.35</v>
      </c>
    </row>
    <row r="426" spans="1:15" hidden="1" x14ac:dyDescent="0.2">
      <c r="A426" s="958" t="s">
        <v>6079</v>
      </c>
      <c r="B426" t="s">
        <v>6078</v>
      </c>
      <c r="C426" s="959">
        <v>45654</v>
      </c>
      <c r="D426" t="s">
        <v>5409</v>
      </c>
      <c r="E426">
        <v>480</v>
      </c>
      <c r="F426">
        <v>480</v>
      </c>
      <c r="G426">
        <v>480</v>
      </c>
      <c r="H426">
        <v>480</v>
      </c>
      <c r="I426">
        <v>480</v>
      </c>
      <c r="J426" t="s">
        <v>5410</v>
      </c>
      <c r="K426">
        <v>480</v>
      </c>
      <c r="L426">
        <v>67.72</v>
      </c>
      <c r="M426">
        <v>32503.68</v>
      </c>
      <c r="N426">
        <v>480</v>
      </c>
      <c r="O426">
        <v>480</v>
      </c>
    </row>
    <row r="427" spans="1:15" hidden="1" x14ac:dyDescent="0.2">
      <c r="A427" s="958" t="s">
        <v>6082</v>
      </c>
      <c r="B427" t="s">
        <v>5360</v>
      </c>
      <c r="C427" s="959">
        <v>45666</v>
      </c>
      <c r="D427" t="s">
        <v>5729</v>
      </c>
      <c r="E427">
        <v>12</v>
      </c>
      <c r="J427" t="s">
        <v>5813</v>
      </c>
      <c r="K427">
        <v>12</v>
      </c>
      <c r="L427">
        <v>354.17</v>
      </c>
      <c r="M427">
        <v>4250</v>
      </c>
    </row>
    <row r="428" spans="1:15" hidden="1" x14ac:dyDescent="0.2">
      <c r="A428" s="958" t="s">
        <v>6083</v>
      </c>
      <c r="B428" t="s">
        <v>5360</v>
      </c>
      <c r="C428" s="959">
        <v>45666</v>
      </c>
      <c r="D428" t="s">
        <v>6080</v>
      </c>
      <c r="E428">
        <v>282</v>
      </c>
      <c r="J428" t="s">
        <v>6081</v>
      </c>
      <c r="K428">
        <v>282</v>
      </c>
      <c r="L428">
        <v>120.57</v>
      </c>
      <c r="M428">
        <v>34000</v>
      </c>
    </row>
    <row r="429" spans="1:15" hidden="1" x14ac:dyDescent="0.2">
      <c r="A429" s="958" t="s">
        <v>6084</v>
      </c>
      <c r="B429" t="s">
        <v>5360</v>
      </c>
      <c r="C429" s="959">
        <v>45666</v>
      </c>
      <c r="D429" t="s">
        <v>5272</v>
      </c>
      <c r="E429">
        <v>606</v>
      </c>
      <c r="J429" t="s">
        <v>5807</v>
      </c>
      <c r="K429">
        <v>606</v>
      </c>
      <c r="L429">
        <v>112.21</v>
      </c>
      <c r="M429">
        <v>68000</v>
      </c>
    </row>
    <row r="430" spans="1:15" hidden="1" x14ac:dyDescent="0.2">
      <c r="A430" s="958" t="s">
        <v>6085</v>
      </c>
      <c r="B430" t="s">
        <v>5360</v>
      </c>
      <c r="C430" s="959">
        <v>45666</v>
      </c>
      <c r="D430" t="s">
        <v>5231</v>
      </c>
      <c r="E430">
        <v>1134</v>
      </c>
      <c r="J430" t="s">
        <v>5809</v>
      </c>
      <c r="K430">
        <v>1134</v>
      </c>
      <c r="L430">
        <v>149.91</v>
      </c>
      <c r="M430">
        <v>170000</v>
      </c>
    </row>
    <row r="431" spans="1:15" hidden="1" x14ac:dyDescent="0.2">
      <c r="A431" s="958" t="s">
        <v>6086</v>
      </c>
      <c r="B431" t="s">
        <v>5360</v>
      </c>
      <c r="C431" s="959">
        <v>45666</v>
      </c>
      <c r="D431" t="s">
        <v>5240</v>
      </c>
      <c r="E431">
        <v>18</v>
      </c>
      <c r="J431" t="s">
        <v>5808</v>
      </c>
      <c r="K431">
        <v>18</v>
      </c>
      <c r="L431">
        <v>708.33</v>
      </c>
      <c r="M431">
        <v>12750</v>
      </c>
    </row>
    <row r="432" spans="1:15" hidden="1" x14ac:dyDescent="0.2">
      <c r="A432" s="958" t="s">
        <v>6089</v>
      </c>
      <c r="B432" t="s">
        <v>5364</v>
      </c>
      <c r="C432" s="959">
        <v>45673</v>
      </c>
      <c r="D432" t="s">
        <v>5684</v>
      </c>
      <c r="E432">
        <v>60</v>
      </c>
      <c r="F432">
        <v>60</v>
      </c>
      <c r="G432">
        <v>60</v>
      </c>
      <c r="H432">
        <v>60</v>
      </c>
      <c r="I432">
        <v>60</v>
      </c>
      <c r="J432" t="s">
        <v>5487</v>
      </c>
      <c r="K432">
        <v>60</v>
      </c>
      <c r="L432">
        <v>1975</v>
      </c>
      <c r="M432">
        <v>118500</v>
      </c>
      <c r="N432">
        <v>60</v>
      </c>
      <c r="O432">
        <v>60</v>
      </c>
    </row>
    <row r="433" spans="1:15" hidden="1" x14ac:dyDescent="0.2">
      <c r="A433" s="958" t="s">
        <v>6090</v>
      </c>
      <c r="B433" t="s">
        <v>6088</v>
      </c>
      <c r="C433" s="959">
        <v>45673</v>
      </c>
      <c r="D433" t="s">
        <v>4998</v>
      </c>
      <c r="E433">
        <v>1446</v>
      </c>
      <c r="F433">
        <v>1446</v>
      </c>
      <c r="G433">
        <v>1446</v>
      </c>
      <c r="H433">
        <v>1446</v>
      </c>
      <c r="I433">
        <v>1446</v>
      </c>
      <c r="J433" t="s">
        <v>5864</v>
      </c>
      <c r="K433">
        <v>1446</v>
      </c>
      <c r="N433">
        <v>1446</v>
      </c>
      <c r="O433">
        <v>1440</v>
      </c>
    </row>
    <row r="434" spans="1:15" hidden="1" x14ac:dyDescent="0.2">
      <c r="A434" s="958" t="s">
        <v>6091</v>
      </c>
      <c r="B434" t="s">
        <v>6088</v>
      </c>
      <c r="C434" s="959">
        <v>45673</v>
      </c>
      <c r="D434" t="s">
        <v>5091</v>
      </c>
      <c r="E434">
        <v>1122</v>
      </c>
      <c r="F434">
        <v>1122</v>
      </c>
      <c r="G434">
        <v>1122</v>
      </c>
      <c r="H434">
        <v>1122</v>
      </c>
      <c r="I434">
        <v>1122</v>
      </c>
      <c r="J434" t="s">
        <v>5220</v>
      </c>
      <c r="K434">
        <v>1122</v>
      </c>
      <c r="N434">
        <v>1122</v>
      </c>
      <c r="O434">
        <v>1116</v>
      </c>
    </row>
    <row r="435" spans="1:15" hidden="1" x14ac:dyDescent="0.2">
      <c r="A435" s="958" t="s">
        <v>6093</v>
      </c>
      <c r="B435" t="s">
        <v>6092</v>
      </c>
      <c r="C435" s="959">
        <v>45673</v>
      </c>
      <c r="D435" t="s">
        <v>5099</v>
      </c>
      <c r="E435">
        <v>1438.1</v>
      </c>
      <c r="F435">
        <v>1438.1</v>
      </c>
      <c r="G435">
        <v>1438.1</v>
      </c>
      <c r="H435">
        <v>1438.1</v>
      </c>
      <c r="I435">
        <v>1438.1</v>
      </c>
      <c r="J435" t="s">
        <v>5375</v>
      </c>
      <c r="K435">
        <v>1438.1</v>
      </c>
      <c r="L435">
        <v>253.01</v>
      </c>
      <c r="M435">
        <v>363856.99</v>
      </c>
      <c r="N435">
        <v>1438.1</v>
      </c>
      <c r="O435">
        <v>1430.8</v>
      </c>
    </row>
    <row r="436" spans="1:15" hidden="1" x14ac:dyDescent="0.2">
      <c r="A436" s="958" t="s">
        <v>6094</v>
      </c>
      <c r="B436" t="s">
        <v>6092</v>
      </c>
      <c r="C436" s="959">
        <v>45673</v>
      </c>
      <c r="D436" t="s">
        <v>5100</v>
      </c>
      <c r="E436">
        <v>2070.4</v>
      </c>
      <c r="F436">
        <v>2070.4</v>
      </c>
      <c r="G436">
        <v>2070.4</v>
      </c>
      <c r="H436">
        <v>2070.4</v>
      </c>
      <c r="I436">
        <v>2070.4</v>
      </c>
      <c r="J436" t="s">
        <v>5376</v>
      </c>
      <c r="K436">
        <v>2070.4</v>
      </c>
      <c r="L436">
        <v>253.01</v>
      </c>
      <c r="M436">
        <v>523836.67</v>
      </c>
      <c r="N436">
        <v>2070.4</v>
      </c>
      <c r="O436">
        <v>2051.1999999999998</v>
      </c>
    </row>
    <row r="437" spans="1:15" hidden="1" x14ac:dyDescent="0.2">
      <c r="A437" s="958" t="s">
        <v>6096</v>
      </c>
      <c r="B437" t="s">
        <v>6095</v>
      </c>
      <c r="C437" s="959">
        <v>45674</v>
      </c>
      <c r="D437" t="s">
        <v>4461</v>
      </c>
      <c r="E437">
        <v>90</v>
      </c>
      <c r="F437">
        <v>90</v>
      </c>
      <c r="G437">
        <v>90</v>
      </c>
      <c r="H437">
        <v>90</v>
      </c>
      <c r="I437">
        <v>90</v>
      </c>
      <c r="J437" t="s">
        <v>5391</v>
      </c>
      <c r="K437">
        <v>90</v>
      </c>
      <c r="L437">
        <v>141.05000000000001</v>
      </c>
      <c r="M437">
        <v>12694.5</v>
      </c>
      <c r="N437">
        <v>90</v>
      </c>
      <c r="O437">
        <v>90</v>
      </c>
    </row>
    <row r="438" spans="1:15" hidden="1" x14ac:dyDescent="0.2">
      <c r="A438" s="958" t="s">
        <v>6108</v>
      </c>
      <c r="B438" t="s">
        <v>6098</v>
      </c>
      <c r="C438" s="959">
        <v>45677</v>
      </c>
      <c r="D438" t="s">
        <v>6103</v>
      </c>
      <c r="E438">
        <v>75</v>
      </c>
      <c r="F438">
        <v>75</v>
      </c>
      <c r="G438">
        <v>75</v>
      </c>
      <c r="H438">
        <v>75</v>
      </c>
      <c r="I438">
        <v>75</v>
      </c>
      <c r="J438" t="s">
        <v>6104</v>
      </c>
      <c r="K438">
        <v>75</v>
      </c>
      <c r="L438">
        <v>62.21</v>
      </c>
      <c r="M438">
        <v>4665.38</v>
      </c>
      <c r="N438">
        <v>75</v>
      </c>
      <c r="O438">
        <v>75</v>
      </c>
    </row>
    <row r="439" spans="1:15" hidden="1" x14ac:dyDescent="0.2">
      <c r="A439" s="958" t="s">
        <v>6109</v>
      </c>
      <c r="B439" t="s">
        <v>6097</v>
      </c>
      <c r="C439" s="959">
        <v>45677</v>
      </c>
      <c r="D439" t="s">
        <v>6105</v>
      </c>
      <c r="E439">
        <v>49.6</v>
      </c>
      <c r="F439">
        <v>49.6</v>
      </c>
      <c r="G439">
        <v>49.6</v>
      </c>
      <c r="H439">
        <v>49.6</v>
      </c>
      <c r="I439">
        <v>49.6</v>
      </c>
      <c r="J439" t="s">
        <v>6106</v>
      </c>
      <c r="K439">
        <v>49.6</v>
      </c>
      <c r="L439">
        <v>213.71</v>
      </c>
      <c r="M439">
        <v>10600</v>
      </c>
      <c r="N439">
        <v>49.6</v>
      </c>
      <c r="O439">
        <v>49.6</v>
      </c>
    </row>
    <row r="440" spans="1:15" hidden="1" x14ac:dyDescent="0.2">
      <c r="A440" s="958" t="s">
        <v>6424</v>
      </c>
      <c r="B440" t="s">
        <v>6097</v>
      </c>
      <c r="C440" s="959">
        <v>45677</v>
      </c>
      <c r="D440" t="s">
        <v>6417</v>
      </c>
      <c r="E440">
        <v>18.3</v>
      </c>
      <c r="F440">
        <v>18.3</v>
      </c>
      <c r="G440">
        <v>18.3</v>
      </c>
      <c r="H440">
        <v>18.3</v>
      </c>
      <c r="I440">
        <v>18.3</v>
      </c>
      <c r="J440" t="s">
        <v>6418</v>
      </c>
      <c r="K440">
        <v>18.3</v>
      </c>
      <c r="L440">
        <v>231.69</v>
      </c>
      <c r="M440">
        <v>4240</v>
      </c>
      <c r="N440">
        <v>18.3</v>
      </c>
      <c r="O440">
        <v>18.3</v>
      </c>
    </row>
    <row r="441" spans="1:15" hidden="1" x14ac:dyDescent="0.2">
      <c r="A441" s="958" t="s">
        <v>6425</v>
      </c>
      <c r="B441" t="s">
        <v>6097</v>
      </c>
      <c r="C441" s="959">
        <v>45677</v>
      </c>
      <c r="D441" t="s">
        <v>6419</v>
      </c>
      <c r="E441">
        <v>24.4</v>
      </c>
      <c r="F441">
        <v>24.4</v>
      </c>
      <c r="G441">
        <v>24.4</v>
      </c>
      <c r="H441">
        <v>24.4</v>
      </c>
      <c r="I441">
        <v>24.4</v>
      </c>
      <c r="J441" t="s">
        <v>6420</v>
      </c>
      <c r="K441">
        <v>24.4</v>
      </c>
      <c r="L441">
        <v>260.66000000000003</v>
      </c>
      <c r="M441">
        <v>6360</v>
      </c>
      <c r="N441">
        <v>24.4</v>
      </c>
      <c r="O441">
        <v>24.4</v>
      </c>
    </row>
    <row r="442" spans="1:15" hidden="1" x14ac:dyDescent="0.2">
      <c r="A442" s="958" t="s">
        <v>6110</v>
      </c>
      <c r="B442" t="s">
        <v>6107</v>
      </c>
      <c r="C442" s="959">
        <v>45677</v>
      </c>
      <c r="D442" t="s">
        <v>6100</v>
      </c>
      <c r="E442">
        <v>36</v>
      </c>
      <c r="F442">
        <v>36</v>
      </c>
      <c r="G442">
        <v>36</v>
      </c>
      <c r="H442">
        <v>36</v>
      </c>
      <c r="I442">
        <v>36</v>
      </c>
      <c r="J442" t="s">
        <v>6101</v>
      </c>
      <c r="K442">
        <v>36</v>
      </c>
      <c r="L442">
        <v>117.02</v>
      </c>
      <c r="M442">
        <v>4212.6499999999996</v>
      </c>
      <c r="N442">
        <v>36</v>
      </c>
      <c r="O442">
        <v>36</v>
      </c>
    </row>
    <row r="443" spans="1:15" hidden="1" x14ac:dyDescent="0.2">
      <c r="A443" s="958" t="s">
        <v>6111</v>
      </c>
      <c r="B443" t="s">
        <v>6099</v>
      </c>
      <c r="C443" s="959">
        <v>45678</v>
      </c>
      <c r="D443" t="s">
        <v>4461</v>
      </c>
      <c r="E443">
        <v>90</v>
      </c>
      <c r="F443">
        <v>90</v>
      </c>
      <c r="G443">
        <v>90</v>
      </c>
      <c r="H443">
        <v>90</v>
      </c>
      <c r="I443">
        <v>90</v>
      </c>
      <c r="J443" t="s">
        <v>5391</v>
      </c>
      <c r="K443">
        <v>90</v>
      </c>
      <c r="L443">
        <v>141.05000000000001</v>
      </c>
      <c r="M443">
        <v>12694.5</v>
      </c>
      <c r="N443">
        <v>90</v>
      </c>
      <c r="O443">
        <v>90</v>
      </c>
    </row>
    <row r="444" spans="1:15" hidden="1" x14ac:dyDescent="0.2">
      <c r="A444" s="958" t="s">
        <v>6113</v>
      </c>
      <c r="B444" t="s">
        <v>6112</v>
      </c>
      <c r="C444" s="959">
        <v>45678</v>
      </c>
      <c r="D444" t="s">
        <v>6008</v>
      </c>
      <c r="E444">
        <v>5.05</v>
      </c>
      <c r="F444">
        <v>5.05</v>
      </c>
      <c r="G444">
        <v>5.05</v>
      </c>
      <c r="H444">
        <v>5.05</v>
      </c>
      <c r="I444">
        <v>5.05</v>
      </c>
      <c r="J444" t="s">
        <v>5400</v>
      </c>
      <c r="K444">
        <v>5.05</v>
      </c>
      <c r="L444">
        <v>115.32</v>
      </c>
      <c r="M444">
        <v>582.36</v>
      </c>
      <c r="N444">
        <v>5.05</v>
      </c>
      <c r="O444">
        <v>5.05</v>
      </c>
    </row>
    <row r="445" spans="1:15" hidden="1" x14ac:dyDescent="0.2">
      <c r="A445" s="958" t="s">
        <v>6426</v>
      </c>
      <c r="B445" t="s">
        <v>6421</v>
      </c>
      <c r="C445" s="959">
        <v>45679</v>
      </c>
      <c r="D445" t="s">
        <v>5862</v>
      </c>
      <c r="E445">
        <v>144</v>
      </c>
      <c r="F445">
        <v>144</v>
      </c>
      <c r="G445">
        <v>144</v>
      </c>
      <c r="H445">
        <v>144</v>
      </c>
      <c r="I445">
        <v>144</v>
      </c>
      <c r="J445" t="s">
        <v>5831</v>
      </c>
      <c r="K445">
        <v>144</v>
      </c>
      <c r="L445">
        <v>143.06</v>
      </c>
      <c r="M445">
        <v>20599.919999999998</v>
      </c>
      <c r="N445">
        <v>144</v>
      </c>
      <c r="O445">
        <v>144</v>
      </c>
    </row>
    <row r="446" spans="1:15" hidden="1" x14ac:dyDescent="0.2">
      <c r="A446" s="958" t="s">
        <v>6427</v>
      </c>
      <c r="B446" t="s">
        <v>6422</v>
      </c>
      <c r="C446" s="959">
        <v>45679</v>
      </c>
      <c r="D446" t="s">
        <v>4375</v>
      </c>
      <c r="E446">
        <v>108</v>
      </c>
      <c r="F446">
        <v>108</v>
      </c>
      <c r="G446">
        <v>108</v>
      </c>
      <c r="H446">
        <v>108</v>
      </c>
      <c r="I446">
        <v>108</v>
      </c>
      <c r="J446" t="s">
        <v>6423</v>
      </c>
      <c r="K446">
        <v>108</v>
      </c>
      <c r="L446">
        <v>111.62</v>
      </c>
      <c r="M446">
        <v>12055.07</v>
      </c>
      <c r="N446">
        <v>108</v>
      </c>
      <c r="O446">
        <v>108</v>
      </c>
    </row>
    <row r="447" spans="1:15" hidden="1" x14ac:dyDescent="0.2">
      <c r="A447" s="958" t="s">
        <v>6438</v>
      </c>
      <c r="B447" t="s">
        <v>6436</v>
      </c>
      <c r="C447" s="959">
        <v>45679</v>
      </c>
      <c r="D447" t="s">
        <v>5409</v>
      </c>
      <c r="E447">
        <v>1404</v>
      </c>
      <c r="F447">
        <v>1404</v>
      </c>
      <c r="G447">
        <v>1404</v>
      </c>
      <c r="H447">
        <v>1404</v>
      </c>
      <c r="I447">
        <v>1404</v>
      </c>
      <c r="J447" t="s">
        <v>5410</v>
      </c>
      <c r="K447">
        <v>1404</v>
      </c>
      <c r="N447">
        <v>1404</v>
      </c>
      <c r="O447">
        <v>1404</v>
      </c>
    </row>
    <row r="448" spans="1:15" hidden="1" x14ac:dyDescent="0.2">
      <c r="A448" s="958" t="s">
        <v>6439</v>
      </c>
      <c r="B448" t="s">
        <v>6436</v>
      </c>
      <c r="C448" s="959">
        <v>45679</v>
      </c>
      <c r="D448" t="s">
        <v>5382</v>
      </c>
      <c r="E448">
        <v>2532</v>
      </c>
      <c r="F448">
        <v>2532</v>
      </c>
      <c r="G448">
        <v>2532</v>
      </c>
      <c r="H448">
        <v>2532</v>
      </c>
      <c r="I448">
        <v>2532</v>
      </c>
      <c r="J448" t="s">
        <v>6006</v>
      </c>
      <c r="K448">
        <v>2532</v>
      </c>
      <c r="N448">
        <v>2532</v>
      </c>
      <c r="O448">
        <v>2526</v>
      </c>
    </row>
    <row r="449" spans="1:15" hidden="1" x14ac:dyDescent="0.2">
      <c r="A449" s="958" t="s">
        <v>6440</v>
      </c>
      <c r="B449" t="s">
        <v>6436</v>
      </c>
      <c r="C449" s="959">
        <v>45679</v>
      </c>
      <c r="D449" t="s">
        <v>5381</v>
      </c>
      <c r="E449">
        <v>2622</v>
      </c>
      <c r="F449">
        <v>2622</v>
      </c>
      <c r="G449">
        <v>2622</v>
      </c>
      <c r="H449">
        <v>2622</v>
      </c>
      <c r="I449">
        <v>2622</v>
      </c>
      <c r="J449" t="s">
        <v>6005</v>
      </c>
      <c r="K449">
        <v>2622</v>
      </c>
      <c r="N449">
        <v>2622</v>
      </c>
      <c r="O449">
        <v>2622</v>
      </c>
    </row>
    <row r="450" spans="1:15" hidden="1" x14ac:dyDescent="0.2">
      <c r="A450" s="958" t="s">
        <v>6441</v>
      </c>
      <c r="B450" t="s">
        <v>6436</v>
      </c>
      <c r="C450" s="959">
        <v>45679</v>
      </c>
      <c r="D450" t="s">
        <v>5390</v>
      </c>
      <c r="E450">
        <v>1836</v>
      </c>
      <c r="F450">
        <v>1836</v>
      </c>
      <c r="G450">
        <v>1836</v>
      </c>
      <c r="H450">
        <v>1836</v>
      </c>
      <c r="I450">
        <v>1836</v>
      </c>
      <c r="J450" t="s">
        <v>6007</v>
      </c>
      <c r="K450">
        <v>1836</v>
      </c>
      <c r="N450">
        <v>1836</v>
      </c>
      <c r="O450">
        <v>1830</v>
      </c>
    </row>
    <row r="451" spans="1:15" hidden="1" x14ac:dyDescent="0.2">
      <c r="A451" s="958" t="s">
        <v>6442</v>
      </c>
      <c r="B451" t="s">
        <v>6436</v>
      </c>
      <c r="C451" s="959">
        <v>45679</v>
      </c>
      <c r="D451" t="s">
        <v>5405</v>
      </c>
      <c r="E451">
        <v>1812</v>
      </c>
      <c r="F451">
        <v>1812</v>
      </c>
      <c r="G451">
        <v>1812</v>
      </c>
      <c r="H451">
        <v>1812</v>
      </c>
      <c r="I451">
        <v>1812</v>
      </c>
      <c r="J451" t="s">
        <v>6018</v>
      </c>
      <c r="K451">
        <v>1812</v>
      </c>
      <c r="N451">
        <v>1812</v>
      </c>
      <c r="O451">
        <v>1800</v>
      </c>
    </row>
    <row r="452" spans="1:15" hidden="1" x14ac:dyDescent="0.2">
      <c r="A452" s="958" t="s">
        <v>6443</v>
      </c>
      <c r="B452" t="s">
        <v>6436</v>
      </c>
      <c r="C452" s="959">
        <v>45679</v>
      </c>
      <c r="D452" t="s">
        <v>6119</v>
      </c>
      <c r="E452">
        <v>2424</v>
      </c>
      <c r="F452">
        <v>2424</v>
      </c>
      <c r="G452">
        <v>2424</v>
      </c>
      <c r="H452">
        <v>2424</v>
      </c>
      <c r="I452">
        <v>2424</v>
      </c>
      <c r="J452" t="s">
        <v>6120</v>
      </c>
      <c r="K452">
        <v>2424</v>
      </c>
      <c r="N452">
        <v>2424</v>
      </c>
      <c r="O452">
        <v>2424</v>
      </c>
    </row>
    <row r="453" spans="1:15" hidden="1" x14ac:dyDescent="0.2">
      <c r="A453" s="958" t="s">
        <v>6444</v>
      </c>
      <c r="B453" t="s">
        <v>6436</v>
      </c>
      <c r="C453" s="959">
        <v>45679</v>
      </c>
      <c r="D453" t="s">
        <v>5373</v>
      </c>
      <c r="E453">
        <v>1992</v>
      </c>
      <c r="F453">
        <v>1992</v>
      </c>
      <c r="G453">
        <v>1992</v>
      </c>
      <c r="H453">
        <v>1992</v>
      </c>
      <c r="I453">
        <v>1992</v>
      </c>
      <c r="J453" t="s">
        <v>5374</v>
      </c>
      <c r="K453">
        <v>1992</v>
      </c>
      <c r="N453">
        <v>1992</v>
      </c>
      <c r="O453">
        <v>1992</v>
      </c>
    </row>
    <row r="454" spans="1:15" hidden="1" x14ac:dyDescent="0.2">
      <c r="A454" s="958" t="s">
        <v>6445</v>
      </c>
      <c r="B454" t="s">
        <v>6428</v>
      </c>
      <c r="C454" s="959">
        <v>45680</v>
      </c>
      <c r="D454" t="s">
        <v>5427</v>
      </c>
      <c r="E454">
        <v>636</v>
      </c>
      <c r="F454">
        <v>636</v>
      </c>
      <c r="G454">
        <v>636</v>
      </c>
      <c r="H454">
        <v>636</v>
      </c>
      <c r="I454">
        <v>636</v>
      </c>
      <c r="J454" t="s">
        <v>5428</v>
      </c>
      <c r="K454">
        <v>636</v>
      </c>
      <c r="N454">
        <v>636</v>
      </c>
      <c r="O454">
        <v>636</v>
      </c>
    </row>
    <row r="455" spans="1:15" hidden="1" x14ac:dyDescent="0.2">
      <c r="A455" s="958" t="s">
        <v>6446</v>
      </c>
      <c r="B455" t="s">
        <v>6428</v>
      </c>
      <c r="C455" s="959">
        <v>45680</v>
      </c>
      <c r="D455" t="s">
        <v>5367</v>
      </c>
      <c r="E455">
        <v>6300</v>
      </c>
      <c r="F455">
        <v>6300</v>
      </c>
      <c r="G455">
        <v>6300</v>
      </c>
      <c r="H455">
        <v>6300</v>
      </c>
      <c r="I455">
        <v>6300</v>
      </c>
      <c r="J455" t="s">
        <v>5368</v>
      </c>
      <c r="K455">
        <v>6300</v>
      </c>
      <c r="N455">
        <v>6300</v>
      </c>
      <c r="O455">
        <v>6300</v>
      </c>
    </row>
    <row r="456" spans="1:15" hidden="1" x14ac:dyDescent="0.2">
      <c r="A456" s="958" t="s">
        <v>6447</v>
      </c>
      <c r="B456" t="s">
        <v>6429</v>
      </c>
      <c r="C456" s="959">
        <v>45680</v>
      </c>
      <c r="D456" t="s">
        <v>6437</v>
      </c>
      <c r="E456">
        <v>594</v>
      </c>
      <c r="F456">
        <v>594</v>
      </c>
      <c r="G456">
        <v>594</v>
      </c>
      <c r="H456">
        <v>594</v>
      </c>
      <c r="I456">
        <v>594</v>
      </c>
      <c r="J456" t="s">
        <v>6699</v>
      </c>
      <c r="K456">
        <v>594</v>
      </c>
      <c r="N456">
        <v>594</v>
      </c>
      <c r="O456">
        <v>588</v>
      </c>
    </row>
    <row r="457" spans="1:15" hidden="1" x14ac:dyDescent="0.2">
      <c r="A457" s="958" t="s">
        <v>6448</v>
      </c>
      <c r="B457" t="s">
        <v>6430</v>
      </c>
      <c r="C457" s="959">
        <v>45680</v>
      </c>
      <c r="D457" t="s">
        <v>652</v>
      </c>
      <c r="E457">
        <v>1318.9</v>
      </c>
      <c r="F457">
        <v>1318.9</v>
      </c>
      <c r="G457">
        <v>1318.9</v>
      </c>
      <c r="H457">
        <v>1318.9</v>
      </c>
      <c r="I457">
        <v>1318.9</v>
      </c>
      <c r="J457" t="s">
        <v>5510</v>
      </c>
      <c r="K457">
        <v>1318.9</v>
      </c>
      <c r="L457">
        <v>56.02</v>
      </c>
      <c r="M457">
        <v>73885.83</v>
      </c>
      <c r="N457">
        <v>1318.9</v>
      </c>
      <c r="O457">
        <v>1318.9</v>
      </c>
    </row>
    <row r="458" spans="1:15" hidden="1" x14ac:dyDescent="0.2">
      <c r="A458" s="958" t="s">
        <v>6449</v>
      </c>
      <c r="B458" t="s">
        <v>6431</v>
      </c>
      <c r="C458" s="959">
        <v>45680</v>
      </c>
      <c r="D458" t="s">
        <v>2561</v>
      </c>
      <c r="E458">
        <v>684</v>
      </c>
      <c r="F458">
        <v>684</v>
      </c>
      <c r="G458">
        <v>684</v>
      </c>
      <c r="H458">
        <v>684</v>
      </c>
      <c r="I458">
        <v>684</v>
      </c>
      <c r="J458" t="s">
        <v>5408</v>
      </c>
      <c r="K458">
        <v>684</v>
      </c>
      <c r="L458">
        <v>141.55000000000001</v>
      </c>
      <c r="M458">
        <v>96820.54</v>
      </c>
      <c r="N458">
        <v>684</v>
      </c>
      <c r="O458">
        <v>636</v>
      </c>
    </row>
    <row r="459" spans="1:15" hidden="1" x14ac:dyDescent="0.2">
      <c r="A459" s="958" t="s">
        <v>6450</v>
      </c>
      <c r="B459" t="s">
        <v>6432</v>
      </c>
      <c r="C459" s="959">
        <v>45680</v>
      </c>
      <c r="D459" t="s">
        <v>5289</v>
      </c>
      <c r="E459">
        <v>692.25</v>
      </c>
      <c r="F459">
        <v>692.25</v>
      </c>
      <c r="G459">
        <v>692.25</v>
      </c>
      <c r="H459">
        <v>692.25</v>
      </c>
      <c r="I459">
        <v>692.25</v>
      </c>
      <c r="J459" t="s">
        <v>5489</v>
      </c>
      <c r="K459">
        <v>692.25</v>
      </c>
      <c r="L459">
        <v>117.33</v>
      </c>
      <c r="M459">
        <v>81222.52</v>
      </c>
      <c r="N459">
        <v>692.25</v>
      </c>
      <c r="O459">
        <v>692.25</v>
      </c>
    </row>
    <row r="460" spans="1:15" hidden="1" x14ac:dyDescent="0.2">
      <c r="A460" s="958" t="s">
        <v>6451</v>
      </c>
      <c r="B460" t="s">
        <v>6433</v>
      </c>
      <c r="C460" s="959">
        <v>45680</v>
      </c>
      <c r="D460" t="s">
        <v>2963</v>
      </c>
      <c r="E460">
        <v>1827</v>
      </c>
      <c r="F460">
        <v>1827</v>
      </c>
      <c r="G460">
        <v>1827</v>
      </c>
      <c r="H460">
        <v>1827</v>
      </c>
      <c r="I460">
        <v>1827</v>
      </c>
      <c r="J460" t="s">
        <v>5363</v>
      </c>
      <c r="K460">
        <v>1827</v>
      </c>
      <c r="L460">
        <v>78.44</v>
      </c>
      <c r="M460">
        <v>143313.53</v>
      </c>
      <c r="N460">
        <v>1827</v>
      </c>
      <c r="O460">
        <v>1827</v>
      </c>
    </row>
    <row r="461" spans="1:15" hidden="1" x14ac:dyDescent="0.2">
      <c r="A461" s="958" t="s">
        <v>6452</v>
      </c>
      <c r="B461" t="s">
        <v>6434</v>
      </c>
      <c r="C461" s="959">
        <v>45680</v>
      </c>
      <c r="D461" t="s">
        <v>4673</v>
      </c>
      <c r="E461">
        <v>244.85</v>
      </c>
      <c r="F461">
        <v>244.85</v>
      </c>
      <c r="G461">
        <v>244.85</v>
      </c>
      <c r="H461">
        <v>244.85</v>
      </c>
      <c r="I461">
        <v>244.85</v>
      </c>
      <c r="J461" t="s">
        <v>6435</v>
      </c>
      <c r="K461">
        <v>244.85</v>
      </c>
      <c r="L461">
        <v>90.9</v>
      </c>
      <c r="M461">
        <v>22256.25</v>
      </c>
      <c r="N461">
        <v>244.85</v>
      </c>
      <c r="O461">
        <v>244.85</v>
      </c>
    </row>
    <row r="462" spans="1:15" hidden="1" x14ac:dyDescent="0.2">
      <c r="A462" s="958" t="s">
        <v>6469</v>
      </c>
      <c r="B462" t="s">
        <v>6454</v>
      </c>
      <c r="C462" s="959">
        <v>45684</v>
      </c>
      <c r="D462" t="s">
        <v>4867</v>
      </c>
      <c r="E462">
        <v>1021.8</v>
      </c>
      <c r="F462">
        <v>1021.8</v>
      </c>
      <c r="G462">
        <v>1021.8</v>
      </c>
      <c r="H462">
        <v>1021.8</v>
      </c>
      <c r="I462">
        <v>1021.8</v>
      </c>
      <c r="J462" t="s">
        <v>6462</v>
      </c>
      <c r="K462">
        <v>1021.8</v>
      </c>
      <c r="L462">
        <v>86.23</v>
      </c>
      <c r="M462">
        <v>88111.12</v>
      </c>
      <c r="N462">
        <v>1021.8</v>
      </c>
      <c r="O462">
        <v>1021.8</v>
      </c>
    </row>
    <row r="463" spans="1:15" hidden="1" x14ac:dyDescent="0.2">
      <c r="A463" s="958" t="s">
        <v>6470</v>
      </c>
      <c r="B463" t="s">
        <v>6468</v>
      </c>
      <c r="C463" s="959">
        <v>45684</v>
      </c>
      <c r="D463" t="s">
        <v>3860</v>
      </c>
      <c r="E463">
        <v>774.4</v>
      </c>
      <c r="F463">
        <v>774.4</v>
      </c>
      <c r="G463">
        <v>774.4</v>
      </c>
      <c r="H463">
        <v>774.4</v>
      </c>
      <c r="I463">
        <v>774.4</v>
      </c>
      <c r="J463" t="s">
        <v>6460</v>
      </c>
      <c r="K463">
        <v>774.4</v>
      </c>
      <c r="L463">
        <v>87.88</v>
      </c>
      <c r="M463">
        <v>68050.399999999994</v>
      </c>
      <c r="N463">
        <v>774.4</v>
      </c>
      <c r="O463">
        <v>774.4</v>
      </c>
    </row>
    <row r="464" spans="1:15" hidden="1" x14ac:dyDescent="0.2">
      <c r="A464" s="958" t="s">
        <v>6476</v>
      </c>
      <c r="B464" t="s">
        <v>6472</v>
      </c>
      <c r="C464" s="959">
        <v>45684</v>
      </c>
      <c r="D464" t="s">
        <v>6473</v>
      </c>
      <c r="E464">
        <v>960</v>
      </c>
      <c r="F464">
        <v>960</v>
      </c>
      <c r="G464">
        <v>960</v>
      </c>
      <c r="H464">
        <v>960</v>
      </c>
      <c r="I464">
        <v>960</v>
      </c>
      <c r="J464" t="s">
        <v>6474</v>
      </c>
      <c r="K464">
        <v>960</v>
      </c>
      <c r="L464">
        <v>52.39</v>
      </c>
      <c r="M464">
        <v>50292</v>
      </c>
      <c r="N464">
        <v>960</v>
      </c>
      <c r="O464">
        <v>960</v>
      </c>
    </row>
    <row r="465" spans="1:15" hidden="1" x14ac:dyDescent="0.2">
      <c r="A465" s="958" t="s">
        <v>6477</v>
      </c>
      <c r="B465" t="s">
        <v>6455</v>
      </c>
      <c r="C465" s="959">
        <v>45684</v>
      </c>
      <c r="D465" t="s">
        <v>6464</v>
      </c>
      <c r="E465">
        <v>786</v>
      </c>
      <c r="F465">
        <v>786</v>
      </c>
      <c r="G465">
        <v>786</v>
      </c>
      <c r="H465">
        <v>786</v>
      </c>
      <c r="I465">
        <v>786</v>
      </c>
      <c r="J465" t="s">
        <v>6465</v>
      </c>
      <c r="K465">
        <v>786</v>
      </c>
      <c r="L465">
        <v>40.43</v>
      </c>
      <c r="M465">
        <v>31774.05</v>
      </c>
      <c r="N465">
        <v>786</v>
      </c>
      <c r="O465">
        <v>786</v>
      </c>
    </row>
    <row r="466" spans="1:15" hidden="1" x14ac:dyDescent="0.2">
      <c r="A466" s="958" t="s">
        <v>6478</v>
      </c>
      <c r="B466" t="s">
        <v>6475</v>
      </c>
      <c r="C466" s="959">
        <v>45684</v>
      </c>
      <c r="D466" t="s">
        <v>6119</v>
      </c>
      <c r="E466">
        <v>1092</v>
      </c>
      <c r="F466">
        <v>1092</v>
      </c>
      <c r="G466">
        <v>1092</v>
      </c>
      <c r="H466">
        <v>1092</v>
      </c>
      <c r="I466">
        <v>1092</v>
      </c>
      <c r="J466" t="s">
        <v>6120</v>
      </c>
      <c r="K466">
        <v>1092</v>
      </c>
      <c r="L466">
        <v>51.48</v>
      </c>
      <c r="M466">
        <v>56216.160000000003</v>
      </c>
      <c r="N466">
        <v>1092</v>
      </c>
      <c r="O466">
        <v>1092</v>
      </c>
    </row>
    <row r="467" spans="1:15" hidden="1" x14ac:dyDescent="0.2">
      <c r="A467" s="958" t="s">
        <v>6479</v>
      </c>
      <c r="B467" t="s">
        <v>6475</v>
      </c>
      <c r="C467" s="959">
        <v>45684</v>
      </c>
      <c r="D467" t="s">
        <v>5373</v>
      </c>
      <c r="E467">
        <v>1440</v>
      </c>
      <c r="F467">
        <v>1440</v>
      </c>
      <c r="G467">
        <v>1440</v>
      </c>
      <c r="H467">
        <v>1440</v>
      </c>
      <c r="I467">
        <v>1440</v>
      </c>
      <c r="J467" t="s">
        <v>5374</v>
      </c>
      <c r="K467">
        <v>1440</v>
      </c>
      <c r="L467">
        <v>47.59</v>
      </c>
      <c r="M467">
        <v>68523.839999999997</v>
      </c>
      <c r="N467">
        <v>1440</v>
      </c>
      <c r="O467">
        <v>1440</v>
      </c>
    </row>
    <row r="468" spans="1:15" hidden="1" x14ac:dyDescent="0.2">
      <c r="A468" s="958" t="s">
        <v>6485</v>
      </c>
      <c r="B468" t="s">
        <v>6457</v>
      </c>
      <c r="C468" s="959">
        <v>45685</v>
      </c>
      <c r="D468" t="s">
        <v>2561</v>
      </c>
      <c r="E468">
        <v>120</v>
      </c>
      <c r="F468">
        <v>120</v>
      </c>
      <c r="G468">
        <v>120</v>
      </c>
      <c r="H468">
        <v>120</v>
      </c>
      <c r="I468">
        <v>120</v>
      </c>
      <c r="J468" t="s">
        <v>5408</v>
      </c>
      <c r="K468">
        <v>120</v>
      </c>
      <c r="L468">
        <v>141.55000000000001</v>
      </c>
      <c r="M468">
        <v>16986</v>
      </c>
      <c r="N468">
        <v>120</v>
      </c>
      <c r="O468">
        <v>120</v>
      </c>
    </row>
    <row r="469" spans="1:15" hidden="1" x14ac:dyDescent="0.2">
      <c r="A469" s="958" t="s">
        <v>6486</v>
      </c>
      <c r="B469" t="s">
        <v>6456</v>
      </c>
      <c r="C469" s="959">
        <v>45685</v>
      </c>
      <c r="D469" t="s">
        <v>1734</v>
      </c>
      <c r="E469">
        <v>1104</v>
      </c>
      <c r="F469">
        <v>1104</v>
      </c>
      <c r="G469">
        <v>1104</v>
      </c>
      <c r="H469">
        <v>1104</v>
      </c>
      <c r="I469">
        <v>1104</v>
      </c>
      <c r="J469" t="s">
        <v>6480</v>
      </c>
      <c r="K469">
        <v>1104</v>
      </c>
      <c r="L469">
        <v>67.930000000000007</v>
      </c>
      <c r="M469">
        <v>74996.38</v>
      </c>
      <c r="N469">
        <v>1104</v>
      </c>
      <c r="O469">
        <v>1104</v>
      </c>
    </row>
    <row r="470" spans="1:15" hidden="1" x14ac:dyDescent="0.2">
      <c r="A470" s="958" t="s">
        <v>6487</v>
      </c>
      <c r="B470" t="s">
        <v>6458</v>
      </c>
      <c r="C470" s="959">
        <v>45685</v>
      </c>
      <c r="D470" t="s">
        <v>6481</v>
      </c>
      <c r="E470">
        <v>372</v>
      </c>
      <c r="F470">
        <v>372</v>
      </c>
      <c r="G470">
        <v>372</v>
      </c>
      <c r="H470">
        <v>372</v>
      </c>
      <c r="I470">
        <v>372</v>
      </c>
      <c r="J470" t="s">
        <v>6482</v>
      </c>
      <c r="K470">
        <v>372</v>
      </c>
      <c r="L470">
        <v>196.67</v>
      </c>
      <c r="M470">
        <v>73160.679999999993</v>
      </c>
      <c r="N470">
        <v>372</v>
      </c>
      <c r="O470">
        <v>372</v>
      </c>
    </row>
    <row r="471" spans="1:15" hidden="1" x14ac:dyDescent="0.2">
      <c r="A471" s="958" t="s">
        <v>6488</v>
      </c>
      <c r="B471" t="s">
        <v>6459</v>
      </c>
      <c r="C471" s="959">
        <v>45685</v>
      </c>
      <c r="D471" t="s">
        <v>6483</v>
      </c>
      <c r="E471">
        <v>1131.3499999999999</v>
      </c>
      <c r="F471">
        <v>1131.3499999999999</v>
      </c>
      <c r="G471">
        <v>1131.3499999999999</v>
      </c>
      <c r="H471">
        <v>1131.3499999999999</v>
      </c>
      <c r="I471">
        <v>1131.3499999999999</v>
      </c>
      <c r="J471" t="s">
        <v>6484</v>
      </c>
      <c r="K471">
        <v>1131.3499999999999</v>
      </c>
      <c r="L471">
        <v>80.7</v>
      </c>
      <c r="M471">
        <v>91295.42</v>
      </c>
      <c r="N471">
        <v>1131.3499999999999</v>
      </c>
      <c r="O471">
        <v>1131.3499999999999</v>
      </c>
    </row>
    <row r="472" spans="1:15" hidden="1" x14ac:dyDescent="0.2">
      <c r="A472" s="958" t="s">
        <v>6489</v>
      </c>
      <c r="B472" t="s">
        <v>6461</v>
      </c>
      <c r="C472" s="959">
        <v>45685</v>
      </c>
      <c r="D472" t="s">
        <v>149</v>
      </c>
      <c r="E472">
        <v>720</v>
      </c>
      <c r="F472">
        <v>720</v>
      </c>
      <c r="G472">
        <v>720</v>
      </c>
      <c r="H472">
        <v>720</v>
      </c>
      <c r="I472">
        <v>720</v>
      </c>
      <c r="J472" t="s">
        <v>5481</v>
      </c>
      <c r="K472">
        <v>720</v>
      </c>
      <c r="L472">
        <v>83.54</v>
      </c>
      <c r="M472">
        <v>60147.360000000001</v>
      </c>
      <c r="N472">
        <v>720</v>
      </c>
      <c r="O472">
        <v>720</v>
      </c>
    </row>
    <row r="473" spans="1:15" hidden="1" x14ac:dyDescent="0.2">
      <c r="A473" s="958" t="s">
        <v>6493</v>
      </c>
      <c r="B473" t="s">
        <v>6490</v>
      </c>
      <c r="C473" s="959">
        <v>45687</v>
      </c>
      <c r="D473" t="s">
        <v>4813</v>
      </c>
      <c r="E473">
        <v>1830</v>
      </c>
      <c r="F473">
        <v>1830</v>
      </c>
      <c r="G473">
        <v>1830</v>
      </c>
      <c r="H473">
        <v>1830</v>
      </c>
      <c r="I473">
        <v>1830</v>
      </c>
      <c r="J473" t="s">
        <v>4148</v>
      </c>
      <c r="K473">
        <v>1830</v>
      </c>
      <c r="L473">
        <v>140.69</v>
      </c>
      <c r="M473">
        <v>257455.38</v>
      </c>
      <c r="N473">
        <v>1830</v>
      </c>
      <c r="O473">
        <v>1470</v>
      </c>
    </row>
    <row r="474" spans="1:15" hidden="1" x14ac:dyDescent="0.2">
      <c r="A474" s="958" t="s">
        <v>6496</v>
      </c>
      <c r="B474" t="s">
        <v>6494</v>
      </c>
      <c r="C474" s="959">
        <v>45687</v>
      </c>
      <c r="D474" t="s">
        <v>4461</v>
      </c>
      <c r="E474">
        <v>180</v>
      </c>
      <c r="F474">
        <v>180</v>
      </c>
      <c r="G474">
        <v>180</v>
      </c>
      <c r="H474">
        <v>180</v>
      </c>
      <c r="I474">
        <v>180</v>
      </c>
      <c r="J474" t="s">
        <v>5391</v>
      </c>
      <c r="K474">
        <v>180</v>
      </c>
      <c r="L474">
        <v>141.05000000000001</v>
      </c>
      <c r="M474">
        <v>25389</v>
      </c>
      <c r="N474">
        <v>180</v>
      </c>
      <c r="O474">
        <v>180</v>
      </c>
    </row>
    <row r="475" spans="1:15" hidden="1" x14ac:dyDescent="0.2">
      <c r="A475" s="958" t="s">
        <v>6503</v>
      </c>
      <c r="B475" t="s">
        <v>6495</v>
      </c>
      <c r="C475" s="959">
        <v>45688</v>
      </c>
      <c r="D475" t="s">
        <v>6498</v>
      </c>
      <c r="E475">
        <v>78</v>
      </c>
      <c r="F475">
        <v>78</v>
      </c>
      <c r="G475">
        <v>78</v>
      </c>
      <c r="H475">
        <v>78</v>
      </c>
      <c r="I475">
        <v>78</v>
      </c>
      <c r="J475" t="s">
        <v>6499</v>
      </c>
      <c r="K475">
        <v>78</v>
      </c>
      <c r="L475">
        <v>294.87</v>
      </c>
      <c r="M475">
        <v>23000</v>
      </c>
      <c r="N475">
        <v>78</v>
      </c>
      <c r="O475">
        <v>78</v>
      </c>
    </row>
    <row r="476" spans="1:15" hidden="1" x14ac:dyDescent="0.2">
      <c r="A476" s="958" t="s">
        <v>6504</v>
      </c>
      <c r="B476" t="s">
        <v>6495</v>
      </c>
      <c r="C476" s="959">
        <v>45688</v>
      </c>
      <c r="D476" t="s">
        <v>6500</v>
      </c>
      <c r="E476">
        <v>48</v>
      </c>
      <c r="F476">
        <v>48</v>
      </c>
      <c r="G476">
        <v>48</v>
      </c>
      <c r="H476">
        <v>48</v>
      </c>
      <c r="I476">
        <v>48</v>
      </c>
      <c r="J476" t="s">
        <v>6501</v>
      </c>
      <c r="K476">
        <v>48</v>
      </c>
      <c r="L476">
        <v>479.17</v>
      </c>
      <c r="M476">
        <v>23000</v>
      </c>
      <c r="N476">
        <v>48</v>
      </c>
      <c r="O476">
        <v>48</v>
      </c>
    </row>
    <row r="477" spans="1:15" hidden="1" x14ac:dyDescent="0.2">
      <c r="A477" s="958" t="s">
        <v>6505</v>
      </c>
      <c r="B477" t="s">
        <v>6502</v>
      </c>
      <c r="C477" s="959">
        <v>45688</v>
      </c>
      <c r="D477" t="s">
        <v>5010</v>
      </c>
      <c r="E477">
        <v>168</v>
      </c>
      <c r="F477">
        <v>168</v>
      </c>
      <c r="G477">
        <v>168</v>
      </c>
      <c r="H477">
        <v>168</v>
      </c>
      <c r="I477">
        <v>168</v>
      </c>
      <c r="J477" t="s">
        <v>5413</v>
      </c>
      <c r="K477">
        <v>168</v>
      </c>
      <c r="L477">
        <v>310.17</v>
      </c>
      <c r="M477">
        <v>52108</v>
      </c>
      <c r="N477">
        <v>168</v>
      </c>
      <c r="O477">
        <v>168</v>
      </c>
    </row>
    <row r="478" spans="1:15" hidden="1" x14ac:dyDescent="0.2">
      <c r="A478" s="958" t="s">
        <v>6507</v>
      </c>
      <c r="B478" t="s">
        <v>6506</v>
      </c>
      <c r="C478" s="959">
        <v>45691</v>
      </c>
      <c r="D478" t="s">
        <v>5161</v>
      </c>
      <c r="E478">
        <v>645</v>
      </c>
      <c r="F478">
        <v>645</v>
      </c>
      <c r="G478">
        <v>167</v>
      </c>
      <c r="H478">
        <v>645</v>
      </c>
      <c r="I478">
        <v>167</v>
      </c>
      <c r="J478" t="s">
        <v>5463</v>
      </c>
      <c r="K478">
        <v>645</v>
      </c>
      <c r="L478">
        <v>1707.9</v>
      </c>
      <c r="M478">
        <v>1101595.5</v>
      </c>
      <c r="N478">
        <v>645</v>
      </c>
      <c r="O478">
        <v>645</v>
      </c>
    </row>
    <row r="479" spans="1:15" hidden="1" x14ac:dyDescent="0.2">
      <c r="A479" s="958" t="s">
        <v>6512</v>
      </c>
      <c r="B479" t="s">
        <v>6510</v>
      </c>
      <c r="C479" s="959">
        <v>45692</v>
      </c>
      <c r="D479" t="s">
        <v>3942</v>
      </c>
      <c r="E479">
        <v>441</v>
      </c>
      <c r="F479">
        <v>441</v>
      </c>
      <c r="G479">
        <v>441</v>
      </c>
      <c r="H479">
        <v>441</v>
      </c>
      <c r="I479">
        <v>441</v>
      </c>
      <c r="J479" t="s">
        <v>6511</v>
      </c>
      <c r="K479">
        <v>441</v>
      </c>
      <c r="L479">
        <v>70.53</v>
      </c>
      <c r="M479">
        <v>31102.67</v>
      </c>
      <c r="N479">
        <v>441</v>
      </c>
      <c r="O479">
        <v>441</v>
      </c>
    </row>
    <row r="480" spans="1:15" hidden="1" x14ac:dyDescent="0.2">
      <c r="A480" s="958" t="s">
        <v>6567</v>
      </c>
      <c r="B480" t="s">
        <v>6538</v>
      </c>
      <c r="C480" s="959">
        <v>45693</v>
      </c>
      <c r="D480" t="s">
        <v>38</v>
      </c>
      <c r="E480">
        <v>5082</v>
      </c>
      <c r="F480">
        <v>5082</v>
      </c>
      <c r="G480">
        <v>5082</v>
      </c>
      <c r="H480">
        <v>5082</v>
      </c>
      <c r="I480">
        <v>5082</v>
      </c>
      <c r="J480" t="s">
        <v>6539</v>
      </c>
      <c r="K480">
        <v>5082</v>
      </c>
      <c r="L480">
        <v>32.700000000000003</v>
      </c>
      <c r="M480">
        <v>166181.4</v>
      </c>
      <c r="N480">
        <v>5082</v>
      </c>
      <c r="O480">
        <v>5082</v>
      </c>
    </row>
    <row r="481" spans="1:15" hidden="1" x14ac:dyDescent="0.2">
      <c r="A481" s="958" t="s">
        <v>6576</v>
      </c>
      <c r="B481" t="s">
        <v>6571</v>
      </c>
      <c r="C481" s="959">
        <v>45694</v>
      </c>
      <c r="D481" t="s">
        <v>3950</v>
      </c>
      <c r="E481">
        <v>510</v>
      </c>
      <c r="F481">
        <v>510</v>
      </c>
      <c r="G481">
        <v>510</v>
      </c>
      <c r="H481">
        <v>510</v>
      </c>
      <c r="I481">
        <v>510</v>
      </c>
      <c r="J481" t="s">
        <v>6572</v>
      </c>
      <c r="K481">
        <v>510</v>
      </c>
      <c r="L481">
        <v>121.32</v>
      </c>
      <c r="M481">
        <v>61872.44</v>
      </c>
      <c r="N481">
        <v>510</v>
      </c>
      <c r="O481">
        <v>510</v>
      </c>
    </row>
    <row r="482" spans="1:15" hidden="1" x14ac:dyDescent="0.2">
      <c r="A482" s="958" t="s">
        <v>6577</v>
      </c>
      <c r="B482" t="s">
        <v>6573</v>
      </c>
      <c r="C482" s="959">
        <v>45694</v>
      </c>
      <c r="D482" t="s">
        <v>5158</v>
      </c>
      <c r="E482">
        <v>1400.4</v>
      </c>
      <c r="F482">
        <v>1400.4</v>
      </c>
      <c r="G482">
        <v>1400.4</v>
      </c>
      <c r="H482">
        <v>1400.4</v>
      </c>
      <c r="I482">
        <v>1400.4</v>
      </c>
      <c r="J482" t="s">
        <v>5460</v>
      </c>
      <c r="K482">
        <v>1400.4</v>
      </c>
      <c r="L482">
        <v>159.21</v>
      </c>
      <c r="M482">
        <v>222962.73</v>
      </c>
      <c r="N482">
        <v>1400.4</v>
      </c>
      <c r="O482">
        <v>1378.8</v>
      </c>
    </row>
    <row r="483" spans="1:15" hidden="1" x14ac:dyDescent="0.2">
      <c r="A483" s="958" t="s">
        <v>6578</v>
      </c>
      <c r="B483" t="s">
        <v>6574</v>
      </c>
      <c r="C483" s="959">
        <v>45694</v>
      </c>
      <c r="D483" t="s">
        <v>4673</v>
      </c>
      <c r="E483">
        <v>161.85</v>
      </c>
      <c r="F483">
        <v>161.85</v>
      </c>
      <c r="G483">
        <v>161.85</v>
      </c>
      <c r="H483">
        <v>161.85</v>
      </c>
      <c r="I483">
        <v>161.85</v>
      </c>
      <c r="J483" t="s">
        <v>6435</v>
      </c>
      <c r="K483">
        <v>161.85</v>
      </c>
      <c r="L483">
        <v>97.25</v>
      </c>
      <c r="M483">
        <v>15740.16</v>
      </c>
      <c r="N483">
        <v>161.85</v>
      </c>
      <c r="O483">
        <v>161.85</v>
      </c>
    </row>
    <row r="484" spans="1:15" hidden="1" x14ac:dyDescent="0.2">
      <c r="A484" s="958" t="s">
        <v>6579</v>
      </c>
      <c r="B484" t="s">
        <v>6574</v>
      </c>
      <c r="C484" s="959">
        <v>45694</v>
      </c>
      <c r="D484" t="s">
        <v>4276</v>
      </c>
      <c r="E484">
        <v>1228.2</v>
      </c>
      <c r="F484">
        <v>1228.2</v>
      </c>
      <c r="G484">
        <v>1228.2</v>
      </c>
      <c r="H484">
        <v>1228.2</v>
      </c>
      <c r="I484">
        <v>1228.2</v>
      </c>
      <c r="J484" t="s">
        <v>6712</v>
      </c>
      <c r="K484">
        <v>1228.2</v>
      </c>
      <c r="L484">
        <v>146.07</v>
      </c>
      <c r="M484">
        <v>179403.3</v>
      </c>
      <c r="N484">
        <v>1228.2</v>
      </c>
      <c r="O484">
        <v>1228.2</v>
      </c>
    </row>
    <row r="485" spans="1:15" hidden="1" x14ac:dyDescent="0.2">
      <c r="A485" s="958" t="s">
        <v>6580</v>
      </c>
      <c r="B485" t="s">
        <v>6575</v>
      </c>
      <c r="C485" s="959">
        <v>45694</v>
      </c>
      <c r="D485" t="s">
        <v>4866</v>
      </c>
      <c r="E485">
        <v>706.16</v>
      </c>
      <c r="F485">
        <v>706.16</v>
      </c>
      <c r="G485">
        <v>706.16</v>
      </c>
      <c r="H485">
        <v>706.16</v>
      </c>
      <c r="I485">
        <v>706.16</v>
      </c>
      <c r="J485" t="s">
        <v>6569</v>
      </c>
      <c r="K485">
        <v>706.16</v>
      </c>
      <c r="L485">
        <v>123.49</v>
      </c>
      <c r="M485">
        <v>87204</v>
      </c>
      <c r="N485">
        <v>706.16</v>
      </c>
      <c r="O485">
        <v>706.16</v>
      </c>
    </row>
    <row r="486" spans="1:15" hidden="1" x14ac:dyDescent="0.2">
      <c r="A486" s="958" t="s">
        <v>6610</v>
      </c>
      <c r="B486" t="s">
        <v>6589</v>
      </c>
      <c r="C486" s="959">
        <v>45699</v>
      </c>
      <c r="D486" t="s">
        <v>4276</v>
      </c>
      <c r="E486">
        <v>115.7</v>
      </c>
      <c r="F486">
        <v>115.7</v>
      </c>
      <c r="G486">
        <v>115.7</v>
      </c>
      <c r="H486">
        <v>115.7</v>
      </c>
      <c r="I486">
        <v>115.7</v>
      </c>
      <c r="J486" t="s">
        <v>6712</v>
      </c>
      <c r="K486">
        <v>115.7</v>
      </c>
      <c r="L486">
        <v>146.07</v>
      </c>
      <c r="M486">
        <v>16900.310000000001</v>
      </c>
      <c r="N486">
        <v>115.7</v>
      </c>
      <c r="O486">
        <v>115.7</v>
      </c>
    </row>
    <row r="487" spans="1:15" hidden="1" x14ac:dyDescent="0.2">
      <c r="A487" s="958" t="s">
        <v>6611</v>
      </c>
      <c r="B487" t="s">
        <v>6582</v>
      </c>
      <c r="C487" s="959">
        <v>45699</v>
      </c>
      <c r="D487" t="s">
        <v>6594</v>
      </c>
      <c r="E487">
        <v>7</v>
      </c>
      <c r="F487">
        <v>7</v>
      </c>
      <c r="G487">
        <v>7</v>
      </c>
      <c r="H487">
        <v>7</v>
      </c>
      <c r="I487">
        <v>7</v>
      </c>
      <c r="J487" t="s">
        <v>6595</v>
      </c>
      <c r="K487">
        <v>7</v>
      </c>
      <c r="L487">
        <v>548.57000000000005</v>
      </c>
      <c r="M487">
        <v>3840</v>
      </c>
      <c r="N487">
        <v>7</v>
      </c>
      <c r="O487">
        <v>7</v>
      </c>
    </row>
    <row r="488" spans="1:15" hidden="1" x14ac:dyDescent="0.2">
      <c r="A488" s="958" t="s">
        <v>6612</v>
      </c>
      <c r="B488" t="s">
        <v>6582</v>
      </c>
      <c r="C488" s="959">
        <v>45699</v>
      </c>
      <c r="D488" t="s">
        <v>6596</v>
      </c>
      <c r="E488">
        <v>5</v>
      </c>
      <c r="F488">
        <v>5</v>
      </c>
      <c r="G488">
        <v>5</v>
      </c>
      <c r="H488">
        <v>5</v>
      </c>
      <c r="I488">
        <v>5</v>
      </c>
      <c r="J488" t="s">
        <v>6597</v>
      </c>
      <c r="K488">
        <v>5</v>
      </c>
      <c r="L488">
        <v>548.6</v>
      </c>
      <c r="M488">
        <v>2743</v>
      </c>
      <c r="N488">
        <v>5</v>
      </c>
      <c r="O488">
        <v>5</v>
      </c>
    </row>
    <row r="489" spans="1:15" hidden="1" x14ac:dyDescent="0.2">
      <c r="A489" s="958" t="s">
        <v>6613</v>
      </c>
      <c r="B489" t="s">
        <v>6582</v>
      </c>
      <c r="C489" s="959">
        <v>45699</v>
      </c>
      <c r="D489" t="s">
        <v>6598</v>
      </c>
      <c r="E489">
        <v>7</v>
      </c>
      <c r="F489">
        <v>7</v>
      </c>
      <c r="G489">
        <v>7</v>
      </c>
      <c r="H489">
        <v>7</v>
      </c>
      <c r="I489">
        <v>7</v>
      </c>
      <c r="J489" t="s">
        <v>6599</v>
      </c>
      <c r="K489">
        <v>7</v>
      </c>
      <c r="L489">
        <v>548.57000000000005</v>
      </c>
      <c r="M489">
        <v>3840</v>
      </c>
      <c r="N489">
        <v>7</v>
      </c>
      <c r="O489">
        <v>7</v>
      </c>
    </row>
    <row r="490" spans="1:15" hidden="1" x14ac:dyDescent="0.2">
      <c r="A490" s="958" t="s">
        <v>6614</v>
      </c>
      <c r="B490" t="s">
        <v>6582</v>
      </c>
      <c r="C490" s="959">
        <v>45699</v>
      </c>
      <c r="D490" t="s">
        <v>6600</v>
      </c>
      <c r="E490">
        <v>5</v>
      </c>
      <c r="F490">
        <v>5</v>
      </c>
      <c r="G490">
        <v>5</v>
      </c>
      <c r="H490">
        <v>5</v>
      </c>
      <c r="I490">
        <v>5</v>
      </c>
      <c r="J490" t="s">
        <v>6601</v>
      </c>
      <c r="K490">
        <v>5</v>
      </c>
      <c r="L490">
        <v>548.6</v>
      </c>
      <c r="M490">
        <v>2743</v>
      </c>
      <c r="N490">
        <v>5</v>
      </c>
      <c r="O490">
        <v>5</v>
      </c>
    </row>
    <row r="491" spans="1:15" hidden="1" x14ac:dyDescent="0.2">
      <c r="A491" s="958" t="s">
        <v>6615</v>
      </c>
      <c r="B491" t="s">
        <v>6582</v>
      </c>
      <c r="C491" s="959">
        <v>45699</v>
      </c>
      <c r="D491" t="s">
        <v>6602</v>
      </c>
      <c r="E491">
        <v>7</v>
      </c>
      <c r="F491">
        <v>7</v>
      </c>
      <c r="G491">
        <v>7</v>
      </c>
      <c r="H491">
        <v>7</v>
      </c>
      <c r="I491">
        <v>7</v>
      </c>
      <c r="J491" t="s">
        <v>6603</v>
      </c>
      <c r="K491">
        <v>7</v>
      </c>
      <c r="L491">
        <v>548.57000000000005</v>
      </c>
      <c r="M491">
        <v>3840</v>
      </c>
      <c r="N491">
        <v>7</v>
      </c>
      <c r="O491">
        <v>7</v>
      </c>
    </row>
    <row r="492" spans="1:15" hidden="1" x14ac:dyDescent="0.2">
      <c r="A492" s="958" t="s">
        <v>6616</v>
      </c>
      <c r="B492" t="s">
        <v>6582</v>
      </c>
      <c r="C492" s="959">
        <v>45699</v>
      </c>
      <c r="D492" t="s">
        <v>6604</v>
      </c>
      <c r="E492">
        <v>5</v>
      </c>
      <c r="F492">
        <v>5</v>
      </c>
      <c r="G492">
        <v>5</v>
      </c>
      <c r="H492">
        <v>5</v>
      </c>
      <c r="I492">
        <v>5</v>
      </c>
      <c r="J492" t="s">
        <v>6605</v>
      </c>
      <c r="K492">
        <v>5</v>
      </c>
      <c r="L492">
        <v>548.79999999999995</v>
      </c>
      <c r="M492">
        <v>2744</v>
      </c>
      <c r="N492">
        <v>5</v>
      </c>
      <c r="O492">
        <v>5</v>
      </c>
    </row>
    <row r="493" spans="1:15" hidden="1" x14ac:dyDescent="0.2">
      <c r="A493" s="958" t="s">
        <v>6617</v>
      </c>
      <c r="B493" t="s">
        <v>6583</v>
      </c>
      <c r="C493" s="959">
        <v>45699</v>
      </c>
      <c r="D493" t="s">
        <v>6117</v>
      </c>
      <c r="E493">
        <v>501</v>
      </c>
      <c r="F493">
        <v>501</v>
      </c>
      <c r="G493">
        <v>501</v>
      </c>
      <c r="H493">
        <v>501</v>
      </c>
      <c r="I493">
        <v>501</v>
      </c>
      <c r="J493" t="s">
        <v>6118</v>
      </c>
      <c r="K493">
        <v>501</v>
      </c>
      <c r="L493">
        <v>82.67</v>
      </c>
      <c r="M493">
        <v>41417.67</v>
      </c>
      <c r="N493">
        <v>501</v>
      </c>
      <c r="O493">
        <v>486</v>
      </c>
    </row>
    <row r="494" spans="1:15" hidden="1" x14ac:dyDescent="0.2">
      <c r="A494" s="958" t="s">
        <v>6618</v>
      </c>
      <c r="B494" t="s">
        <v>6606</v>
      </c>
      <c r="C494" s="959">
        <v>45699</v>
      </c>
      <c r="D494" t="s">
        <v>6103</v>
      </c>
      <c r="E494">
        <v>50</v>
      </c>
      <c r="F494">
        <v>50</v>
      </c>
      <c r="G494">
        <v>50</v>
      </c>
      <c r="H494">
        <v>50</v>
      </c>
      <c r="I494">
        <v>50</v>
      </c>
      <c r="J494" t="s">
        <v>6104</v>
      </c>
      <c r="K494">
        <v>50</v>
      </c>
      <c r="L494">
        <v>65.069999999999993</v>
      </c>
      <c r="M494">
        <v>3253.25</v>
      </c>
      <c r="N494">
        <v>50</v>
      </c>
      <c r="O494">
        <v>50</v>
      </c>
    </row>
    <row r="495" spans="1:15" hidden="1" x14ac:dyDescent="0.2">
      <c r="A495" s="958" t="s">
        <v>6625</v>
      </c>
      <c r="B495" t="s">
        <v>6620</v>
      </c>
      <c r="C495" s="959">
        <v>45700</v>
      </c>
      <c r="D495" t="s">
        <v>5215</v>
      </c>
      <c r="E495">
        <v>1696.5</v>
      </c>
      <c r="F495">
        <v>1696.5</v>
      </c>
      <c r="G495">
        <v>1696.5</v>
      </c>
      <c r="H495">
        <v>1696.5</v>
      </c>
      <c r="I495">
        <v>1696.5</v>
      </c>
      <c r="J495" t="s">
        <v>5474</v>
      </c>
      <c r="K495">
        <v>1696.5</v>
      </c>
      <c r="L495">
        <v>84.85</v>
      </c>
      <c r="M495">
        <v>143943.20000000001</v>
      </c>
      <c r="N495">
        <v>1696.5</v>
      </c>
      <c r="O495">
        <v>1696.5</v>
      </c>
    </row>
    <row r="496" spans="1:15" hidden="1" x14ac:dyDescent="0.2">
      <c r="A496" s="958" t="s">
        <v>6626</v>
      </c>
      <c r="B496" t="s">
        <v>6621</v>
      </c>
      <c r="C496" s="959">
        <v>45700</v>
      </c>
      <c r="D496" t="s">
        <v>6535</v>
      </c>
      <c r="E496">
        <v>44</v>
      </c>
      <c r="F496">
        <v>44</v>
      </c>
      <c r="G496">
        <v>44</v>
      </c>
      <c r="H496">
        <v>44</v>
      </c>
      <c r="I496">
        <v>44</v>
      </c>
      <c r="J496" t="s">
        <v>6799</v>
      </c>
      <c r="K496">
        <v>44</v>
      </c>
      <c r="L496">
        <v>2194.3000000000002</v>
      </c>
      <c r="M496">
        <v>96549.2</v>
      </c>
      <c r="N496">
        <v>44</v>
      </c>
      <c r="O496">
        <v>44</v>
      </c>
    </row>
    <row r="497" spans="1:15" hidden="1" x14ac:dyDescent="0.2">
      <c r="A497" s="958" t="s">
        <v>6627</v>
      </c>
      <c r="B497" t="s">
        <v>6621</v>
      </c>
      <c r="C497" s="959">
        <v>45700</v>
      </c>
      <c r="D497" t="s">
        <v>6536</v>
      </c>
      <c r="E497">
        <v>56</v>
      </c>
      <c r="F497">
        <v>56</v>
      </c>
      <c r="G497">
        <v>56</v>
      </c>
      <c r="H497">
        <v>56</v>
      </c>
      <c r="I497">
        <v>56</v>
      </c>
      <c r="J497" t="s">
        <v>6570</v>
      </c>
      <c r="K497">
        <v>56</v>
      </c>
      <c r="L497">
        <v>2637.5</v>
      </c>
      <c r="M497">
        <v>147700</v>
      </c>
      <c r="N497">
        <v>56</v>
      </c>
      <c r="O497">
        <v>56</v>
      </c>
    </row>
    <row r="498" spans="1:15" hidden="1" x14ac:dyDescent="0.2">
      <c r="A498" s="958" t="s">
        <v>6628</v>
      </c>
      <c r="B498" t="s">
        <v>6621</v>
      </c>
      <c r="C498" s="959">
        <v>45700</v>
      </c>
      <c r="D498" t="s">
        <v>6622</v>
      </c>
      <c r="E498">
        <v>64</v>
      </c>
      <c r="F498">
        <v>64</v>
      </c>
      <c r="G498">
        <v>64</v>
      </c>
      <c r="H498">
        <v>64</v>
      </c>
      <c r="I498">
        <v>64</v>
      </c>
      <c r="J498" t="s">
        <v>6800</v>
      </c>
      <c r="K498">
        <v>64</v>
      </c>
      <c r="L498">
        <v>961.7</v>
      </c>
      <c r="M498">
        <v>61548.800000000003</v>
      </c>
      <c r="N498">
        <v>64</v>
      </c>
      <c r="O498">
        <v>64</v>
      </c>
    </row>
    <row r="499" spans="1:15" hidden="1" x14ac:dyDescent="0.2">
      <c r="A499" s="958" t="s">
        <v>6629</v>
      </c>
      <c r="B499" t="s">
        <v>6621</v>
      </c>
      <c r="C499" s="959">
        <v>45700</v>
      </c>
      <c r="D499" t="s">
        <v>6623</v>
      </c>
      <c r="E499">
        <v>14</v>
      </c>
      <c r="F499">
        <v>14</v>
      </c>
      <c r="G499">
        <v>14</v>
      </c>
      <c r="H499">
        <v>14</v>
      </c>
      <c r="I499">
        <v>14</v>
      </c>
      <c r="J499" t="s">
        <v>6801</v>
      </c>
      <c r="K499">
        <v>14</v>
      </c>
      <c r="L499">
        <v>2985.7</v>
      </c>
      <c r="M499">
        <v>41799.800000000003</v>
      </c>
      <c r="N499">
        <v>14</v>
      </c>
      <c r="O499">
        <v>14</v>
      </c>
    </row>
    <row r="500" spans="1:15" hidden="1" x14ac:dyDescent="0.2">
      <c r="A500" s="958" t="s">
        <v>6630</v>
      </c>
      <c r="B500" t="s">
        <v>6624</v>
      </c>
      <c r="C500" s="959">
        <v>45700</v>
      </c>
      <c r="D500" t="s">
        <v>5214</v>
      </c>
      <c r="E500">
        <v>212.7</v>
      </c>
      <c r="F500">
        <v>212.7</v>
      </c>
      <c r="G500">
        <v>212.7</v>
      </c>
      <c r="H500">
        <v>212.7</v>
      </c>
      <c r="I500">
        <v>212.7</v>
      </c>
      <c r="J500" t="s">
        <v>5473</v>
      </c>
      <c r="K500">
        <v>212.7</v>
      </c>
      <c r="L500">
        <v>136.76</v>
      </c>
      <c r="M500">
        <v>29088</v>
      </c>
      <c r="N500">
        <v>212.7</v>
      </c>
      <c r="O500">
        <v>212.7</v>
      </c>
    </row>
    <row r="501" spans="1:15" hidden="1" x14ac:dyDescent="0.2">
      <c r="A501" s="958" t="s">
        <v>6619</v>
      </c>
      <c r="B501" t="s">
        <v>6607</v>
      </c>
      <c r="C501" s="959">
        <v>45701</v>
      </c>
      <c r="D501" t="s">
        <v>6608</v>
      </c>
      <c r="E501">
        <v>180</v>
      </c>
      <c r="F501">
        <v>180</v>
      </c>
      <c r="G501">
        <v>180</v>
      </c>
      <c r="H501">
        <v>180</v>
      </c>
      <c r="I501">
        <v>180</v>
      </c>
      <c r="J501" t="s">
        <v>6609</v>
      </c>
      <c r="K501">
        <v>180</v>
      </c>
      <c r="L501">
        <v>255.56</v>
      </c>
      <c r="M501">
        <v>46000</v>
      </c>
      <c r="N501">
        <v>180</v>
      </c>
      <c r="O501">
        <v>180</v>
      </c>
    </row>
    <row r="502" spans="1:15" hidden="1" x14ac:dyDescent="0.2">
      <c r="A502" s="958" t="s">
        <v>6635</v>
      </c>
      <c r="B502" t="s">
        <v>6633</v>
      </c>
      <c r="C502" s="959">
        <v>45702</v>
      </c>
      <c r="D502" t="s">
        <v>4868</v>
      </c>
      <c r="E502">
        <v>567.20000000000005</v>
      </c>
      <c r="F502">
        <v>567.20000000000005</v>
      </c>
      <c r="G502">
        <v>567.20000000000005</v>
      </c>
      <c r="H502">
        <v>567.20000000000005</v>
      </c>
      <c r="I502">
        <v>567.20000000000005</v>
      </c>
      <c r="J502" t="s">
        <v>6590</v>
      </c>
      <c r="K502">
        <v>567.20000000000005</v>
      </c>
      <c r="L502">
        <v>102.5</v>
      </c>
      <c r="M502">
        <v>58136</v>
      </c>
      <c r="N502">
        <v>567.20000000000005</v>
      </c>
      <c r="O502">
        <v>567.20000000000005</v>
      </c>
    </row>
    <row r="503" spans="1:15" hidden="1" x14ac:dyDescent="0.2">
      <c r="A503" s="958" t="s">
        <v>6636</v>
      </c>
      <c r="B503" t="s">
        <v>6584</v>
      </c>
      <c r="C503" s="959">
        <v>45702</v>
      </c>
      <c r="D503" t="s">
        <v>678</v>
      </c>
      <c r="E503">
        <v>335</v>
      </c>
      <c r="F503">
        <v>335</v>
      </c>
      <c r="G503">
        <v>335</v>
      </c>
      <c r="H503">
        <v>335</v>
      </c>
      <c r="I503">
        <v>335</v>
      </c>
      <c r="J503" t="s">
        <v>6634</v>
      </c>
      <c r="K503">
        <v>335</v>
      </c>
      <c r="L503">
        <v>205.66</v>
      </c>
      <c r="M503">
        <v>68896.100000000006</v>
      </c>
      <c r="N503">
        <v>335</v>
      </c>
      <c r="O503">
        <v>335</v>
      </c>
    </row>
    <row r="504" spans="1:15" hidden="1" x14ac:dyDescent="0.2">
      <c r="A504" s="958" t="s">
        <v>6640</v>
      </c>
      <c r="B504" t="s">
        <v>6639</v>
      </c>
      <c r="C504" s="959">
        <v>45705</v>
      </c>
      <c r="D504" t="s">
        <v>6591</v>
      </c>
      <c r="E504">
        <v>618</v>
      </c>
      <c r="F504">
        <v>618</v>
      </c>
      <c r="G504">
        <v>618</v>
      </c>
      <c r="H504">
        <v>618</v>
      </c>
      <c r="I504">
        <v>618</v>
      </c>
      <c r="J504" t="s">
        <v>6592</v>
      </c>
      <c r="K504">
        <v>618</v>
      </c>
      <c r="L504">
        <v>106.7</v>
      </c>
      <c r="M504">
        <v>65943.070000000007</v>
      </c>
      <c r="N504">
        <v>618</v>
      </c>
      <c r="O504">
        <v>558</v>
      </c>
    </row>
    <row r="505" spans="1:15" hidden="1" x14ac:dyDescent="0.2">
      <c r="A505" s="958" t="s">
        <v>6642</v>
      </c>
      <c r="B505" t="s">
        <v>6641</v>
      </c>
      <c r="C505" s="959">
        <v>45705</v>
      </c>
      <c r="D505" t="s">
        <v>6008</v>
      </c>
      <c r="E505">
        <v>656.5</v>
      </c>
      <c r="F505">
        <v>656.5</v>
      </c>
      <c r="G505">
        <v>656.5</v>
      </c>
      <c r="H505">
        <v>656.5</v>
      </c>
      <c r="I505">
        <v>656.5</v>
      </c>
      <c r="J505" t="s">
        <v>5400</v>
      </c>
      <c r="K505">
        <v>656.5</v>
      </c>
      <c r="L505">
        <v>123.27</v>
      </c>
      <c r="M505">
        <v>80927.740000000005</v>
      </c>
      <c r="N505">
        <v>656.5</v>
      </c>
      <c r="O505">
        <v>656.5</v>
      </c>
    </row>
    <row r="506" spans="1:15" hidden="1" x14ac:dyDescent="0.2">
      <c r="A506" s="958" t="s">
        <v>6645</v>
      </c>
      <c r="B506" t="s">
        <v>6585</v>
      </c>
      <c r="C506" s="959">
        <v>45705</v>
      </c>
      <c r="D506" t="s">
        <v>6643</v>
      </c>
      <c r="E506">
        <v>12</v>
      </c>
      <c r="F506">
        <v>12</v>
      </c>
      <c r="G506">
        <v>12</v>
      </c>
      <c r="H506">
        <v>12</v>
      </c>
      <c r="I506">
        <v>12</v>
      </c>
      <c r="J506" t="s">
        <v>6644</v>
      </c>
      <c r="K506">
        <v>12</v>
      </c>
      <c r="L506">
        <v>26.52</v>
      </c>
      <c r="M506">
        <v>318.26</v>
      </c>
      <c r="N506">
        <v>12</v>
      </c>
      <c r="O506">
        <v>12</v>
      </c>
    </row>
    <row r="507" spans="1:15" hidden="1" x14ac:dyDescent="0.2">
      <c r="A507" s="958" t="s">
        <v>6646</v>
      </c>
      <c r="B507" t="s">
        <v>6586</v>
      </c>
      <c r="C507" s="959">
        <v>45705</v>
      </c>
      <c r="D507" t="s">
        <v>4813</v>
      </c>
      <c r="E507">
        <v>240</v>
      </c>
      <c r="F507">
        <v>360</v>
      </c>
      <c r="G507">
        <v>360</v>
      </c>
      <c r="H507">
        <v>360</v>
      </c>
      <c r="I507">
        <v>360</v>
      </c>
      <c r="J507" t="s">
        <v>4148</v>
      </c>
      <c r="K507">
        <v>240</v>
      </c>
      <c r="L507">
        <v>149.96</v>
      </c>
      <c r="M507">
        <v>35990.879999999997</v>
      </c>
      <c r="N507">
        <v>360</v>
      </c>
      <c r="O507">
        <v>360</v>
      </c>
    </row>
    <row r="508" spans="1:15" hidden="1" x14ac:dyDescent="0.2">
      <c r="A508" s="958" t="s">
        <v>6646</v>
      </c>
      <c r="B508" t="s">
        <v>6586</v>
      </c>
      <c r="C508" s="959">
        <v>45705</v>
      </c>
      <c r="D508" t="s">
        <v>4813</v>
      </c>
      <c r="E508">
        <v>120</v>
      </c>
      <c r="F508">
        <v>360</v>
      </c>
      <c r="G508">
        <v>360</v>
      </c>
      <c r="H508">
        <v>360</v>
      </c>
      <c r="I508">
        <v>360</v>
      </c>
      <c r="J508" t="s">
        <v>4148</v>
      </c>
      <c r="K508">
        <v>120</v>
      </c>
      <c r="L508">
        <v>196.34</v>
      </c>
      <c r="M508">
        <v>23561.040000000001</v>
      </c>
      <c r="N508">
        <v>360</v>
      </c>
      <c r="O508">
        <v>360</v>
      </c>
    </row>
    <row r="509" spans="1:15" hidden="1" x14ac:dyDescent="0.2">
      <c r="A509" s="958" t="s">
        <v>6652</v>
      </c>
      <c r="B509" t="s">
        <v>6648</v>
      </c>
      <c r="C509" s="959">
        <v>45706</v>
      </c>
      <c r="D509" t="s">
        <v>4276</v>
      </c>
      <c r="E509">
        <v>2291.75</v>
      </c>
      <c r="F509">
        <v>2291.75</v>
      </c>
      <c r="G509">
        <v>2291.75</v>
      </c>
      <c r="H509">
        <v>2291.75</v>
      </c>
      <c r="I509">
        <v>2291.75</v>
      </c>
      <c r="J509" t="s">
        <v>6712</v>
      </c>
      <c r="K509">
        <v>2291.75</v>
      </c>
      <c r="L509">
        <v>146.07</v>
      </c>
      <c r="M509">
        <v>334756.15000000002</v>
      </c>
      <c r="N509">
        <v>2291.75</v>
      </c>
      <c r="O509">
        <v>2273.9499999999998</v>
      </c>
    </row>
    <row r="510" spans="1:15" hidden="1" x14ac:dyDescent="0.2">
      <c r="A510" s="958" t="s">
        <v>6653</v>
      </c>
      <c r="B510" t="s">
        <v>6587</v>
      </c>
      <c r="C510" s="959">
        <v>45706</v>
      </c>
      <c r="D510" t="s">
        <v>6649</v>
      </c>
      <c r="E510">
        <v>30.25</v>
      </c>
      <c r="F510">
        <v>30.25</v>
      </c>
      <c r="G510">
        <v>30.25</v>
      </c>
      <c r="H510">
        <v>30.25</v>
      </c>
      <c r="I510">
        <v>30.25</v>
      </c>
      <c r="J510" t="s">
        <v>6650</v>
      </c>
      <c r="K510">
        <v>30.25</v>
      </c>
      <c r="L510">
        <v>83.81</v>
      </c>
      <c r="M510">
        <v>2535.31</v>
      </c>
      <c r="N510">
        <v>30.25</v>
      </c>
      <c r="O510">
        <v>30.25</v>
      </c>
    </row>
    <row r="511" spans="1:15" hidden="1" x14ac:dyDescent="0.2">
      <c r="A511" s="958" t="s">
        <v>6654</v>
      </c>
      <c r="B511" t="s">
        <v>6588</v>
      </c>
      <c r="C511" s="959">
        <v>45706</v>
      </c>
      <c r="D511" t="s">
        <v>628</v>
      </c>
      <c r="E511">
        <v>889.35</v>
      </c>
      <c r="F511">
        <v>889.35</v>
      </c>
      <c r="G511">
        <v>889.35</v>
      </c>
      <c r="H511">
        <v>889.35</v>
      </c>
      <c r="I511">
        <v>889.35</v>
      </c>
      <c r="J511" t="s">
        <v>5967</v>
      </c>
      <c r="K511">
        <v>889.35</v>
      </c>
      <c r="L511">
        <v>92.41</v>
      </c>
      <c r="M511">
        <v>82188.39</v>
      </c>
      <c r="N511">
        <v>889.35</v>
      </c>
      <c r="O511">
        <v>889.35</v>
      </c>
    </row>
    <row r="512" spans="1:15" hidden="1" x14ac:dyDescent="0.2">
      <c r="A512" s="958" t="s">
        <v>6655</v>
      </c>
      <c r="B512" t="s">
        <v>6651</v>
      </c>
      <c r="C512" s="959">
        <v>45706</v>
      </c>
      <c r="D512" t="s">
        <v>4461</v>
      </c>
      <c r="E512">
        <v>180</v>
      </c>
      <c r="F512">
        <v>180</v>
      </c>
      <c r="G512">
        <v>180</v>
      </c>
      <c r="H512">
        <v>180</v>
      </c>
      <c r="I512">
        <v>180</v>
      </c>
      <c r="J512" t="s">
        <v>5391</v>
      </c>
      <c r="K512">
        <v>180</v>
      </c>
      <c r="L512">
        <v>141.05000000000001</v>
      </c>
      <c r="M512">
        <v>25389</v>
      </c>
      <c r="N512">
        <v>180</v>
      </c>
      <c r="O512">
        <v>180</v>
      </c>
    </row>
    <row r="513" spans="1:15" hidden="1" x14ac:dyDescent="0.2">
      <c r="A513" s="958" t="s">
        <v>6669</v>
      </c>
      <c r="B513" t="s">
        <v>6661</v>
      </c>
      <c r="C513" s="959">
        <v>45712</v>
      </c>
      <c r="D513" t="s">
        <v>5252</v>
      </c>
      <c r="E513">
        <v>1536</v>
      </c>
      <c r="F513">
        <v>1536</v>
      </c>
      <c r="G513">
        <v>1536</v>
      </c>
      <c r="H513">
        <v>1536</v>
      </c>
      <c r="I513">
        <v>1536</v>
      </c>
      <c r="J513" t="s">
        <v>6660</v>
      </c>
      <c r="K513">
        <v>1536</v>
      </c>
      <c r="L513">
        <v>81.040000000000006</v>
      </c>
      <c r="M513">
        <v>124480</v>
      </c>
      <c r="N513">
        <v>1536</v>
      </c>
      <c r="O513">
        <v>1536</v>
      </c>
    </row>
    <row r="514" spans="1:15" hidden="1" x14ac:dyDescent="0.2">
      <c r="A514" s="958" t="s">
        <v>6670</v>
      </c>
      <c r="B514" t="s">
        <v>6662</v>
      </c>
      <c r="C514" s="959">
        <v>45712</v>
      </c>
      <c r="D514" t="s">
        <v>5862</v>
      </c>
      <c r="E514">
        <v>372</v>
      </c>
      <c r="F514">
        <v>372</v>
      </c>
      <c r="G514">
        <v>372</v>
      </c>
      <c r="H514">
        <v>372</v>
      </c>
      <c r="I514">
        <v>372</v>
      </c>
      <c r="J514" t="s">
        <v>5831</v>
      </c>
      <c r="K514">
        <v>372</v>
      </c>
      <c r="L514">
        <v>156.52000000000001</v>
      </c>
      <c r="M514">
        <v>58225.07</v>
      </c>
      <c r="N514">
        <v>372</v>
      </c>
      <c r="O514">
        <v>372</v>
      </c>
    </row>
    <row r="515" spans="1:15" hidden="1" x14ac:dyDescent="0.2">
      <c r="A515" s="958" t="s">
        <v>6671</v>
      </c>
      <c r="B515" t="s">
        <v>6663</v>
      </c>
      <c r="C515" s="959">
        <v>45712</v>
      </c>
      <c r="D515" t="s">
        <v>6664</v>
      </c>
      <c r="E515">
        <v>663.4</v>
      </c>
      <c r="F515">
        <v>663.4</v>
      </c>
      <c r="G515">
        <v>663.4</v>
      </c>
      <c r="H515">
        <v>663.4</v>
      </c>
      <c r="I515">
        <v>663.4</v>
      </c>
      <c r="J515" t="s">
        <v>6665</v>
      </c>
      <c r="K515">
        <v>663.4</v>
      </c>
      <c r="L515">
        <v>293.89999999999998</v>
      </c>
      <c r="M515">
        <v>194973.25</v>
      </c>
      <c r="N515">
        <v>663.4</v>
      </c>
      <c r="O515">
        <v>663.4</v>
      </c>
    </row>
    <row r="516" spans="1:15" hidden="1" x14ac:dyDescent="0.2">
      <c r="A516" s="958" t="s">
        <v>6672</v>
      </c>
      <c r="B516" t="s">
        <v>6666</v>
      </c>
      <c r="C516" s="959">
        <v>45712</v>
      </c>
      <c r="D516" t="s">
        <v>6667</v>
      </c>
      <c r="E516">
        <v>4</v>
      </c>
      <c r="F516">
        <v>4</v>
      </c>
      <c r="G516">
        <v>4</v>
      </c>
      <c r="H516">
        <v>4</v>
      </c>
      <c r="I516">
        <v>4</v>
      </c>
      <c r="J516" t="s">
        <v>6668</v>
      </c>
      <c r="K516">
        <v>4</v>
      </c>
      <c r="L516">
        <v>5675</v>
      </c>
      <c r="M516">
        <v>22700</v>
      </c>
      <c r="N516">
        <v>4</v>
      </c>
      <c r="O516">
        <v>4</v>
      </c>
    </row>
    <row r="517" spans="1:15" hidden="1" x14ac:dyDescent="0.2">
      <c r="A517" s="958" t="s">
        <v>6674</v>
      </c>
      <c r="B517" t="s">
        <v>6673</v>
      </c>
      <c r="C517" s="959">
        <v>45713</v>
      </c>
      <c r="D517" t="s">
        <v>5381</v>
      </c>
      <c r="E517">
        <v>1440</v>
      </c>
      <c r="F517">
        <v>1440</v>
      </c>
      <c r="G517">
        <v>1440</v>
      </c>
      <c r="H517">
        <v>1440</v>
      </c>
      <c r="I517">
        <v>1440</v>
      </c>
      <c r="J517" t="s">
        <v>6005</v>
      </c>
      <c r="K517">
        <v>1440</v>
      </c>
      <c r="L517">
        <v>64.62</v>
      </c>
      <c r="M517">
        <v>93052.800000000003</v>
      </c>
      <c r="N517">
        <v>1440</v>
      </c>
      <c r="O517">
        <v>1440</v>
      </c>
    </row>
    <row r="518" spans="1:15" hidden="1" x14ac:dyDescent="0.2">
      <c r="A518" s="958" t="s">
        <v>6675</v>
      </c>
      <c r="B518" t="s">
        <v>6673</v>
      </c>
      <c r="C518" s="959">
        <v>45713</v>
      </c>
      <c r="D518" t="s">
        <v>5382</v>
      </c>
      <c r="E518">
        <v>1302</v>
      </c>
      <c r="F518">
        <v>1302</v>
      </c>
      <c r="G518">
        <v>1302</v>
      </c>
      <c r="H518">
        <v>1302</v>
      </c>
      <c r="I518">
        <v>1302</v>
      </c>
      <c r="J518" t="s">
        <v>6006</v>
      </c>
      <c r="K518">
        <v>1302</v>
      </c>
      <c r="L518">
        <v>57.02</v>
      </c>
      <c r="M518">
        <v>74245.25</v>
      </c>
      <c r="N518">
        <v>1302</v>
      </c>
      <c r="O518">
        <v>1302</v>
      </c>
    </row>
    <row r="519" spans="1:15" hidden="1" x14ac:dyDescent="0.2">
      <c r="A519" s="958" t="s">
        <v>6676</v>
      </c>
      <c r="B519" t="s">
        <v>6673</v>
      </c>
      <c r="C519" s="959">
        <v>45713</v>
      </c>
      <c r="D519" t="s">
        <v>5409</v>
      </c>
      <c r="E519">
        <v>1110</v>
      </c>
      <c r="F519">
        <v>1110</v>
      </c>
      <c r="G519">
        <v>1110</v>
      </c>
      <c r="H519">
        <v>1110</v>
      </c>
      <c r="I519">
        <v>1110</v>
      </c>
      <c r="J519" t="s">
        <v>5410</v>
      </c>
      <c r="K519">
        <v>1110</v>
      </c>
      <c r="L519">
        <v>73.87</v>
      </c>
      <c r="M519">
        <v>81997.919999999998</v>
      </c>
      <c r="N519">
        <v>1110</v>
      </c>
      <c r="O519">
        <v>1110</v>
      </c>
    </row>
    <row r="520" spans="1:15" hidden="1" x14ac:dyDescent="0.2">
      <c r="A520" s="958" t="s">
        <v>6677</v>
      </c>
      <c r="B520" t="s">
        <v>6673</v>
      </c>
      <c r="C520" s="959">
        <v>45713</v>
      </c>
      <c r="D520" t="s">
        <v>5367</v>
      </c>
      <c r="E520">
        <v>2028</v>
      </c>
      <c r="F520">
        <v>2028</v>
      </c>
      <c r="G520">
        <v>2028</v>
      </c>
      <c r="H520">
        <v>2028</v>
      </c>
      <c r="I520">
        <v>2028</v>
      </c>
      <c r="J520" t="s">
        <v>5368</v>
      </c>
      <c r="K520">
        <v>2028</v>
      </c>
      <c r="L520">
        <v>36.18</v>
      </c>
      <c r="M520">
        <v>73373.039999999994</v>
      </c>
      <c r="N520">
        <v>2028</v>
      </c>
      <c r="O520">
        <v>2028</v>
      </c>
    </row>
    <row r="521" spans="1:15" hidden="1" x14ac:dyDescent="0.2">
      <c r="A521" s="958" t="s">
        <v>6678</v>
      </c>
      <c r="B521" t="s">
        <v>6673</v>
      </c>
      <c r="C521" s="959">
        <v>45713</v>
      </c>
      <c r="D521" t="s">
        <v>5397</v>
      </c>
      <c r="E521">
        <v>1866</v>
      </c>
      <c r="F521">
        <v>1866</v>
      </c>
      <c r="G521">
        <v>1866</v>
      </c>
      <c r="H521">
        <v>1866</v>
      </c>
      <c r="I521">
        <v>1866</v>
      </c>
      <c r="J521" t="s">
        <v>5398</v>
      </c>
      <c r="K521">
        <v>1866</v>
      </c>
      <c r="L521">
        <v>39.6</v>
      </c>
      <c r="M521">
        <v>73893.600000000006</v>
      </c>
      <c r="N521">
        <v>1866</v>
      </c>
      <c r="O521">
        <v>1866</v>
      </c>
    </row>
    <row r="522" spans="1:15" hidden="1" x14ac:dyDescent="0.2">
      <c r="A522" s="958" t="s">
        <v>6681</v>
      </c>
      <c r="B522" t="s">
        <v>6679</v>
      </c>
      <c r="C522" s="959">
        <v>45713</v>
      </c>
      <c r="D522" t="s">
        <v>119</v>
      </c>
      <c r="E522">
        <v>150</v>
      </c>
      <c r="F522">
        <v>150</v>
      </c>
      <c r="G522">
        <v>150</v>
      </c>
      <c r="H522">
        <v>150</v>
      </c>
      <c r="I522">
        <v>150</v>
      </c>
      <c r="J522" t="s">
        <v>6680</v>
      </c>
      <c r="K522">
        <v>150</v>
      </c>
      <c r="L522">
        <v>88.61</v>
      </c>
      <c r="M522">
        <v>13291.43</v>
      </c>
      <c r="N522">
        <v>150</v>
      </c>
    </row>
    <row r="523" spans="1:15" hidden="1" x14ac:dyDescent="0.2">
      <c r="A523" s="958" t="s">
        <v>6682</v>
      </c>
      <c r="B523" t="s">
        <v>6679</v>
      </c>
      <c r="C523" s="959">
        <v>45713</v>
      </c>
      <c r="D523" t="s">
        <v>6167</v>
      </c>
      <c r="E523">
        <v>140</v>
      </c>
      <c r="F523">
        <v>140</v>
      </c>
      <c r="G523">
        <v>140</v>
      </c>
      <c r="H523">
        <v>140</v>
      </c>
      <c r="I523">
        <v>140</v>
      </c>
      <c r="J523" t="s">
        <v>6168</v>
      </c>
      <c r="K523">
        <v>140</v>
      </c>
      <c r="L523">
        <v>94.19</v>
      </c>
      <c r="M523">
        <v>13186.18</v>
      </c>
      <c r="N523">
        <v>140</v>
      </c>
    </row>
    <row r="524" spans="1:15" hidden="1" x14ac:dyDescent="0.2">
      <c r="A524" s="958" t="s">
        <v>6684</v>
      </c>
      <c r="B524" t="s">
        <v>6683</v>
      </c>
      <c r="C524" s="959">
        <v>45714</v>
      </c>
      <c r="D524" t="s">
        <v>5490</v>
      </c>
      <c r="E524">
        <v>543</v>
      </c>
      <c r="F524">
        <v>543</v>
      </c>
      <c r="G524">
        <v>543</v>
      </c>
      <c r="H524">
        <v>543</v>
      </c>
      <c r="I524">
        <v>543</v>
      </c>
      <c r="J524" t="s">
        <v>5491</v>
      </c>
      <c r="K524">
        <v>543</v>
      </c>
      <c r="L524">
        <v>107.43</v>
      </c>
      <c r="M524">
        <v>58336</v>
      </c>
      <c r="N524">
        <v>543</v>
      </c>
      <c r="O524">
        <v>543</v>
      </c>
    </row>
    <row r="525" spans="1:15" hidden="1" x14ac:dyDescent="0.2">
      <c r="A525" s="958" t="s">
        <v>6688</v>
      </c>
      <c r="B525" t="s">
        <v>6687</v>
      </c>
      <c r="C525" s="959">
        <v>45720</v>
      </c>
      <c r="D525" t="s">
        <v>78</v>
      </c>
      <c r="E525">
        <v>2250</v>
      </c>
      <c r="F525">
        <v>4500</v>
      </c>
      <c r="G525">
        <v>2250</v>
      </c>
      <c r="H525">
        <v>4500</v>
      </c>
      <c r="I525">
        <v>2250</v>
      </c>
      <c r="J525" t="s">
        <v>5385</v>
      </c>
      <c r="K525">
        <v>2250</v>
      </c>
      <c r="L525">
        <v>85.98</v>
      </c>
      <c r="M525">
        <v>193449.38</v>
      </c>
      <c r="N525">
        <v>2250</v>
      </c>
      <c r="O525">
        <v>2220</v>
      </c>
    </row>
    <row r="526" spans="1:15" hidden="1" x14ac:dyDescent="0.2">
      <c r="A526" s="958" t="s">
        <v>6694</v>
      </c>
      <c r="B526" t="s">
        <v>6689</v>
      </c>
      <c r="C526" s="959">
        <v>45721</v>
      </c>
      <c r="D526" t="s">
        <v>119</v>
      </c>
      <c r="E526">
        <v>150</v>
      </c>
      <c r="F526">
        <v>150</v>
      </c>
      <c r="G526">
        <v>150</v>
      </c>
      <c r="H526">
        <v>150</v>
      </c>
      <c r="I526">
        <v>150</v>
      </c>
      <c r="J526" t="s">
        <v>6680</v>
      </c>
      <c r="K526">
        <v>150</v>
      </c>
      <c r="L526">
        <v>116.01</v>
      </c>
      <c r="M526">
        <v>17402.18</v>
      </c>
      <c r="N526">
        <v>150</v>
      </c>
      <c r="O526">
        <v>150</v>
      </c>
    </row>
    <row r="527" spans="1:15" hidden="1" x14ac:dyDescent="0.2">
      <c r="A527" s="958" t="s">
        <v>6695</v>
      </c>
      <c r="B527" t="s">
        <v>6689</v>
      </c>
      <c r="C527" s="959">
        <v>45721</v>
      </c>
      <c r="D527" t="s">
        <v>6167</v>
      </c>
      <c r="E527">
        <v>140</v>
      </c>
      <c r="F527">
        <v>140</v>
      </c>
      <c r="G527">
        <v>140</v>
      </c>
      <c r="H527">
        <v>140</v>
      </c>
      <c r="I527">
        <v>140</v>
      </c>
      <c r="J527" t="s">
        <v>6168</v>
      </c>
      <c r="K527">
        <v>140</v>
      </c>
      <c r="L527">
        <v>94.19</v>
      </c>
      <c r="M527">
        <v>13186.18</v>
      </c>
      <c r="N527">
        <v>140</v>
      </c>
      <c r="O527">
        <v>140</v>
      </c>
    </row>
    <row r="528" spans="1:15" hidden="1" x14ac:dyDescent="0.2">
      <c r="A528" s="958" t="s">
        <v>6696</v>
      </c>
      <c r="B528" t="s">
        <v>6690</v>
      </c>
      <c r="C528" s="959">
        <v>45721</v>
      </c>
      <c r="D528" t="s">
        <v>5406</v>
      </c>
      <c r="E528">
        <v>2028</v>
      </c>
      <c r="F528">
        <v>2028</v>
      </c>
      <c r="G528">
        <v>2028</v>
      </c>
      <c r="H528">
        <v>2028</v>
      </c>
      <c r="I528">
        <v>2028</v>
      </c>
      <c r="J528" t="s">
        <v>5407</v>
      </c>
      <c r="K528">
        <v>2028</v>
      </c>
      <c r="L528">
        <v>29.81</v>
      </c>
      <c r="M528">
        <v>60450.62</v>
      </c>
      <c r="N528">
        <v>2028</v>
      </c>
      <c r="O528">
        <v>2028</v>
      </c>
    </row>
    <row r="529" spans="1:15" hidden="1" x14ac:dyDescent="0.2">
      <c r="A529" s="958" t="s">
        <v>6729</v>
      </c>
      <c r="B529" t="s">
        <v>6691</v>
      </c>
      <c r="C529" s="959">
        <v>45721</v>
      </c>
      <c r="D529" t="s">
        <v>3145</v>
      </c>
      <c r="E529">
        <v>878.4</v>
      </c>
      <c r="F529">
        <v>878.4</v>
      </c>
      <c r="G529">
        <v>878.4</v>
      </c>
      <c r="H529">
        <v>878.4</v>
      </c>
      <c r="I529">
        <v>878.4</v>
      </c>
      <c r="J529" t="s">
        <v>6692</v>
      </c>
      <c r="K529">
        <v>878.4</v>
      </c>
      <c r="L529">
        <v>138.94</v>
      </c>
      <c r="M529">
        <v>122046.65</v>
      </c>
      <c r="N529">
        <v>878.4</v>
      </c>
      <c r="O529">
        <v>878.4</v>
      </c>
    </row>
    <row r="530" spans="1:15" hidden="1" x14ac:dyDescent="0.2">
      <c r="A530" s="958" t="s">
        <v>6697</v>
      </c>
      <c r="B530" t="s">
        <v>6693</v>
      </c>
      <c r="C530" s="959">
        <v>45721</v>
      </c>
      <c r="D530" t="s">
        <v>2963</v>
      </c>
      <c r="E530">
        <v>2534.6</v>
      </c>
      <c r="F530">
        <v>2534.6</v>
      </c>
      <c r="G530">
        <v>2534.6</v>
      </c>
      <c r="H530">
        <v>2534.6</v>
      </c>
      <c r="I530">
        <v>2534.6</v>
      </c>
      <c r="J530" t="s">
        <v>5363</v>
      </c>
      <c r="K530">
        <v>2534.6</v>
      </c>
      <c r="L530">
        <v>83.61</v>
      </c>
      <c r="M530">
        <v>211928.04</v>
      </c>
      <c r="N530">
        <v>2534.6</v>
      </c>
      <c r="O530">
        <v>2523</v>
      </c>
    </row>
    <row r="531" spans="1:15" hidden="1" x14ac:dyDescent="0.2">
      <c r="A531" s="958" t="s">
        <v>6708</v>
      </c>
      <c r="B531" t="s">
        <v>6700</v>
      </c>
      <c r="C531" s="959">
        <v>45722</v>
      </c>
      <c r="D531" t="s">
        <v>3724</v>
      </c>
      <c r="E531">
        <v>2643</v>
      </c>
      <c r="F531">
        <v>2643</v>
      </c>
      <c r="G531">
        <v>2643</v>
      </c>
      <c r="H531">
        <v>2643</v>
      </c>
      <c r="I531">
        <v>2643</v>
      </c>
      <c r="J531" t="s">
        <v>6701</v>
      </c>
      <c r="K531">
        <v>2643</v>
      </c>
      <c r="L531">
        <v>22.76</v>
      </c>
      <c r="M531">
        <v>60141.47</v>
      </c>
      <c r="N531">
        <v>2643</v>
      </c>
      <c r="O531">
        <v>2643</v>
      </c>
    </row>
    <row r="532" spans="1:15" hidden="1" x14ac:dyDescent="0.2">
      <c r="A532" s="958" t="s">
        <v>6709</v>
      </c>
      <c r="B532" t="s">
        <v>6702</v>
      </c>
      <c r="C532" s="959">
        <v>45723</v>
      </c>
      <c r="D532" t="s">
        <v>3825</v>
      </c>
      <c r="E532">
        <v>387.2</v>
      </c>
      <c r="F532">
        <v>387.2</v>
      </c>
      <c r="G532">
        <v>387.2</v>
      </c>
      <c r="H532">
        <v>387.2</v>
      </c>
      <c r="I532">
        <v>387.2</v>
      </c>
      <c r="J532" t="s">
        <v>6703</v>
      </c>
      <c r="K532">
        <v>387.2</v>
      </c>
      <c r="L532">
        <v>388.78</v>
      </c>
      <c r="M532">
        <v>150535.62</v>
      </c>
      <c r="N532">
        <v>387.2</v>
      </c>
      <c r="O532">
        <v>387.2</v>
      </c>
    </row>
    <row r="533" spans="1:15" hidden="1" x14ac:dyDescent="0.2">
      <c r="A533" s="958" t="s">
        <v>6710</v>
      </c>
      <c r="B533" t="s">
        <v>6704</v>
      </c>
      <c r="C533" s="959">
        <v>45726</v>
      </c>
      <c r="D533" t="s">
        <v>6705</v>
      </c>
      <c r="E533">
        <v>78</v>
      </c>
      <c r="F533">
        <v>78</v>
      </c>
      <c r="G533">
        <v>78</v>
      </c>
      <c r="H533">
        <v>78</v>
      </c>
      <c r="I533">
        <v>78</v>
      </c>
      <c r="J533" t="s">
        <v>6706</v>
      </c>
      <c r="K533">
        <v>78</v>
      </c>
      <c r="L533">
        <v>294.87</v>
      </c>
      <c r="M533">
        <v>23000</v>
      </c>
      <c r="N533">
        <v>78</v>
      </c>
      <c r="O533">
        <v>78</v>
      </c>
    </row>
    <row r="534" spans="1:15" hidden="1" x14ac:dyDescent="0.2">
      <c r="A534" s="958" t="s">
        <v>6711</v>
      </c>
      <c r="B534" t="s">
        <v>6707</v>
      </c>
      <c r="C534" s="959">
        <v>45726</v>
      </c>
      <c r="D534" t="s">
        <v>5083</v>
      </c>
      <c r="E534">
        <v>152</v>
      </c>
      <c r="F534">
        <v>152</v>
      </c>
      <c r="G534">
        <v>152</v>
      </c>
      <c r="H534">
        <v>152</v>
      </c>
      <c r="I534">
        <v>152</v>
      </c>
      <c r="J534" t="s">
        <v>5446</v>
      </c>
      <c r="K534">
        <v>152</v>
      </c>
      <c r="L534">
        <v>693.55</v>
      </c>
      <c r="M534">
        <v>105420</v>
      </c>
      <c r="N534">
        <v>152</v>
      </c>
      <c r="O534">
        <v>152</v>
      </c>
    </row>
    <row r="535" spans="1:15" hidden="1" x14ac:dyDescent="0.2">
      <c r="A535" s="958" t="s">
        <v>6730</v>
      </c>
      <c r="B535" t="s">
        <v>6713</v>
      </c>
      <c r="C535" s="959">
        <v>45727</v>
      </c>
      <c r="D535" t="s">
        <v>4867</v>
      </c>
      <c r="E535">
        <v>851.5</v>
      </c>
      <c r="F535">
        <v>851.5</v>
      </c>
      <c r="G535">
        <v>851.5</v>
      </c>
      <c r="H535">
        <v>851.5</v>
      </c>
      <c r="I535">
        <v>851.5</v>
      </c>
      <c r="J535" t="s">
        <v>6462</v>
      </c>
      <c r="K535">
        <v>851.5</v>
      </c>
      <c r="L535">
        <v>103.48</v>
      </c>
      <c r="M535">
        <v>88109</v>
      </c>
      <c r="N535">
        <v>851.5</v>
      </c>
      <c r="O535">
        <v>851.5</v>
      </c>
    </row>
    <row r="536" spans="1:15" hidden="1" x14ac:dyDescent="0.2">
      <c r="A536" s="958" t="s">
        <v>6731</v>
      </c>
      <c r="B536" t="s">
        <v>6714</v>
      </c>
      <c r="C536" s="959">
        <v>45727</v>
      </c>
      <c r="D536" t="s">
        <v>6715</v>
      </c>
      <c r="E536">
        <v>159</v>
      </c>
      <c r="F536">
        <v>159</v>
      </c>
      <c r="G536">
        <v>159</v>
      </c>
      <c r="H536">
        <v>159</v>
      </c>
      <c r="I536">
        <v>159</v>
      </c>
      <c r="J536" t="s">
        <v>6716</v>
      </c>
      <c r="K536">
        <v>159</v>
      </c>
      <c r="L536">
        <v>56.35</v>
      </c>
      <c r="M536">
        <v>8959.65</v>
      </c>
      <c r="N536">
        <v>159</v>
      </c>
      <c r="O536">
        <v>159</v>
      </c>
    </row>
    <row r="537" spans="1:15" hidden="1" x14ac:dyDescent="0.2">
      <c r="A537" s="958" t="s">
        <v>6732</v>
      </c>
      <c r="B537" t="s">
        <v>6717</v>
      </c>
      <c r="C537" s="959">
        <v>45727</v>
      </c>
      <c r="D537" t="s">
        <v>6718</v>
      </c>
      <c r="E537">
        <v>712</v>
      </c>
      <c r="F537">
        <v>712</v>
      </c>
      <c r="G537">
        <v>712</v>
      </c>
      <c r="H537">
        <v>712</v>
      </c>
      <c r="I537">
        <v>712</v>
      </c>
      <c r="J537" t="s">
        <v>6719</v>
      </c>
      <c r="K537">
        <v>712</v>
      </c>
      <c r="L537">
        <v>69.56</v>
      </c>
      <c r="M537">
        <v>49529.57</v>
      </c>
      <c r="N537">
        <v>712</v>
      </c>
      <c r="O537">
        <v>712</v>
      </c>
    </row>
    <row r="538" spans="1:15" hidden="1" x14ac:dyDescent="0.2">
      <c r="A538" s="958" t="s">
        <v>6733</v>
      </c>
      <c r="B538" t="s">
        <v>6720</v>
      </c>
      <c r="C538" s="959">
        <v>45727</v>
      </c>
      <c r="D538" t="s">
        <v>4276</v>
      </c>
      <c r="E538">
        <v>1139.2</v>
      </c>
      <c r="F538">
        <v>1139.2</v>
      </c>
      <c r="G538">
        <v>1139.2</v>
      </c>
      <c r="H538">
        <v>1139.2</v>
      </c>
      <c r="I538">
        <v>1139.2</v>
      </c>
      <c r="J538" t="s">
        <v>6712</v>
      </c>
      <c r="K538">
        <v>1139.2</v>
      </c>
      <c r="L538">
        <v>146.07</v>
      </c>
      <c r="M538">
        <v>166403.06</v>
      </c>
      <c r="N538">
        <v>1139.2</v>
      </c>
      <c r="O538">
        <v>1139.2</v>
      </c>
    </row>
    <row r="539" spans="1:15" hidden="1" x14ac:dyDescent="0.2">
      <c r="A539" s="958" t="s">
        <v>6734</v>
      </c>
      <c r="B539" t="s">
        <v>6721</v>
      </c>
      <c r="C539" s="959">
        <v>45728</v>
      </c>
      <c r="D539" t="s">
        <v>6722</v>
      </c>
      <c r="E539">
        <v>12</v>
      </c>
      <c r="F539">
        <v>12</v>
      </c>
      <c r="G539">
        <v>12</v>
      </c>
      <c r="H539">
        <v>12</v>
      </c>
      <c r="I539">
        <v>12</v>
      </c>
      <c r="J539" t="s">
        <v>6723</v>
      </c>
      <c r="K539">
        <v>12</v>
      </c>
      <c r="L539">
        <v>1558.33</v>
      </c>
      <c r="M539">
        <v>18700</v>
      </c>
      <c r="N539">
        <v>12</v>
      </c>
      <c r="O539">
        <v>12</v>
      </c>
    </row>
    <row r="540" spans="1:15" hidden="1" x14ac:dyDescent="0.2">
      <c r="A540" s="958" t="s">
        <v>6735</v>
      </c>
      <c r="B540" t="s">
        <v>6724</v>
      </c>
      <c r="C540" s="959">
        <v>45728</v>
      </c>
      <c r="D540" t="s">
        <v>4567</v>
      </c>
      <c r="E540">
        <v>180</v>
      </c>
      <c r="F540">
        <v>180</v>
      </c>
      <c r="G540">
        <v>180</v>
      </c>
      <c r="H540">
        <v>180</v>
      </c>
      <c r="I540">
        <v>180</v>
      </c>
      <c r="J540" t="s">
        <v>5394</v>
      </c>
      <c r="K540">
        <v>180</v>
      </c>
      <c r="L540">
        <v>135.41</v>
      </c>
      <c r="M540">
        <v>24373.439999999999</v>
      </c>
      <c r="N540">
        <v>180</v>
      </c>
      <c r="O540">
        <v>180</v>
      </c>
    </row>
    <row r="541" spans="1:15" hidden="1" x14ac:dyDescent="0.2">
      <c r="A541" s="958" t="s">
        <v>6736</v>
      </c>
      <c r="B541" t="s">
        <v>6725</v>
      </c>
      <c r="C541" s="959">
        <v>45729</v>
      </c>
      <c r="D541" t="s">
        <v>5158</v>
      </c>
      <c r="E541">
        <v>482.4</v>
      </c>
      <c r="F541">
        <v>482.4</v>
      </c>
      <c r="G541">
        <v>482.4</v>
      </c>
      <c r="H541">
        <v>482.4</v>
      </c>
      <c r="I541">
        <v>482.4</v>
      </c>
      <c r="J541" t="s">
        <v>5460</v>
      </c>
      <c r="K541">
        <v>482.4</v>
      </c>
      <c r="L541">
        <v>159.21</v>
      </c>
      <c r="M541">
        <v>76804.639999999999</v>
      </c>
      <c r="N541">
        <v>482.4</v>
      </c>
      <c r="O541">
        <v>482.4</v>
      </c>
    </row>
    <row r="542" spans="1:15" hidden="1" x14ac:dyDescent="0.2">
      <c r="A542" s="958" t="s">
        <v>6737</v>
      </c>
      <c r="B542" t="s">
        <v>6725</v>
      </c>
      <c r="C542" s="959">
        <v>45729</v>
      </c>
      <c r="D542" t="s">
        <v>6726</v>
      </c>
      <c r="E542">
        <v>1836</v>
      </c>
      <c r="F542">
        <v>1836</v>
      </c>
      <c r="G542">
        <v>1836</v>
      </c>
      <c r="H542">
        <v>1836</v>
      </c>
      <c r="I542">
        <v>1836</v>
      </c>
      <c r="J542" t="s">
        <v>6727</v>
      </c>
      <c r="K542">
        <v>1836</v>
      </c>
      <c r="L542">
        <v>54.29</v>
      </c>
      <c r="M542">
        <v>99672.77</v>
      </c>
      <c r="N542">
        <v>1836</v>
      </c>
      <c r="O542">
        <v>1836</v>
      </c>
    </row>
    <row r="543" spans="1:15" hidden="1" x14ac:dyDescent="0.2">
      <c r="A543" s="958" t="s">
        <v>6769</v>
      </c>
      <c r="B543" t="s">
        <v>6758</v>
      </c>
      <c r="C543" s="959">
        <v>45730</v>
      </c>
      <c r="D543" t="s">
        <v>2608</v>
      </c>
      <c r="E543">
        <v>2562</v>
      </c>
      <c r="F543">
        <v>2562</v>
      </c>
      <c r="G543">
        <v>2562</v>
      </c>
      <c r="H543">
        <v>2562</v>
      </c>
      <c r="I543">
        <v>2562</v>
      </c>
      <c r="J543" t="s">
        <v>5465</v>
      </c>
      <c r="K543">
        <v>2562</v>
      </c>
      <c r="L543">
        <v>150.35</v>
      </c>
      <c r="M543">
        <v>385196.7</v>
      </c>
      <c r="N543">
        <v>2562</v>
      </c>
      <c r="O543">
        <v>2544</v>
      </c>
    </row>
    <row r="544" spans="1:15" hidden="1" x14ac:dyDescent="0.2">
      <c r="A544" s="958" t="s">
        <v>6770</v>
      </c>
      <c r="B544" t="s">
        <v>6759</v>
      </c>
      <c r="C544" s="959">
        <v>45730</v>
      </c>
      <c r="D544" t="s">
        <v>4276</v>
      </c>
      <c r="E544">
        <v>1050.2</v>
      </c>
      <c r="F544">
        <v>1050.2</v>
      </c>
      <c r="G544">
        <v>1050.2</v>
      </c>
      <c r="H544">
        <v>1050.2</v>
      </c>
      <c r="I544">
        <v>1050.2</v>
      </c>
      <c r="J544" t="s">
        <v>6712</v>
      </c>
      <c r="K544">
        <v>1050.2</v>
      </c>
      <c r="L544">
        <v>146.07</v>
      </c>
      <c r="M544">
        <v>153402.71</v>
      </c>
      <c r="N544">
        <v>1050.2</v>
      </c>
      <c r="O544">
        <v>1045.75</v>
      </c>
    </row>
    <row r="545" spans="1:15" hidden="1" x14ac:dyDescent="0.2">
      <c r="A545" s="958" t="s">
        <v>6771</v>
      </c>
      <c r="B545" t="s">
        <v>6760</v>
      </c>
      <c r="C545" s="959">
        <v>45733</v>
      </c>
      <c r="D545" t="s">
        <v>4903</v>
      </c>
      <c r="E545">
        <v>25</v>
      </c>
      <c r="F545">
        <v>25</v>
      </c>
      <c r="G545">
        <v>25</v>
      </c>
      <c r="H545">
        <v>25</v>
      </c>
      <c r="I545">
        <v>25</v>
      </c>
      <c r="J545" t="s">
        <v>5395</v>
      </c>
      <c r="K545">
        <v>25</v>
      </c>
      <c r="L545">
        <v>2890.4</v>
      </c>
      <c r="M545">
        <v>72260</v>
      </c>
      <c r="N545">
        <v>25</v>
      </c>
      <c r="O545">
        <v>25</v>
      </c>
    </row>
    <row r="546" spans="1:15" hidden="1" x14ac:dyDescent="0.2">
      <c r="A546" s="958" t="s">
        <v>6772</v>
      </c>
      <c r="B546" t="s">
        <v>6760</v>
      </c>
      <c r="C546" s="959">
        <v>45733</v>
      </c>
      <c r="D546" t="s">
        <v>4904</v>
      </c>
      <c r="E546">
        <v>5</v>
      </c>
      <c r="F546">
        <v>5</v>
      </c>
      <c r="G546">
        <v>5</v>
      </c>
      <c r="H546">
        <v>5</v>
      </c>
      <c r="I546">
        <v>5</v>
      </c>
      <c r="J546" t="s">
        <v>5396</v>
      </c>
      <c r="K546">
        <v>5</v>
      </c>
      <c r="L546">
        <v>1168</v>
      </c>
      <c r="M546">
        <v>5840</v>
      </c>
      <c r="N546">
        <v>5</v>
      </c>
      <c r="O546">
        <v>4</v>
      </c>
    </row>
    <row r="547" spans="1:15" hidden="1" x14ac:dyDescent="0.2">
      <c r="A547" s="958" t="s">
        <v>6773</v>
      </c>
      <c r="B547" t="s">
        <v>6761</v>
      </c>
      <c r="C547" s="959">
        <v>45733</v>
      </c>
      <c r="D547" t="s">
        <v>4955</v>
      </c>
      <c r="E547">
        <v>840</v>
      </c>
      <c r="F547">
        <v>840</v>
      </c>
      <c r="G547">
        <v>840</v>
      </c>
      <c r="H547">
        <v>840</v>
      </c>
      <c r="I547">
        <v>840</v>
      </c>
      <c r="J547" t="s">
        <v>6749</v>
      </c>
      <c r="K547">
        <v>840</v>
      </c>
      <c r="L547">
        <v>35.96</v>
      </c>
      <c r="M547">
        <v>30210</v>
      </c>
      <c r="N547">
        <v>840</v>
      </c>
      <c r="O547">
        <v>840</v>
      </c>
    </row>
    <row r="548" spans="1:15" hidden="1" x14ac:dyDescent="0.2">
      <c r="A548" s="958" t="s">
        <v>6774</v>
      </c>
      <c r="B548" t="s">
        <v>6762</v>
      </c>
      <c r="C548" s="959">
        <v>45733</v>
      </c>
      <c r="D548" t="s">
        <v>2561</v>
      </c>
      <c r="E548">
        <v>564</v>
      </c>
      <c r="F548">
        <v>564</v>
      </c>
      <c r="G548">
        <v>564</v>
      </c>
      <c r="H548">
        <v>564</v>
      </c>
      <c r="I548">
        <v>564</v>
      </c>
      <c r="J548" t="s">
        <v>5408</v>
      </c>
      <c r="K548">
        <v>564</v>
      </c>
      <c r="L548">
        <v>150.88</v>
      </c>
      <c r="M548">
        <v>85096.320000000007</v>
      </c>
      <c r="N548">
        <v>564</v>
      </c>
      <c r="O548">
        <v>564</v>
      </c>
    </row>
    <row r="549" spans="1:15" hidden="1" x14ac:dyDescent="0.2">
      <c r="A549" s="958" t="s">
        <v>6775</v>
      </c>
      <c r="B549" t="s">
        <v>6763</v>
      </c>
      <c r="C549" s="959">
        <v>45733</v>
      </c>
      <c r="D549" t="s">
        <v>6649</v>
      </c>
      <c r="E549">
        <v>1064.8</v>
      </c>
      <c r="F549">
        <v>1064.8</v>
      </c>
      <c r="G549">
        <v>1064.8</v>
      </c>
      <c r="H549">
        <v>1064.8</v>
      </c>
      <c r="I549">
        <v>1064.8</v>
      </c>
      <c r="J549" t="s">
        <v>6650</v>
      </c>
      <c r="K549">
        <v>1064.8</v>
      </c>
      <c r="L549">
        <v>83.81</v>
      </c>
      <c r="M549">
        <v>89240.89</v>
      </c>
      <c r="N549">
        <v>1064.8</v>
      </c>
      <c r="O549">
        <v>1064.8</v>
      </c>
    </row>
    <row r="550" spans="1:15" hidden="1" x14ac:dyDescent="0.2">
      <c r="A550" s="958" t="s">
        <v>6776</v>
      </c>
      <c r="B550" t="s">
        <v>6764</v>
      </c>
      <c r="C550" s="959">
        <v>45733</v>
      </c>
      <c r="D550" t="s">
        <v>4393</v>
      </c>
      <c r="E550">
        <v>720</v>
      </c>
      <c r="F550">
        <v>720</v>
      </c>
      <c r="G550">
        <v>720</v>
      </c>
      <c r="H550">
        <v>720</v>
      </c>
      <c r="I550">
        <v>720</v>
      </c>
      <c r="J550" t="s">
        <v>5472</v>
      </c>
      <c r="K550">
        <v>720</v>
      </c>
      <c r="L550">
        <v>210.89</v>
      </c>
      <c r="M550">
        <v>151840.79999999999</v>
      </c>
      <c r="N550">
        <v>720</v>
      </c>
      <c r="O550">
        <v>720</v>
      </c>
    </row>
    <row r="551" spans="1:15" hidden="1" x14ac:dyDescent="0.2">
      <c r="A551" s="958" t="s">
        <v>6777</v>
      </c>
      <c r="B551" t="s">
        <v>6765</v>
      </c>
      <c r="C551" s="959">
        <v>45733</v>
      </c>
      <c r="D551" t="s">
        <v>4582</v>
      </c>
      <c r="E551">
        <v>1884</v>
      </c>
      <c r="F551">
        <v>1884</v>
      </c>
      <c r="G551">
        <v>1884</v>
      </c>
      <c r="H551">
        <v>1884</v>
      </c>
      <c r="I551">
        <v>1884</v>
      </c>
      <c r="J551" t="s">
        <v>5393</v>
      </c>
      <c r="K551">
        <v>1884</v>
      </c>
      <c r="L551">
        <v>42.93</v>
      </c>
      <c r="M551">
        <v>80870.7</v>
      </c>
      <c r="N551">
        <v>1884</v>
      </c>
      <c r="O551">
        <v>1884</v>
      </c>
    </row>
    <row r="552" spans="1:15" hidden="1" x14ac:dyDescent="0.2">
      <c r="A552" s="958" t="s">
        <v>6778</v>
      </c>
      <c r="B552" t="s">
        <v>6766</v>
      </c>
      <c r="C552" s="959">
        <v>45733</v>
      </c>
      <c r="D552" t="s">
        <v>6531</v>
      </c>
      <c r="E552">
        <v>750</v>
      </c>
      <c r="F552">
        <v>750</v>
      </c>
      <c r="G552">
        <v>750</v>
      </c>
      <c r="H552">
        <v>750</v>
      </c>
      <c r="I552">
        <v>750</v>
      </c>
      <c r="J552" t="s">
        <v>6509</v>
      </c>
      <c r="K552">
        <v>750</v>
      </c>
      <c r="L552">
        <v>112.14</v>
      </c>
      <c r="M552">
        <v>84105</v>
      </c>
      <c r="N552">
        <v>750</v>
      </c>
      <c r="O552">
        <v>750</v>
      </c>
    </row>
    <row r="553" spans="1:15" hidden="1" x14ac:dyDescent="0.2">
      <c r="A553" s="958" t="s">
        <v>6779</v>
      </c>
      <c r="B553" t="s">
        <v>6767</v>
      </c>
      <c r="C553" s="959">
        <v>45733</v>
      </c>
      <c r="D553" t="s">
        <v>5390</v>
      </c>
      <c r="E553">
        <v>1950</v>
      </c>
      <c r="F553">
        <v>1950</v>
      </c>
      <c r="G553">
        <v>1950</v>
      </c>
      <c r="H553">
        <v>1950</v>
      </c>
      <c r="I553">
        <v>1950</v>
      </c>
      <c r="J553" t="s">
        <v>6007</v>
      </c>
      <c r="K553">
        <v>1950</v>
      </c>
      <c r="L553">
        <v>44.17</v>
      </c>
      <c r="M553">
        <v>86135.4</v>
      </c>
      <c r="N553">
        <v>1950</v>
      </c>
      <c r="O553">
        <v>1950</v>
      </c>
    </row>
    <row r="554" spans="1:15" hidden="1" x14ac:dyDescent="0.2">
      <c r="A554" s="958" t="s">
        <v>6780</v>
      </c>
      <c r="B554" t="s">
        <v>6767</v>
      </c>
      <c r="C554" s="959">
        <v>45733</v>
      </c>
      <c r="D554" t="s">
        <v>5405</v>
      </c>
      <c r="E554">
        <v>1974</v>
      </c>
      <c r="F554">
        <v>1974</v>
      </c>
      <c r="G554">
        <v>1974</v>
      </c>
      <c r="H554">
        <v>1974</v>
      </c>
      <c r="I554">
        <v>1326</v>
      </c>
      <c r="J554" t="s">
        <v>6018</v>
      </c>
      <c r="K554">
        <v>1974</v>
      </c>
      <c r="L554">
        <v>48.64</v>
      </c>
      <c r="M554">
        <v>96007.46</v>
      </c>
      <c r="N554">
        <v>1326</v>
      </c>
      <c r="O554">
        <v>1326</v>
      </c>
    </row>
    <row r="555" spans="1:15" hidden="1" x14ac:dyDescent="0.2">
      <c r="A555" s="958" t="s">
        <v>6781</v>
      </c>
      <c r="B555" t="s">
        <v>6767</v>
      </c>
      <c r="C555" s="959">
        <v>45733</v>
      </c>
      <c r="D555" t="s">
        <v>5373</v>
      </c>
      <c r="E555">
        <v>588</v>
      </c>
      <c r="F555">
        <v>588</v>
      </c>
      <c r="G555">
        <v>588</v>
      </c>
      <c r="H555">
        <v>588</v>
      </c>
      <c r="I555">
        <v>588</v>
      </c>
      <c r="J555" t="s">
        <v>5374</v>
      </c>
      <c r="K555">
        <v>588</v>
      </c>
      <c r="L555">
        <v>51.91</v>
      </c>
      <c r="M555">
        <v>30524.26</v>
      </c>
      <c r="N555">
        <v>588</v>
      </c>
      <c r="O555">
        <v>588</v>
      </c>
    </row>
    <row r="556" spans="1:15" hidden="1" x14ac:dyDescent="0.2">
      <c r="A556" s="958" t="s">
        <v>6782</v>
      </c>
      <c r="B556" t="s">
        <v>6767</v>
      </c>
      <c r="C556" s="959">
        <v>45733</v>
      </c>
      <c r="D556" t="s">
        <v>5367</v>
      </c>
      <c r="E556">
        <v>1854</v>
      </c>
      <c r="F556">
        <v>1854</v>
      </c>
      <c r="G556">
        <v>1854</v>
      </c>
      <c r="H556">
        <v>1854</v>
      </c>
      <c r="I556">
        <v>1854</v>
      </c>
      <c r="J556" t="s">
        <v>5368</v>
      </c>
      <c r="K556">
        <v>1854</v>
      </c>
      <c r="L556">
        <v>36.18</v>
      </c>
      <c r="M556">
        <v>67077.72</v>
      </c>
      <c r="N556">
        <v>1854</v>
      </c>
      <c r="O556">
        <v>1854</v>
      </c>
    </row>
    <row r="557" spans="1:15" hidden="1" x14ac:dyDescent="0.2">
      <c r="A557" s="958" t="s">
        <v>6783</v>
      </c>
      <c r="B557" t="s">
        <v>6768</v>
      </c>
      <c r="C557" s="959">
        <v>45734</v>
      </c>
      <c r="D557" t="s">
        <v>5712</v>
      </c>
      <c r="E557">
        <v>608.85</v>
      </c>
      <c r="F557">
        <v>608.85</v>
      </c>
      <c r="G557">
        <v>608.85</v>
      </c>
      <c r="H557">
        <v>608.85</v>
      </c>
      <c r="I557">
        <v>608.85</v>
      </c>
      <c r="J557" t="s">
        <v>5716</v>
      </c>
      <c r="K557">
        <v>608.85</v>
      </c>
      <c r="L557">
        <v>487.31</v>
      </c>
      <c r="M557">
        <v>296700</v>
      </c>
      <c r="N557">
        <v>608.85</v>
      </c>
      <c r="O557">
        <v>594.5</v>
      </c>
    </row>
    <row r="558" spans="1:15" hidden="1" x14ac:dyDescent="0.2">
      <c r="A558" s="958" t="s">
        <v>6838</v>
      </c>
      <c r="B558" t="s">
        <v>6802</v>
      </c>
      <c r="C558" s="959">
        <v>45736</v>
      </c>
      <c r="D558" t="s">
        <v>6756</v>
      </c>
      <c r="E558">
        <v>4</v>
      </c>
      <c r="F558">
        <v>4</v>
      </c>
      <c r="G558">
        <v>4</v>
      </c>
      <c r="H558">
        <v>4</v>
      </c>
      <c r="I558">
        <v>4</v>
      </c>
      <c r="J558" t="s">
        <v>6789</v>
      </c>
      <c r="K558">
        <v>4</v>
      </c>
      <c r="L558">
        <v>2220.25</v>
      </c>
      <c r="M558">
        <v>8881</v>
      </c>
      <c r="N558">
        <v>4</v>
      </c>
      <c r="O558">
        <v>4</v>
      </c>
    </row>
    <row r="559" spans="1:15" hidden="1" x14ac:dyDescent="0.2">
      <c r="A559" s="958" t="s">
        <v>6839</v>
      </c>
      <c r="B559" t="s">
        <v>6802</v>
      </c>
      <c r="C559" s="959">
        <v>45736</v>
      </c>
      <c r="D559" t="s">
        <v>6755</v>
      </c>
      <c r="E559">
        <v>4</v>
      </c>
      <c r="F559">
        <v>4</v>
      </c>
      <c r="G559">
        <v>4</v>
      </c>
      <c r="H559">
        <v>4</v>
      </c>
      <c r="I559">
        <v>4</v>
      </c>
      <c r="J559" t="s">
        <v>6788</v>
      </c>
      <c r="K559">
        <v>4</v>
      </c>
      <c r="L559">
        <v>3623.75</v>
      </c>
      <c r="M559">
        <v>14495</v>
      </c>
      <c r="N559">
        <v>4</v>
      </c>
      <c r="O559">
        <v>4</v>
      </c>
    </row>
    <row r="560" spans="1:15" hidden="1" x14ac:dyDescent="0.2">
      <c r="A560" s="958" t="s">
        <v>6840</v>
      </c>
      <c r="B560" t="s">
        <v>6802</v>
      </c>
      <c r="C560" s="959">
        <v>45736</v>
      </c>
      <c r="D560" t="s">
        <v>6754</v>
      </c>
      <c r="E560">
        <v>4</v>
      </c>
      <c r="F560">
        <v>4</v>
      </c>
      <c r="G560">
        <v>4</v>
      </c>
      <c r="H560">
        <v>4</v>
      </c>
      <c r="I560">
        <v>4</v>
      </c>
      <c r="J560" t="s">
        <v>6787</v>
      </c>
      <c r="K560">
        <v>4</v>
      </c>
      <c r="L560">
        <v>5027.25</v>
      </c>
      <c r="M560">
        <v>20109</v>
      </c>
      <c r="N560">
        <v>4</v>
      </c>
      <c r="O560">
        <v>4</v>
      </c>
    </row>
    <row r="561" spans="1:15" hidden="1" x14ac:dyDescent="0.2">
      <c r="A561" s="958" t="s">
        <v>6841</v>
      </c>
      <c r="B561" t="s">
        <v>6802</v>
      </c>
      <c r="C561" s="959">
        <v>45736</v>
      </c>
      <c r="D561" t="s">
        <v>6753</v>
      </c>
      <c r="E561">
        <v>4</v>
      </c>
      <c r="F561">
        <v>4</v>
      </c>
      <c r="G561">
        <v>4</v>
      </c>
      <c r="H561">
        <v>4</v>
      </c>
      <c r="I561">
        <v>4</v>
      </c>
      <c r="J561" t="s">
        <v>6786</v>
      </c>
      <c r="K561">
        <v>4</v>
      </c>
      <c r="L561">
        <v>7132.5</v>
      </c>
      <c r="M561">
        <v>28530</v>
      </c>
      <c r="N561">
        <v>4</v>
      </c>
      <c r="O561">
        <v>4</v>
      </c>
    </row>
    <row r="562" spans="1:15" hidden="1" x14ac:dyDescent="0.2">
      <c r="A562" s="958" t="s">
        <v>6842</v>
      </c>
      <c r="B562" t="s">
        <v>6802</v>
      </c>
      <c r="C562" s="959">
        <v>45736</v>
      </c>
      <c r="D562" t="s">
        <v>6752</v>
      </c>
      <c r="E562">
        <v>4</v>
      </c>
      <c r="F562">
        <v>4</v>
      </c>
      <c r="G562">
        <v>4</v>
      </c>
      <c r="H562">
        <v>4</v>
      </c>
      <c r="I562">
        <v>4</v>
      </c>
      <c r="J562" t="s">
        <v>6785</v>
      </c>
      <c r="K562">
        <v>4</v>
      </c>
      <c r="L562">
        <v>6430.75</v>
      </c>
      <c r="M562">
        <v>25723</v>
      </c>
      <c r="N562">
        <v>4</v>
      </c>
      <c r="O562">
        <v>4</v>
      </c>
    </row>
    <row r="563" spans="1:15" hidden="1" x14ac:dyDescent="0.2">
      <c r="A563" s="958" t="s">
        <v>6843</v>
      </c>
      <c r="B563" t="s">
        <v>6802</v>
      </c>
      <c r="C563" s="959">
        <v>45736</v>
      </c>
      <c r="D563" t="s">
        <v>6532</v>
      </c>
      <c r="E563">
        <v>16</v>
      </c>
      <c r="F563">
        <v>16</v>
      </c>
      <c r="G563">
        <v>16</v>
      </c>
      <c r="H563">
        <v>16</v>
      </c>
      <c r="I563">
        <v>16</v>
      </c>
      <c r="J563" t="s">
        <v>6796</v>
      </c>
      <c r="K563">
        <v>16</v>
      </c>
      <c r="L563">
        <v>1081.3800000000001</v>
      </c>
      <c r="M563">
        <v>17302</v>
      </c>
      <c r="N563">
        <v>16</v>
      </c>
      <c r="O563">
        <v>16</v>
      </c>
    </row>
    <row r="564" spans="1:15" hidden="1" x14ac:dyDescent="0.2">
      <c r="A564" s="958" t="s">
        <v>6844</v>
      </c>
      <c r="B564" t="s">
        <v>6802</v>
      </c>
      <c r="C564" s="959">
        <v>45736</v>
      </c>
      <c r="D564" t="s">
        <v>6534</v>
      </c>
      <c r="E564">
        <v>16</v>
      </c>
      <c r="F564">
        <v>16</v>
      </c>
      <c r="G564">
        <v>16</v>
      </c>
      <c r="H564">
        <v>16</v>
      </c>
      <c r="I564">
        <v>16</v>
      </c>
      <c r="J564" t="s">
        <v>6798</v>
      </c>
      <c r="K564">
        <v>16</v>
      </c>
      <c r="L564">
        <v>379.63</v>
      </c>
      <c r="M564">
        <v>6074</v>
      </c>
      <c r="N564">
        <v>16</v>
      </c>
      <c r="O564">
        <v>16</v>
      </c>
    </row>
    <row r="565" spans="1:15" hidden="1" x14ac:dyDescent="0.2">
      <c r="A565" s="958" t="s">
        <v>6845</v>
      </c>
      <c r="B565" t="s">
        <v>6802</v>
      </c>
      <c r="C565" s="959">
        <v>45736</v>
      </c>
      <c r="D565" t="s">
        <v>6533</v>
      </c>
      <c r="E565">
        <v>16</v>
      </c>
      <c r="F565">
        <v>16</v>
      </c>
      <c r="G565">
        <v>16</v>
      </c>
      <c r="H565">
        <v>16</v>
      </c>
      <c r="I565">
        <v>16</v>
      </c>
      <c r="J565" t="s">
        <v>6797</v>
      </c>
      <c r="K565">
        <v>16</v>
      </c>
      <c r="L565">
        <v>1432.25</v>
      </c>
      <c r="M565">
        <v>22916</v>
      </c>
      <c r="N565">
        <v>16</v>
      </c>
      <c r="O565">
        <v>16</v>
      </c>
    </row>
    <row r="566" spans="1:15" hidden="1" x14ac:dyDescent="0.2">
      <c r="A566" s="958" t="s">
        <v>6846</v>
      </c>
      <c r="B566" t="s">
        <v>6803</v>
      </c>
      <c r="C566" s="959">
        <v>45736</v>
      </c>
      <c r="D566" t="s">
        <v>4866</v>
      </c>
      <c r="E566">
        <v>543.20000000000005</v>
      </c>
      <c r="F566">
        <v>543.20000000000005</v>
      </c>
      <c r="G566">
        <v>543.20000000000005</v>
      </c>
      <c r="H566">
        <v>543.20000000000005</v>
      </c>
      <c r="I566">
        <v>543.20000000000005</v>
      </c>
      <c r="J566" t="s">
        <v>6569</v>
      </c>
      <c r="K566">
        <v>543.20000000000005</v>
      </c>
      <c r="L566">
        <v>108</v>
      </c>
      <c r="M566">
        <v>58665.599999999999</v>
      </c>
      <c r="N566">
        <v>543.20000000000005</v>
      </c>
      <c r="O566">
        <v>543.20000000000005</v>
      </c>
    </row>
    <row r="567" spans="1:15" hidden="1" x14ac:dyDescent="0.2">
      <c r="A567" s="958" t="s">
        <v>6847</v>
      </c>
      <c r="B567" t="s">
        <v>6804</v>
      </c>
      <c r="C567" s="959">
        <v>45737</v>
      </c>
      <c r="D567" t="s">
        <v>1472</v>
      </c>
      <c r="E567">
        <v>780</v>
      </c>
      <c r="F567">
        <v>780</v>
      </c>
      <c r="G567">
        <v>780</v>
      </c>
      <c r="H567">
        <v>780</v>
      </c>
      <c r="I567">
        <v>780</v>
      </c>
      <c r="J567" t="s">
        <v>5448</v>
      </c>
      <c r="K567">
        <v>780</v>
      </c>
      <c r="L567">
        <v>200.01</v>
      </c>
      <c r="M567">
        <v>156010.92000000001</v>
      </c>
      <c r="N567">
        <v>780</v>
      </c>
      <c r="O567">
        <v>780</v>
      </c>
    </row>
    <row r="568" spans="1:15" hidden="1" x14ac:dyDescent="0.2">
      <c r="A568" s="958" t="s">
        <v>6848</v>
      </c>
      <c r="B568" t="s">
        <v>6805</v>
      </c>
      <c r="C568" s="959">
        <v>45737</v>
      </c>
      <c r="D568" t="s">
        <v>4276</v>
      </c>
      <c r="E568">
        <v>409.4</v>
      </c>
      <c r="F568">
        <v>409.4</v>
      </c>
      <c r="G568">
        <v>409.4</v>
      </c>
      <c r="H568">
        <v>409.4</v>
      </c>
      <c r="I568">
        <v>409.4</v>
      </c>
      <c r="J568" t="s">
        <v>6712</v>
      </c>
      <c r="K568">
        <v>409.4</v>
      </c>
      <c r="L568">
        <v>146.07</v>
      </c>
      <c r="M568">
        <v>59801.1</v>
      </c>
      <c r="N568">
        <v>409.4</v>
      </c>
      <c r="O568">
        <v>400.5</v>
      </c>
    </row>
    <row r="569" spans="1:15" hidden="1" x14ac:dyDescent="0.2">
      <c r="A569" s="958" t="s">
        <v>6849</v>
      </c>
      <c r="B569" t="s">
        <v>6806</v>
      </c>
      <c r="C569" s="959">
        <v>45737</v>
      </c>
      <c r="D569" t="s">
        <v>6608</v>
      </c>
      <c r="E569">
        <v>180</v>
      </c>
      <c r="J569" t="s">
        <v>6609</v>
      </c>
      <c r="K569">
        <v>180</v>
      </c>
      <c r="L569">
        <v>255.56</v>
      </c>
      <c r="M569">
        <v>46000</v>
      </c>
    </row>
    <row r="570" spans="1:15" hidden="1" x14ac:dyDescent="0.2">
      <c r="A570" s="958" t="s">
        <v>6850</v>
      </c>
      <c r="B570" t="s">
        <v>6739</v>
      </c>
      <c r="C570" s="959">
        <v>45737</v>
      </c>
      <c r="D570" t="s">
        <v>5010</v>
      </c>
      <c r="E570">
        <v>96</v>
      </c>
      <c r="F570">
        <v>96</v>
      </c>
      <c r="G570">
        <v>96</v>
      </c>
      <c r="H570">
        <v>96</v>
      </c>
      <c r="I570">
        <v>96</v>
      </c>
      <c r="J570" t="s">
        <v>5413</v>
      </c>
      <c r="K570">
        <v>96</v>
      </c>
      <c r="L570">
        <v>309</v>
      </c>
      <c r="M570">
        <v>29664</v>
      </c>
      <c r="N570">
        <v>96</v>
      </c>
      <c r="O570">
        <v>96</v>
      </c>
    </row>
    <row r="571" spans="1:15" hidden="1" x14ac:dyDescent="0.2">
      <c r="A571" s="958" t="s">
        <v>6851</v>
      </c>
      <c r="B571" t="s">
        <v>6739</v>
      </c>
      <c r="C571" s="959">
        <v>45737</v>
      </c>
      <c r="D571" t="s">
        <v>5009</v>
      </c>
      <c r="E571">
        <v>156</v>
      </c>
      <c r="F571">
        <v>156</v>
      </c>
      <c r="G571">
        <v>156</v>
      </c>
      <c r="H571">
        <v>156</v>
      </c>
      <c r="I571">
        <v>156</v>
      </c>
      <c r="J571" t="s">
        <v>5412</v>
      </c>
      <c r="K571">
        <v>156</v>
      </c>
      <c r="L571">
        <v>319</v>
      </c>
      <c r="M571">
        <v>49764</v>
      </c>
      <c r="N571">
        <v>156</v>
      </c>
      <c r="O571">
        <v>156</v>
      </c>
    </row>
    <row r="572" spans="1:15" hidden="1" x14ac:dyDescent="0.2">
      <c r="A572" s="958" t="s">
        <v>6852</v>
      </c>
      <c r="B572" t="s">
        <v>6807</v>
      </c>
      <c r="C572" s="959">
        <v>45737</v>
      </c>
      <c r="D572" t="s">
        <v>6808</v>
      </c>
      <c r="E572">
        <v>24</v>
      </c>
      <c r="F572">
        <v>24</v>
      </c>
      <c r="G572">
        <v>24</v>
      </c>
      <c r="H572">
        <v>24</v>
      </c>
      <c r="I572">
        <v>24</v>
      </c>
      <c r="J572" t="s">
        <v>6809</v>
      </c>
      <c r="K572">
        <v>24</v>
      </c>
      <c r="L572">
        <v>154.1</v>
      </c>
      <c r="M572">
        <v>3698.35</v>
      </c>
      <c r="N572">
        <v>24</v>
      </c>
    </row>
    <row r="573" spans="1:15" hidden="1" x14ac:dyDescent="0.2">
      <c r="A573" s="958" t="s">
        <v>6853</v>
      </c>
      <c r="B573" t="s">
        <v>6810</v>
      </c>
      <c r="C573" s="959">
        <v>45737</v>
      </c>
      <c r="D573" t="s">
        <v>2963</v>
      </c>
      <c r="E573">
        <v>1339.8</v>
      </c>
      <c r="F573">
        <v>1339.8</v>
      </c>
      <c r="G573">
        <v>1339.8</v>
      </c>
      <c r="H573">
        <v>1339.8</v>
      </c>
      <c r="I573">
        <v>1339.8</v>
      </c>
      <c r="J573" t="s">
        <v>5363</v>
      </c>
      <c r="K573">
        <v>1339.8</v>
      </c>
      <c r="L573">
        <v>83.61</v>
      </c>
      <c r="M573">
        <v>112020.68</v>
      </c>
      <c r="N573">
        <v>1339.8</v>
      </c>
      <c r="O573">
        <v>1339.8</v>
      </c>
    </row>
    <row r="574" spans="1:15" hidden="1" x14ac:dyDescent="0.2">
      <c r="A574" s="958" t="s">
        <v>6854</v>
      </c>
      <c r="B574" t="s">
        <v>6740</v>
      </c>
      <c r="C574" s="959">
        <v>45737</v>
      </c>
      <c r="D574" t="s">
        <v>6008</v>
      </c>
      <c r="E574">
        <v>292.89999999999998</v>
      </c>
      <c r="F574">
        <v>292.89999999999998</v>
      </c>
      <c r="G574">
        <v>292.89999999999998</v>
      </c>
      <c r="H574">
        <v>292.89999999999998</v>
      </c>
      <c r="I574">
        <v>292.89999999999998</v>
      </c>
      <c r="J574" t="s">
        <v>5400</v>
      </c>
      <c r="K574">
        <v>292.89999999999998</v>
      </c>
      <c r="L574">
        <v>123.27</v>
      </c>
      <c r="M574">
        <v>36106.22</v>
      </c>
      <c r="N574">
        <v>292.89999999999998</v>
      </c>
      <c r="O574">
        <v>292.89999999999998</v>
      </c>
    </row>
    <row r="575" spans="1:15" hidden="1" x14ac:dyDescent="0.2">
      <c r="A575" s="958" t="s">
        <v>6855</v>
      </c>
      <c r="B575" t="s">
        <v>6741</v>
      </c>
      <c r="C575" s="959">
        <v>45740</v>
      </c>
      <c r="D575" t="s">
        <v>5253</v>
      </c>
      <c r="E575">
        <v>895.4</v>
      </c>
      <c r="F575">
        <v>1621.4</v>
      </c>
      <c r="G575">
        <v>1621.4</v>
      </c>
      <c r="H575">
        <v>1621.4</v>
      </c>
      <c r="I575">
        <v>1621.4</v>
      </c>
      <c r="J575" t="s">
        <v>6795</v>
      </c>
      <c r="K575">
        <v>895.4</v>
      </c>
      <c r="L575">
        <v>102.58</v>
      </c>
      <c r="M575">
        <v>91850.13</v>
      </c>
      <c r="N575">
        <v>1621.4</v>
      </c>
      <c r="O575">
        <v>895.4</v>
      </c>
    </row>
    <row r="576" spans="1:15" hidden="1" x14ac:dyDescent="0.2">
      <c r="A576" s="958" t="s">
        <v>6856</v>
      </c>
      <c r="B576" t="s">
        <v>6811</v>
      </c>
      <c r="C576" s="959">
        <v>45740</v>
      </c>
      <c r="D576" t="s">
        <v>2561</v>
      </c>
      <c r="E576">
        <v>210</v>
      </c>
      <c r="F576">
        <v>210</v>
      </c>
      <c r="G576">
        <v>210</v>
      </c>
      <c r="H576">
        <v>210</v>
      </c>
      <c r="I576">
        <v>210</v>
      </c>
      <c r="J576" t="s">
        <v>5408</v>
      </c>
      <c r="K576">
        <v>210</v>
      </c>
      <c r="L576">
        <v>150.88</v>
      </c>
      <c r="M576">
        <v>31685.54</v>
      </c>
      <c r="N576">
        <v>210</v>
      </c>
      <c r="O576">
        <v>210</v>
      </c>
    </row>
    <row r="577" spans="1:15" hidden="1" x14ac:dyDescent="0.2">
      <c r="A577" s="958" t="s">
        <v>6857</v>
      </c>
      <c r="B577" t="s">
        <v>6812</v>
      </c>
      <c r="C577" s="959">
        <v>45740</v>
      </c>
      <c r="D577" t="s">
        <v>4393</v>
      </c>
      <c r="E577">
        <v>378</v>
      </c>
      <c r="F577">
        <v>378</v>
      </c>
      <c r="G577">
        <v>378</v>
      </c>
      <c r="H577">
        <v>378</v>
      </c>
      <c r="I577">
        <v>378</v>
      </c>
      <c r="J577" t="s">
        <v>5472</v>
      </c>
      <c r="K577">
        <v>378</v>
      </c>
      <c r="L577">
        <v>210.89</v>
      </c>
      <c r="M577">
        <v>79714.720000000001</v>
      </c>
      <c r="N577">
        <v>378</v>
      </c>
      <c r="O577">
        <v>378</v>
      </c>
    </row>
    <row r="578" spans="1:15" hidden="1" x14ac:dyDescent="0.2">
      <c r="A578" s="958" t="s">
        <v>6858</v>
      </c>
      <c r="B578" t="s">
        <v>6813</v>
      </c>
      <c r="C578" s="959">
        <v>45740</v>
      </c>
      <c r="D578" t="s">
        <v>5289</v>
      </c>
      <c r="E578">
        <v>2698</v>
      </c>
      <c r="F578">
        <v>2698</v>
      </c>
      <c r="G578">
        <v>2698</v>
      </c>
      <c r="H578">
        <v>2698</v>
      </c>
      <c r="I578">
        <v>2698</v>
      </c>
      <c r="J578" t="s">
        <v>5489</v>
      </c>
      <c r="K578">
        <v>2698</v>
      </c>
      <c r="L578">
        <v>127.11</v>
      </c>
      <c r="M578">
        <v>342939.54</v>
      </c>
      <c r="N578">
        <v>2698</v>
      </c>
      <c r="O578">
        <v>2690.9</v>
      </c>
    </row>
    <row r="579" spans="1:15" hidden="1" x14ac:dyDescent="0.2">
      <c r="A579" s="958" t="s">
        <v>6859</v>
      </c>
      <c r="B579" t="s">
        <v>6814</v>
      </c>
      <c r="C579" s="959">
        <v>45740</v>
      </c>
      <c r="D579" t="s">
        <v>4582</v>
      </c>
      <c r="E579">
        <v>3762</v>
      </c>
      <c r="F579">
        <v>3762</v>
      </c>
      <c r="G579">
        <v>3762</v>
      </c>
      <c r="H579">
        <v>3762</v>
      </c>
      <c r="I579">
        <v>3762</v>
      </c>
      <c r="J579" t="s">
        <v>5393</v>
      </c>
      <c r="K579">
        <v>3762</v>
      </c>
      <c r="L579">
        <v>42.93</v>
      </c>
      <c r="M579">
        <v>161483.85</v>
      </c>
      <c r="N579">
        <v>3762</v>
      </c>
      <c r="O579">
        <v>3762</v>
      </c>
    </row>
    <row r="580" spans="1:15" hidden="1" x14ac:dyDescent="0.2">
      <c r="A580" s="958" t="s">
        <v>6860</v>
      </c>
      <c r="B580" t="s">
        <v>6742</v>
      </c>
      <c r="C580" s="959">
        <v>45740</v>
      </c>
      <c r="D580" t="s">
        <v>6029</v>
      </c>
      <c r="E580">
        <v>653.4</v>
      </c>
      <c r="F580">
        <v>653.4</v>
      </c>
      <c r="G580">
        <v>653.4</v>
      </c>
      <c r="H580">
        <v>653.4</v>
      </c>
      <c r="I580">
        <v>653.4</v>
      </c>
      <c r="J580" t="s">
        <v>6036</v>
      </c>
      <c r="K580">
        <v>653.4</v>
      </c>
      <c r="L580">
        <v>99.18</v>
      </c>
      <c r="M580">
        <v>64801.599999999999</v>
      </c>
      <c r="N580">
        <v>653.4</v>
      </c>
      <c r="O580">
        <v>653.4</v>
      </c>
    </row>
    <row r="581" spans="1:15" hidden="1" x14ac:dyDescent="0.2">
      <c r="A581" s="958" t="s">
        <v>6861</v>
      </c>
      <c r="B581" t="s">
        <v>6815</v>
      </c>
      <c r="C581" s="959">
        <v>45740</v>
      </c>
      <c r="D581" t="s">
        <v>6816</v>
      </c>
      <c r="E581">
        <v>555.1</v>
      </c>
      <c r="F581">
        <v>555.1</v>
      </c>
      <c r="G581">
        <v>555.1</v>
      </c>
      <c r="H581">
        <v>555.1</v>
      </c>
      <c r="I581">
        <v>555.1</v>
      </c>
      <c r="J581" t="s">
        <v>6817</v>
      </c>
      <c r="K581">
        <v>555.1</v>
      </c>
      <c r="L581">
        <v>120.37</v>
      </c>
      <c r="M581">
        <v>66818.77</v>
      </c>
      <c r="N581">
        <v>555.1</v>
      </c>
      <c r="O581">
        <v>555.1</v>
      </c>
    </row>
    <row r="582" spans="1:15" hidden="1" x14ac:dyDescent="0.2">
      <c r="A582" s="958" t="s">
        <v>6862</v>
      </c>
      <c r="B582" t="s">
        <v>6743</v>
      </c>
      <c r="C582" s="959">
        <v>45740</v>
      </c>
      <c r="D582" t="s">
        <v>6103</v>
      </c>
      <c r="E582">
        <v>1930</v>
      </c>
      <c r="F582">
        <v>1930</v>
      </c>
      <c r="G582">
        <v>1930</v>
      </c>
      <c r="H582">
        <v>1930</v>
      </c>
      <c r="I582">
        <v>1930</v>
      </c>
      <c r="J582" t="s">
        <v>6104</v>
      </c>
      <c r="K582">
        <v>1930</v>
      </c>
      <c r="L582">
        <v>65.069999999999993</v>
      </c>
      <c r="M582">
        <v>125585.1</v>
      </c>
      <c r="N582">
        <v>1930</v>
      </c>
      <c r="O582">
        <v>1920</v>
      </c>
    </row>
    <row r="583" spans="1:15" hidden="1" x14ac:dyDescent="0.2">
      <c r="A583" s="958" t="s">
        <v>6863</v>
      </c>
      <c r="B583" t="s">
        <v>6744</v>
      </c>
      <c r="C583" s="959">
        <v>45740</v>
      </c>
      <c r="D583" t="s">
        <v>6818</v>
      </c>
      <c r="E583">
        <v>34.450000000000003</v>
      </c>
      <c r="F583">
        <v>34.450000000000003</v>
      </c>
      <c r="G583">
        <v>34.450000000000003</v>
      </c>
      <c r="H583">
        <v>34.450000000000003</v>
      </c>
      <c r="I583">
        <v>34.450000000000003</v>
      </c>
      <c r="J583" t="s">
        <v>6819</v>
      </c>
      <c r="K583">
        <v>34.450000000000003</v>
      </c>
      <c r="L583">
        <v>130.62</v>
      </c>
      <c r="M583">
        <v>4499.7</v>
      </c>
      <c r="N583">
        <v>34.450000000000003</v>
      </c>
      <c r="O583">
        <v>34.450000000000003</v>
      </c>
    </row>
    <row r="584" spans="1:15" hidden="1" x14ac:dyDescent="0.2">
      <c r="A584" s="958" t="s">
        <v>6864</v>
      </c>
      <c r="B584" t="s">
        <v>6745</v>
      </c>
      <c r="C584" s="959">
        <v>45740</v>
      </c>
      <c r="D584" t="s">
        <v>117</v>
      </c>
      <c r="E584">
        <v>330</v>
      </c>
      <c r="F584">
        <v>330</v>
      </c>
      <c r="G584">
        <v>330</v>
      </c>
      <c r="H584">
        <v>330</v>
      </c>
      <c r="I584">
        <v>330</v>
      </c>
      <c r="J584" t="s">
        <v>5424</v>
      </c>
      <c r="K584">
        <v>330</v>
      </c>
      <c r="L584">
        <v>84.1</v>
      </c>
      <c r="M584">
        <v>27752.67</v>
      </c>
      <c r="N584">
        <v>330</v>
      </c>
      <c r="O584">
        <v>330</v>
      </c>
    </row>
    <row r="585" spans="1:15" hidden="1" x14ac:dyDescent="0.2">
      <c r="A585" s="958" t="s">
        <v>6865</v>
      </c>
      <c r="B585" t="s">
        <v>6820</v>
      </c>
      <c r="C585" s="959">
        <v>45741</v>
      </c>
      <c r="D585" t="s">
        <v>5047</v>
      </c>
      <c r="E585">
        <v>1</v>
      </c>
      <c r="F585">
        <v>1</v>
      </c>
      <c r="G585">
        <v>1</v>
      </c>
      <c r="H585">
        <v>1</v>
      </c>
      <c r="I585">
        <v>1</v>
      </c>
      <c r="J585" t="s">
        <v>5434</v>
      </c>
      <c r="K585">
        <v>1</v>
      </c>
      <c r="L585">
        <v>1770</v>
      </c>
      <c r="M585">
        <v>1770</v>
      </c>
      <c r="N585">
        <v>1</v>
      </c>
      <c r="O585">
        <v>1</v>
      </c>
    </row>
    <row r="586" spans="1:15" hidden="1" x14ac:dyDescent="0.2">
      <c r="A586" s="958" t="s">
        <v>6866</v>
      </c>
      <c r="B586" t="s">
        <v>6820</v>
      </c>
      <c r="C586" s="959">
        <v>45741</v>
      </c>
      <c r="D586" t="s">
        <v>5048</v>
      </c>
      <c r="E586">
        <v>1</v>
      </c>
      <c r="F586">
        <v>1</v>
      </c>
      <c r="G586">
        <v>1</v>
      </c>
      <c r="H586">
        <v>1</v>
      </c>
      <c r="I586">
        <v>1</v>
      </c>
      <c r="J586" t="s">
        <v>5435</v>
      </c>
      <c r="K586">
        <v>1</v>
      </c>
      <c r="L586">
        <v>1860</v>
      </c>
      <c r="M586">
        <v>1860</v>
      </c>
      <c r="N586">
        <v>1</v>
      </c>
      <c r="O586">
        <v>1</v>
      </c>
    </row>
    <row r="587" spans="1:15" hidden="1" x14ac:dyDescent="0.2">
      <c r="A587" s="958" t="s">
        <v>6867</v>
      </c>
      <c r="B587" t="s">
        <v>6820</v>
      </c>
      <c r="C587" s="959">
        <v>45741</v>
      </c>
      <c r="D587" t="s">
        <v>5052</v>
      </c>
      <c r="E587">
        <v>1</v>
      </c>
      <c r="F587">
        <v>1</v>
      </c>
      <c r="G587">
        <v>1</v>
      </c>
      <c r="H587">
        <v>1</v>
      </c>
      <c r="I587">
        <v>1</v>
      </c>
      <c r="J587" t="s">
        <v>5438</v>
      </c>
      <c r="K587">
        <v>1</v>
      </c>
      <c r="L587">
        <v>4910</v>
      </c>
      <c r="M587">
        <v>4910</v>
      </c>
      <c r="N587">
        <v>1</v>
      </c>
      <c r="O587">
        <v>1</v>
      </c>
    </row>
    <row r="588" spans="1:15" hidden="1" x14ac:dyDescent="0.2">
      <c r="A588" s="958" t="s">
        <v>6868</v>
      </c>
      <c r="B588" t="s">
        <v>6820</v>
      </c>
      <c r="C588" s="959">
        <v>45741</v>
      </c>
      <c r="D588" t="s">
        <v>5053</v>
      </c>
      <c r="E588">
        <v>1</v>
      </c>
      <c r="F588">
        <v>1</v>
      </c>
      <c r="G588">
        <v>1</v>
      </c>
      <c r="H588">
        <v>1</v>
      </c>
      <c r="I588">
        <v>1</v>
      </c>
      <c r="J588" t="s">
        <v>5439</v>
      </c>
      <c r="K588">
        <v>1</v>
      </c>
      <c r="L588">
        <v>5200</v>
      </c>
      <c r="M588">
        <v>5200</v>
      </c>
      <c r="N588">
        <v>1</v>
      </c>
      <c r="O588">
        <v>1</v>
      </c>
    </row>
    <row r="589" spans="1:15" hidden="1" x14ac:dyDescent="0.2">
      <c r="A589" s="958" t="s">
        <v>6869</v>
      </c>
      <c r="B589" t="s">
        <v>6820</v>
      </c>
      <c r="C589" s="959">
        <v>45741</v>
      </c>
      <c r="D589" t="s">
        <v>5054</v>
      </c>
      <c r="E589">
        <v>1</v>
      </c>
      <c r="F589">
        <v>1</v>
      </c>
      <c r="G589">
        <v>1</v>
      </c>
      <c r="H589">
        <v>1</v>
      </c>
      <c r="I589">
        <v>1</v>
      </c>
      <c r="J589" t="s">
        <v>5440</v>
      </c>
      <c r="K589">
        <v>1</v>
      </c>
      <c r="L589">
        <v>5900</v>
      </c>
      <c r="M589">
        <v>5900</v>
      </c>
      <c r="N589">
        <v>1</v>
      </c>
      <c r="O589">
        <v>1</v>
      </c>
    </row>
    <row r="590" spans="1:15" hidden="1" x14ac:dyDescent="0.2">
      <c r="A590" s="958" t="s">
        <v>6870</v>
      </c>
      <c r="B590" t="s">
        <v>6820</v>
      </c>
      <c r="C590" s="959">
        <v>45741</v>
      </c>
      <c r="D590" t="s">
        <v>6821</v>
      </c>
      <c r="E590">
        <v>6</v>
      </c>
      <c r="F590">
        <v>6</v>
      </c>
      <c r="G590">
        <v>6</v>
      </c>
      <c r="H590">
        <v>6</v>
      </c>
      <c r="I590">
        <v>6</v>
      </c>
      <c r="J590" t="s">
        <v>6822</v>
      </c>
      <c r="K590">
        <v>6</v>
      </c>
      <c r="L590">
        <v>560</v>
      </c>
      <c r="M590">
        <v>3360</v>
      </c>
      <c r="N590">
        <v>6</v>
      </c>
    </row>
    <row r="591" spans="1:15" hidden="1" x14ac:dyDescent="0.2">
      <c r="A591" s="958" t="s">
        <v>6871</v>
      </c>
      <c r="B591" t="s">
        <v>6746</v>
      </c>
      <c r="C591" s="959">
        <v>45744</v>
      </c>
      <c r="D591" t="s">
        <v>4727</v>
      </c>
      <c r="E591">
        <v>198</v>
      </c>
      <c r="F591">
        <v>198</v>
      </c>
      <c r="G591">
        <v>198</v>
      </c>
      <c r="H591">
        <v>198</v>
      </c>
      <c r="I591">
        <v>198</v>
      </c>
      <c r="J591" t="s">
        <v>5366</v>
      </c>
      <c r="K591">
        <v>198</v>
      </c>
      <c r="L591">
        <v>88.18</v>
      </c>
      <c r="M591">
        <v>17459.439999999999</v>
      </c>
      <c r="N591">
        <v>198</v>
      </c>
      <c r="O591">
        <v>198</v>
      </c>
    </row>
    <row r="592" spans="1:15" hidden="1" x14ac:dyDescent="0.2">
      <c r="A592" s="958" t="s">
        <v>6872</v>
      </c>
      <c r="B592" t="s">
        <v>6747</v>
      </c>
      <c r="C592" s="959">
        <v>45747</v>
      </c>
      <c r="D592" t="s">
        <v>3942</v>
      </c>
      <c r="E592">
        <v>1029</v>
      </c>
      <c r="F592">
        <v>1029</v>
      </c>
      <c r="G592">
        <v>1029</v>
      </c>
      <c r="H592">
        <v>1029</v>
      </c>
      <c r="I592">
        <v>1029</v>
      </c>
      <c r="J592" t="s">
        <v>6511</v>
      </c>
      <c r="K592">
        <v>1029</v>
      </c>
      <c r="L592">
        <v>58.77</v>
      </c>
      <c r="M592">
        <v>60477.42</v>
      </c>
      <c r="N592">
        <v>1029</v>
      </c>
      <c r="O592">
        <v>1021.65</v>
      </c>
    </row>
    <row r="593" spans="1:15" hidden="1" x14ac:dyDescent="0.2">
      <c r="A593" s="958" t="s">
        <v>6873</v>
      </c>
      <c r="B593" t="s">
        <v>6823</v>
      </c>
      <c r="C593" s="959">
        <v>45747</v>
      </c>
      <c r="D593" t="s">
        <v>1472</v>
      </c>
      <c r="E593">
        <v>114</v>
      </c>
      <c r="F593">
        <v>114</v>
      </c>
      <c r="G593">
        <v>114</v>
      </c>
      <c r="H593">
        <v>114</v>
      </c>
      <c r="I593">
        <v>114</v>
      </c>
      <c r="J593" t="s">
        <v>5448</v>
      </c>
      <c r="K593">
        <v>114</v>
      </c>
      <c r="L593">
        <v>200.01</v>
      </c>
      <c r="M593">
        <v>22801.599999999999</v>
      </c>
      <c r="N593">
        <v>114</v>
      </c>
    </row>
    <row r="594" spans="1:15" hidden="1" x14ac:dyDescent="0.2">
      <c r="A594" s="958" t="s">
        <v>6874</v>
      </c>
      <c r="B594" t="s">
        <v>6748</v>
      </c>
      <c r="C594" s="959">
        <v>45747</v>
      </c>
      <c r="D594" t="s">
        <v>6824</v>
      </c>
      <c r="E594">
        <v>336</v>
      </c>
      <c r="F594">
        <v>336</v>
      </c>
      <c r="G594">
        <v>336</v>
      </c>
      <c r="H594">
        <v>336</v>
      </c>
      <c r="I594">
        <v>336</v>
      </c>
      <c r="J594" t="s">
        <v>6825</v>
      </c>
      <c r="K594">
        <v>336</v>
      </c>
      <c r="L594">
        <v>205.66</v>
      </c>
      <c r="M594">
        <v>69101.759999999995</v>
      </c>
      <c r="N594">
        <v>336</v>
      </c>
      <c r="O594">
        <v>336</v>
      </c>
    </row>
    <row r="595" spans="1:15" hidden="1" x14ac:dyDescent="0.2">
      <c r="A595" s="958" t="s">
        <v>6875</v>
      </c>
      <c r="B595" t="s">
        <v>6751</v>
      </c>
      <c r="C595" s="959">
        <v>45747</v>
      </c>
      <c r="D595" t="s">
        <v>6030</v>
      </c>
      <c r="E595">
        <v>1095.05</v>
      </c>
      <c r="F595">
        <v>1095.05</v>
      </c>
      <c r="G595">
        <v>1095.05</v>
      </c>
      <c r="H595">
        <v>1095.05</v>
      </c>
      <c r="I595">
        <v>1095.05</v>
      </c>
      <c r="J595" t="s">
        <v>6037</v>
      </c>
      <c r="K595">
        <v>1095.05</v>
      </c>
      <c r="L595">
        <v>85.42</v>
      </c>
      <c r="M595">
        <v>93541.36</v>
      </c>
      <c r="N595">
        <v>1095.05</v>
      </c>
      <c r="O595">
        <v>1095.05</v>
      </c>
    </row>
    <row r="596" spans="1:15" hidden="1" x14ac:dyDescent="0.2">
      <c r="A596" s="958" t="s">
        <v>6876</v>
      </c>
      <c r="B596" t="s">
        <v>6826</v>
      </c>
      <c r="C596" s="959">
        <v>45747</v>
      </c>
      <c r="D596" t="s">
        <v>5158</v>
      </c>
      <c r="E596">
        <v>172.8</v>
      </c>
      <c r="F596">
        <v>172.8</v>
      </c>
      <c r="G596">
        <v>172.8</v>
      </c>
      <c r="H596">
        <v>172.8</v>
      </c>
      <c r="I596">
        <v>172.8</v>
      </c>
      <c r="J596" t="s">
        <v>5460</v>
      </c>
      <c r="K596">
        <v>172.8</v>
      </c>
      <c r="L596">
        <v>159.21</v>
      </c>
      <c r="M596">
        <v>27512.11</v>
      </c>
      <c r="N596">
        <v>172.8</v>
      </c>
      <c r="O596">
        <v>172.8</v>
      </c>
    </row>
    <row r="597" spans="1:15" hidden="1" x14ac:dyDescent="0.2">
      <c r="A597" s="958" t="s">
        <v>6877</v>
      </c>
      <c r="B597" t="s">
        <v>6750</v>
      </c>
      <c r="C597" s="959">
        <v>45747</v>
      </c>
      <c r="D597" t="s">
        <v>4582</v>
      </c>
      <c r="E597">
        <v>552</v>
      </c>
      <c r="F597">
        <v>552</v>
      </c>
      <c r="G597">
        <v>552</v>
      </c>
      <c r="H597">
        <v>552</v>
      </c>
      <c r="I597">
        <v>552</v>
      </c>
      <c r="J597" t="s">
        <v>5393</v>
      </c>
      <c r="K597">
        <v>552</v>
      </c>
      <c r="L597">
        <v>42.93</v>
      </c>
      <c r="M597">
        <v>23694.6</v>
      </c>
      <c r="N597">
        <v>552</v>
      </c>
      <c r="O597">
        <v>552</v>
      </c>
    </row>
    <row r="598" spans="1:15" hidden="1" x14ac:dyDescent="0.2">
      <c r="A598" s="958" t="s">
        <v>6878</v>
      </c>
      <c r="B598" t="s">
        <v>6827</v>
      </c>
      <c r="C598" s="959">
        <v>45747</v>
      </c>
      <c r="D598" t="s">
        <v>4590</v>
      </c>
      <c r="E598">
        <v>288</v>
      </c>
      <c r="F598">
        <v>288</v>
      </c>
      <c r="G598">
        <v>288</v>
      </c>
      <c r="H598">
        <v>288</v>
      </c>
      <c r="I598">
        <v>288</v>
      </c>
      <c r="J598" t="s">
        <v>5383</v>
      </c>
      <c r="K598">
        <v>288</v>
      </c>
      <c r="L598">
        <v>193.59</v>
      </c>
      <c r="M598">
        <v>55753.919999999998</v>
      </c>
      <c r="N598">
        <v>288</v>
      </c>
      <c r="O598">
        <v>288</v>
      </c>
    </row>
    <row r="599" spans="1:15" hidden="1" x14ac:dyDescent="0.2">
      <c r="A599" s="958" t="s">
        <v>6879</v>
      </c>
      <c r="B599" t="s">
        <v>6828</v>
      </c>
      <c r="C599" s="959">
        <v>45748</v>
      </c>
      <c r="D599" t="s">
        <v>5403</v>
      </c>
      <c r="E599">
        <v>2580</v>
      </c>
      <c r="F599">
        <v>2580</v>
      </c>
      <c r="G599">
        <v>2580</v>
      </c>
      <c r="H599">
        <v>2580</v>
      </c>
      <c r="I599">
        <v>1554</v>
      </c>
      <c r="J599" t="s">
        <v>5404</v>
      </c>
      <c r="K599">
        <v>2580</v>
      </c>
      <c r="L599">
        <v>39.06</v>
      </c>
      <c r="M599">
        <v>100774.8</v>
      </c>
      <c r="N599">
        <v>1554</v>
      </c>
      <c r="O599">
        <v>1440</v>
      </c>
    </row>
    <row r="600" spans="1:15" hidden="1" x14ac:dyDescent="0.2">
      <c r="A600" s="958" t="s">
        <v>6880</v>
      </c>
      <c r="B600" t="s">
        <v>6828</v>
      </c>
      <c r="C600" s="959">
        <v>45748</v>
      </c>
      <c r="D600" t="s">
        <v>5401</v>
      </c>
      <c r="E600">
        <v>1008</v>
      </c>
      <c r="F600">
        <v>1008</v>
      </c>
      <c r="G600">
        <v>1008</v>
      </c>
      <c r="H600">
        <v>1008</v>
      </c>
      <c r="I600">
        <v>336</v>
      </c>
      <c r="J600" t="s">
        <v>5402</v>
      </c>
      <c r="K600">
        <v>1008</v>
      </c>
      <c r="L600">
        <v>61.31</v>
      </c>
      <c r="M600">
        <v>61798.46</v>
      </c>
      <c r="N600">
        <v>336</v>
      </c>
      <c r="O600">
        <v>336</v>
      </c>
    </row>
    <row r="601" spans="1:15" hidden="1" x14ac:dyDescent="0.2">
      <c r="A601" s="958" t="s">
        <v>6881</v>
      </c>
      <c r="B601" t="s">
        <v>6828</v>
      </c>
      <c r="C601" s="959">
        <v>45748</v>
      </c>
      <c r="D601" t="s">
        <v>5367</v>
      </c>
      <c r="E601">
        <v>4374</v>
      </c>
      <c r="F601">
        <v>4374</v>
      </c>
      <c r="G601">
        <v>4374</v>
      </c>
      <c r="H601">
        <v>4374</v>
      </c>
      <c r="I601">
        <v>4374</v>
      </c>
      <c r="J601" t="s">
        <v>5368</v>
      </c>
      <c r="K601">
        <v>4374</v>
      </c>
      <c r="L601">
        <v>36.18</v>
      </c>
      <c r="M601">
        <v>158251.32</v>
      </c>
      <c r="N601">
        <v>4374</v>
      </c>
      <c r="O601">
        <v>2496</v>
      </c>
    </row>
    <row r="602" spans="1:15" hidden="1" x14ac:dyDescent="0.2">
      <c r="A602" s="958" t="s">
        <v>6882</v>
      </c>
      <c r="B602" t="s">
        <v>6829</v>
      </c>
      <c r="C602" s="959">
        <v>45749</v>
      </c>
      <c r="D602" t="s">
        <v>4727</v>
      </c>
      <c r="E602">
        <v>330</v>
      </c>
      <c r="F602">
        <v>330</v>
      </c>
      <c r="G602">
        <v>330</v>
      </c>
      <c r="H602">
        <v>330</v>
      </c>
      <c r="I602">
        <v>330</v>
      </c>
      <c r="J602" t="s">
        <v>5366</v>
      </c>
      <c r="K602">
        <v>330</v>
      </c>
      <c r="L602">
        <v>88.18</v>
      </c>
      <c r="M602">
        <v>29099.07</v>
      </c>
      <c r="N602">
        <v>330</v>
      </c>
      <c r="O602">
        <v>330</v>
      </c>
    </row>
    <row r="603" spans="1:15" hidden="1" x14ac:dyDescent="0.2">
      <c r="A603" s="958" t="s">
        <v>6883</v>
      </c>
      <c r="B603" t="s">
        <v>6830</v>
      </c>
      <c r="C603" s="959">
        <v>45749</v>
      </c>
      <c r="D603" t="s">
        <v>4973</v>
      </c>
      <c r="E603">
        <v>5000</v>
      </c>
      <c r="F603">
        <v>5000</v>
      </c>
      <c r="G603">
        <v>5000</v>
      </c>
      <c r="H603">
        <v>5000</v>
      </c>
      <c r="I603">
        <v>5000</v>
      </c>
      <c r="J603" t="s">
        <v>6831</v>
      </c>
      <c r="K603">
        <v>5000</v>
      </c>
      <c r="L603">
        <v>51.61</v>
      </c>
      <c r="M603">
        <v>258050</v>
      </c>
      <c r="N603">
        <v>5000</v>
      </c>
      <c r="O603">
        <v>5000</v>
      </c>
    </row>
    <row r="604" spans="1:15" hidden="1" x14ac:dyDescent="0.2">
      <c r="A604" s="958" t="s">
        <v>6884</v>
      </c>
      <c r="B604" t="s">
        <v>6832</v>
      </c>
      <c r="C604" s="959">
        <v>45749</v>
      </c>
      <c r="D604" t="s">
        <v>6833</v>
      </c>
      <c r="E604">
        <v>636</v>
      </c>
      <c r="J604" t="s">
        <v>6834</v>
      </c>
      <c r="K604">
        <v>636</v>
      </c>
      <c r="L604">
        <v>109.62</v>
      </c>
      <c r="M604">
        <v>69715.78</v>
      </c>
    </row>
    <row r="605" spans="1:15" hidden="1" x14ac:dyDescent="0.2">
      <c r="A605" s="958" t="s">
        <v>6885</v>
      </c>
      <c r="B605" t="s">
        <v>6835</v>
      </c>
      <c r="C605" s="959">
        <v>45749</v>
      </c>
      <c r="D605" t="s">
        <v>6836</v>
      </c>
      <c r="E605">
        <v>60</v>
      </c>
      <c r="F605">
        <v>60</v>
      </c>
      <c r="G605">
        <v>60</v>
      </c>
      <c r="H605">
        <v>60</v>
      </c>
      <c r="I605">
        <v>60</v>
      </c>
      <c r="J605" t="s">
        <v>6837</v>
      </c>
      <c r="K605">
        <v>60</v>
      </c>
      <c r="L605">
        <v>394.17</v>
      </c>
      <c r="M605">
        <v>23650</v>
      </c>
      <c r="N605">
        <v>60</v>
      </c>
      <c r="O605">
        <v>60</v>
      </c>
    </row>
    <row r="606" spans="1:15" hidden="1" x14ac:dyDescent="0.2">
      <c r="A606" s="958" t="s">
        <v>6988</v>
      </c>
      <c r="B606" t="s">
        <v>6757</v>
      </c>
      <c r="C606" s="959">
        <v>45750</v>
      </c>
      <c r="D606" t="s">
        <v>5490</v>
      </c>
      <c r="E606">
        <v>905</v>
      </c>
      <c r="J606" t="s">
        <v>5491</v>
      </c>
      <c r="K606">
        <v>905</v>
      </c>
      <c r="L606">
        <v>98</v>
      </c>
      <c r="M606">
        <v>88690</v>
      </c>
    </row>
    <row r="607" spans="1:15" hidden="1" x14ac:dyDescent="0.2">
      <c r="A607" s="958" t="s">
        <v>6989</v>
      </c>
      <c r="B607" t="s">
        <v>6890</v>
      </c>
      <c r="C607" s="959">
        <v>45750</v>
      </c>
      <c r="D607" t="s">
        <v>4867</v>
      </c>
      <c r="E607">
        <v>596.04999999999995</v>
      </c>
      <c r="J607" t="s">
        <v>6462</v>
      </c>
      <c r="K607">
        <v>596.04999999999995</v>
      </c>
      <c r="L607">
        <v>99</v>
      </c>
      <c r="M607">
        <v>59008.95</v>
      </c>
    </row>
    <row r="608" spans="1:15" hidden="1" x14ac:dyDescent="0.2">
      <c r="A608" s="958" t="s">
        <v>6990</v>
      </c>
      <c r="B608" t="s">
        <v>6891</v>
      </c>
      <c r="C608" s="959">
        <v>45750</v>
      </c>
      <c r="D608" t="s">
        <v>3678</v>
      </c>
      <c r="E608">
        <v>573</v>
      </c>
      <c r="J608" t="s">
        <v>5461</v>
      </c>
      <c r="K608">
        <v>573</v>
      </c>
      <c r="L608">
        <v>395.76</v>
      </c>
      <c r="M608">
        <v>226770.48</v>
      </c>
    </row>
    <row r="609" spans="1:13" hidden="1" x14ac:dyDescent="0.2">
      <c r="A609" s="958" t="s">
        <v>6991</v>
      </c>
      <c r="B609" t="s">
        <v>6892</v>
      </c>
      <c r="C609" s="959">
        <v>45750</v>
      </c>
      <c r="D609" t="s">
        <v>6008</v>
      </c>
      <c r="E609">
        <v>828.2</v>
      </c>
      <c r="J609" t="s">
        <v>5400</v>
      </c>
      <c r="K609">
        <v>828.2</v>
      </c>
      <c r="L609">
        <v>123.27</v>
      </c>
      <c r="M609">
        <v>102093.46</v>
      </c>
    </row>
    <row r="610" spans="1:13" hidden="1" x14ac:dyDescent="0.2">
      <c r="A610" s="958" t="s">
        <v>6992</v>
      </c>
      <c r="B610" t="s">
        <v>6893</v>
      </c>
      <c r="C610" s="959">
        <v>45750</v>
      </c>
      <c r="D610" t="s">
        <v>5862</v>
      </c>
      <c r="E610">
        <v>354</v>
      </c>
      <c r="J610" t="s">
        <v>5831</v>
      </c>
      <c r="K610">
        <v>354</v>
      </c>
      <c r="L610">
        <v>153.15</v>
      </c>
      <c r="M610">
        <v>54216.160000000003</v>
      </c>
    </row>
    <row r="611" spans="1:13" hidden="1" x14ac:dyDescent="0.2">
      <c r="A611" s="958" t="s">
        <v>6993</v>
      </c>
      <c r="B611" t="s">
        <v>6894</v>
      </c>
      <c r="C611" s="959">
        <v>45751</v>
      </c>
      <c r="D611" t="s">
        <v>6895</v>
      </c>
      <c r="E611">
        <v>9.9600000000000009</v>
      </c>
      <c r="J611" t="s">
        <v>6896</v>
      </c>
      <c r="K611">
        <v>9.9600000000000009</v>
      </c>
      <c r="L611">
        <v>397</v>
      </c>
      <c r="M611">
        <v>3954.12</v>
      </c>
    </row>
    <row r="612" spans="1:13" hidden="1" x14ac:dyDescent="0.2">
      <c r="A612" s="958" t="s">
        <v>6994</v>
      </c>
      <c r="B612" t="s">
        <v>6894</v>
      </c>
      <c r="C612" s="959">
        <v>45751</v>
      </c>
      <c r="D612" t="s">
        <v>6897</v>
      </c>
      <c r="E612">
        <v>32.76</v>
      </c>
      <c r="J612" t="s">
        <v>6898</v>
      </c>
      <c r="K612">
        <v>32.76</v>
      </c>
      <c r="L612">
        <v>397</v>
      </c>
      <c r="M612">
        <v>13005.72</v>
      </c>
    </row>
    <row r="613" spans="1:13" hidden="1" x14ac:dyDescent="0.2">
      <c r="A613" s="958" t="s">
        <v>6995</v>
      </c>
      <c r="B613" t="s">
        <v>6894</v>
      </c>
      <c r="C613" s="959">
        <v>45751</v>
      </c>
      <c r="D613" t="s">
        <v>6899</v>
      </c>
      <c r="E613">
        <v>20.04</v>
      </c>
      <c r="J613" t="s">
        <v>6900</v>
      </c>
      <c r="K613">
        <v>20.04</v>
      </c>
      <c r="L613">
        <v>397</v>
      </c>
      <c r="M613">
        <v>7955.88</v>
      </c>
    </row>
    <row r="614" spans="1:13" hidden="1" x14ac:dyDescent="0.2">
      <c r="A614" s="958" t="s">
        <v>6996</v>
      </c>
      <c r="B614" t="s">
        <v>6894</v>
      </c>
      <c r="C614" s="959">
        <v>45751</v>
      </c>
      <c r="D614" t="s">
        <v>6901</v>
      </c>
      <c r="E614">
        <v>11.82</v>
      </c>
      <c r="J614" t="s">
        <v>6902</v>
      </c>
      <c r="K614">
        <v>11.82</v>
      </c>
      <c r="L614">
        <v>397</v>
      </c>
      <c r="M614">
        <v>4692.54</v>
      </c>
    </row>
    <row r="615" spans="1:13" hidden="1" x14ac:dyDescent="0.2">
      <c r="A615" s="958" t="s">
        <v>6997</v>
      </c>
      <c r="B615" t="s">
        <v>6894</v>
      </c>
      <c r="C615" s="959">
        <v>45751</v>
      </c>
      <c r="D615" t="s">
        <v>6903</v>
      </c>
      <c r="E615">
        <v>4.68</v>
      </c>
      <c r="J615" t="s">
        <v>6904</v>
      </c>
      <c r="K615">
        <v>4.68</v>
      </c>
      <c r="L615">
        <v>397</v>
      </c>
      <c r="M615">
        <v>1857.96</v>
      </c>
    </row>
    <row r="616" spans="1:13" hidden="1" x14ac:dyDescent="0.2">
      <c r="A616" s="958" t="s">
        <v>6998</v>
      </c>
      <c r="B616" t="s">
        <v>6894</v>
      </c>
      <c r="C616" s="959">
        <v>45751</v>
      </c>
      <c r="D616" t="s">
        <v>6905</v>
      </c>
      <c r="E616">
        <v>5.46</v>
      </c>
      <c r="J616" t="s">
        <v>6906</v>
      </c>
      <c r="K616">
        <v>5.46</v>
      </c>
      <c r="L616">
        <v>397</v>
      </c>
      <c r="M616">
        <v>2167.62</v>
      </c>
    </row>
    <row r="617" spans="1:13" hidden="1" x14ac:dyDescent="0.2">
      <c r="A617" s="958" t="s">
        <v>6999</v>
      </c>
      <c r="B617" t="s">
        <v>6894</v>
      </c>
      <c r="C617" s="959">
        <v>45751</v>
      </c>
      <c r="D617" t="s">
        <v>6907</v>
      </c>
      <c r="E617">
        <v>21.84</v>
      </c>
      <c r="J617" t="s">
        <v>6908</v>
      </c>
      <c r="K617">
        <v>21.84</v>
      </c>
      <c r="L617">
        <v>397</v>
      </c>
      <c r="M617">
        <v>8670.48</v>
      </c>
    </row>
    <row r="618" spans="1:13" hidden="1" x14ac:dyDescent="0.2">
      <c r="A618" s="958" t="s">
        <v>7000</v>
      </c>
      <c r="B618" t="s">
        <v>6894</v>
      </c>
      <c r="C618" s="959">
        <v>45751</v>
      </c>
      <c r="D618" t="s">
        <v>6909</v>
      </c>
      <c r="E618">
        <v>20.04</v>
      </c>
      <c r="J618" t="s">
        <v>6910</v>
      </c>
      <c r="K618">
        <v>20.04</v>
      </c>
      <c r="L618">
        <v>397</v>
      </c>
      <c r="M618">
        <v>7955.88</v>
      </c>
    </row>
    <row r="619" spans="1:13" hidden="1" x14ac:dyDescent="0.2">
      <c r="A619" s="958" t="s">
        <v>7001</v>
      </c>
      <c r="B619" t="s">
        <v>6894</v>
      </c>
      <c r="C619" s="959">
        <v>45751</v>
      </c>
      <c r="D619" t="s">
        <v>6911</v>
      </c>
      <c r="E619">
        <v>14.88</v>
      </c>
      <c r="J619" t="s">
        <v>6912</v>
      </c>
      <c r="K619">
        <v>14.88</v>
      </c>
      <c r="L619">
        <v>397</v>
      </c>
      <c r="M619">
        <v>5907.36</v>
      </c>
    </row>
    <row r="620" spans="1:13" hidden="1" x14ac:dyDescent="0.2">
      <c r="A620" s="958" t="s">
        <v>7002</v>
      </c>
      <c r="B620" t="s">
        <v>6894</v>
      </c>
      <c r="C620" s="959">
        <v>45751</v>
      </c>
      <c r="D620" t="s">
        <v>6913</v>
      </c>
      <c r="E620">
        <v>28.2</v>
      </c>
      <c r="J620" t="s">
        <v>6914</v>
      </c>
      <c r="K620">
        <v>28.2</v>
      </c>
      <c r="L620">
        <v>397</v>
      </c>
      <c r="M620">
        <v>11195.4</v>
      </c>
    </row>
    <row r="621" spans="1:13" hidden="1" x14ac:dyDescent="0.2">
      <c r="A621" s="958" t="s">
        <v>7003</v>
      </c>
      <c r="B621" t="s">
        <v>6894</v>
      </c>
      <c r="C621" s="959">
        <v>45751</v>
      </c>
      <c r="D621" t="s">
        <v>6915</v>
      </c>
      <c r="E621">
        <v>28.2</v>
      </c>
      <c r="J621" t="s">
        <v>6916</v>
      </c>
      <c r="K621">
        <v>28.2</v>
      </c>
      <c r="L621">
        <v>397</v>
      </c>
      <c r="M621">
        <v>11195.4</v>
      </c>
    </row>
    <row r="622" spans="1:13" hidden="1" x14ac:dyDescent="0.2">
      <c r="A622" s="958" t="s">
        <v>7004</v>
      </c>
      <c r="B622" t="s">
        <v>6894</v>
      </c>
      <c r="C622" s="959">
        <v>45751</v>
      </c>
      <c r="D622" t="s">
        <v>6917</v>
      </c>
      <c r="E622">
        <v>90.16</v>
      </c>
      <c r="J622" t="s">
        <v>6918</v>
      </c>
      <c r="K622">
        <v>90.16</v>
      </c>
      <c r="L622">
        <v>397</v>
      </c>
      <c r="M622">
        <v>35793.519999999997</v>
      </c>
    </row>
    <row r="623" spans="1:13" hidden="1" x14ac:dyDescent="0.2">
      <c r="A623" s="958" t="s">
        <v>7005</v>
      </c>
      <c r="B623" t="s">
        <v>6894</v>
      </c>
      <c r="C623" s="959">
        <v>45751</v>
      </c>
      <c r="D623" t="s">
        <v>6919</v>
      </c>
      <c r="E623">
        <v>3.56</v>
      </c>
      <c r="J623" t="s">
        <v>6920</v>
      </c>
      <c r="K623">
        <v>3.56</v>
      </c>
      <c r="L623">
        <v>397</v>
      </c>
      <c r="M623">
        <v>1413.32</v>
      </c>
    </row>
    <row r="624" spans="1:13" hidden="1" x14ac:dyDescent="0.2">
      <c r="A624" s="958" t="s">
        <v>7006</v>
      </c>
      <c r="B624" t="s">
        <v>6894</v>
      </c>
      <c r="C624" s="959">
        <v>45751</v>
      </c>
      <c r="D624" t="s">
        <v>6921</v>
      </c>
      <c r="E624">
        <v>16.64</v>
      </c>
      <c r="J624" t="s">
        <v>6922</v>
      </c>
      <c r="K624">
        <v>16.64</v>
      </c>
      <c r="L624">
        <v>397</v>
      </c>
      <c r="M624">
        <v>6606.08</v>
      </c>
    </row>
    <row r="625" spans="1:13" hidden="1" x14ac:dyDescent="0.2">
      <c r="A625" s="958" t="s">
        <v>7007</v>
      </c>
      <c r="B625" t="s">
        <v>6894</v>
      </c>
      <c r="C625" s="959">
        <v>45751</v>
      </c>
      <c r="D625" t="s">
        <v>6923</v>
      </c>
      <c r="E625">
        <v>2.12</v>
      </c>
      <c r="J625" t="s">
        <v>6924</v>
      </c>
      <c r="K625">
        <v>2.12</v>
      </c>
      <c r="L625">
        <v>397</v>
      </c>
      <c r="M625">
        <v>841.64</v>
      </c>
    </row>
    <row r="626" spans="1:13" hidden="1" x14ac:dyDescent="0.2">
      <c r="A626" s="958" t="s">
        <v>7008</v>
      </c>
      <c r="B626" t="s">
        <v>6894</v>
      </c>
      <c r="C626" s="959">
        <v>45751</v>
      </c>
      <c r="D626" t="s">
        <v>6925</v>
      </c>
      <c r="E626">
        <v>15.84</v>
      </c>
      <c r="J626" t="s">
        <v>6926</v>
      </c>
      <c r="K626">
        <v>15.84</v>
      </c>
      <c r="L626">
        <v>397</v>
      </c>
      <c r="M626">
        <v>6288.48</v>
      </c>
    </row>
    <row r="627" spans="1:13" hidden="1" x14ac:dyDescent="0.2">
      <c r="A627" s="958" t="s">
        <v>7009</v>
      </c>
      <c r="B627" t="s">
        <v>6894</v>
      </c>
      <c r="C627" s="959">
        <v>45751</v>
      </c>
      <c r="D627" t="s">
        <v>6927</v>
      </c>
      <c r="E627">
        <v>7.44</v>
      </c>
      <c r="J627" t="s">
        <v>6928</v>
      </c>
      <c r="K627">
        <v>7.44</v>
      </c>
      <c r="L627">
        <v>397</v>
      </c>
      <c r="M627">
        <v>2953.68</v>
      </c>
    </row>
    <row r="628" spans="1:13" hidden="1" x14ac:dyDescent="0.2">
      <c r="A628" s="958" t="s">
        <v>7010</v>
      </c>
      <c r="B628" t="s">
        <v>6894</v>
      </c>
      <c r="C628" s="959">
        <v>45751</v>
      </c>
      <c r="D628" t="s">
        <v>6929</v>
      </c>
      <c r="E628">
        <v>9.81</v>
      </c>
      <c r="J628" t="s">
        <v>6930</v>
      </c>
      <c r="K628">
        <v>9.81</v>
      </c>
      <c r="L628">
        <v>397</v>
      </c>
      <c r="M628">
        <v>3894.57</v>
      </c>
    </row>
    <row r="629" spans="1:13" hidden="1" x14ac:dyDescent="0.2">
      <c r="A629" s="958" t="s">
        <v>7011</v>
      </c>
      <c r="B629" t="s">
        <v>6894</v>
      </c>
      <c r="C629" s="959">
        <v>45751</v>
      </c>
      <c r="D629" t="s">
        <v>6931</v>
      </c>
      <c r="E629">
        <v>53.85</v>
      </c>
      <c r="J629" t="s">
        <v>6932</v>
      </c>
      <c r="K629">
        <v>53.85</v>
      </c>
      <c r="L629">
        <v>397</v>
      </c>
      <c r="M629">
        <v>21378.45</v>
      </c>
    </row>
    <row r="630" spans="1:13" hidden="1" x14ac:dyDescent="0.2">
      <c r="A630" s="958" t="s">
        <v>7012</v>
      </c>
      <c r="B630" t="s">
        <v>6894</v>
      </c>
      <c r="C630" s="959">
        <v>45751</v>
      </c>
      <c r="D630" t="s">
        <v>6933</v>
      </c>
      <c r="E630">
        <v>39.479999999999997</v>
      </c>
      <c r="J630" t="s">
        <v>6934</v>
      </c>
      <c r="K630">
        <v>39.479999999999997</v>
      </c>
      <c r="L630">
        <v>397</v>
      </c>
      <c r="M630">
        <v>15673.56</v>
      </c>
    </row>
    <row r="631" spans="1:13" hidden="1" x14ac:dyDescent="0.2">
      <c r="A631" s="958" t="s">
        <v>7013</v>
      </c>
      <c r="B631" t="s">
        <v>6894</v>
      </c>
      <c r="C631" s="959">
        <v>45751</v>
      </c>
      <c r="D631" t="s">
        <v>6935</v>
      </c>
      <c r="E631">
        <v>11.67</v>
      </c>
      <c r="J631" t="s">
        <v>6936</v>
      </c>
      <c r="K631">
        <v>11.67</v>
      </c>
      <c r="L631">
        <v>397</v>
      </c>
      <c r="M631">
        <v>4632.99</v>
      </c>
    </row>
    <row r="632" spans="1:13" hidden="1" x14ac:dyDescent="0.2">
      <c r="A632" s="958" t="s">
        <v>7014</v>
      </c>
      <c r="B632" t="s">
        <v>6894</v>
      </c>
      <c r="C632" s="959">
        <v>45751</v>
      </c>
      <c r="D632" t="s">
        <v>6937</v>
      </c>
      <c r="E632">
        <v>4.53</v>
      </c>
      <c r="J632" t="s">
        <v>6938</v>
      </c>
      <c r="K632">
        <v>4.53</v>
      </c>
      <c r="L632">
        <v>397</v>
      </c>
      <c r="M632">
        <v>1798.41</v>
      </c>
    </row>
    <row r="633" spans="1:13" hidden="1" x14ac:dyDescent="0.2">
      <c r="A633" s="958" t="s">
        <v>7015</v>
      </c>
      <c r="B633" t="s">
        <v>6894</v>
      </c>
      <c r="C633" s="959">
        <v>45751</v>
      </c>
      <c r="D633" t="s">
        <v>6939</v>
      </c>
      <c r="E633">
        <v>5.31</v>
      </c>
      <c r="J633" t="s">
        <v>6940</v>
      </c>
      <c r="K633">
        <v>5.31</v>
      </c>
      <c r="L633">
        <v>397</v>
      </c>
      <c r="M633">
        <v>2108.0700000000002</v>
      </c>
    </row>
    <row r="634" spans="1:13" hidden="1" x14ac:dyDescent="0.2">
      <c r="A634" s="958" t="s">
        <v>7016</v>
      </c>
      <c r="B634" t="s">
        <v>6894</v>
      </c>
      <c r="C634" s="959">
        <v>45751</v>
      </c>
      <c r="D634" t="s">
        <v>6941</v>
      </c>
      <c r="E634">
        <v>14.73</v>
      </c>
      <c r="J634" t="s">
        <v>6942</v>
      </c>
      <c r="K634">
        <v>14.73</v>
      </c>
      <c r="L634">
        <v>397</v>
      </c>
      <c r="M634">
        <v>5847.81</v>
      </c>
    </row>
    <row r="635" spans="1:13" hidden="1" x14ac:dyDescent="0.2">
      <c r="A635" s="958" t="s">
        <v>7017</v>
      </c>
      <c r="B635" t="s">
        <v>6894</v>
      </c>
      <c r="C635" s="959">
        <v>45751</v>
      </c>
      <c r="D635" t="s">
        <v>6943</v>
      </c>
      <c r="E635">
        <v>55.12</v>
      </c>
      <c r="J635" t="s">
        <v>6944</v>
      </c>
      <c r="K635">
        <v>55.12</v>
      </c>
      <c r="L635">
        <v>397</v>
      </c>
      <c r="M635">
        <v>21882.639999999999</v>
      </c>
    </row>
    <row r="636" spans="1:13" hidden="1" x14ac:dyDescent="0.2">
      <c r="A636" s="958" t="s">
        <v>7018</v>
      </c>
      <c r="B636" t="s">
        <v>6894</v>
      </c>
      <c r="C636" s="959">
        <v>45751</v>
      </c>
      <c r="D636" t="s">
        <v>6945</v>
      </c>
      <c r="E636">
        <v>86.24</v>
      </c>
      <c r="J636" t="s">
        <v>6946</v>
      </c>
      <c r="K636">
        <v>86.24</v>
      </c>
      <c r="L636">
        <v>397</v>
      </c>
      <c r="M636">
        <v>34237.279999999999</v>
      </c>
    </row>
    <row r="637" spans="1:13" hidden="1" x14ac:dyDescent="0.2">
      <c r="A637" s="958" t="s">
        <v>7019</v>
      </c>
      <c r="B637" t="s">
        <v>6894</v>
      </c>
      <c r="C637" s="959">
        <v>45751</v>
      </c>
      <c r="D637" t="s">
        <v>6947</v>
      </c>
      <c r="E637">
        <v>3.42</v>
      </c>
      <c r="J637" t="s">
        <v>6948</v>
      </c>
      <c r="K637">
        <v>3.42</v>
      </c>
      <c r="L637">
        <v>397</v>
      </c>
      <c r="M637">
        <v>1357.74</v>
      </c>
    </row>
    <row r="638" spans="1:13" hidden="1" x14ac:dyDescent="0.2">
      <c r="A638" s="958" t="s">
        <v>7020</v>
      </c>
      <c r="B638" t="s">
        <v>6894</v>
      </c>
      <c r="C638" s="959">
        <v>45751</v>
      </c>
      <c r="D638" t="s">
        <v>6949</v>
      </c>
      <c r="E638">
        <v>16.079999999999998</v>
      </c>
      <c r="J638" t="s">
        <v>6950</v>
      </c>
      <c r="K638">
        <v>16.079999999999998</v>
      </c>
      <c r="L638">
        <v>397</v>
      </c>
      <c r="M638">
        <v>6383.76</v>
      </c>
    </row>
    <row r="639" spans="1:13" hidden="1" x14ac:dyDescent="0.2">
      <c r="A639" s="958" t="s">
        <v>7021</v>
      </c>
      <c r="B639" t="s">
        <v>6894</v>
      </c>
      <c r="C639" s="959">
        <v>45751</v>
      </c>
      <c r="D639" t="s">
        <v>6951</v>
      </c>
      <c r="E639">
        <v>1.98</v>
      </c>
      <c r="J639" t="s">
        <v>6952</v>
      </c>
      <c r="K639">
        <v>1.98</v>
      </c>
      <c r="L639">
        <v>397</v>
      </c>
      <c r="M639">
        <v>786.06</v>
      </c>
    </row>
    <row r="640" spans="1:13" hidden="1" x14ac:dyDescent="0.2">
      <c r="A640" s="958" t="s">
        <v>7022</v>
      </c>
      <c r="B640" t="s">
        <v>6894</v>
      </c>
      <c r="C640" s="959">
        <v>45751</v>
      </c>
      <c r="D640" t="s">
        <v>6953</v>
      </c>
      <c r="E640">
        <v>15.56</v>
      </c>
      <c r="J640" t="s">
        <v>6954</v>
      </c>
      <c r="K640">
        <v>15.56</v>
      </c>
      <c r="L640">
        <v>397</v>
      </c>
      <c r="M640">
        <v>6177.32</v>
      </c>
    </row>
    <row r="641" spans="1:13" hidden="1" x14ac:dyDescent="0.2">
      <c r="A641" s="958" t="s">
        <v>7023</v>
      </c>
      <c r="B641" t="s">
        <v>6894</v>
      </c>
      <c r="C641" s="959">
        <v>45751</v>
      </c>
      <c r="D641" t="s">
        <v>6955</v>
      </c>
      <c r="E641">
        <v>7.16</v>
      </c>
      <c r="J641" t="s">
        <v>6956</v>
      </c>
      <c r="K641">
        <v>7.16</v>
      </c>
      <c r="L641">
        <v>397</v>
      </c>
      <c r="M641">
        <v>2842.52</v>
      </c>
    </row>
    <row r="642" spans="1:13" hidden="1" x14ac:dyDescent="0.2">
      <c r="A642" s="958" t="s">
        <v>7024</v>
      </c>
      <c r="B642" t="s">
        <v>6894</v>
      </c>
      <c r="C642" s="959">
        <v>45751</v>
      </c>
      <c r="D642" t="s">
        <v>6957</v>
      </c>
      <c r="E642">
        <v>9.81</v>
      </c>
      <c r="J642" t="s">
        <v>6958</v>
      </c>
      <c r="K642">
        <v>9.81</v>
      </c>
      <c r="L642">
        <v>397</v>
      </c>
      <c r="M642">
        <v>3894.57</v>
      </c>
    </row>
    <row r="643" spans="1:13" hidden="1" x14ac:dyDescent="0.2">
      <c r="A643" s="958" t="s">
        <v>7025</v>
      </c>
      <c r="B643" t="s">
        <v>6894</v>
      </c>
      <c r="C643" s="959">
        <v>45751</v>
      </c>
      <c r="D643" t="s">
        <v>6959</v>
      </c>
      <c r="E643">
        <v>53.85</v>
      </c>
      <c r="J643" t="s">
        <v>6960</v>
      </c>
      <c r="K643">
        <v>53.85</v>
      </c>
      <c r="L643">
        <v>397</v>
      </c>
      <c r="M643">
        <v>21378.45</v>
      </c>
    </row>
    <row r="644" spans="1:13" hidden="1" x14ac:dyDescent="0.2">
      <c r="A644" s="958" t="s">
        <v>7026</v>
      </c>
      <c r="B644" t="s">
        <v>6894</v>
      </c>
      <c r="C644" s="959">
        <v>45751</v>
      </c>
      <c r="D644" t="s">
        <v>6961</v>
      </c>
      <c r="E644">
        <v>39.479999999999997</v>
      </c>
      <c r="J644" t="s">
        <v>6962</v>
      </c>
      <c r="K644">
        <v>39.479999999999997</v>
      </c>
      <c r="L644">
        <v>397</v>
      </c>
      <c r="M644">
        <v>15673.56</v>
      </c>
    </row>
    <row r="645" spans="1:13" hidden="1" x14ac:dyDescent="0.2">
      <c r="A645" s="958" t="s">
        <v>7027</v>
      </c>
      <c r="B645" t="s">
        <v>6894</v>
      </c>
      <c r="C645" s="959">
        <v>45751</v>
      </c>
      <c r="D645" t="s">
        <v>6963</v>
      </c>
      <c r="E645">
        <v>11.67</v>
      </c>
      <c r="J645" t="s">
        <v>6964</v>
      </c>
      <c r="K645">
        <v>11.67</v>
      </c>
      <c r="L645">
        <v>397</v>
      </c>
      <c r="M645">
        <v>4632.99</v>
      </c>
    </row>
    <row r="646" spans="1:13" hidden="1" x14ac:dyDescent="0.2">
      <c r="A646" s="958" t="s">
        <v>7028</v>
      </c>
      <c r="B646" t="s">
        <v>6894</v>
      </c>
      <c r="C646" s="959">
        <v>45751</v>
      </c>
      <c r="D646" t="s">
        <v>6965</v>
      </c>
      <c r="E646">
        <v>4.53</v>
      </c>
      <c r="J646" t="s">
        <v>6966</v>
      </c>
      <c r="K646">
        <v>4.53</v>
      </c>
      <c r="L646">
        <v>397</v>
      </c>
      <c r="M646">
        <v>1798.41</v>
      </c>
    </row>
    <row r="647" spans="1:13" hidden="1" x14ac:dyDescent="0.2">
      <c r="A647" s="958" t="s">
        <v>7029</v>
      </c>
      <c r="B647" t="s">
        <v>6894</v>
      </c>
      <c r="C647" s="959">
        <v>45751</v>
      </c>
      <c r="D647" t="s">
        <v>6967</v>
      </c>
      <c r="E647">
        <v>5.31</v>
      </c>
      <c r="J647" t="s">
        <v>6968</v>
      </c>
      <c r="K647">
        <v>5.31</v>
      </c>
      <c r="L647">
        <v>397</v>
      </c>
      <c r="M647">
        <v>2108.0700000000002</v>
      </c>
    </row>
    <row r="648" spans="1:13" hidden="1" x14ac:dyDescent="0.2">
      <c r="A648" s="958" t="s">
        <v>7030</v>
      </c>
      <c r="B648" t="s">
        <v>6894</v>
      </c>
      <c r="C648" s="959">
        <v>45751</v>
      </c>
      <c r="D648" t="s">
        <v>6969</v>
      </c>
      <c r="E648">
        <v>14.73</v>
      </c>
      <c r="J648" t="s">
        <v>6970</v>
      </c>
      <c r="K648">
        <v>14.73</v>
      </c>
      <c r="L648">
        <v>397</v>
      </c>
      <c r="M648">
        <v>5847.81</v>
      </c>
    </row>
    <row r="649" spans="1:13" hidden="1" x14ac:dyDescent="0.2">
      <c r="A649" s="958" t="s">
        <v>7031</v>
      </c>
      <c r="B649" t="s">
        <v>6894</v>
      </c>
      <c r="C649" s="959">
        <v>45751</v>
      </c>
      <c r="D649" t="s">
        <v>6971</v>
      </c>
      <c r="E649">
        <v>55.12</v>
      </c>
      <c r="J649" t="s">
        <v>6972</v>
      </c>
      <c r="K649">
        <v>55.12</v>
      </c>
      <c r="L649">
        <v>397</v>
      </c>
      <c r="M649">
        <v>21882.639999999999</v>
      </c>
    </row>
    <row r="650" spans="1:13" hidden="1" x14ac:dyDescent="0.2">
      <c r="A650" s="958" t="s">
        <v>7032</v>
      </c>
      <c r="B650" t="s">
        <v>6894</v>
      </c>
      <c r="C650" s="959">
        <v>45751</v>
      </c>
      <c r="D650" t="s">
        <v>6973</v>
      </c>
      <c r="E650">
        <v>86.58</v>
      </c>
      <c r="J650" t="s">
        <v>6974</v>
      </c>
      <c r="K650">
        <v>86.58</v>
      </c>
      <c r="L650">
        <v>397</v>
      </c>
      <c r="M650">
        <v>34370.67</v>
      </c>
    </row>
    <row r="651" spans="1:13" hidden="1" x14ac:dyDescent="0.2">
      <c r="A651" s="958" t="s">
        <v>7033</v>
      </c>
      <c r="B651" t="s">
        <v>6894</v>
      </c>
      <c r="C651" s="959">
        <v>45751</v>
      </c>
      <c r="D651" t="s">
        <v>6975</v>
      </c>
      <c r="E651">
        <v>3.43</v>
      </c>
      <c r="J651" t="s">
        <v>6976</v>
      </c>
      <c r="K651">
        <v>3.43</v>
      </c>
      <c r="L651">
        <v>397</v>
      </c>
      <c r="M651">
        <v>1362.5</v>
      </c>
    </row>
    <row r="652" spans="1:13" hidden="1" x14ac:dyDescent="0.2">
      <c r="A652" s="958" t="s">
        <v>7034</v>
      </c>
      <c r="B652" t="s">
        <v>6894</v>
      </c>
      <c r="C652" s="959">
        <v>45751</v>
      </c>
      <c r="D652" t="s">
        <v>6977</v>
      </c>
      <c r="E652">
        <v>16.13</v>
      </c>
      <c r="J652" t="s">
        <v>6978</v>
      </c>
      <c r="K652">
        <v>16.13</v>
      </c>
      <c r="L652">
        <v>397</v>
      </c>
      <c r="M652">
        <v>6402.82</v>
      </c>
    </row>
    <row r="653" spans="1:13" hidden="1" x14ac:dyDescent="0.2">
      <c r="A653" s="958" t="s">
        <v>7035</v>
      </c>
      <c r="B653" t="s">
        <v>6894</v>
      </c>
      <c r="C653" s="959">
        <v>45751</v>
      </c>
      <c r="D653" t="s">
        <v>6979</v>
      </c>
      <c r="E653">
        <v>1.99</v>
      </c>
      <c r="J653" t="s">
        <v>6980</v>
      </c>
      <c r="K653">
        <v>1.99</v>
      </c>
      <c r="L653">
        <v>397</v>
      </c>
      <c r="M653">
        <v>790.82</v>
      </c>
    </row>
    <row r="654" spans="1:13" hidden="1" x14ac:dyDescent="0.2">
      <c r="A654" s="958" t="s">
        <v>7036</v>
      </c>
      <c r="B654" t="s">
        <v>6894</v>
      </c>
      <c r="C654" s="959">
        <v>45751</v>
      </c>
      <c r="D654" t="s">
        <v>6981</v>
      </c>
      <c r="E654">
        <v>15.58</v>
      </c>
      <c r="J654" t="s">
        <v>6982</v>
      </c>
      <c r="K654">
        <v>15.58</v>
      </c>
      <c r="L654">
        <v>397</v>
      </c>
      <c r="M654">
        <v>6186.85</v>
      </c>
    </row>
    <row r="655" spans="1:13" hidden="1" x14ac:dyDescent="0.2">
      <c r="A655" s="958" t="s">
        <v>7037</v>
      </c>
      <c r="B655" t="s">
        <v>6894</v>
      </c>
      <c r="C655" s="959">
        <v>45751</v>
      </c>
      <c r="D655" t="s">
        <v>6983</v>
      </c>
      <c r="E655">
        <v>7.18</v>
      </c>
      <c r="J655" t="s">
        <v>6984</v>
      </c>
      <c r="K655">
        <v>7.18</v>
      </c>
      <c r="L655">
        <v>397</v>
      </c>
      <c r="M655">
        <v>2852.05</v>
      </c>
    </row>
    <row r="656" spans="1:13" hidden="1" x14ac:dyDescent="0.2">
      <c r="A656" s="958" t="s">
        <v>7038</v>
      </c>
      <c r="B656" t="s">
        <v>6985</v>
      </c>
      <c r="C656" s="959">
        <v>45754</v>
      </c>
      <c r="D656" t="s">
        <v>5405</v>
      </c>
      <c r="E656">
        <v>1794</v>
      </c>
      <c r="F656">
        <v>1794</v>
      </c>
      <c r="G656">
        <v>1794</v>
      </c>
      <c r="H656">
        <v>1794</v>
      </c>
      <c r="J656" t="s">
        <v>6018</v>
      </c>
      <c r="K656">
        <v>1794</v>
      </c>
      <c r="L656">
        <v>48.64</v>
      </c>
      <c r="M656">
        <v>87252.98</v>
      </c>
    </row>
    <row r="657" spans="1:15" hidden="1" x14ac:dyDescent="0.2">
      <c r="A657" s="958" t="s">
        <v>7039</v>
      </c>
      <c r="B657" t="s">
        <v>6985</v>
      </c>
      <c r="C657" s="959">
        <v>45754</v>
      </c>
      <c r="D657" t="s">
        <v>5390</v>
      </c>
      <c r="E657">
        <v>2256</v>
      </c>
      <c r="F657">
        <v>2256</v>
      </c>
      <c r="G657">
        <v>2256</v>
      </c>
      <c r="H657">
        <v>2256</v>
      </c>
      <c r="J657" t="s">
        <v>6007</v>
      </c>
      <c r="K657">
        <v>2256</v>
      </c>
      <c r="L657">
        <v>44.17</v>
      </c>
      <c r="M657">
        <v>99652.03</v>
      </c>
    </row>
    <row r="658" spans="1:15" hidden="1" x14ac:dyDescent="0.2">
      <c r="A658" s="958" t="s">
        <v>7040</v>
      </c>
      <c r="B658" t="s">
        <v>6985</v>
      </c>
      <c r="C658" s="959">
        <v>45754</v>
      </c>
      <c r="D658" t="s">
        <v>5373</v>
      </c>
      <c r="E658">
        <v>2850</v>
      </c>
      <c r="F658">
        <v>2850</v>
      </c>
      <c r="G658">
        <v>2850</v>
      </c>
      <c r="H658">
        <v>2850</v>
      </c>
      <c r="J658" t="s">
        <v>5374</v>
      </c>
      <c r="K658">
        <v>2850</v>
      </c>
      <c r="L658">
        <v>51.91</v>
      </c>
      <c r="M658">
        <v>147949.20000000001</v>
      </c>
    </row>
    <row r="659" spans="1:15" hidden="1" x14ac:dyDescent="0.2">
      <c r="A659" s="958" t="s">
        <v>7041</v>
      </c>
      <c r="B659" t="s">
        <v>6985</v>
      </c>
      <c r="C659" s="959">
        <v>45754</v>
      </c>
      <c r="D659" t="s">
        <v>5367</v>
      </c>
      <c r="E659">
        <v>3162</v>
      </c>
      <c r="F659">
        <v>3162</v>
      </c>
      <c r="G659">
        <v>3162</v>
      </c>
      <c r="H659">
        <v>3162</v>
      </c>
      <c r="J659" t="s">
        <v>5368</v>
      </c>
      <c r="K659">
        <v>3162</v>
      </c>
      <c r="L659">
        <v>36.18</v>
      </c>
      <c r="M659">
        <v>114401.16</v>
      </c>
    </row>
    <row r="660" spans="1:15" hidden="1" x14ac:dyDescent="0.2">
      <c r="A660" s="958" t="s">
        <v>7042</v>
      </c>
      <c r="B660" t="s">
        <v>6986</v>
      </c>
      <c r="C660" s="959">
        <v>45754</v>
      </c>
      <c r="D660" t="s">
        <v>2561</v>
      </c>
      <c r="E660">
        <v>660</v>
      </c>
      <c r="J660" t="s">
        <v>5408</v>
      </c>
      <c r="K660">
        <v>660</v>
      </c>
      <c r="L660">
        <v>150.88</v>
      </c>
      <c r="M660">
        <v>99583.11</v>
      </c>
    </row>
    <row r="661" spans="1:15" hidden="1" x14ac:dyDescent="0.2">
      <c r="A661" s="958" t="s">
        <v>7043</v>
      </c>
      <c r="B661" t="s">
        <v>6987</v>
      </c>
      <c r="C661" s="959">
        <v>45754</v>
      </c>
      <c r="D661" t="s">
        <v>4813</v>
      </c>
      <c r="E661">
        <v>1860</v>
      </c>
      <c r="J661" t="s">
        <v>4148</v>
      </c>
      <c r="K661">
        <v>1860</v>
      </c>
      <c r="L661">
        <v>149.96</v>
      </c>
      <c r="M661">
        <v>278929.32</v>
      </c>
    </row>
    <row r="662" spans="1:15" hidden="1" x14ac:dyDescent="0.2">
      <c r="A662" s="958" t="s">
        <v>6403</v>
      </c>
      <c r="B662" t="s">
        <v>5200</v>
      </c>
      <c r="C662" s="959">
        <v>45476</v>
      </c>
      <c r="D662" t="s">
        <v>5199</v>
      </c>
      <c r="E662">
        <v>139.5</v>
      </c>
      <c r="F662">
        <v>139.5</v>
      </c>
      <c r="G662">
        <v>139.5</v>
      </c>
      <c r="H662">
        <v>139.5</v>
      </c>
      <c r="I662">
        <v>139.5</v>
      </c>
      <c r="J662" t="s">
        <v>6116</v>
      </c>
      <c r="K662">
        <v>139.5</v>
      </c>
      <c r="L662">
        <v>101.89</v>
      </c>
      <c r="M662">
        <v>14213.77</v>
      </c>
      <c r="N662">
        <v>139.5</v>
      </c>
      <c r="O662">
        <v>139.5</v>
      </c>
    </row>
    <row r="663" spans="1:15" hidden="1" x14ac:dyDescent="0.2">
      <c r="A663" s="958" t="s">
        <v>6404</v>
      </c>
      <c r="B663" t="s">
        <v>5208</v>
      </c>
      <c r="C663" s="959">
        <v>45481</v>
      </c>
      <c r="D663" t="s">
        <v>5693</v>
      </c>
      <c r="E663">
        <v>624</v>
      </c>
      <c r="F663">
        <v>624</v>
      </c>
      <c r="G663">
        <v>624</v>
      </c>
      <c r="H663">
        <v>624</v>
      </c>
      <c r="I663">
        <v>624</v>
      </c>
      <c r="J663" t="s">
        <v>6631</v>
      </c>
      <c r="K663">
        <v>624</v>
      </c>
      <c r="L663">
        <v>130.37</v>
      </c>
      <c r="M663">
        <v>81350.570000000007</v>
      </c>
      <c r="N663">
        <v>624</v>
      </c>
      <c r="O663">
        <v>624</v>
      </c>
    </row>
    <row r="664" spans="1:15" hidden="1" x14ac:dyDescent="0.2">
      <c r="A664" s="958" t="s">
        <v>6405</v>
      </c>
      <c r="B664" t="s">
        <v>3537</v>
      </c>
      <c r="C664" s="959">
        <v>45481</v>
      </c>
      <c r="D664" t="s">
        <v>2730</v>
      </c>
      <c r="E664">
        <v>1140</v>
      </c>
      <c r="F664">
        <v>1140</v>
      </c>
      <c r="G664">
        <v>1140</v>
      </c>
      <c r="H664">
        <v>1140</v>
      </c>
      <c r="I664">
        <v>1140</v>
      </c>
      <c r="J664" t="s">
        <v>6114</v>
      </c>
      <c r="K664">
        <v>1140</v>
      </c>
      <c r="L664">
        <v>152.16</v>
      </c>
      <c r="M664">
        <v>173465.82</v>
      </c>
      <c r="N664">
        <v>1140</v>
      </c>
      <c r="O664">
        <v>1140</v>
      </c>
    </row>
    <row r="665" spans="1:15" hidden="1" x14ac:dyDescent="0.2">
      <c r="A665" s="958" t="s">
        <v>6406</v>
      </c>
      <c r="B665" t="s">
        <v>5210</v>
      </c>
      <c r="C665" s="959">
        <v>45484</v>
      </c>
      <c r="D665" t="s">
        <v>2581</v>
      </c>
      <c r="E665">
        <v>318</v>
      </c>
      <c r="F665">
        <v>318</v>
      </c>
      <c r="G665">
        <v>318</v>
      </c>
      <c r="H665">
        <v>318</v>
      </c>
      <c r="I665">
        <v>318</v>
      </c>
      <c r="J665" t="s">
        <v>6115</v>
      </c>
      <c r="K665">
        <v>318</v>
      </c>
      <c r="L665">
        <v>324.83999999999997</v>
      </c>
      <c r="M665">
        <v>103299.12</v>
      </c>
      <c r="N665">
        <v>318</v>
      </c>
      <c r="O665">
        <v>288</v>
      </c>
    </row>
    <row r="666" spans="1:15" hidden="1" x14ac:dyDescent="0.2">
      <c r="A666" s="958" t="s">
        <v>6407</v>
      </c>
      <c r="B666" t="s">
        <v>3579</v>
      </c>
      <c r="C666" s="959">
        <v>45484</v>
      </c>
      <c r="D666" t="s">
        <v>2730</v>
      </c>
      <c r="E666">
        <v>1950</v>
      </c>
      <c r="F666">
        <v>1950</v>
      </c>
      <c r="G666">
        <v>1950</v>
      </c>
      <c r="H666">
        <v>1950</v>
      </c>
      <c r="I666">
        <v>1950</v>
      </c>
      <c r="J666" t="s">
        <v>6114</v>
      </c>
      <c r="K666">
        <v>1950</v>
      </c>
      <c r="L666">
        <v>152.16</v>
      </c>
      <c r="M666">
        <v>296712</v>
      </c>
      <c r="N666">
        <v>1950</v>
      </c>
      <c r="O666">
        <v>1950</v>
      </c>
    </row>
    <row r="667" spans="1:15" hidden="1" x14ac:dyDescent="0.2">
      <c r="A667" s="958" t="s">
        <v>6408</v>
      </c>
      <c r="B667" t="s">
        <v>3580</v>
      </c>
      <c r="C667" s="959">
        <v>45484</v>
      </c>
      <c r="D667" t="s">
        <v>2469</v>
      </c>
      <c r="E667">
        <v>876</v>
      </c>
      <c r="F667">
        <v>876</v>
      </c>
      <c r="G667">
        <v>876</v>
      </c>
      <c r="H667">
        <v>876</v>
      </c>
      <c r="I667">
        <v>876</v>
      </c>
      <c r="J667" t="s">
        <v>5980</v>
      </c>
      <c r="K667">
        <v>876</v>
      </c>
      <c r="L667">
        <v>308.07</v>
      </c>
      <c r="M667">
        <v>269866.69</v>
      </c>
      <c r="N667">
        <v>876</v>
      </c>
      <c r="O667">
        <v>876</v>
      </c>
    </row>
    <row r="668" spans="1:15" hidden="1" x14ac:dyDescent="0.2">
      <c r="A668" s="958" t="s">
        <v>6409</v>
      </c>
      <c r="B668" t="s">
        <v>5212</v>
      </c>
      <c r="C668" s="959">
        <v>45488</v>
      </c>
      <c r="D668" t="s">
        <v>5693</v>
      </c>
      <c r="E668">
        <v>1608</v>
      </c>
      <c r="F668">
        <v>1608</v>
      </c>
      <c r="G668">
        <v>1608</v>
      </c>
      <c r="H668">
        <v>1608</v>
      </c>
      <c r="I668">
        <v>1608</v>
      </c>
      <c r="J668" t="s">
        <v>6631</v>
      </c>
      <c r="K668">
        <v>1608</v>
      </c>
      <c r="L668">
        <v>130.37</v>
      </c>
      <c r="M668">
        <v>209634.96</v>
      </c>
      <c r="N668">
        <v>1608</v>
      </c>
      <c r="O668">
        <v>1500</v>
      </c>
    </row>
    <row r="669" spans="1:15" hidden="1" x14ac:dyDescent="0.2">
      <c r="A669" s="958" t="s">
        <v>6410</v>
      </c>
      <c r="B669" t="s">
        <v>5224</v>
      </c>
      <c r="C669" s="959">
        <v>45502</v>
      </c>
      <c r="D669" t="s">
        <v>2581</v>
      </c>
      <c r="E669">
        <v>402</v>
      </c>
      <c r="F669">
        <v>402</v>
      </c>
      <c r="G669">
        <v>402</v>
      </c>
      <c r="H669">
        <v>402</v>
      </c>
      <c r="I669">
        <v>402</v>
      </c>
      <c r="J669" t="s">
        <v>6115</v>
      </c>
      <c r="K669">
        <v>402</v>
      </c>
      <c r="L669">
        <v>324.83999999999997</v>
      </c>
      <c r="M669">
        <v>130585.68</v>
      </c>
      <c r="N669">
        <v>402</v>
      </c>
      <c r="O669">
        <v>402</v>
      </c>
    </row>
    <row r="670" spans="1:15" hidden="1" x14ac:dyDescent="0.2">
      <c r="A670" s="958" t="s">
        <v>6411</v>
      </c>
      <c r="B670" t="s">
        <v>5225</v>
      </c>
      <c r="C670" s="959">
        <v>45502</v>
      </c>
      <c r="D670" t="s">
        <v>5693</v>
      </c>
      <c r="E670">
        <v>816</v>
      </c>
      <c r="F670">
        <v>816</v>
      </c>
      <c r="G670">
        <v>816</v>
      </c>
      <c r="H670">
        <v>816</v>
      </c>
      <c r="I670">
        <v>816</v>
      </c>
      <c r="J670" t="s">
        <v>6631</v>
      </c>
      <c r="K670">
        <v>816</v>
      </c>
      <c r="L670">
        <v>130.37</v>
      </c>
      <c r="M670">
        <v>106381.92</v>
      </c>
      <c r="N670">
        <v>816</v>
      </c>
      <c r="O670">
        <v>804</v>
      </c>
    </row>
    <row r="671" spans="1:15" hidden="1" x14ac:dyDescent="0.2">
      <c r="A671" s="958" t="s">
        <v>6412</v>
      </c>
      <c r="B671" t="s">
        <v>5226</v>
      </c>
      <c r="C671" s="959">
        <v>45502</v>
      </c>
      <c r="D671" t="s">
        <v>2469</v>
      </c>
      <c r="E671">
        <v>996</v>
      </c>
      <c r="F671">
        <v>996</v>
      </c>
      <c r="G671">
        <v>996</v>
      </c>
      <c r="H671">
        <v>996</v>
      </c>
      <c r="I671">
        <v>996</v>
      </c>
      <c r="J671" t="s">
        <v>5980</v>
      </c>
      <c r="K671">
        <v>996</v>
      </c>
      <c r="L671">
        <v>308.07</v>
      </c>
      <c r="M671">
        <v>306837.71999999997</v>
      </c>
      <c r="N671">
        <v>996</v>
      </c>
      <c r="O671">
        <v>996</v>
      </c>
    </row>
    <row r="672" spans="1:15" hidden="1" x14ac:dyDescent="0.2">
      <c r="A672" s="958" t="s">
        <v>6413</v>
      </c>
      <c r="B672" t="s">
        <v>5254</v>
      </c>
      <c r="C672" s="959">
        <v>45512</v>
      </c>
      <c r="D672" t="s">
        <v>2581</v>
      </c>
      <c r="E672">
        <v>282</v>
      </c>
      <c r="F672">
        <v>282</v>
      </c>
      <c r="G672">
        <v>282</v>
      </c>
      <c r="H672">
        <v>282</v>
      </c>
      <c r="I672">
        <v>282</v>
      </c>
      <c r="J672" t="s">
        <v>6115</v>
      </c>
      <c r="K672">
        <v>282</v>
      </c>
      <c r="L672">
        <v>324.83999999999997</v>
      </c>
      <c r="M672">
        <v>91604.88</v>
      </c>
      <c r="N672">
        <v>282</v>
      </c>
      <c r="O672">
        <v>282</v>
      </c>
    </row>
    <row r="673" spans="1:15" hidden="1" x14ac:dyDescent="0.2">
      <c r="A673" s="958" t="s">
        <v>6414</v>
      </c>
      <c r="B673" t="s">
        <v>5255</v>
      </c>
      <c r="C673" s="959">
        <v>45512</v>
      </c>
      <c r="D673" t="s">
        <v>2469</v>
      </c>
      <c r="E673">
        <v>666</v>
      </c>
      <c r="F673">
        <v>666</v>
      </c>
      <c r="G673">
        <v>666</v>
      </c>
      <c r="H673">
        <v>666</v>
      </c>
      <c r="I673">
        <v>666</v>
      </c>
      <c r="J673" t="s">
        <v>5980</v>
      </c>
      <c r="K673">
        <v>666</v>
      </c>
      <c r="L673">
        <v>308.07</v>
      </c>
      <c r="M673">
        <v>205174.62</v>
      </c>
      <c r="N673">
        <v>666</v>
      </c>
      <c r="O673">
        <v>666</v>
      </c>
    </row>
    <row r="674" spans="1:15" hidden="1" x14ac:dyDescent="0.2">
      <c r="A674" s="958" t="s">
        <v>6415</v>
      </c>
      <c r="B674" t="s">
        <v>5266</v>
      </c>
      <c r="C674" s="959">
        <v>45518</v>
      </c>
      <c r="D674" t="s">
        <v>2845</v>
      </c>
      <c r="E674">
        <v>2172</v>
      </c>
      <c r="F674">
        <v>4176</v>
      </c>
      <c r="G674">
        <v>2172</v>
      </c>
      <c r="H674">
        <v>2172</v>
      </c>
      <c r="I674">
        <v>2172</v>
      </c>
      <c r="J674" t="s">
        <v>5978</v>
      </c>
      <c r="K674">
        <v>2172</v>
      </c>
      <c r="L674">
        <v>90.69</v>
      </c>
      <c r="M674">
        <v>196978.68</v>
      </c>
      <c r="N674">
        <v>2172</v>
      </c>
      <c r="O674">
        <v>2166</v>
      </c>
    </row>
    <row r="675" spans="1:15" hidden="1" x14ac:dyDescent="0.2">
      <c r="A675" s="958" t="s">
        <v>6637</v>
      </c>
      <c r="B675" t="s">
        <v>5283</v>
      </c>
      <c r="C675" s="959">
        <v>45526</v>
      </c>
      <c r="D675" t="s">
        <v>6631</v>
      </c>
      <c r="E675">
        <v>480</v>
      </c>
      <c r="F675">
        <v>480</v>
      </c>
      <c r="G675">
        <v>480</v>
      </c>
      <c r="H675">
        <v>480</v>
      </c>
      <c r="I675">
        <v>480</v>
      </c>
      <c r="J675" t="s">
        <v>6631</v>
      </c>
      <c r="K675">
        <v>480</v>
      </c>
      <c r="L675">
        <v>170.83</v>
      </c>
      <c r="M675">
        <v>81997.919999999998</v>
      </c>
      <c r="N675">
        <v>480</v>
      </c>
      <c r="O675">
        <v>480</v>
      </c>
    </row>
    <row r="676" spans="1:15" hidden="1" x14ac:dyDescent="0.2">
      <c r="A676" s="958" t="s">
        <v>5982</v>
      </c>
      <c r="B676" t="s">
        <v>5297</v>
      </c>
      <c r="C676" s="959">
        <v>45537</v>
      </c>
      <c r="D676" t="s">
        <v>2469</v>
      </c>
      <c r="E676">
        <v>1638</v>
      </c>
      <c r="F676">
        <v>1638</v>
      </c>
      <c r="G676">
        <v>1638</v>
      </c>
      <c r="H676">
        <v>1638</v>
      </c>
      <c r="I676">
        <v>1638</v>
      </c>
      <c r="J676" t="s">
        <v>5980</v>
      </c>
      <c r="K676">
        <v>1638</v>
      </c>
      <c r="L676">
        <v>322.23</v>
      </c>
      <c r="M676">
        <v>527814.38</v>
      </c>
      <c r="N676">
        <v>1638</v>
      </c>
      <c r="O676">
        <v>1638</v>
      </c>
    </row>
    <row r="677" spans="1:15" hidden="1" x14ac:dyDescent="0.2">
      <c r="A677" s="958" t="s">
        <v>5983</v>
      </c>
      <c r="B677" t="s">
        <v>5317</v>
      </c>
      <c r="C677" s="959">
        <v>45553</v>
      </c>
      <c r="D677" t="s">
        <v>5693</v>
      </c>
      <c r="E677">
        <v>234</v>
      </c>
      <c r="F677">
        <v>234</v>
      </c>
      <c r="G677">
        <v>234</v>
      </c>
      <c r="H677">
        <v>234</v>
      </c>
      <c r="I677">
        <v>234</v>
      </c>
      <c r="J677" t="s">
        <v>6631</v>
      </c>
      <c r="K677">
        <v>234</v>
      </c>
      <c r="L677">
        <v>136.36000000000001</v>
      </c>
      <c r="M677">
        <v>31909.06</v>
      </c>
      <c r="N677">
        <v>234</v>
      </c>
      <c r="O677">
        <v>234</v>
      </c>
    </row>
    <row r="678" spans="1:15" hidden="1" x14ac:dyDescent="0.2">
      <c r="A678" s="958" t="s">
        <v>5984</v>
      </c>
      <c r="B678" t="s">
        <v>2276</v>
      </c>
      <c r="C678" s="959">
        <v>45554</v>
      </c>
      <c r="D678" t="s">
        <v>5693</v>
      </c>
      <c r="E678">
        <v>300</v>
      </c>
      <c r="F678">
        <v>300</v>
      </c>
      <c r="G678">
        <v>300</v>
      </c>
      <c r="H678">
        <v>300</v>
      </c>
      <c r="I678">
        <v>300</v>
      </c>
      <c r="J678" t="s">
        <v>6631</v>
      </c>
      <c r="K678">
        <v>300</v>
      </c>
      <c r="L678">
        <v>136.36000000000001</v>
      </c>
      <c r="M678">
        <v>40908</v>
      </c>
      <c r="N678">
        <v>300</v>
      </c>
      <c r="O678">
        <v>282</v>
      </c>
    </row>
    <row r="679" spans="1:15" hidden="1" x14ac:dyDescent="0.2">
      <c r="A679" s="958" t="s">
        <v>5985</v>
      </c>
      <c r="B679" t="s">
        <v>5321</v>
      </c>
      <c r="C679" s="959">
        <v>45558</v>
      </c>
      <c r="D679" t="s">
        <v>5693</v>
      </c>
      <c r="E679">
        <v>1128</v>
      </c>
      <c r="F679">
        <v>1128</v>
      </c>
      <c r="G679">
        <v>1128</v>
      </c>
      <c r="H679">
        <v>1128</v>
      </c>
      <c r="I679">
        <v>1128</v>
      </c>
      <c r="J679" t="s">
        <v>6631</v>
      </c>
      <c r="K679">
        <v>1128</v>
      </c>
      <c r="L679">
        <v>136.36000000000001</v>
      </c>
      <c r="M679">
        <v>153814.07999999999</v>
      </c>
      <c r="N679">
        <v>1128</v>
      </c>
      <c r="O679">
        <v>1116</v>
      </c>
    </row>
    <row r="680" spans="1:15" hidden="1" x14ac:dyDescent="0.2">
      <c r="A680" s="958" t="s">
        <v>5986</v>
      </c>
      <c r="B680" t="s">
        <v>5328</v>
      </c>
      <c r="C680" s="959">
        <v>45561</v>
      </c>
      <c r="D680" t="s">
        <v>5327</v>
      </c>
      <c r="E680">
        <v>990</v>
      </c>
      <c r="F680">
        <v>1062</v>
      </c>
      <c r="G680">
        <v>36</v>
      </c>
      <c r="H680">
        <v>1062</v>
      </c>
      <c r="I680">
        <v>30</v>
      </c>
      <c r="J680" t="s">
        <v>5981</v>
      </c>
      <c r="K680">
        <v>990</v>
      </c>
      <c r="L680">
        <v>109.5</v>
      </c>
      <c r="M680">
        <v>108405</v>
      </c>
      <c r="N680">
        <v>990</v>
      </c>
      <c r="O680">
        <v>954</v>
      </c>
    </row>
    <row r="681" spans="1:15" hidden="1" x14ac:dyDescent="0.2">
      <c r="A681" s="958" t="s">
        <v>5987</v>
      </c>
      <c r="B681" t="s">
        <v>5336</v>
      </c>
      <c r="C681" s="959">
        <v>45566</v>
      </c>
      <c r="D681" t="s">
        <v>5693</v>
      </c>
      <c r="E681">
        <v>288</v>
      </c>
      <c r="F681">
        <v>288</v>
      </c>
      <c r="G681">
        <v>288</v>
      </c>
      <c r="H681">
        <v>288</v>
      </c>
      <c r="I681">
        <v>288</v>
      </c>
      <c r="J681" t="s">
        <v>6631</v>
      </c>
      <c r="K681">
        <v>288</v>
      </c>
      <c r="L681">
        <v>136.36000000000001</v>
      </c>
      <c r="M681">
        <v>39272.69</v>
      </c>
      <c r="N681">
        <v>288</v>
      </c>
      <c r="O681">
        <v>288</v>
      </c>
    </row>
    <row r="682" spans="1:15" hidden="1" x14ac:dyDescent="0.2">
      <c r="A682" s="958" t="s">
        <v>5988</v>
      </c>
      <c r="B682" t="s">
        <v>5337</v>
      </c>
      <c r="C682" s="959">
        <v>45566</v>
      </c>
      <c r="D682" t="s">
        <v>5327</v>
      </c>
      <c r="E682">
        <v>36</v>
      </c>
      <c r="F682">
        <v>6</v>
      </c>
      <c r="G682">
        <v>6</v>
      </c>
      <c r="H682">
        <v>6</v>
      </c>
      <c r="I682">
        <v>6</v>
      </c>
      <c r="J682" t="s">
        <v>5981</v>
      </c>
      <c r="K682">
        <v>36</v>
      </c>
      <c r="L682">
        <v>726.67</v>
      </c>
      <c r="M682">
        <v>26160</v>
      </c>
      <c r="N682">
        <v>36</v>
      </c>
      <c r="O682">
        <v>36</v>
      </c>
    </row>
    <row r="683" spans="1:15" hidden="1" x14ac:dyDescent="0.2">
      <c r="A683" s="958" t="s">
        <v>5989</v>
      </c>
      <c r="B683" t="s">
        <v>5679</v>
      </c>
      <c r="C683" s="959">
        <v>45580</v>
      </c>
      <c r="D683" t="s">
        <v>5693</v>
      </c>
      <c r="E683">
        <v>480</v>
      </c>
      <c r="F683">
        <v>480</v>
      </c>
      <c r="G683">
        <v>480</v>
      </c>
      <c r="H683">
        <v>480</v>
      </c>
      <c r="I683">
        <v>480</v>
      </c>
      <c r="J683" t="s">
        <v>6631</v>
      </c>
      <c r="K683">
        <v>480</v>
      </c>
      <c r="L683">
        <v>136.36000000000001</v>
      </c>
      <c r="M683">
        <v>65452.800000000003</v>
      </c>
      <c r="N683">
        <v>480</v>
      </c>
      <c r="O683">
        <v>480</v>
      </c>
    </row>
    <row r="684" spans="1:15" hidden="1" x14ac:dyDescent="0.2">
      <c r="A684" s="958" t="s">
        <v>5990</v>
      </c>
      <c r="B684" t="s">
        <v>5703</v>
      </c>
      <c r="C684" s="959">
        <v>45586</v>
      </c>
      <c r="D684" t="s">
        <v>5693</v>
      </c>
      <c r="E684">
        <v>1056</v>
      </c>
      <c r="F684">
        <v>1056</v>
      </c>
      <c r="G684">
        <v>1056</v>
      </c>
      <c r="H684">
        <v>1056</v>
      </c>
      <c r="I684">
        <v>1056</v>
      </c>
      <c r="J684" t="s">
        <v>6631</v>
      </c>
      <c r="K684">
        <v>1056</v>
      </c>
      <c r="L684">
        <v>136.36000000000001</v>
      </c>
      <c r="M684">
        <v>143996.16</v>
      </c>
      <c r="N684">
        <v>1056</v>
      </c>
      <c r="O684">
        <v>1056</v>
      </c>
    </row>
    <row r="685" spans="1:15" hidden="1" x14ac:dyDescent="0.2">
      <c r="A685" s="958" t="s">
        <v>5991</v>
      </c>
      <c r="B685" t="s">
        <v>5803</v>
      </c>
      <c r="C685" s="959">
        <v>45598</v>
      </c>
      <c r="D685" t="s">
        <v>2845</v>
      </c>
      <c r="E685">
        <v>5046</v>
      </c>
      <c r="F685">
        <v>5046</v>
      </c>
      <c r="G685">
        <v>5046</v>
      </c>
      <c r="H685">
        <v>5046</v>
      </c>
      <c r="I685">
        <v>5046</v>
      </c>
      <c r="J685" t="s">
        <v>5978</v>
      </c>
      <c r="K685">
        <v>5046</v>
      </c>
      <c r="L685">
        <v>96.26</v>
      </c>
      <c r="M685">
        <v>485705.25</v>
      </c>
      <c r="N685">
        <v>5046</v>
      </c>
      <c r="O685">
        <v>5034</v>
      </c>
    </row>
    <row r="686" spans="1:15" hidden="1" x14ac:dyDescent="0.2">
      <c r="A686" s="958" t="s">
        <v>5992</v>
      </c>
      <c r="B686" t="s">
        <v>5804</v>
      </c>
      <c r="C686" s="959">
        <v>45598</v>
      </c>
      <c r="D686" t="s">
        <v>2859</v>
      </c>
      <c r="E686">
        <v>858</v>
      </c>
      <c r="F686">
        <v>858</v>
      </c>
      <c r="G686">
        <v>858</v>
      </c>
      <c r="H686">
        <v>858</v>
      </c>
      <c r="I686">
        <v>858</v>
      </c>
      <c r="J686" t="s">
        <v>5979</v>
      </c>
      <c r="K686">
        <v>858</v>
      </c>
      <c r="L686">
        <v>124.03</v>
      </c>
      <c r="M686">
        <v>106420.31</v>
      </c>
      <c r="N686">
        <v>858</v>
      </c>
      <c r="O686">
        <v>858</v>
      </c>
    </row>
    <row r="687" spans="1:15" hidden="1" x14ac:dyDescent="0.2">
      <c r="A687" s="958" t="s">
        <v>5993</v>
      </c>
      <c r="B687" t="s">
        <v>5844</v>
      </c>
      <c r="C687" s="959">
        <v>45607</v>
      </c>
      <c r="D687" t="s">
        <v>5693</v>
      </c>
      <c r="E687">
        <v>960</v>
      </c>
      <c r="F687">
        <v>960</v>
      </c>
      <c r="G687">
        <v>960</v>
      </c>
      <c r="H687">
        <v>960</v>
      </c>
      <c r="I687">
        <v>960</v>
      </c>
      <c r="J687" t="s">
        <v>6631</v>
      </c>
      <c r="K687">
        <v>960</v>
      </c>
      <c r="L687">
        <v>136.36000000000001</v>
      </c>
      <c r="M687">
        <v>130908.96</v>
      </c>
      <c r="N687">
        <v>960</v>
      </c>
      <c r="O687">
        <v>960</v>
      </c>
    </row>
    <row r="688" spans="1:15" hidden="1" x14ac:dyDescent="0.2">
      <c r="A688" s="958" t="s">
        <v>5994</v>
      </c>
      <c r="B688" t="s">
        <v>5884</v>
      </c>
      <c r="C688" s="959">
        <v>45614</v>
      </c>
      <c r="D688" t="s">
        <v>5693</v>
      </c>
      <c r="E688">
        <v>1242</v>
      </c>
      <c r="F688">
        <v>1242</v>
      </c>
      <c r="G688">
        <v>1242</v>
      </c>
      <c r="H688">
        <v>1242</v>
      </c>
      <c r="I688">
        <v>1242</v>
      </c>
      <c r="J688" t="s">
        <v>6631</v>
      </c>
      <c r="K688">
        <v>1242</v>
      </c>
      <c r="L688">
        <v>136.36000000000001</v>
      </c>
      <c r="M688">
        <v>169363.47</v>
      </c>
      <c r="N688">
        <v>1242</v>
      </c>
      <c r="O688">
        <v>1212</v>
      </c>
    </row>
    <row r="689" spans="1:15" hidden="1" x14ac:dyDescent="0.2">
      <c r="A689" s="958" t="s">
        <v>5995</v>
      </c>
      <c r="B689" t="s">
        <v>5944</v>
      </c>
      <c r="C689" s="959">
        <v>45625</v>
      </c>
      <c r="D689" t="s">
        <v>5693</v>
      </c>
      <c r="E689">
        <v>480</v>
      </c>
      <c r="F689">
        <v>480</v>
      </c>
      <c r="G689">
        <v>480</v>
      </c>
      <c r="H689">
        <v>480</v>
      </c>
      <c r="I689">
        <v>480</v>
      </c>
      <c r="J689" t="s">
        <v>6631</v>
      </c>
      <c r="K689">
        <v>480</v>
      </c>
      <c r="L689">
        <v>136.36000000000001</v>
      </c>
      <c r="M689">
        <v>65454.48</v>
      </c>
      <c r="N689">
        <v>480</v>
      </c>
      <c r="O689">
        <v>480</v>
      </c>
    </row>
    <row r="690" spans="1:15" hidden="1" x14ac:dyDescent="0.2">
      <c r="A690" s="958" t="s">
        <v>6054</v>
      </c>
      <c r="B690" t="s">
        <v>6045</v>
      </c>
      <c r="C690" s="959">
        <v>45649</v>
      </c>
      <c r="D690" t="s">
        <v>2859</v>
      </c>
      <c r="E690">
        <v>1092</v>
      </c>
      <c r="F690">
        <v>1092</v>
      </c>
      <c r="G690">
        <v>1092</v>
      </c>
      <c r="H690">
        <v>1092</v>
      </c>
      <c r="I690">
        <v>1092</v>
      </c>
      <c r="J690" t="s">
        <v>5979</v>
      </c>
      <c r="K690">
        <v>1092</v>
      </c>
      <c r="L690">
        <v>124.03</v>
      </c>
      <c r="M690">
        <v>135444.04</v>
      </c>
      <c r="N690">
        <v>1092</v>
      </c>
      <c r="O690">
        <v>1080</v>
      </c>
    </row>
    <row r="691" spans="1:15" hidden="1" x14ac:dyDescent="0.2">
      <c r="A691" s="958" t="s">
        <v>6416</v>
      </c>
      <c r="B691" t="s">
        <v>6046</v>
      </c>
      <c r="C691" s="959">
        <v>45649</v>
      </c>
      <c r="D691" t="s">
        <v>2581</v>
      </c>
      <c r="E691">
        <v>1032</v>
      </c>
      <c r="F691">
        <v>1032</v>
      </c>
      <c r="G691">
        <v>1032</v>
      </c>
      <c r="H691">
        <v>1032</v>
      </c>
      <c r="I691">
        <v>1032</v>
      </c>
      <c r="J691" t="s">
        <v>6115</v>
      </c>
      <c r="K691">
        <v>1032</v>
      </c>
      <c r="L691">
        <v>344.79</v>
      </c>
      <c r="M691">
        <v>355822.76</v>
      </c>
      <c r="N691">
        <v>1032</v>
      </c>
      <c r="O691">
        <v>972</v>
      </c>
    </row>
    <row r="692" spans="1:15" hidden="1" x14ac:dyDescent="0.2">
      <c r="A692" s="958" t="s">
        <v>6069</v>
      </c>
      <c r="B692" t="s">
        <v>6067</v>
      </c>
      <c r="C692" s="959">
        <v>45652</v>
      </c>
      <c r="D692" t="s">
        <v>5693</v>
      </c>
      <c r="E692">
        <v>984</v>
      </c>
      <c r="F692">
        <v>984</v>
      </c>
      <c r="G692">
        <v>984</v>
      </c>
      <c r="H692">
        <v>984</v>
      </c>
      <c r="I692">
        <v>984</v>
      </c>
      <c r="J692" t="s">
        <v>6631</v>
      </c>
      <c r="K692">
        <v>984</v>
      </c>
      <c r="L692">
        <v>136.36000000000001</v>
      </c>
      <c r="M692">
        <v>134181.68</v>
      </c>
      <c r="N692">
        <v>984</v>
      </c>
      <c r="O692">
        <v>816</v>
      </c>
    </row>
    <row r="693" spans="1:15" hidden="1" x14ac:dyDescent="0.2">
      <c r="A693" s="958" t="s">
        <v>6453</v>
      </c>
      <c r="B693" t="s">
        <v>2582</v>
      </c>
      <c r="C693" s="959">
        <v>45680</v>
      </c>
      <c r="D693" t="s">
        <v>2845</v>
      </c>
      <c r="E693">
        <v>2112</v>
      </c>
      <c r="F693">
        <v>2112</v>
      </c>
      <c r="G693">
        <v>2112</v>
      </c>
      <c r="H693">
        <v>2112</v>
      </c>
      <c r="I693">
        <v>2112</v>
      </c>
      <c r="J693" t="s">
        <v>5978</v>
      </c>
      <c r="K693">
        <v>2112</v>
      </c>
      <c r="L693">
        <v>96.26</v>
      </c>
      <c r="M693">
        <v>203291.62</v>
      </c>
      <c r="N693">
        <v>2112</v>
      </c>
      <c r="O693">
        <v>2076</v>
      </c>
    </row>
    <row r="694" spans="1:15" hidden="1" x14ac:dyDescent="0.2">
      <c r="A694" s="958" t="s">
        <v>6492</v>
      </c>
      <c r="B694" t="s">
        <v>2602</v>
      </c>
      <c r="C694" s="959">
        <v>45686</v>
      </c>
      <c r="D694" t="s">
        <v>5693</v>
      </c>
      <c r="E694">
        <v>348</v>
      </c>
      <c r="F694">
        <v>696</v>
      </c>
      <c r="G694">
        <v>348</v>
      </c>
      <c r="H694">
        <v>348</v>
      </c>
      <c r="I694">
        <v>348</v>
      </c>
      <c r="J694" t="s">
        <v>6631</v>
      </c>
      <c r="K694">
        <v>348</v>
      </c>
      <c r="L694">
        <v>193.31</v>
      </c>
      <c r="M694">
        <v>67270.66</v>
      </c>
      <c r="N694">
        <v>348</v>
      </c>
      <c r="O694">
        <v>348</v>
      </c>
    </row>
    <row r="695" spans="1:15" hidden="1" x14ac:dyDescent="0.2">
      <c r="A695" s="958" t="s">
        <v>6508</v>
      </c>
      <c r="B695" t="s">
        <v>868</v>
      </c>
      <c r="C695" s="959">
        <v>45691</v>
      </c>
      <c r="D695" t="s">
        <v>5693</v>
      </c>
      <c r="E695">
        <v>576</v>
      </c>
      <c r="F695">
        <v>576</v>
      </c>
      <c r="G695">
        <v>576</v>
      </c>
      <c r="H695">
        <v>576</v>
      </c>
      <c r="I695">
        <v>576</v>
      </c>
      <c r="J695" t="s">
        <v>6631</v>
      </c>
      <c r="K695">
        <v>576</v>
      </c>
      <c r="L695">
        <v>145.35</v>
      </c>
      <c r="M695">
        <v>83724.19</v>
      </c>
      <c r="N695">
        <v>576</v>
      </c>
      <c r="O695">
        <v>576</v>
      </c>
    </row>
    <row r="696" spans="1:15" hidden="1" x14ac:dyDescent="0.2">
      <c r="A696" s="958" t="s">
        <v>6581</v>
      </c>
      <c r="B696" t="s">
        <v>6568</v>
      </c>
      <c r="C696" s="959">
        <v>45694</v>
      </c>
      <c r="D696" t="s">
        <v>2859</v>
      </c>
      <c r="E696">
        <v>966</v>
      </c>
      <c r="F696">
        <v>966</v>
      </c>
      <c r="G696">
        <v>966</v>
      </c>
      <c r="H696">
        <v>966</v>
      </c>
      <c r="I696">
        <v>966</v>
      </c>
      <c r="J696" t="s">
        <v>5979</v>
      </c>
      <c r="K696">
        <v>966</v>
      </c>
      <c r="L696">
        <v>132.21</v>
      </c>
      <c r="M696">
        <v>127715.83</v>
      </c>
      <c r="N696">
        <v>966</v>
      </c>
      <c r="O696">
        <v>948</v>
      </c>
    </row>
    <row r="697" spans="1:15" hidden="1" x14ac:dyDescent="0.2">
      <c r="A697" s="958" t="s">
        <v>6593</v>
      </c>
      <c r="B697" t="s">
        <v>2669</v>
      </c>
      <c r="C697" s="959">
        <v>45698</v>
      </c>
      <c r="D697" t="s">
        <v>5693</v>
      </c>
      <c r="E697">
        <v>696</v>
      </c>
      <c r="F697">
        <v>696</v>
      </c>
      <c r="G697">
        <v>696</v>
      </c>
      <c r="H697">
        <v>696</v>
      </c>
      <c r="I697">
        <v>696</v>
      </c>
      <c r="J697" t="s">
        <v>6631</v>
      </c>
      <c r="K697">
        <v>696</v>
      </c>
      <c r="L697">
        <v>145.35</v>
      </c>
      <c r="M697">
        <v>101166.73</v>
      </c>
      <c r="N697">
        <v>696</v>
      </c>
      <c r="O697">
        <v>696</v>
      </c>
    </row>
    <row r="698" spans="1:15" hidden="1" x14ac:dyDescent="0.2">
      <c r="A698" s="958" t="s">
        <v>6638</v>
      </c>
      <c r="B698" t="s">
        <v>6632</v>
      </c>
      <c r="C698" s="959">
        <v>45702</v>
      </c>
      <c r="D698" t="s">
        <v>5693</v>
      </c>
      <c r="E698">
        <v>2142</v>
      </c>
      <c r="F698">
        <v>2142</v>
      </c>
      <c r="G698">
        <v>2142</v>
      </c>
      <c r="H698">
        <v>2142</v>
      </c>
      <c r="I698">
        <v>2142</v>
      </c>
      <c r="J698" t="s">
        <v>6631</v>
      </c>
      <c r="K698">
        <v>2142</v>
      </c>
      <c r="L698">
        <v>145.35</v>
      </c>
      <c r="M698">
        <v>311349.34000000003</v>
      </c>
      <c r="N698">
        <v>2142</v>
      </c>
      <c r="O698">
        <v>1920</v>
      </c>
    </row>
    <row r="699" spans="1:15" hidden="1" x14ac:dyDescent="0.2">
      <c r="A699" s="958" t="s">
        <v>6656</v>
      </c>
      <c r="B699" t="s">
        <v>6647</v>
      </c>
      <c r="C699" s="959">
        <v>45706</v>
      </c>
      <c r="D699" t="s">
        <v>5693</v>
      </c>
      <c r="E699">
        <v>924</v>
      </c>
      <c r="F699">
        <v>924</v>
      </c>
      <c r="G699">
        <v>924</v>
      </c>
      <c r="H699">
        <v>924</v>
      </c>
      <c r="I699">
        <v>924</v>
      </c>
      <c r="J699" t="s">
        <v>6631</v>
      </c>
      <c r="K699">
        <v>924</v>
      </c>
      <c r="L699">
        <v>145.35</v>
      </c>
      <c r="M699">
        <v>134303.4</v>
      </c>
      <c r="N699">
        <v>924</v>
      </c>
      <c r="O699">
        <v>918</v>
      </c>
    </row>
    <row r="700" spans="1:15" hidden="1" x14ac:dyDescent="0.2">
      <c r="A700" s="958" t="s">
        <v>6658</v>
      </c>
      <c r="B700" t="s">
        <v>2847</v>
      </c>
      <c r="C700" s="959">
        <v>45708</v>
      </c>
      <c r="D700" t="s">
        <v>6631</v>
      </c>
      <c r="E700">
        <v>270</v>
      </c>
      <c r="F700">
        <v>270</v>
      </c>
      <c r="G700">
        <v>270</v>
      </c>
      <c r="H700">
        <v>270</v>
      </c>
      <c r="I700">
        <v>270</v>
      </c>
      <c r="J700" t="s">
        <v>6631</v>
      </c>
      <c r="K700">
        <v>270</v>
      </c>
      <c r="L700">
        <v>194.81</v>
      </c>
      <c r="M700">
        <v>52597.35</v>
      </c>
      <c r="N700">
        <v>270</v>
      </c>
      <c r="O700">
        <v>270</v>
      </c>
    </row>
    <row r="701" spans="1:15" hidden="1" x14ac:dyDescent="0.2">
      <c r="A701" s="958" t="s">
        <v>6659</v>
      </c>
      <c r="B701" t="s">
        <v>6657</v>
      </c>
      <c r="C701" s="959">
        <v>45708</v>
      </c>
      <c r="D701" t="s">
        <v>5693</v>
      </c>
      <c r="E701">
        <v>222</v>
      </c>
      <c r="F701">
        <v>222</v>
      </c>
      <c r="G701">
        <v>222</v>
      </c>
      <c r="H701">
        <v>222</v>
      </c>
      <c r="I701">
        <v>222</v>
      </c>
      <c r="J701" t="s">
        <v>6631</v>
      </c>
      <c r="K701">
        <v>222</v>
      </c>
      <c r="L701">
        <v>220.28</v>
      </c>
      <c r="M701">
        <v>48902.05</v>
      </c>
      <c r="N701">
        <v>222</v>
      </c>
      <c r="O701">
        <v>222</v>
      </c>
    </row>
    <row r="702" spans="1:15" hidden="1" x14ac:dyDescent="0.2">
      <c r="A702" s="958" t="s">
        <v>6686</v>
      </c>
      <c r="B702" t="s">
        <v>6685</v>
      </c>
      <c r="C702" s="959">
        <v>45715</v>
      </c>
      <c r="D702" t="s">
        <v>5693</v>
      </c>
      <c r="E702">
        <v>3660</v>
      </c>
      <c r="F702">
        <v>3660</v>
      </c>
      <c r="G702">
        <v>3660</v>
      </c>
      <c r="H702">
        <v>3660</v>
      </c>
      <c r="I702">
        <v>3660</v>
      </c>
      <c r="J702" t="s">
        <v>6631</v>
      </c>
      <c r="K702">
        <v>3660</v>
      </c>
      <c r="L702">
        <v>145.35</v>
      </c>
      <c r="M702">
        <v>531997.47</v>
      </c>
      <c r="N702">
        <v>3660</v>
      </c>
      <c r="O702">
        <v>3492</v>
      </c>
    </row>
    <row r="703" spans="1:15" hidden="1" x14ac:dyDescent="0.2">
      <c r="A703" s="958" t="s">
        <v>6738</v>
      </c>
      <c r="B703" t="s">
        <v>6728</v>
      </c>
      <c r="C703" s="959">
        <v>45727</v>
      </c>
      <c r="D703" t="s">
        <v>2845</v>
      </c>
      <c r="E703">
        <v>3954</v>
      </c>
      <c r="F703">
        <v>3954</v>
      </c>
      <c r="G703">
        <v>3954</v>
      </c>
      <c r="H703">
        <v>3954</v>
      </c>
      <c r="I703">
        <v>3954</v>
      </c>
      <c r="J703" t="s">
        <v>5978</v>
      </c>
      <c r="K703">
        <v>3954</v>
      </c>
      <c r="L703">
        <v>101.03</v>
      </c>
      <c r="M703">
        <v>399466.69</v>
      </c>
      <c r="N703">
        <v>3954</v>
      </c>
      <c r="O703">
        <v>3918</v>
      </c>
    </row>
    <row r="704" spans="1:15" hidden="1" x14ac:dyDescent="0.2">
      <c r="A704" s="958" t="s">
        <v>6886</v>
      </c>
      <c r="B704" t="s">
        <v>6784</v>
      </c>
      <c r="C704" s="959">
        <v>45740</v>
      </c>
      <c r="D704" t="s">
        <v>5693</v>
      </c>
      <c r="E704">
        <v>84</v>
      </c>
      <c r="F704">
        <v>84</v>
      </c>
      <c r="G704">
        <v>84</v>
      </c>
      <c r="H704">
        <v>84</v>
      </c>
      <c r="I704">
        <v>84</v>
      </c>
      <c r="J704" t="s">
        <v>6631</v>
      </c>
      <c r="K704">
        <v>84</v>
      </c>
      <c r="L704">
        <v>145.35</v>
      </c>
      <c r="M704">
        <v>12209.78</v>
      </c>
      <c r="N704">
        <v>84</v>
      </c>
      <c r="O704">
        <v>66</v>
      </c>
    </row>
    <row r="705" spans="1:13" hidden="1" x14ac:dyDescent="0.2">
      <c r="A705" s="958" t="s">
        <v>7044</v>
      </c>
      <c r="B705" t="s">
        <v>1191</v>
      </c>
      <c r="C705" s="959">
        <v>45754</v>
      </c>
      <c r="D705" t="s">
        <v>2730</v>
      </c>
      <c r="E705">
        <v>1086</v>
      </c>
      <c r="J705" t="s">
        <v>6114</v>
      </c>
      <c r="K705">
        <v>1086</v>
      </c>
      <c r="L705">
        <v>169.65</v>
      </c>
      <c r="M705">
        <v>184243.16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98"/>
  <sheetViews>
    <sheetView workbookViewId="0">
      <pane ySplit="1" topLeftCell="A1088" activePane="bottomLeft" state="frozen"/>
      <selection pane="bottomLeft" sqref="A1:XFD1"/>
    </sheetView>
  </sheetViews>
  <sheetFormatPr defaultRowHeight="12.75" x14ac:dyDescent="0.2"/>
  <cols>
    <col min="1" max="1" width="4.28515625" customWidth="1"/>
    <col min="2" max="2" width="5.7109375" customWidth="1"/>
    <col min="3" max="3" width="5.42578125" customWidth="1"/>
    <col min="4" max="4" width="13.7109375" customWidth="1"/>
    <col min="5" max="5" width="24.85546875" customWidth="1"/>
    <col min="8" max="8" width="12.85546875" customWidth="1"/>
    <col min="9" max="9" width="8.42578125" customWidth="1"/>
    <col min="12" max="12" width="4.140625" customWidth="1"/>
    <col min="13" max="13" width="20.7109375" customWidth="1"/>
    <col min="14" max="14" width="5.7109375" customWidth="1"/>
    <col min="15" max="15" width="56" customWidth="1"/>
    <col min="16" max="16" width="11.28515625" customWidth="1"/>
    <col min="25" max="25" width="13.85546875" customWidth="1"/>
  </cols>
  <sheetData>
    <row r="1" spans="1:25" ht="89.25" x14ac:dyDescent="0.2">
      <c r="A1" s="434" t="s">
        <v>5018</v>
      </c>
      <c r="B1" s="735" t="s">
        <v>0</v>
      </c>
      <c r="C1" s="736" t="s">
        <v>4754</v>
      </c>
      <c r="D1" s="737" t="s">
        <v>1</v>
      </c>
      <c r="E1" s="716" t="s">
        <v>5033</v>
      </c>
      <c r="F1" s="716" t="s">
        <v>3</v>
      </c>
      <c r="G1" s="738" t="s">
        <v>4832</v>
      </c>
      <c r="H1" s="716" t="s">
        <v>3809</v>
      </c>
      <c r="I1" s="716" t="s">
        <v>4895</v>
      </c>
      <c r="J1" s="716" t="s">
        <v>4896</v>
      </c>
      <c r="K1" s="716" t="s">
        <v>4815</v>
      </c>
      <c r="L1" s="717" t="s">
        <v>4752</v>
      </c>
      <c r="M1" s="718" t="s">
        <v>5</v>
      </c>
      <c r="N1" s="719" t="s">
        <v>4820</v>
      </c>
      <c r="O1" s="739" t="s">
        <v>2460</v>
      </c>
      <c r="P1" s="740" t="s">
        <v>1397</v>
      </c>
      <c r="Q1" s="741" t="s">
        <v>1398</v>
      </c>
      <c r="R1" s="740" t="s">
        <v>6</v>
      </c>
      <c r="S1" s="740" t="s">
        <v>7</v>
      </c>
      <c r="T1" s="740" t="s">
        <v>8</v>
      </c>
      <c r="U1" s="740" t="s">
        <v>9</v>
      </c>
      <c r="V1" s="740" t="s">
        <v>10</v>
      </c>
      <c r="W1" s="740" t="s">
        <v>1399</v>
      </c>
      <c r="X1" s="740" t="s">
        <v>11</v>
      </c>
      <c r="Y1" s="856" t="s">
        <v>12</v>
      </c>
    </row>
    <row r="2" spans="1:25" ht="14.45" customHeight="1" x14ac:dyDescent="0.25">
      <c r="A2" s="722" t="s">
        <v>4678</v>
      </c>
      <c r="B2" s="723" t="s">
        <v>2477</v>
      </c>
      <c r="C2" s="723" t="s">
        <v>4753</v>
      </c>
      <c r="D2" s="724" t="s">
        <v>13</v>
      </c>
      <c r="E2" s="723" t="s">
        <v>3746</v>
      </c>
      <c r="F2" s="725">
        <v>44935</v>
      </c>
      <c r="G2" s="725"/>
      <c r="H2" s="724" t="s">
        <v>23</v>
      </c>
      <c r="I2" s="441"/>
      <c r="J2" s="442"/>
      <c r="K2" s="720">
        <v>152</v>
      </c>
      <c r="L2" s="744">
        <v>0</v>
      </c>
      <c r="M2" s="728"/>
      <c r="N2" s="728"/>
      <c r="O2" s="745" t="s">
        <v>3747</v>
      </c>
      <c r="P2" s="746"/>
      <c r="Q2" s="747">
        <v>152</v>
      </c>
      <c r="R2" s="721"/>
      <c r="S2" s="721"/>
      <c r="T2" s="721"/>
      <c r="U2" s="721"/>
      <c r="V2" s="721"/>
      <c r="W2" s="721"/>
      <c r="X2" s="721"/>
      <c r="Y2" s="857">
        <v>74750</v>
      </c>
    </row>
    <row r="3" spans="1:25" ht="14.45" customHeight="1" x14ac:dyDescent="0.25">
      <c r="A3" s="437" t="s">
        <v>4678</v>
      </c>
      <c r="B3" s="438" t="s">
        <v>2462</v>
      </c>
      <c r="C3" s="438" t="s">
        <v>4753</v>
      </c>
      <c r="D3" s="439" t="s">
        <v>13</v>
      </c>
      <c r="E3" s="438" t="s">
        <v>3765</v>
      </c>
      <c r="F3" s="440">
        <v>44935</v>
      </c>
      <c r="G3" s="440"/>
      <c r="H3" s="439" t="s">
        <v>23</v>
      </c>
      <c r="I3" s="449"/>
      <c r="J3" s="450"/>
      <c r="K3" s="443">
        <v>0</v>
      </c>
      <c r="L3" s="444">
        <v>0</v>
      </c>
      <c r="M3" s="445"/>
      <c r="N3" s="445"/>
      <c r="O3" s="748" t="s">
        <v>3748</v>
      </c>
      <c r="P3" s="742">
        <v>1872</v>
      </c>
      <c r="Q3" s="743"/>
      <c r="R3" s="447"/>
      <c r="S3" s="447"/>
      <c r="T3" s="447"/>
      <c r="U3" s="447"/>
      <c r="V3" s="447"/>
      <c r="W3" s="447"/>
      <c r="X3" s="447"/>
      <c r="Y3" s="858"/>
    </row>
    <row r="4" spans="1:25" ht="14.45" customHeight="1" x14ac:dyDescent="0.25">
      <c r="A4" s="722" t="s">
        <v>4678</v>
      </c>
      <c r="B4" s="723" t="s">
        <v>2485</v>
      </c>
      <c r="C4" s="723" t="s">
        <v>4753</v>
      </c>
      <c r="D4" s="724" t="s">
        <v>13</v>
      </c>
      <c r="E4" s="723" t="s">
        <v>585</v>
      </c>
      <c r="F4" s="725">
        <v>44937</v>
      </c>
      <c r="G4" s="725"/>
      <c r="H4" s="724" t="s">
        <v>23</v>
      </c>
      <c r="I4" s="441">
        <v>60</v>
      </c>
      <c r="J4" s="442"/>
      <c r="K4" s="720">
        <v>66</v>
      </c>
      <c r="L4" s="744">
        <v>0</v>
      </c>
      <c r="M4" s="728"/>
      <c r="N4" s="728"/>
      <c r="O4" s="749" t="s">
        <v>3749</v>
      </c>
      <c r="P4" s="746"/>
      <c r="Q4" s="747">
        <v>126</v>
      </c>
      <c r="R4" s="721"/>
      <c r="S4" s="721"/>
      <c r="T4" s="721"/>
      <c r="U4" s="721"/>
      <c r="V4" s="721"/>
      <c r="W4" s="721"/>
      <c r="X4" s="721"/>
      <c r="Y4" s="857"/>
    </row>
    <row r="5" spans="1:25" ht="14.45" customHeight="1" x14ac:dyDescent="0.25">
      <c r="A5" s="437" t="s">
        <v>4678</v>
      </c>
      <c r="B5" s="438" t="s">
        <v>3759</v>
      </c>
      <c r="C5" s="438" t="s">
        <v>4753</v>
      </c>
      <c r="D5" s="439" t="s">
        <v>13</v>
      </c>
      <c r="E5" s="438" t="s">
        <v>3750</v>
      </c>
      <c r="F5" s="440">
        <v>44937</v>
      </c>
      <c r="G5" s="440"/>
      <c r="H5" s="439" t="s">
        <v>23</v>
      </c>
      <c r="I5" s="449"/>
      <c r="J5" s="450"/>
      <c r="K5" s="443">
        <v>117</v>
      </c>
      <c r="L5" s="444">
        <v>0</v>
      </c>
      <c r="M5" s="445"/>
      <c r="N5" s="445"/>
      <c r="O5" s="750" t="s">
        <v>3751</v>
      </c>
      <c r="P5" s="742">
        <v>702</v>
      </c>
      <c r="Q5" s="743">
        <v>117</v>
      </c>
      <c r="R5" s="447"/>
      <c r="S5" s="447"/>
      <c r="T5" s="447"/>
      <c r="U5" s="447"/>
      <c r="V5" s="447"/>
      <c r="W5" s="447"/>
      <c r="X5" s="447"/>
      <c r="Y5" s="858">
        <v>16300</v>
      </c>
    </row>
    <row r="6" spans="1:25" ht="14.45" customHeight="1" x14ac:dyDescent="0.25">
      <c r="A6" s="722" t="s">
        <v>4678</v>
      </c>
      <c r="B6" s="723" t="s">
        <v>2486</v>
      </c>
      <c r="C6" s="723" t="s">
        <v>4753</v>
      </c>
      <c r="D6" s="724" t="s">
        <v>13</v>
      </c>
      <c r="E6" s="723" t="s">
        <v>3765</v>
      </c>
      <c r="F6" s="725">
        <v>44938</v>
      </c>
      <c r="G6" s="725"/>
      <c r="H6" s="724" t="s">
        <v>23</v>
      </c>
      <c r="I6" s="441"/>
      <c r="J6" s="442"/>
      <c r="K6" s="720">
        <v>503</v>
      </c>
      <c r="L6" s="744">
        <v>0</v>
      </c>
      <c r="M6" s="728"/>
      <c r="N6" s="728"/>
      <c r="O6" s="728" t="s">
        <v>3766</v>
      </c>
      <c r="P6" s="721">
        <v>1509</v>
      </c>
      <c r="Q6" s="729">
        <v>503</v>
      </c>
      <c r="R6" s="721"/>
      <c r="S6" s="721"/>
      <c r="T6" s="721"/>
      <c r="U6" s="721"/>
      <c r="V6" s="721"/>
      <c r="W6" s="721"/>
      <c r="X6" s="721"/>
      <c r="Y6" s="857"/>
    </row>
    <row r="7" spans="1:25" ht="14.45" customHeight="1" x14ac:dyDescent="0.25">
      <c r="A7" s="437" t="s">
        <v>4678</v>
      </c>
      <c r="B7" s="452" t="s">
        <v>3760</v>
      </c>
      <c r="C7" s="438" t="s">
        <v>4753</v>
      </c>
      <c r="D7" s="439" t="s">
        <v>13</v>
      </c>
      <c r="E7" s="439" t="s">
        <v>3752</v>
      </c>
      <c r="F7" s="440">
        <v>44938</v>
      </c>
      <c r="G7" s="440"/>
      <c r="H7" s="439" t="s">
        <v>23</v>
      </c>
      <c r="I7" s="449"/>
      <c r="J7" s="450"/>
      <c r="K7" s="443">
        <v>52</v>
      </c>
      <c r="L7" s="444">
        <v>0</v>
      </c>
      <c r="M7" s="445" t="s">
        <v>17</v>
      </c>
      <c r="N7" s="445"/>
      <c r="O7" s="445" t="s">
        <v>481</v>
      </c>
      <c r="P7" s="447">
        <v>312</v>
      </c>
      <c r="Q7" s="451">
        <v>52</v>
      </c>
      <c r="R7" s="447"/>
      <c r="S7" s="447"/>
      <c r="T7" s="447"/>
      <c r="U7" s="447"/>
      <c r="V7" s="447"/>
      <c r="W7" s="447"/>
      <c r="X7" s="447"/>
      <c r="Y7" s="858">
        <v>26200</v>
      </c>
    </row>
    <row r="8" spans="1:25" ht="14.45" customHeight="1" x14ac:dyDescent="0.25">
      <c r="A8" s="722" t="s">
        <v>4678</v>
      </c>
      <c r="B8" s="723" t="s">
        <v>2490</v>
      </c>
      <c r="C8" s="723" t="s">
        <v>4753</v>
      </c>
      <c r="D8" s="724" t="s">
        <v>34</v>
      </c>
      <c r="E8" s="724" t="s">
        <v>284</v>
      </c>
      <c r="F8" s="725">
        <v>44939</v>
      </c>
      <c r="G8" s="725"/>
      <c r="H8" s="724" t="s">
        <v>23</v>
      </c>
      <c r="I8" s="441"/>
      <c r="J8" s="442"/>
      <c r="K8" s="720">
        <v>96</v>
      </c>
      <c r="L8" s="744">
        <v>0</v>
      </c>
      <c r="M8" s="728"/>
      <c r="N8" s="728"/>
      <c r="O8" s="728" t="s">
        <v>3754</v>
      </c>
      <c r="P8" s="721"/>
      <c r="Q8" s="729">
        <v>96</v>
      </c>
      <c r="R8" s="721"/>
      <c r="S8" s="721"/>
      <c r="T8" s="721"/>
      <c r="U8" s="721"/>
      <c r="V8" s="721"/>
      <c r="W8" s="721"/>
      <c r="X8" s="721"/>
      <c r="Y8" s="857" t="s">
        <v>3757</v>
      </c>
    </row>
    <row r="9" spans="1:25" ht="14.45" customHeight="1" x14ac:dyDescent="0.25">
      <c r="A9" s="437" t="s">
        <v>4678</v>
      </c>
      <c r="B9" s="438" t="s">
        <v>2490</v>
      </c>
      <c r="C9" s="438" t="s">
        <v>4753</v>
      </c>
      <c r="D9" s="439" t="s">
        <v>34</v>
      </c>
      <c r="E9" s="439" t="s">
        <v>284</v>
      </c>
      <c r="F9" s="440">
        <v>44939</v>
      </c>
      <c r="G9" s="440"/>
      <c r="H9" s="439" t="s">
        <v>23</v>
      </c>
      <c r="I9" s="449"/>
      <c r="J9" s="450"/>
      <c r="K9" s="443">
        <v>132</v>
      </c>
      <c r="L9" s="444">
        <v>0</v>
      </c>
      <c r="M9" s="445"/>
      <c r="N9" s="445"/>
      <c r="O9" s="445" t="s">
        <v>3755</v>
      </c>
      <c r="P9" s="447"/>
      <c r="Q9" s="451">
        <v>132</v>
      </c>
      <c r="R9" s="447"/>
      <c r="S9" s="447"/>
      <c r="T9" s="447"/>
      <c r="U9" s="447"/>
      <c r="V9" s="447"/>
      <c r="W9" s="447"/>
      <c r="X9" s="447"/>
      <c r="Y9" s="858" t="s">
        <v>3757</v>
      </c>
    </row>
    <row r="10" spans="1:25" ht="14.45" customHeight="1" x14ac:dyDescent="0.25">
      <c r="A10" s="722" t="s">
        <v>4678</v>
      </c>
      <c r="B10" s="723" t="s">
        <v>2490</v>
      </c>
      <c r="C10" s="723" t="s">
        <v>4753</v>
      </c>
      <c r="D10" s="724" t="s">
        <v>34</v>
      </c>
      <c r="E10" s="724" t="s">
        <v>284</v>
      </c>
      <c r="F10" s="725">
        <v>44939</v>
      </c>
      <c r="G10" s="725"/>
      <c r="H10" s="724" t="s">
        <v>23</v>
      </c>
      <c r="I10" s="441"/>
      <c r="J10" s="442"/>
      <c r="K10" s="720">
        <v>108</v>
      </c>
      <c r="L10" s="744">
        <v>0</v>
      </c>
      <c r="M10" s="728"/>
      <c r="N10" s="728"/>
      <c r="O10" s="728" t="s">
        <v>3756</v>
      </c>
      <c r="P10" s="721"/>
      <c r="Q10" s="729">
        <v>108</v>
      </c>
      <c r="R10" s="721"/>
      <c r="S10" s="721"/>
      <c r="T10" s="721"/>
      <c r="U10" s="721"/>
      <c r="V10" s="721"/>
      <c r="W10" s="721"/>
      <c r="X10" s="721"/>
      <c r="Y10" s="857" t="s">
        <v>3758</v>
      </c>
    </row>
    <row r="11" spans="1:25" ht="14.45" customHeight="1" x14ac:dyDescent="0.25">
      <c r="A11" s="437" t="s">
        <v>4678</v>
      </c>
      <c r="B11" s="438" t="s">
        <v>3761</v>
      </c>
      <c r="C11" s="438" t="s">
        <v>4753</v>
      </c>
      <c r="D11" s="439" t="s">
        <v>13</v>
      </c>
      <c r="E11" s="439" t="s">
        <v>3762</v>
      </c>
      <c r="F11" s="440">
        <v>44942</v>
      </c>
      <c r="G11" s="440"/>
      <c r="H11" s="439" t="s">
        <v>23</v>
      </c>
      <c r="I11" s="449"/>
      <c r="J11" s="450"/>
      <c r="K11" s="443">
        <v>260</v>
      </c>
      <c r="L11" s="444">
        <v>0</v>
      </c>
      <c r="M11" s="445"/>
      <c r="N11" s="445"/>
      <c r="O11" s="445" t="s">
        <v>3244</v>
      </c>
      <c r="P11" s="447"/>
      <c r="Q11" s="451">
        <v>260</v>
      </c>
      <c r="R11" s="447"/>
      <c r="S11" s="447"/>
      <c r="T11" s="447"/>
      <c r="U11" s="447"/>
      <c r="V11" s="447"/>
      <c r="W11" s="447"/>
      <c r="X11" s="447"/>
      <c r="Y11" s="858" t="s">
        <v>2887</v>
      </c>
    </row>
    <row r="12" spans="1:25" ht="14.45" customHeight="1" x14ac:dyDescent="0.25">
      <c r="A12" s="722" t="s">
        <v>4678</v>
      </c>
      <c r="B12" s="723" t="s">
        <v>3761</v>
      </c>
      <c r="C12" s="723" t="s">
        <v>4753</v>
      </c>
      <c r="D12" s="724" t="s">
        <v>13</v>
      </c>
      <c r="E12" s="724" t="s">
        <v>3762</v>
      </c>
      <c r="F12" s="725">
        <v>44942</v>
      </c>
      <c r="G12" s="725"/>
      <c r="H12" s="724" t="s">
        <v>23</v>
      </c>
      <c r="I12" s="441"/>
      <c r="J12" s="442"/>
      <c r="K12" s="720">
        <v>261</v>
      </c>
      <c r="L12" s="744">
        <v>0</v>
      </c>
      <c r="M12" s="728"/>
      <c r="N12" s="728"/>
      <c r="O12" s="728" t="s">
        <v>3606</v>
      </c>
      <c r="P12" s="721"/>
      <c r="Q12" s="729">
        <v>261</v>
      </c>
      <c r="R12" s="721"/>
      <c r="S12" s="721"/>
      <c r="T12" s="721"/>
      <c r="U12" s="721"/>
      <c r="V12" s="721"/>
      <c r="W12" s="721"/>
      <c r="X12" s="721"/>
      <c r="Y12" s="857" t="s">
        <v>2887</v>
      </c>
    </row>
    <row r="13" spans="1:25" ht="14.45" customHeight="1" x14ac:dyDescent="0.25">
      <c r="A13" s="437" t="s">
        <v>4678</v>
      </c>
      <c r="B13" s="438" t="s">
        <v>4083</v>
      </c>
      <c r="C13" s="438"/>
      <c r="D13" s="439" t="s">
        <v>34</v>
      </c>
      <c r="E13" s="439" t="s">
        <v>16</v>
      </c>
      <c r="F13" s="440">
        <v>44943</v>
      </c>
      <c r="G13" s="440"/>
      <c r="H13" s="439" t="s">
        <v>23</v>
      </c>
      <c r="I13" s="449"/>
      <c r="J13" s="450"/>
      <c r="K13" s="443">
        <v>252</v>
      </c>
      <c r="L13" s="444">
        <v>16.183800000000002</v>
      </c>
      <c r="M13" s="445"/>
      <c r="N13" s="445"/>
      <c r="O13" s="445" t="s">
        <v>2423</v>
      </c>
      <c r="P13" s="447">
        <v>1512</v>
      </c>
      <c r="Q13" s="451">
        <v>252</v>
      </c>
      <c r="R13" s="447">
        <v>0.29970000000000002</v>
      </c>
      <c r="S13" s="447">
        <v>1.6739999999999999</v>
      </c>
      <c r="T13" s="447">
        <v>453.14640000000003</v>
      </c>
      <c r="U13" s="447">
        <v>2531.0880000000002</v>
      </c>
      <c r="V13" s="447">
        <v>58.91</v>
      </c>
      <c r="W13" s="447">
        <v>102.8</v>
      </c>
      <c r="X13" s="447">
        <v>343</v>
      </c>
      <c r="Y13" s="858">
        <v>155429.22</v>
      </c>
    </row>
    <row r="14" spans="1:25" ht="14.45" customHeight="1" x14ac:dyDescent="0.25">
      <c r="A14" s="722" t="s">
        <v>4678</v>
      </c>
      <c r="B14" s="723">
        <v>4</v>
      </c>
      <c r="C14" s="723"/>
      <c r="D14" s="724" t="s">
        <v>13</v>
      </c>
      <c r="E14" s="724" t="s">
        <v>3763</v>
      </c>
      <c r="F14" s="725">
        <v>44943</v>
      </c>
      <c r="G14" s="725"/>
      <c r="H14" s="724" t="s">
        <v>23</v>
      </c>
      <c r="I14" s="441"/>
      <c r="J14" s="442"/>
      <c r="K14" s="720">
        <v>597</v>
      </c>
      <c r="L14" s="744">
        <v>29.247028571428569</v>
      </c>
      <c r="M14" s="728"/>
      <c r="N14" s="728"/>
      <c r="O14" s="728" t="s">
        <v>3608</v>
      </c>
      <c r="P14" s="721">
        <v>2507.4</v>
      </c>
      <c r="Q14" s="729">
        <v>597</v>
      </c>
      <c r="R14" s="721">
        <v>0.3266</v>
      </c>
      <c r="S14" s="721">
        <v>0.84099999999999997</v>
      </c>
      <c r="T14" s="721">
        <v>818.91679999999997</v>
      </c>
      <c r="U14" s="721">
        <v>2108.7233999999999</v>
      </c>
      <c r="V14" s="721">
        <v>106.46</v>
      </c>
      <c r="W14" s="721">
        <v>102.23</v>
      </c>
      <c r="X14" s="721">
        <v>313</v>
      </c>
      <c r="Y14" s="857">
        <v>256320.97</v>
      </c>
    </row>
    <row r="15" spans="1:25" ht="14.45" customHeight="1" x14ac:dyDescent="0.25">
      <c r="A15" s="437" t="s">
        <v>4678</v>
      </c>
      <c r="B15" s="438">
        <v>5</v>
      </c>
      <c r="C15" s="438"/>
      <c r="D15" s="439" t="s">
        <v>13</v>
      </c>
      <c r="E15" s="438" t="s">
        <v>3765</v>
      </c>
      <c r="F15" s="440">
        <v>44943</v>
      </c>
      <c r="G15" s="440"/>
      <c r="H15" s="439" t="s">
        <v>23</v>
      </c>
      <c r="I15" s="449"/>
      <c r="J15" s="450"/>
      <c r="K15" s="443">
        <v>264</v>
      </c>
      <c r="L15" s="444">
        <v>5.6231999999999998</v>
      </c>
      <c r="M15" s="445"/>
      <c r="N15" s="445"/>
      <c r="O15" s="445" t="s">
        <v>3646</v>
      </c>
      <c r="P15" s="447">
        <v>792</v>
      </c>
      <c r="Q15" s="451">
        <v>264</v>
      </c>
      <c r="R15" s="447">
        <v>0.1988</v>
      </c>
      <c r="S15" s="447">
        <v>0.63300000000000001</v>
      </c>
      <c r="T15" s="447">
        <v>157.4496</v>
      </c>
      <c r="U15" s="447">
        <v>501.33600000000001</v>
      </c>
      <c r="V15" s="447">
        <v>20.47</v>
      </c>
      <c r="W15" s="447">
        <v>8.9499999999999993</v>
      </c>
      <c r="X15" s="447">
        <v>45</v>
      </c>
      <c r="Y15" s="858">
        <v>7085.23</v>
      </c>
    </row>
    <row r="16" spans="1:25" ht="14.45" customHeight="1" x14ac:dyDescent="0.25">
      <c r="A16" s="722" t="s">
        <v>4678</v>
      </c>
      <c r="B16" s="723">
        <v>6</v>
      </c>
      <c r="C16" s="723"/>
      <c r="D16" s="724" t="s">
        <v>13</v>
      </c>
      <c r="E16" s="724" t="s">
        <v>3764</v>
      </c>
      <c r="F16" s="725">
        <v>44943</v>
      </c>
      <c r="G16" s="725"/>
      <c r="H16" s="724" t="s">
        <v>23</v>
      </c>
      <c r="I16" s="441">
        <v>225</v>
      </c>
      <c r="J16" s="442"/>
      <c r="K16" s="720">
        <v>2</v>
      </c>
      <c r="L16" s="744">
        <v>9.5639571428571433</v>
      </c>
      <c r="M16" s="728" t="s">
        <v>3811</v>
      </c>
      <c r="N16" s="728"/>
      <c r="O16" s="728" t="s">
        <v>3301</v>
      </c>
      <c r="P16" s="721">
        <v>1010.15</v>
      </c>
      <c r="Q16" s="729">
        <v>227</v>
      </c>
      <c r="R16" s="721">
        <v>0.2651</v>
      </c>
      <c r="S16" s="721">
        <v>0.82099999999999995</v>
      </c>
      <c r="T16" s="721">
        <v>267.79079999999999</v>
      </c>
      <c r="U16" s="721">
        <v>829.33320000000003</v>
      </c>
      <c r="V16" s="721">
        <v>34.81</v>
      </c>
      <c r="W16" s="721">
        <v>76.08</v>
      </c>
      <c r="X16" s="721">
        <v>287</v>
      </c>
      <c r="Y16" s="857">
        <v>76852.210000000006</v>
      </c>
    </row>
    <row r="17" spans="1:25" ht="14.45" customHeight="1" x14ac:dyDescent="0.25">
      <c r="A17" s="437" t="s">
        <v>4678</v>
      </c>
      <c r="B17" s="438">
        <v>6</v>
      </c>
      <c r="C17" s="438"/>
      <c r="D17" s="439" t="s">
        <v>13</v>
      </c>
      <c r="E17" s="439" t="s">
        <v>3764</v>
      </c>
      <c r="F17" s="440">
        <v>44943</v>
      </c>
      <c r="G17" s="440"/>
      <c r="H17" s="439" t="s">
        <v>23</v>
      </c>
      <c r="I17" s="449"/>
      <c r="J17" s="450">
        <v>154</v>
      </c>
      <c r="K17" s="443">
        <v>6</v>
      </c>
      <c r="L17" s="444">
        <v>7.650028571428571</v>
      </c>
      <c r="M17" s="453" t="s">
        <v>3828</v>
      </c>
      <c r="N17" s="453"/>
      <c r="O17" s="445" t="s">
        <v>3303</v>
      </c>
      <c r="P17" s="447">
        <v>808</v>
      </c>
      <c r="Q17" s="451">
        <v>160</v>
      </c>
      <c r="R17" s="447">
        <v>0.2651</v>
      </c>
      <c r="S17" s="447">
        <v>0.82099999999999995</v>
      </c>
      <c r="T17" s="447">
        <v>214.20079999999999</v>
      </c>
      <c r="U17" s="447">
        <v>663.36800000000005</v>
      </c>
      <c r="V17" s="447">
        <v>27.85</v>
      </c>
      <c r="W17" s="447">
        <v>76.08</v>
      </c>
      <c r="X17" s="447">
        <v>287</v>
      </c>
      <c r="Y17" s="858">
        <v>61472.639999999999</v>
      </c>
    </row>
    <row r="18" spans="1:25" ht="14.45" customHeight="1" x14ac:dyDescent="0.25">
      <c r="A18" s="722" t="s">
        <v>4678</v>
      </c>
      <c r="B18" s="723" t="s">
        <v>3767</v>
      </c>
      <c r="C18" s="723" t="s">
        <v>4753</v>
      </c>
      <c r="D18" s="724" t="s">
        <v>13</v>
      </c>
      <c r="E18" s="723" t="s">
        <v>585</v>
      </c>
      <c r="F18" s="725">
        <v>44944</v>
      </c>
      <c r="G18" s="725"/>
      <c r="H18" s="724" t="s">
        <v>23</v>
      </c>
      <c r="I18" s="441"/>
      <c r="J18" s="442"/>
      <c r="K18" s="720">
        <v>246</v>
      </c>
      <c r="L18" s="744">
        <v>0</v>
      </c>
      <c r="M18" s="728"/>
      <c r="N18" s="728"/>
      <c r="O18" s="728" t="s">
        <v>2728</v>
      </c>
      <c r="P18" s="721"/>
      <c r="Q18" s="729">
        <v>246</v>
      </c>
      <c r="R18" s="721"/>
      <c r="S18" s="721"/>
      <c r="T18" s="721"/>
      <c r="U18" s="721"/>
      <c r="V18" s="721"/>
      <c r="W18" s="721"/>
      <c r="X18" s="721"/>
      <c r="Y18" s="857" t="s">
        <v>3779</v>
      </c>
    </row>
    <row r="19" spans="1:25" ht="14.45" customHeight="1" x14ac:dyDescent="0.25">
      <c r="A19" s="437" t="s">
        <v>4678</v>
      </c>
      <c r="B19" s="438" t="s">
        <v>2516</v>
      </c>
      <c r="C19" s="438" t="s">
        <v>4753</v>
      </c>
      <c r="D19" s="439" t="s">
        <v>13</v>
      </c>
      <c r="E19" s="438" t="s">
        <v>585</v>
      </c>
      <c r="F19" s="440">
        <v>44944</v>
      </c>
      <c r="G19" s="440"/>
      <c r="H19" s="439" t="s">
        <v>23</v>
      </c>
      <c r="I19" s="449"/>
      <c r="J19" s="450"/>
      <c r="K19" s="443">
        <v>45</v>
      </c>
      <c r="L19" s="444">
        <v>0</v>
      </c>
      <c r="M19" s="445"/>
      <c r="N19" s="445"/>
      <c r="O19" s="445" t="s">
        <v>740</v>
      </c>
      <c r="P19" s="447"/>
      <c r="Q19" s="451">
        <v>45</v>
      </c>
      <c r="R19" s="447"/>
      <c r="S19" s="447"/>
      <c r="T19" s="447"/>
      <c r="U19" s="447"/>
      <c r="V19" s="447"/>
      <c r="W19" s="447"/>
      <c r="X19" s="447"/>
      <c r="Y19" s="858" t="s">
        <v>3776</v>
      </c>
    </row>
    <row r="20" spans="1:25" ht="14.45" customHeight="1" x14ac:dyDescent="0.25">
      <c r="A20" s="722" t="s">
        <v>4678</v>
      </c>
      <c r="B20" s="723" t="s">
        <v>2516</v>
      </c>
      <c r="C20" s="723" t="s">
        <v>4753</v>
      </c>
      <c r="D20" s="724" t="s">
        <v>13</v>
      </c>
      <c r="E20" s="723" t="s">
        <v>585</v>
      </c>
      <c r="F20" s="725">
        <v>44944</v>
      </c>
      <c r="G20" s="725"/>
      <c r="H20" s="724" t="s">
        <v>23</v>
      </c>
      <c r="I20" s="441"/>
      <c r="J20" s="442"/>
      <c r="K20" s="720">
        <v>36</v>
      </c>
      <c r="L20" s="744">
        <v>0</v>
      </c>
      <c r="M20" s="728"/>
      <c r="N20" s="728"/>
      <c r="O20" s="728" t="s">
        <v>741</v>
      </c>
      <c r="P20" s="721"/>
      <c r="Q20" s="729">
        <v>36</v>
      </c>
      <c r="R20" s="721"/>
      <c r="S20" s="721"/>
      <c r="T20" s="721"/>
      <c r="U20" s="721"/>
      <c r="V20" s="721"/>
      <c r="W20" s="721"/>
      <c r="X20" s="721"/>
      <c r="Y20" s="857" t="s">
        <v>3777</v>
      </c>
    </row>
    <row r="21" spans="1:25" ht="14.45" customHeight="1" x14ac:dyDescent="0.25">
      <c r="A21" s="437" t="s">
        <v>4678</v>
      </c>
      <c r="B21" s="438" t="s">
        <v>2516</v>
      </c>
      <c r="C21" s="438" t="s">
        <v>4753</v>
      </c>
      <c r="D21" s="439" t="s">
        <v>13</v>
      </c>
      <c r="E21" s="438" t="s">
        <v>585</v>
      </c>
      <c r="F21" s="440">
        <v>44944</v>
      </c>
      <c r="G21" s="440"/>
      <c r="H21" s="439" t="s">
        <v>23</v>
      </c>
      <c r="I21" s="449"/>
      <c r="J21" s="450"/>
      <c r="K21" s="443">
        <v>3</v>
      </c>
      <c r="L21" s="444">
        <v>0</v>
      </c>
      <c r="M21" s="445"/>
      <c r="N21" s="445"/>
      <c r="O21" s="445" t="s">
        <v>1243</v>
      </c>
      <c r="P21" s="447"/>
      <c r="Q21" s="451">
        <v>3</v>
      </c>
      <c r="R21" s="447"/>
      <c r="S21" s="447"/>
      <c r="T21" s="447"/>
      <c r="U21" s="447"/>
      <c r="V21" s="447"/>
      <c r="W21" s="447"/>
      <c r="X21" s="447"/>
      <c r="Y21" s="858" t="s">
        <v>1793</v>
      </c>
    </row>
    <row r="22" spans="1:25" ht="14.45" customHeight="1" x14ac:dyDescent="0.25">
      <c r="A22" s="722" t="s">
        <v>4678</v>
      </c>
      <c r="B22" s="723" t="s">
        <v>2516</v>
      </c>
      <c r="C22" s="723" t="s">
        <v>4753</v>
      </c>
      <c r="D22" s="724" t="s">
        <v>13</v>
      </c>
      <c r="E22" s="723" t="s">
        <v>585</v>
      </c>
      <c r="F22" s="725">
        <v>44944</v>
      </c>
      <c r="G22" s="725"/>
      <c r="H22" s="724" t="s">
        <v>23</v>
      </c>
      <c r="I22" s="441"/>
      <c r="J22" s="442"/>
      <c r="K22" s="720">
        <v>3</v>
      </c>
      <c r="L22" s="744">
        <v>0</v>
      </c>
      <c r="M22" s="728"/>
      <c r="N22" s="728"/>
      <c r="O22" s="728" t="s">
        <v>739</v>
      </c>
      <c r="P22" s="721"/>
      <c r="Q22" s="729">
        <v>3</v>
      </c>
      <c r="R22" s="721"/>
      <c r="S22" s="721"/>
      <c r="T22" s="721"/>
      <c r="U22" s="721"/>
      <c r="V22" s="721"/>
      <c r="W22" s="721"/>
      <c r="X22" s="721"/>
      <c r="Y22" s="857" t="s">
        <v>3778</v>
      </c>
    </row>
    <row r="23" spans="1:25" ht="14.45" customHeight="1" x14ac:dyDescent="0.25">
      <c r="A23" s="437" t="s">
        <v>4678</v>
      </c>
      <c r="B23" s="438" t="s">
        <v>2516</v>
      </c>
      <c r="C23" s="438" t="s">
        <v>4753</v>
      </c>
      <c r="D23" s="439" t="s">
        <v>13</v>
      </c>
      <c r="E23" s="438" t="s">
        <v>585</v>
      </c>
      <c r="F23" s="440">
        <v>44944</v>
      </c>
      <c r="G23" s="440"/>
      <c r="H23" s="439" t="s">
        <v>23</v>
      </c>
      <c r="I23" s="449"/>
      <c r="J23" s="450"/>
      <c r="K23" s="443">
        <v>3</v>
      </c>
      <c r="L23" s="444">
        <v>0</v>
      </c>
      <c r="M23" s="445"/>
      <c r="N23" s="445"/>
      <c r="O23" s="454" t="s">
        <v>1255</v>
      </c>
      <c r="P23" s="841"/>
      <c r="Q23" s="455">
        <v>3</v>
      </c>
      <c r="R23" s="447"/>
      <c r="S23" s="447"/>
      <c r="T23" s="447"/>
      <c r="U23" s="447"/>
      <c r="V23" s="447"/>
      <c r="W23" s="447"/>
      <c r="X23" s="447"/>
      <c r="Y23" s="858" t="s">
        <v>805</v>
      </c>
    </row>
    <row r="24" spans="1:25" ht="14.45" customHeight="1" x14ac:dyDescent="0.25">
      <c r="A24" s="722" t="s">
        <v>4678</v>
      </c>
      <c r="B24" s="723" t="s">
        <v>2516</v>
      </c>
      <c r="C24" s="723" t="s">
        <v>4753</v>
      </c>
      <c r="D24" s="724" t="s">
        <v>13</v>
      </c>
      <c r="E24" s="723" t="s">
        <v>585</v>
      </c>
      <c r="F24" s="725">
        <v>44944</v>
      </c>
      <c r="G24" s="725"/>
      <c r="H24" s="724" t="s">
        <v>23</v>
      </c>
      <c r="I24" s="441"/>
      <c r="J24" s="442"/>
      <c r="K24" s="720">
        <v>3</v>
      </c>
      <c r="L24" s="744">
        <v>0</v>
      </c>
      <c r="M24" s="728"/>
      <c r="N24" s="728"/>
      <c r="O24" s="728" t="s">
        <v>737</v>
      </c>
      <c r="P24" s="721"/>
      <c r="Q24" s="729">
        <v>3</v>
      </c>
      <c r="R24" s="721"/>
      <c r="S24" s="721"/>
      <c r="T24" s="721"/>
      <c r="U24" s="721"/>
      <c r="V24" s="721"/>
      <c r="W24" s="721"/>
      <c r="X24" s="721"/>
      <c r="Y24" s="857" t="s">
        <v>805</v>
      </c>
    </row>
    <row r="25" spans="1:25" ht="14.45" customHeight="1" x14ac:dyDescent="0.25">
      <c r="A25" s="437" t="s">
        <v>4678</v>
      </c>
      <c r="B25" s="438" t="s">
        <v>2516</v>
      </c>
      <c r="C25" s="438" t="s">
        <v>4753</v>
      </c>
      <c r="D25" s="439" t="s">
        <v>13</v>
      </c>
      <c r="E25" s="438" t="s">
        <v>585</v>
      </c>
      <c r="F25" s="440">
        <v>44944</v>
      </c>
      <c r="G25" s="440"/>
      <c r="H25" s="439" t="s">
        <v>23</v>
      </c>
      <c r="I25" s="449"/>
      <c r="J25" s="450"/>
      <c r="K25" s="443">
        <v>3</v>
      </c>
      <c r="L25" s="444">
        <v>0</v>
      </c>
      <c r="M25" s="445"/>
      <c r="N25" s="445"/>
      <c r="O25" s="445" t="s">
        <v>3727</v>
      </c>
      <c r="P25" s="447"/>
      <c r="Q25" s="451">
        <v>3</v>
      </c>
      <c r="R25" s="447"/>
      <c r="S25" s="447"/>
      <c r="T25" s="447"/>
      <c r="U25" s="447"/>
      <c r="V25" s="447"/>
      <c r="W25" s="447"/>
      <c r="X25" s="447"/>
      <c r="Y25" s="858" t="s">
        <v>496</v>
      </c>
    </row>
    <row r="26" spans="1:25" ht="14.45" customHeight="1" x14ac:dyDescent="0.25">
      <c r="A26" s="722" t="s">
        <v>4678</v>
      </c>
      <c r="B26" s="723" t="s">
        <v>2516</v>
      </c>
      <c r="C26" s="723" t="s">
        <v>4753</v>
      </c>
      <c r="D26" s="724" t="s">
        <v>13</v>
      </c>
      <c r="E26" s="723" t="s">
        <v>585</v>
      </c>
      <c r="F26" s="725">
        <v>44944</v>
      </c>
      <c r="G26" s="725"/>
      <c r="H26" s="724" t="s">
        <v>23</v>
      </c>
      <c r="I26" s="441"/>
      <c r="J26" s="442"/>
      <c r="K26" s="720">
        <v>6</v>
      </c>
      <c r="L26" s="744">
        <v>0</v>
      </c>
      <c r="M26" s="728"/>
      <c r="N26" s="728"/>
      <c r="O26" s="728" t="s">
        <v>733</v>
      </c>
      <c r="P26" s="721"/>
      <c r="Q26" s="729">
        <v>6</v>
      </c>
      <c r="R26" s="721"/>
      <c r="S26" s="721"/>
      <c r="T26" s="721"/>
      <c r="U26" s="721"/>
      <c r="V26" s="721"/>
      <c r="W26" s="721"/>
      <c r="X26" s="721"/>
      <c r="Y26" s="857" t="s">
        <v>1422</v>
      </c>
    </row>
    <row r="27" spans="1:25" ht="14.45" customHeight="1" x14ac:dyDescent="0.25">
      <c r="A27" s="437" t="s">
        <v>4678</v>
      </c>
      <c r="B27" s="438">
        <v>7</v>
      </c>
      <c r="C27" s="438"/>
      <c r="D27" s="439" t="s">
        <v>13</v>
      </c>
      <c r="E27" s="438" t="s">
        <v>3765</v>
      </c>
      <c r="F27" s="440">
        <v>44944</v>
      </c>
      <c r="G27" s="440"/>
      <c r="H27" s="439" t="s">
        <v>23</v>
      </c>
      <c r="I27" s="449"/>
      <c r="J27" s="450"/>
      <c r="K27" s="443">
        <v>160</v>
      </c>
      <c r="L27" s="444">
        <v>4.7708571428571434</v>
      </c>
      <c r="M27" s="445"/>
      <c r="N27" s="445"/>
      <c r="O27" s="445" t="s">
        <v>3645</v>
      </c>
      <c r="P27" s="447">
        <v>480</v>
      </c>
      <c r="Q27" s="451">
        <v>160</v>
      </c>
      <c r="R27" s="447">
        <v>0.27829999999999999</v>
      </c>
      <c r="S27" s="447">
        <v>0.98499999999999999</v>
      </c>
      <c r="T27" s="447">
        <v>133.584</v>
      </c>
      <c r="U27" s="447">
        <v>472.8</v>
      </c>
      <c r="V27" s="447">
        <v>17.37</v>
      </c>
      <c r="W27" s="447">
        <v>185.17</v>
      </c>
      <c r="X27" s="447">
        <v>665.36</v>
      </c>
      <c r="Y27" s="858">
        <v>88881.45</v>
      </c>
    </row>
    <row r="28" spans="1:25" ht="14.45" customHeight="1" x14ac:dyDescent="0.25">
      <c r="A28" s="722" t="s">
        <v>4678</v>
      </c>
      <c r="B28" s="723" t="s">
        <v>2517</v>
      </c>
      <c r="C28" s="723" t="s">
        <v>4753</v>
      </c>
      <c r="D28" s="724" t="s">
        <v>13</v>
      </c>
      <c r="E28" s="723" t="s">
        <v>585</v>
      </c>
      <c r="F28" s="725">
        <v>44945</v>
      </c>
      <c r="G28" s="725"/>
      <c r="H28" s="724" t="s">
        <v>23</v>
      </c>
      <c r="I28" s="441"/>
      <c r="J28" s="442"/>
      <c r="K28" s="720">
        <v>9</v>
      </c>
      <c r="L28" s="744">
        <v>0</v>
      </c>
      <c r="M28" s="728"/>
      <c r="N28" s="728"/>
      <c r="O28" s="728" t="s">
        <v>733</v>
      </c>
      <c r="P28" s="721"/>
      <c r="Q28" s="729">
        <v>9</v>
      </c>
      <c r="R28" s="721"/>
      <c r="S28" s="721"/>
      <c r="T28" s="721"/>
      <c r="U28" s="721"/>
      <c r="V28" s="721"/>
      <c r="W28" s="721"/>
      <c r="X28" s="721"/>
      <c r="Y28" s="857" t="s">
        <v>3780</v>
      </c>
    </row>
    <row r="29" spans="1:25" ht="14.45" customHeight="1" x14ac:dyDescent="0.25">
      <c r="A29" s="437" t="s">
        <v>4678</v>
      </c>
      <c r="B29" s="438" t="s">
        <v>2517</v>
      </c>
      <c r="C29" s="438" t="s">
        <v>4753</v>
      </c>
      <c r="D29" s="439" t="s">
        <v>13</v>
      </c>
      <c r="E29" s="438" t="s">
        <v>585</v>
      </c>
      <c r="F29" s="440">
        <v>44945</v>
      </c>
      <c r="G29" s="440"/>
      <c r="H29" s="439" t="s">
        <v>23</v>
      </c>
      <c r="I29" s="449"/>
      <c r="J29" s="450"/>
      <c r="K29" s="443">
        <v>3</v>
      </c>
      <c r="L29" s="444">
        <v>0</v>
      </c>
      <c r="M29" s="445"/>
      <c r="N29" s="445"/>
      <c r="O29" s="445" t="s">
        <v>730</v>
      </c>
      <c r="P29" s="447"/>
      <c r="Q29" s="451">
        <v>3</v>
      </c>
      <c r="R29" s="447"/>
      <c r="S29" s="447"/>
      <c r="T29" s="447"/>
      <c r="U29" s="447"/>
      <c r="V29" s="447"/>
      <c r="W29" s="447"/>
      <c r="X29" s="447"/>
      <c r="Y29" s="858" t="s">
        <v>217</v>
      </c>
    </row>
    <row r="30" spans="1:25" ht="14.45" customHeight="1" x14ac:dyDescent="0.25">
      <c r="A30" s="722" t="s">
        <v>4678</v>
      </c>
      <c r="B30" s="723" t="s">
        <v>2517</v>
      </c>
      <c r="C30" s="723" t="s">
        <v>4753</v>
      </c>
      <c r="D30" s="724" t="s">
        <v>13</v>
      </c>
      <c r="E30" s="723" t="s">
        <v>585</v>
      </c>
      <c r="F30" s="725">
        <v>44945</v>
      </c>
      <c r="G30" s="725"/>
      <c r="H30" s="724" t="s">
        <v>23</v>
      </c>
      <c r="I30" s="441"/>
      <c r="J30" s="442"/>
      <c r="K30" s="720">
        <v>30</v>
      </c>
      <c r="L30" s="744">
        <v>0</v>
      </c>
      <c r="M30" s="728"/>
      <c r="N30" s="728"/>
      <c r="O30" s="728" t="s">
        <v>731</v>
      </c>
      <c r="P30" s="721"/>
      <c r="Q30" s="729">
        <v>30</v>
      </c>
      <c r="R30" s="721"/>
      <c r="S30" s="721"/>
      <c r="T30" s="721"/>
      <c r="U30" s="721"/>
      <c r="V30" s="721"/>
      <c r="W30" s="721"/>
      <c r="X30" s="721"/>
      <c r="Y30" s="857" t="s">
        <v>2003</v>
      </c>
    </row>
    <row r="31" spans="1:25" ht="14.45" customHeight="1" x14ac:dyDescent="0.25">
      <c r="A31" s="437" t="s">
        <v>4678</v>
      </c>
      <c r="B31" s="438" t="s">
        <v>2517</v>
      </c>
      <c r="C31" s="438" t="s">
        <v>4753</v>
      </c>
      <c r="D31" s="439" t="s">
        <v>13</v>
      </c>
      <c r="E31" s="438" t="s">
        <v>585</v>
      </c>
      <c r="F31" s="440">
        <v>44945</v>
      </c>
      <c r="G31" s="440"/>
      <c r="H31" s="439" t="s">
        <v>23</v>
      </c>
      <c r="I31" s="449"/>
      <c r="J31" s="450"/>
      <c r="K31" s="443">
        <v>12</v>
      </c>
      <c r="L31" s="444">
        <v>0</v>
      </c>
      <c r="M31" s="445"/>
      <c r="N31" s="445"/>
      <c r="O31" s="445" t="s">
        <v>742</v>
      </c>
      <c r="P31" s="447"/>
      <c r="Q31" s="451">
        <v>12</v>
      </c>
      <c r="R31" s="447"/>
      <c r="S31" s="447"/>
      <c r="T31" s="447"/>
      <c r="U31" s="447"/>
      <c r="V31" s="447"/>
      <c r="W31" s="447"/>
      <c r="X31" s="447"/>
      <c r="Y31" s="858" t="s">
        <v>1422</v>
      </c>
    </row>
    <row r="32" spans="1:25" ht="14.45" customHeight="1" x14ac:dyDescent="0.25">
      <c r="A32" s="722" t="s">
        <v>4678</v>
      </c>
      <c r="B32" s="723" t="s">
        <v>2517</v>
      </c>
      <c r="C32" s="723" t="s">
        <v>4753</v>
      </c>
      <c r="D32" s="724" t="s">
        <v>13</v>
      </c>
      <c r="E32" s="723" t="s">
        <v>585</v>
      </c>
      <c r="F32" s="725">
        <v>44945</v>
      </c>
      <c r="G32" s="725"/>
      <c r="H32" s="724" t="s">
        <v>23</v>
      </c>
      <c r="I32" s="441"/>
      <c r="J32" s="442"/>
      <c r="K32" s="720">
        <v>15</v>
      </c>
      <c r="L32" s="744">
        <v>0</v>
      </c>
      <c r="M32" s="728"/>
      <c r="N32" s="728"/>
      <c r="O32" s="728" t="s">
        <v>745</v>
      </c>
      <c r="P32" s="721"/>
      <c r="Q32" s="729">
        <v>15</v>
      </c>
      <c r="R32" s="721"/>
      <c r="S32" s="721"/>
      <c r="T32" s="721"/>
      <c r="U32" s="721"/>
      <c r="V32" s="721"/>
      <c r="W32" s="721"/>
      <c r="X32" s="721"/>
      <c r="Y32" s="857" t="s">
        <v>965</v>
      </c>
    </row>
    <row r="33" spans="1:25" ht="14.45" customHeight="1" x14ac:dyDescent="0.25">
      <c r="A33" s="437" t="s">
        <v>4678</v>
      </c>
      <c r="B33" s="438" t="s">
        <v>2517</v>
      </c>
      <c r="C33" s="438" t="s">
        <v>4753</v>
      </c>
      <c r="D33" s="439" t="s">
        <v>13</v>
      </c>
      <c r="E33" s="438" t="s">
        <v>585</v>
      </c>
      <c r="F33" s="440">
        <v>44945</v>
      </c>
      <c r="G33" s="440"/>
      <c r="H33" s="439" t="s">
        <v>23</v>
      </c>
      <c r="I33" s="449"/>
      <c r="J33" s="450"/>
      <c r="K33" s="443">
        <v>126</v>
      </c>
      <c r="L33" s="444">
        <v>0</v>
      </c>
      <c r="M33" s="445"/>
      <c r="N33" s="445"/>
      <c r="O33" s="445" t="s">
        <v>744</v>
      </c>
      <c r="P33" s="447"/>
      <c r="Q33" s="451">
        <v>126</v>
      </c>
      <c r="R33" s="447"/>
      <c r="S33" s="447"/>
      <c r="T33" s="447"/>
      <c r="U33" s="447"/>
      <c r="V33" s="447"/>
      <c r="W33" s="447"/>
      <c r="X33" s="447"/>
      <c r="Y33" s="858" t="s">
        <v>3781</v>
      </c>
    </row>
    <row r="34" spans="1:25" ht="14.45" customHeight="1" x14ac:dyDescent="0.25">
      <c r="A34" s="722" t="s">
        <v>4678</v>
      </c>
      <c r="B34" s="723" t="s">
        <v>3769</v>
      </c>
      <c r="C34" s="723" t="s">
        <v>4753</v>
      </c>
      <c r="D34" s="724" t="s">
        <v>13</v>
      </c>
      <c r="E34" s="724" t="s">
        <v>3775</v>
      </c>
      <c r="F34" s="725">
        <v>44945</v>
      </c>
      <c r="G34" s="725"/>
      <c r="H34" s="724" t="s">
        <v>23</v>
      </c>
      <c r="I34" s="441"/>
      <c r="J34" s="442"/>
      <c r="K34" s="720">
        <v>237</v>
      </c>
      <c r="L34" s="744">
        <v>0</v>
      </c>
      <c r="M34" s="728"/>
      <c r="N34" s="728"/>
      <c r="O34" s="728" t="s">
        <v>3770</v>
      </c>
      <c r="P34" s="721" t="s">
        <v>3772</v>
      </c>
      <c r="Q34" s="729">
        <v>237</v>
      </c>
      <c r="R34" s="721"/>
      <c r="S34" s="721"/>
      <c r="T34" s="721"/>
      <c r="U34" s="721"/>
      <c r="V34" s="721"/>
      <c r="W34" s="721"/>
      <c r="X34" s="721"/>
      <c r="Y34" s="857" t="s">
        <v>3773</v>
      </c>
    </row>
    <row r="35" spans="1:25" ht="14.45" customHeight="1" x14ac:dyDescent="0.25">
      <c r="A35" s="437" t="s">
        <v>4678</v>
      </c>
      <c r="B35" s="438" t="s">
        <v>3769</v>
      </c>
      <c r="C35" s="438" t="s">
        <v>4753</v>
      </c>
      <c r="D35" s="439" t="s">
        <v>13</v>
      </c>
      <c r="E35" s="439" t="s">
        <v>3775</v>
      </c>
      <c r="F35" s="440">
        <v>44945</v>
      </c>
      <c r="G35" s="440"/>
      <c r="H35" s="439" t="s">
        <v>23</v>
      </c>
      <c r="I35" s="449"/>
      <c r="J35" s="450"/>
      <c r="K35" s="443">
        <v>108</v>
      </c>
      <c r="L35" s="444">
        <v>0</v>
      </c>
      <c r="M35" s="840" t="s">
        <v>17</v>
      </c>
      <c r="N35" s="840"/>
      <c r="O35" s="445" t="s">
        <v>3771</v>
      </c>
      <c r="P35" s="447" t="s">
        <v>3796</v>
      </c>
      <c r="Q35" s="451">
        <v>108</v>
      </c>
      <c r="R35" s="447"/>
      <c r="S35" s="447"/>
      <c r="T35" s="447"/>
      <c r="U35" s="447"/>
      <c r="V35" s="447"/>
      <c r="W35" s="447"/>
      <c r="X35" s="447"/>
      <c r="Y35" s="858" t="s">
        <v>3774</v>
      </c>
    </row>
    <row r="36" spans="1:25" ht="14.45" customHeight="1" x14ac:dyDescent="0.25">
      <c r="A36" s="722" t="s">
        <v>4678</v>
      </c>
      <c r="B36" s="723" t="s">
        <v>3768</v>
      </c>
      <c r="C36" s="723" t="s">
        <v>4753</v>
      </c>
      <c r="D36" s="724" t="s">
        <v>13</v>
      </c>
      <c r="E36" s="724" t="s">
        <v>3762</v>
      </c>
      <c r="F36" s="725">
        <v>44945</v>
      </c>
      <c r="G36" s="725"/>
      <c r="H36" s="724" t="s">
        <v>23</v>
      </c>
      <c r="I36" s="441"/>
      <c r="J36" s="442"/>
      <c r="K36" s="720">
        <v>310</v>
      </c>
      <c r="L36" s="744">
        <v>0</v>
      </c>
      <c r="M36" s="728"/>
      <c r="N36" s="728"/>
      <c r="O36" s="728" t="s">
        <v>3569</v>
      </c>
      <c r="P36" s="721"/>
      <c r="Q36" s="729">
        <v>310</v>
      </c>
      <c r="R36" s="721"/>
      <c r="S36" s="721"/>
      <c r="T36" s="721"/>
      <c r="U36" s="721"/>
      <c r="V36" s="721"/>
      <c r="W36" s="721"/>
      <c r="X36" s="721"/>
      <c r="Y36" s="857" t="s">
        <v>2887</v>
      </c>
    </row>
    <row r="37" spans="1:25" ht="14.45" customHeight="1" x14ac:dyDescent="0.25">
      <c r="A37" s="437" t="s">
        <v>4678</v>
      </c>
      <c r="B37" s="438" t="s">
        <v>2495</v>
      </c>
      <c r="C37" s="438" t="s">
        <v>4753</v>
      </c>
      <c r="D37" s="439" t="s">
        <v>13</v>
      </c>
      <c r="E37" s="439" t="s">
        <v>3791</v>
      </c>
      <c r="F37" s="440">
        <v>44946</v>
      </c>
      <c r="G37" s="440"/>
      <c r="H37" s="439" t="s">
        <v>23</v>
      </c>
      <c r="I37" s="449"/>
      <c r="J37" s="450"/>
      <c r="K37" s="443">
        <v>0</v>
      </c>
      <c r="L37" s="444">
        <v>0</v>
      </c>
      <c r="M37" s="445"/>
      <c r="N37" s="445"/>
      <c r="O37" s="445" t="s">
        <v>3790</v>
      </c>
      <c r="P37" s="447"/>
      <c r="Q37" s="451"/>
      <c r="R37" s="447"/>
      <c r="S37" s="447"/>
      <c r="T37" s="447"/>
      <c r="U37" s="447"/>
      <c r="V37" s="447"/>
      <c r="W37" s="447"/>
      <c r="X37" s="447"/>
      <c r="Y37" s="858"/>
    </row>
    <row r="38" spans="1:25" ht="14.45" customHeight="1" x14ac:dyDescent="0.25">
      <c r="A38" s="722" t="s">
        <v>4678</v>
      </c>
      <c r="B38" s="723" t="s">
        <v>3782</v>
      </c>
      <c r="C38" s="723" t="s">
        <v>4753</v>
      </c>
      <c r="D38" s="724" t="s">
        <v>34</v>
      </c>
      <c r="E38" s="724" t="s">
        <v>576</v>
      </c>
      <c r="F38" s="725">
        <v>44946</v>
      </c>
      <c r="G38" s="725"/>
      <c r="H38" s="724" t="s">
        <v>23</v>
      </c>
      <c r="I38" s="441"/>
      <c r="J38" s="442"/>
      <c r="K38" s="720">
        <v>760</v>
      </c>
      <c r="L38" s="744">
        <v>0</v>
      </c>
      <c r="M38" s="728"/>
      <c r="N38" s="728"/>
      <c r="O38" s="728" t="s">
        <v>1697</v>
      </c>
      <c r="P38" s="721" t="s">
        <v>3787</v>
      </c>
      <c r="Q38" s="729">
        <v>760</v>
      </c>
      <c r="R38" s="721"/>
      <c r="S38" s="721"/>
      <c r="T38" s="721"/>
      <c r="U38" s="721"/>
      <c r="V38" s="721"/>
      <c r="W38" s="721"/>
      <c r="X38" s="721"/>
      <c r="Y38" s="857" t="s">
        <v>3783</v>
      </c>
    </row>
    <row r="39" spans="1:25" ht="14.45" customHeight="1" x14ac:dyDescent="0.25">
      <c r="A39" s="437" t="s">
        <v>4678</v>
      </c>
      <c r="B39" s="438" t="s">
        <v>3782</v>
      </c>
      <c r="C39" s="438" t="s">
        <v>4753</v>
      </c>
      <c r="D39" s="439" t="s">
        <v>34</v>
      </c>
      <c r="E39" s="439" t="s">
        <v>576</v>
      </c>
      <c r="F39" s="440">
        <v>44946</v>
      </c>
      <c r="G39" s="440"/>
      <c r="H39" s="439" t="s">
        <v>23</v>
      </c>
      <c r="I39" s="449"/>
      <c r="J39" s="450"/>
      <c r="K39" s="443">
        <v>240</v>
      </c>
      <c r="L39" s="444">
        <v>0</v>
      </c>
      <c r="M39" s="445" t="s">
        <v>3789</v>
      </c>
      <c r="N39" s="445"/>
      <c r="O39" s="445" t="s">
        <v>1638</v>
      </c>
      <c r="P39" s="447" t="s">
        <v>1053</v>
      </c>
      <c r="Q39" s="451">
        <v>240</v>
      </c>
      <c r="R39" s="447"/>
      <c r="S39" s="447"/>
      <c r="T39" s="447"/>
      <c r="U39" s="447"/>
      <c r="V39" s="447"/>
      <c r="W39" s="447"/>
      <c r="X39" s="447"/>
      <c r="Y39" s="858" t="s">
        <v>3784</v>
      </c>
    </row>
    <row r="40" spans="1:25" ht="14.45" customHeight="1" x14ac:dyDescent="0.25">
      <c r="A40" s="722" t="s">
        <v>4678</v>
      </c>
      <c r="B40" s="723" t="s">
        <v>3782</v>
      </c>
      <c r="C40" s="723" t="s">
        <v>4753</v>
      </c>
      <c r="D40" s="724" t="s">
        <v>34</v>
      </c>
      <c r="E40" s="724" t="s">
        <v>576</v>
      </c>
      <c r="F40" s="725">
        <v>44946</v>
      </c>
      <c r="G40" s="725"/>
      <c r="H40" s="724" t="s">
        <v>23</v>
      </c>
      <c r="I40" s="441"/>
      <c r="J40" s="442"/>
      <c r="K40" s="720">
        <v>150</v>
      </c>
      <c r="L40" s="744">
        <v>0</v>
      </c>
      <c r="M40" s="728" t="s">
        <v>3789</v>
      </c>
      <c r="N40" s="728"/>
      <c r="O40" s="728" t="s">
        <v>537</v>
      </c>
      <c r="P40" s="721" t="s">
        <v>538</v>
      </c>
      <c r="Q40" s="729">
        <v>150</v>
      </c>
      <c r="R40" s="721"/>
      <c r="S40" s="721"/>
      <c r="T40" s="721"/>
      <c r="U40" s="721"/>
      <c r="V40" s="721"/>
      <c r="W40" s="721"/>
      <c r="X40" s="721"/>
      <c r="Y40" s="857" t="s">
        <v>3785</v>
      </c>
    </row>
    <row r="41" spans="1:25" ht="14.45" customHeight="1" x14ac:dyDescent="0.25">
      <c r="A41" s="437" t="s">
        <v>4678</v>
      </c>
      <c r="B41" s="438" t="s">
        <v>3782</v>
      </c>
      <c r="C41" s="438" t="s">
        <v>4753</v>
      </c>
      <c r="D41" s="439" t="s">
        <v>34</v>
      </c>
      <c r="E41" s="439" t="s">
        <v>576</v>
      </c>
      <c r="F41" s="440">
        <v>44946</v>
      </c>
      <c r="G41" s="440"/>
      <c r="H41" s="439" t="s">
        <v>23</v>
      </c>
      <c r="I41" s="449"/>
      <c r="J41" s="450"/>
      <c r="K41" s="443">
        <v>720</v>
      </c>
      <c r="L41" s="444">
        <v>0</v>
      </c>
      <c r="M41" s="453"/>
      <c r="N41" s="453"/>
      <c r="O41" s="445" t="s">
        <v>2266</v>
      </c>
      <c r="P41" s="447" t="s">
        <v>3788</v>
      </c>
      <c r="Q41" s="451">
        <v>720</v>
      </c>
      <c r="R41" s="447"/>
      <c r="S41" s="447"/>
      <c r="T41" s="447"/>
      <c r="U41" s="447"/>
      <c r="V41" s="447"/>
      <c r="W41" s="447"/>
      <c r="X41" s="447"/>
      <c r="Y41" s="858" t="s">
        <v>3786</v>
      </c>
    </row>
    <row r="42" spans="1:25" ht="14.45" customHeight="1" x14ac:dyDescent="0.25">
      <c r="A42" s="722" t="s">
        <v>4678</v>
      </c>
      <c r="B42" s="723">
        <v>15</v>
      </c>
      <c r="C42" s="723"/>
      <c r="D42" s="724" t="s">
        <v>34</v>
      </c>
      <c r="E42" s="724" t="s">
        <v>328</v>
      </c>
      <c r="F42" s="725">
        <v>44946</v>
      </c>
      <c r="G42" s="725"/>
      <c r="H42" s="724" t="s">
        <v>23</v>
      </c>
      <c r="I42" s="441"/>
      <c r="J42" s="442"/>
      <c r="K42" s="720">
        <v>126</v>
      </c>
      <c r="L42" s="744">
        <v>6.8040000000000003</v>
      </c>
      <c r="M42" s="728"/>
      <c r="N42" s="728"/>
      <c r="O42" s="728" t="s">
        <v>2826</v>
      </c>
      <c r="P42" s="721">
        <v>756</v>
      </c>
      <c r="Q42" s="729">
        <v>126</v>
      </c>
      <c r="R42" s="721">
        <v>0.252</v>
      </c>
      <c r="S42" s="721">
        <v>0.70599999999999996</v>
      </c>
      <c r="T42" s="721">
        <v>190.512</v>
      </c>
      <c r="U42" s="721">
        <v>533.73599999999999</v>
      </c>
      <c r="V42" s="721">
        <v>24.77</v>
      </c>
      <c r="W42" s="721">
        <v>79.38</v>
      </c>
      <c r="X42" s="721">
        <v>315</v>
      </c>
      <c r="Y42" s="857">
        <v>60011.28</v>
      </c>
    </row>
    <row r="43" spans="1:25" ht="14.45" customHeight="1" x14ac:dyDescent="0.25">
      <c r="A43" s="437" t="s">
        <v>4678</v>
      </c>
      <c r="B43" s="438">
        <v>10</v>
      </c>
      <c r="C43" s="438"/>
      <c r="D43" s="439" t="s">
        <v>13</v>
      </c>
      <c r="E43" s="439" t="s">
        <v>1825</v>
      </c>
      <c r="F43" s="440">
        <v>44946</v>
      </c>
      <c r="G43" s="440"/>
      <c r="H43" s="439" t="s">
        <v>23</v>
      </c>
      <c r="I43" s="449"/>
      <c r="J43" s="450"/>
      <c r="K43" s="443">
        <v>175</v>
      </c>
      <c r="L43" s="444">
        <v>7.2675000000000001</v>
      </c>
      <c r="M43" s="445" t="s">
        <v>3806</v>
      </c>
      <c r="N43" s="445"/>
      <c r="O43" s="445" t="s">
        <v>4699</v>
      </c>
      <c r="P43" s="447">
        <v>1050</v>
      </c>
      <c r="Q43" s="451">
        <v>175</v>
      </c>
      <c r="R43" s="447">
        <v>0.1938</v>
      </c>
      <c r="S43" s="447">
        <v>0.63600000000000001</v>
      </c>
      <c r="T43" s="447">
        <v>203.49</v>
      </c>
      <c r="U43" s="447">
        <v>667.8</v>
      </c>
      <c r="V43" s="447">
        <v>26.45</v>
      </c>
      <c r="W43" s="447">
        <v>66.47</v>
      </c>
      <c r="X43" s="447">
        <v>343</v>
      </c>
      <c r="Y43" s="858">
        <v>69797.070000000007</v>
      </c>
    </row>
    <row r="44" spans="1:25" ht="14.45" customHeight="1" x14ac:dyDescent="0.25">
      <c r="A44" s="722" t="s">
        <v>4678</v>
      </c>
      <c r="B44" s="723">
        <v>13</v>
      </c>
      <c r="C44" s="723"/>
      <c r="D44" s="724" t="s">
        <v>13</v>
      </c>
      <c r="E44" s="724" t="s">
        <v>3764</v>
      </c>
      <c r="F44" s="725">
        <v>44946</v>
      </c>
      <c r="G44" s="725"/>
      <c r="H44" s="724" t="s">
        <v>23</v>
      </c>
      <c r="I44" s="441"/>
      <c r="J44" s="442"/>
      <c r="K44" s="720">
        <v>1291</v>
      </c>
      <c r="L44" s="744">
        <v>37.493635714285709</v>
      </c>
      <c r="M44" s="728"/>
      <c r="N44" s="728"/>
      <c r="O44" s="728" t="s">
        <v>1975</v>
      </c>
      <c r="P44" s="721">
        <v>6648.65</v>
      </c>
      <c r="Q44" s="729">
        <v>1291</v>
      </c>
      <c r="R44" s="721">
        <v>0.15790000000000001</v>
      </c>
      <c r="S44" s="721">
        <v>0.309</v>
      </c>
      <c r="T44" s="721">
        <v>1049.8217999999999</v>
      </c>
      <c r="U44" s="721">
        <v>2054.4328999999998</v>
      </c>
      <c r="V44" s="721">
        <v>136.47999999999999</v>
      </c>
      <c r="W44" s="721">
        <v>48.79</v>
      </c>
      <c r="X44" s="721">
        <v>309</v>
      </c>
      <c r="Y44" s="857">
        <v>324387.63</v>
      </c>
    </row>
    <row r="45" spans="1:25" ht="14.45" customHeight="1" x14ac:dyDescent="0.25">
      <c r="A45" s="437" t="s">
        <v>4678</v>
      </c>
      <c r="B45" s="438">
        <v>14</v>
      </c>
      <c r="C45" s="438"/>
      <c r="D45" s="439" t="s">
        <v>13</v>
      </c>
      <c r="E45" s="439" t="s">
        <v>3764</v>
      </c>
      <c r="F45" s="440">
        <v>44946</v>
      </c>
      <c r="G45" s="440"/>
      <c r="H45" s="439" t="s">
        <v>23</v>
      </c>
      <c r="I45" s="449"/>
      <c r="J45" s="450"/>
      <c r="K45" s="443">
        <v>1416</v>
      </c>
      <c r="L45" s="444">
        <v>23.447949999999999</v>
      </c>
      <c r="M45" s="445" t="s">
        <v>3829</v>
      </c>
      <c r="N45" s="445"/>
      <c r="O45" s="445" t="s">
        <v>2841</v>
      </c>
      <c r="P45" s="447">
        <v>6867.6</v>
      </c>
      <c r="Q45" s="451">
        <v>1416</v>
      </c>
      <c r="R45" s="447">
        <v>9.5600000000000004E-2</v>
      </c>
      <c r="S45" s="447">
        <v>0.16</v>
      </c>
      <c r="T45" s="447">
        <v>656.54259999999999</v>
      </c>
      <c r="U45" s="447">
        <v>1098.816</v>
      </c>
      <c r="V45" s="447">
        <v>85.35</v>
      </c>
      <c r="W45" s="447">
        <v>29.54</v>
      </c>
      <c r="X45" s="447">
        <v>309</v>
      </c>
      <c r="Y45" s="858">
        <v>202871.65</v>
      </c>
    </row>
    <row r="46" spans="1:25" ht="14.45" customHeight="1" x14ac:dyDescent="0.25">
      <c r="A46" s="722" t="s">
        <v>4678</v>
      </c>
      <c r="B46" s="723" t="s">
        <v>3797</v>
      </c>
      <c r="C46" s="723"/>
      <c r="D46" s="724" t="s">
        <v>34</v>
      </c>
      <c r="E46" s="724" t="s">
        <v>16</v>
      </c>
      <c r="F46" s="725">
        <v>44950</v>
      </c>
      <c r="G46" s="725"/>
      <c r="H46" s="724" t="s">
        <v>23</v>
      </c>
      <c r="I46" s="441"/>
      <c r="J46" s="442"/>
      <c r="K46" s="720">
        <v>84</v>
      </c>
      <c r="L46" s="744">
        <v>5.3945999999999996</v>
      </c>
      <c r="M46" s="728"/>
      <c r="N46" s="728"/>
      <c r="O46" s="728" t="s">
        <v>2423</v>
      </c>
      <c r="P46" s="721">
        <v>504</v>
      </c>
      <c r="Q46" s="729">
        <v>84</v>
      </c>
      <c r="R46" s="721">
        <v>0.29970000000000002</v>
      </c>
      <c r="S46" s="721">
        <v>1.6739999999999999</v>
      </c>
      <c r="T46" s="721">
        <v>151.0488</v>
      </c>
      <c r="U46" s="721">
        <v>843.69600000000003</v>
      </c>
      <c r="V46" s="721">
        <v>19.64</v>
      </c>
      <c r="W46" s="721">
        <v>102.8</v>
      </c>
      <c r="X46" s="721">
        <v>343</v>
      </c>
      <c r="Y46" s="857">
        <v>51811.199999999997</v>
      </c>
    </row>
    <row r="47" spans="1:25" ht="14.45" customHeight="1" x14ac:dyDescent="0.25">
      <c r="A47" s="437" t="s">
        <v>4678</v>
      </c>
      <c r="B47" s="438">
        <v>17</v>
      </c>
      <c r="C47" s="438"/>
      <c r="D47" s="439" t="s">
        <v>13</v>
      </c>
      <c r="E47" s="439" t="s">
        <v>45</v>
      </c>
      <c r="F47" s="440">
        <v>44950</v>
      </c>
      <c r="G47" s="440"/>
      <c r="H47" s="439" t="s">
        <v>23</v>
      </c>
      <c r="I47" s="449"/>
      <c r="J47" s="450">
        <v>36</v>
      </c>
      <c r="K47" s="443">
        <v>0</v>
      </c>
      <c r="L47" s="444">
        <v>3.9574142857142856</v>
      </c>
      <c r="M47" s="445" t="s">
        <v>3948</v>
      </c>
      <c r="N47" s="445"/>
      <c r="O47" s="445" t="s">
        <v>2840</v>
      </c>
      <c r="P47" s="447">
        <v>111.6</v>
      </c>
      <c r="Q47" s="451">
        <v>36</v>
      </c>
      <c r="R47" s="447">
        <v>0.9929</v>
      </c>
      <c r="S47" s="447">
        <v>4.5880000000000001</v>
      </c>
      <c r="T47" s="447">
        <v>110.80759999999999</v>
      </c>
      <c r="U47" s="447">
        <v>512.02080000000001</v>
      </c>
      <c r="V47" s="447">
        <v>14.41</v>
      </c>
      <c r="W47" s="447">
        <v>312.76</v>
      </c>
      <c r="X47" s="447">
        <v>315</v>
      </c>
      <c r="Y47" s="858">
        <v>34904.410000000003</v>
      </c>
    </row>
    <row r="48" spans="1:25" ht="14.45" customHeight="1" x14ac:dyDescent="0.25">
      <c r="A48" s="722" t="s">
        <v>4678</v>
      </c>
      <c r="B48" s="723">
        <v>18</v>
      </c>
      <c r="C48" s="723"/>
      <c r="D48" s="724" t="s">
        <v>13</v>
      </c>
      <c r="E48" s="724" t="s">
        <v>2973</v>
      </c>
      <c r="F48" s="725">
        <v>44950</v>
      </c>
      <c r="G48" s="725"/>
      <c r="H48" s="724" t="s">
        <v>23</v>
      </c>
      <c r="I48" s="441"/>
      <c r="J48" s="442"/>
      <c r="K48" s="720">
        <v>121</v>
      </c>
      <c r="L48" s="744">
        <v>8.3154214285714279</v>
      </c>
      <c r="M48" s="728"/>
      <c r="N48" s="728"/>
      <c r="O48" s="728" t="s">
        <v>1863</v>
      </c>
      <c r="P48" s="721">
        <v>592.9</v>
      </c>
      <c r="Q48" s="729">
        <v>121</v>
      </c>
      <c r="R48" s="721">
        <v>0.39269999999999999</v>
      </c>
      <c r="S48" s="721">
        <v>0.872</v>
      </c>
      <c r="T48" s="721">
        <v>232.83179999999999</v>
      </c>
      <c r="U48" s="721">
        <v>517.00879999999995</v>
      </c>
      <c r="V48" s="721">
        <v>30.27</v>
      </c>
      <c r="W48" s="721">
        <v>134.69999999999999</v>
      </c>
      <c r="X48" s="721">
        <v>343</v>
      </c>
      <c r="Y48" s="857">
        <v>79861.320000000007</v>
      </c>
    </row>
    <row r="49" spans="1:25" ht="14.45" customHeight="1" x14ac:dyDescent="0.25">
      <c r="A49" s="437" t="s">
        <v>4678</v>
      </c>
      <c r="B49" s="438">
        <v>20</v>
      </c>
      <c r="C49" s="438"/>
      <c r="D49" s="439" t="s">
        <v>34</v>
      </c>
      <c r="E49" s="439" t="s">
        <v>328</v>
      </c>
      <c r="F49" s="440">
        <v>44951</v>
      </c>
      <c r="G49" s="440"/>
      <c r="H49" s="439" t="s">
        <v>23</v>
      </c>
      <c r="I49" s="449"/>
      <c r="J49" s="450"/>
      <c r="K49" s="443">
        <v>282</v>
      </c>
      <c r="L49" s="444">
        <v>18.684514285714283</v>
      </c>
      <c r="M49" s="445" t="s">
        <v>3887</v>
      </c>
      <c r="N49" s="445"/>
      <c r="O49" s="445" t="s">
        <v>650</v>
      </c>
      <c r="P49" s="447">
        <v>1692</v>
      </c>
      <c r="Q49" s="451">
        <v>282</v>
      </c>
      <c r="R49" s="447">
        <v>0.30919999999999997</v>
      </c>
      <c r="S49" s="447">
        <v>1.1000000000000001</v>
      </c>
      <c r="T49" s="447">
        <v>523.16639999999995</v>
      </c>
      <c r="U49" s="447">
        <v>1861.2</v>
      </c>
      <c r="V49" s="447">
        <v>68.010000000000005</v>
      </c>
      <c r="W49" s="447">
        <v>106.06</v>
      </c>
      <c r="X49" s="447">
        <v>343</v>
      </c>
      <c r="Y49" s="858">
        <v>179446.08</v>
      </c>
    </row>
    <row r="50" spans="1:25" ht="14.45" customHeight="1" x14ac:dyDescent="0.25">
      <c r="A50" s="722" t="s">
        <v>4678</v>
      </c>
      <c r="B50" s="723">
        <v>26</v>
      </c>
      <c r="C50" s="723"/>
      <c r="D50" s="724" t="s">
        <v>13</v>
      </c>
      <c r="E50" s="724" t="s">
        <v>28</v>
      </c>
      <c r="F50" s="725">
        <v>44951</v>
      </c>
      <c r="G50" s="725"/>
      <c r="H50" s="724" t="s">
        <v>23</v>
      </c>
      <c r="I50" s="441"/>
      <c r="J50" s="442">
        <v>20</v>
      </c>
      <c r="K50" s="720">
        <v>0</v>
      </c>
      <c r="L50" s="744">
        <v>0.86142857142857143</v>
      </c>
      <c r="M50" s="728"/>
      <c r="N50" s="728"/>
      <c r="O50" s="728" t="s">
        <v>3804</v>
      </c>
      <c r="P50" s="721">
        <v>120</v>
      </c>
      <c r="Q50" s="729">
        <v>20</v>
      </c>
      <c r="R50" s="721">
        <v>0.20100000000000001</v>
      </c>
      <c r="S50" s="721">
        <v>0.41199999999999998</v>
      </c>
      <c r="T50" s="721">
        <v>24.12</v>
      </c>
      <c r="U50" s="721">
        <v>49.44</v>
      </c>
      <c r="V50" s="721">
        <v>3.14</v>
      </c>
      <c r="W50" s="721">
        <v>62.91</v>
      </c>
      <c r="X50" s="721">
        <v>313</v>
      </c>
      <c r="Y50" s="857">
        <v>7549.56</v>
      </c>
    </row>
    <row r="51" spans="1:25" ht="14.45" customHeight="1" x14ac:dyDescent="0.25">
      <c r="A51" s="437" t="s">
        <v>4678</v>
      </c>
      <c r="B51" s="438" t="s">
        <v>2606</v>
      </c>
      <c r="C51" s="438" t="s">
        <v>4753</v>
      </c>
      <c r="D51" s="439" t="s">
        <v>34</v>
      </c>
      <c r="E51" s="439" t="s">
        <v>284</v>
      </c>
      <c r="F51" s="440">
        <v>44951</v>
      </c>
      <c r="G51" s="440"/>
      <c r="H51" s="439" t="s">
        <v>23</v>
      </c>
      <c r="I51" s="449"/>
      <c r="J51" s="450"/>
      <c r="K51" s="443">
        <v>0</v>
      </c>
      <c r="L51" s="444">
        <v>0</v>
      </c>
      <c r="M51" s="445"/>
      <c r="N51" s="445"/>
      <c r="O51" s="445" t="s">
        <v>3755</v>
      </c>
      <c r="P51" s="447" t="s">
        <v>112</v>
      </c>
      <c r="Q51" s="451"/>
      <c r="R51" s="447"/>
      <c r="S51" s="447"/>
      <c r="T51" s="447"/>
      <c r="U51" s="447"/>
      <c r="V51" s="447"/>
      <c r="W51" s="447"/>
      <c r="X51" s="447"/>
      <c r="Y51" s="858" t="s">
        <v>3805</v>
      </c>
    </row>
    <row r="52" spans="1:25" ht="14.45" customHeight="1" x14ac:dyDescent="0.25">
      <c r="A52" s="722" t="s">
        <v>4678</v>
      </c>
      <c r="B52" s="723" t="s">
        <v>2606</v>
      </c>
      <c r="C52" s="723" t="s">
        <v>4753</v>
      </c>
      <c r="D52" s="724" t="s">
        <v>34</v>
      </c>
      <c r="E52" s="724" t="s">
        <v>284</v>
      </c>
      <c r="F52" s="725">
        <v>44951</v>
      </c>
      <c r="G52" s="725"/>
      <c r="H52" s="724" t="s">
        <v>23</v>
      </c>
      <c r="I52" s="441"/>
      <c r="J52" s="442"/>
      <c r="K52" s="720">
        <v>0</v>
      </c>
      <c r="L52" s="744">
        <v>0</v>
      </c>
      <c r="M52" s="728"/>
      <c r="N52" s="728"/>
      <c r="O52" s="728" t="s">
        <v>3754</v>
      </c>
      <c r="P52" s="721" t="s">
        <v>31</v>
      </c>
      <c r="Q52" s="729"/>
      <c r="R52" s="721"/>
      <c r="S52" s="721"/>
      <c r="T52" s="721"/>
      <c r="U52" s="721"/>
      <c r="V52" s="721"/>
      <c r="W52" s="721"/>
      <c r="X52" s="721"/>
      <c r="Y52" s="857" t="s">
        <v>3757</v>
      </c>
    </row>
    <row r="53" spans="1:25" ht="14.45" customHeight="1" x14ac:dyDescent="0.25">
      <c r="A53" s="437" t="s">
        <v>4678</v>
      </c>
      <c r="B53" s="438">
        <v>25</v>
      </c>
      <c r="C53" s="438"/>
      <c r="D53" s="439" t="s">
        <v>13</v>
      </c>
      <c r="E53" s="439" t="s">
        <v>3801</v>
      </c>
      <c r="F53" s="440">
        <v>44951</v>
      </c>
      <c r="G53" s="440"/>
      <c r="H53" s="439" t="s">
        <v>23</v>
      </c>
      <c r="I53" s="449"/>
      <c r="J53" s="450"/>
      <c r="K53" s="443">
        <v>14</v>
      </c>
      <c r="L53" s="444">
        <v>0.48</v>
      </c>
      <c r="M53" s="454" t="s">
        <v>3808</v>
      </c>
      <c r="N53" s="454"/>
      <c r="O53" s="445" t="s">
        <v>3803</v>
      </c>
      <c r="P53" s="447">
        <v>84</v>
      </c>
      <c r="Q53" s="451">
        <v>14</v>
      </c>
      <c r="R53" s="447">
        <v>0.16</v>
      </c>
      <c r="S53" s="447">
        <v>0.35299999999999998</v>
      </c>
      <c r="T53" s="447">
        <v>13.44</v>
      </c>
      <c r="U53" s="447">
        <v>29.652000000000001</v>
      </c>
      <c r="V53" s="447">
        <v>1.75</v>
      </c>
      <c r="W53" s="447">
        <v>48</v>
      </c>
      <c r="X53" s="447">
        <v>300</v>
      </c>
      <c r="Y53" s="858">
        <v>4032</v>
      </c>
    </row>
    <row r="54" spans="1:25" ht="14.45" customHeight="1" x14ac:dyDescent="0.25">
      <c r="A54" s="722" t="s">
        <v>4678</v>
      </c>
      <c r="B54" s="723">
        <v>22</v>
      </c>
      <c r="C54" s="723"/>
      <c r="D54" s="724" t="s">
        <v>13</v>
      </c>
      <c r="E54" s="723" t="s">
        <v>3765</v>
      </c>
      <c r="F54" s="725">
        <v>44951</v>
      </c>
      <c r="G54" s="725"/>
      <c r="H54" s="724" t="s">
        <v>23</v>
      </c>
      <c r="I54" s="456"/>
      <c r="J54" s="457">
        <v>540</v>
      </c>
      <c r="K54" s="720">
        <v>24</v>
      </c>
      <c r="L54" s="744">
        <v>6.0368142857142857</v>
      </c>
      <c r="M54" s="724" t="s">
        <v>3889</v>
      </c>
      <c r="N54" s="724"/>
      <c r="O54" s="724" t="s">
        <v>2357</v>
      </c>
      <c r="P54" s="726">
        <v>1692</v>
      </c>
      <c r="Q54" s="727">
        <v>564</v>
      </c>
      <c r="R54" s="726">
        <v>9.9900000000000003E-2</v>
      </c>
      <c r="S54" s="726">
        <v>0.28599999999999998</v>
      </c>
      <c r="T54" s="726">
        <v>169.0308</v>
      </c>
      <c r="U54" s="726">
        <v>483.91199999999998</v>
      </c>
      <c r="V54" s="726">
        <v>21.97</v>
      </c>
      <c r="W54" s="726">
        <v>106.91</v>
      </c>
      <c r="X54" s="726">
        <v>1070.18</v>
      </c>
      <c r="Y54" s="859">
        <v>180893.38</v>
      </c>
    </row>
    <row r="55" spans="1:25" ht="14.45" customHeight="1" x14ac:dyDescent="0.25">
      <c r="A55" s="437" t="s">
        <v>4678</v>
      </c>
      <c r="B55" s="438">
        <v>23</v>
      </c>
      <c r="C55" s="438"/>
      <c r="D55" s="439" t="s">
        <v>13</v>
      </c>
      <c r="E55" s="438" t="s">
        <v>3765</v>
      </c>
      <c r="F55" s="440">
        <v>44951</v>
      </c>
      <c r="G55" s="440"/>
      <c r="H55" s="439" t="s">
        <v>23</v>
      </c>
      <c r="I55" s="449"/>
      <c r="J55" s="450"/>
      <c r="K55" s="443">
        <v>742</v>
      </c>
      <c r="L55" s="444">
        <v>6.0022499999999992</v>
      </c>
      <c r="M55" s="445"/>
      <c r="N55" s="445"/>
      <c r="O55" s="445" t="s">
        <v>3802</v>
      </c>
      <c r="P55" s="447">
        <v>2226</v>
      </c>
      <c r="Q55" s="451">
        <v>742</v>
      </c>
      <c r="R55" s="447">
        <v>7.5499999999999998E-2</v>
      </c>
      <c r="S55" s="447">
        <v>0.248</v>
      </c>
      <c r="T55" s="447">
        <v>168.06299999999999</v>
      </c>
      <c r="U55" s="447">
        <v>552.048</v>
      </c>
      <c r="V55" s="447">
        <v>21.85</v>
      </c>
      <c r="W55" s="447">
        <v>27.18</v>
      </c>
      <c r="X55" s="447">
        <v>360</v>
      </c>
      <c r="Y55" s="858">
        <v>60502.68</v>
      </c>
    </row>
    <row r="56" spans="1:25" ht="14.45" customHeight="1" x14ac:dyDescent="0.25">
      <c r="A56" s="722" t="s">
        <v>4678</v>
      </c>
      <c r="B56" s="723">
        <v>24</v>
      </c>
      <c r="C56" s="723"/>
      <c r="D56" s="724" t="s">
        <v>13</v>
      </c>
      <c r="E56" s="723" t="s">
        <v>3765</v>
      </c>
      <c r="F56" s="725">
        <v>44951</v>
      </c>
      <c r="G56" s="725"/>
      <c r="H56" s="724" t="s">
        <v>23</v>
      </c>
      <c r="I56" s="441"/>
      <c r="J56" s="442">
        <v>45</v>
      </c>
      <c r="K56" s="720">
        <v>3</v>
      </c>
      <c r="L56" s="744">
        <v>1.431257142857143</v>
      </c>
      <c r="M56" s="728" t="s">
        <v>2657</v>
      </c>
      <c r="N56" s="728"/>
      <c r="O56" s="728" t="s">
        <v>3645</v>
      </c>
      <c r="P56" s="721">
        <v>144</v>
      </c>
      <c r="Q56" s="729">
        <v>48</v>
      </c>
      <c r="R56" s="721">
        <v>0.27829999999999999</v>
      </c>
      <c r="S56" s="721">
        <v>0.98499999999999999</v>
      </c>
      <c r="T56" s="721">
        <v>40.075200000000002</v>
      </c>
      <c r="U56" s="721">
        <v>141.84</v>
      </c>
      <c r="V56" s="721">
        <v>5.21</v>
      </c>
      <c r="W56" s="721">
        <v>185.17</v>
      </c>
      <c r="X56" s="721">
        <v>665.36</v>
      </c>
      <c r="Y56" s="857">
        <v>26664.44</v>
      </c>
    </row>
    <row r="57" spans="1:25" ht="14.45" customHeight="1" x14ac:dyDescent="0.25">
      <c r="A57" s="437" t="s">
        <v>4678</v>
      </c>
      <c r="B57" s="438">
        <v>21</v>
      </c>
      <c r="C57" s="438"/>
      <c r="D57" s="439" t="s">
        <v>13</v>
      </c>
      <c r="E57" s="439" t="s">
        <v>3764</v>
      </c>
      <c r="F57" s="440">
        <v>44951</v>
      </c>
      <c r="G57" s="440"/>
      <c r="H57" s="439" t="s">
        <v>23</v>
      </c>
      <c r="I57" s="449"/>
      <c r="J57" s="450">
        <v>41</v>
      </c>
      <c r="K57" s="443">
        <v>6</v>
      </c>
      <c r="L57" s="444">
        <v>1.9802035714285715</v>
      </c>
      <c r="M57" s="445" t="s">
        <v>4700</v>
      </c>
      <c r="N57" s="445"/>
      <c r="O57" s="445" t="s">
        <v>4701</v>
      </c>
      <c r="P57" s="447">
        <v>209.15</v>
      </c>
      <c r="Q57" s="451">
        <v>47</v>
      </c>
      <c r="R57" s="447">
        <v>0.2651</v>
      </c>
      <c r="S57" s="447">
        <v>0.82099999999999995</v>
      </c>
      <c r="T57" s="447">
        <v>55.445700000000002</v>
      </c>
      <c r="U57" s="447">
        <v>171.7122</v>
      </c>
      <c r="V57" s="447">
        <v>7.21</v>
      </c>
      <c r="W57" s="447">
        <v>76.08</v>
      </c>
      <c r="X57" s="447">
        <v>287</v>
      </c>
      <c r="Y57" s="858">
        <v>15912.13</v>
      </c>
    </row>
    <row r="58" spans="1:25" ht="14.45" customHeight="1" x14ac:dyDescent="0.25">
      <c r="A58" s="722" t="s">
        <v>4678</v>
      </c>
      <c r="B58" s="723">
        <v>21</v>
      </c>
      <c r="C58" s="723"/>
      <c r="D58" s="724" t="s">
        <v>13</v>
      </c>
      <c r="E58" s="724" t="s">
        <v>3764</v>
      </c>
      <c r="F58" s="725">
        <v>44951</v>
      </c>
      <c r="G58" s="725"/>
      <c r="H58" s="724" t="s">
        <v>23</v>
      </c>
      <c r="I58" s="441"/>
      <c r="J58" s="442"/>
      <c r="K58" s="720">
        <v>75</v>
      </c>
      <c r="L58" s="744">
        <v>3.58595</v>
      </c>
      <c r="M58" s="728"/>
      <c r="N58" s="728"/>
      <c r="O58" s="728" t="s">
        <v>3303</v>
      </c>
      <c r="P58" s="721">
        <v>378.75</v>
      </c>
      <c r="Q58" s="729">
        <v>75</v>
      </c>
      <c r="R58" s="721">
        <v>0.2651</v>
      </c>
      <c r="S58" s="721">
        <v>0.82099999999999995</v>
      </c>
      <c r="T58" s="721">
        <v>100.4066</v>
      </c>
      <c r="U58" s="721">
        <v>310.9538</v>
      </c>
      <c r="V58" s="721">
        <v>13.05</v>
      </c>
      <c r="W58" s="721">
        <v>76.08</v>
      </c>
      <c r="X58" s="721">
        <v>287</v>
      </c>
      <c r="Y58" s="857">
        <v>28815.3</v>
      </c>
    </row>
    <row r="59" spans="1:25" ht="14.45" customHeight="1" x14ac:dyDescent="0.25">
      <c r="A59" s="437" t="s">
        <v>4678</v>
      </c>
      <c r="B59" s="438" t="s">
        <v>3807</v>
      </c>
      <c r="C59" s="438" t="s">
        <v>4753</v>
      </c>
      <c r="D59" s="439" t="s">
        <v>13</v>
      </c>
      <c r="E59" s="439" t="s">
        <v>43</v>
      </c>
      <c r="F59" s="440">
        <v>44952</v>
      </c>
      <c r="G59" s="440"/>
      <c r="H59" s="439" t="s">
        <v>23</v>
      </c>
      <c r="I59" s="449"/>
      <c r="J59" s="450"/>
      <c r="K59" s="443">
        <v>36</v>
      </c>
      <c r="L59" s="444">
        <v>0</v>
      </c>
      <c r="M59" s="445"/>
      <c r="N59" s="445"/>
      <c r="O59" s="445" t="s">
        <v>3033</v>
      </c>
      <c r="P59" s="447"/>
      <c r="Q59" s="451">
        <v>36</v>
      </c>
      <c r="R59" s="447"/>
      <c r="S59" s="447"/>
      <c r="T59" s="447"/>
      <c r="U59" s="447"/>
      <c r="V59" s="447"/>
      <c r="W59" s="447"/>
      <c r="X59" s="447"/>
      <c r="Y59" s="858" t="s">
        <v>2928</v>
      </c>
    </row>
    <row r="60" spans="1:25" ht="14.45" customHeight="1" x14ac:dyDescent="0.25">
      <c r="A60" s="722" t="s">
        <v>4678</v>
      </c>
      <c r="B60" s="723">
        <v>27</v>
      </c>
      <c r="C60" s="723"/>
      <c r="D60" s="724" t="s">
        <v>13</v>
      </c>
      <c r="E60" s="724" t="s">
        <v>625</v>
      </c>
      <c r="F60" s="725">
        <v>44956</v>
      </c>
      <c r="G60" s="725"/>
      <c r="H60" s="724" t="s">
        <v>23</v>
      </c>
      <c r="I60" s="441"/>
      <c r="J60" s="442">
        <v>77</v>
      </c>
      <c r="K60" s="720">
        <v>2</v>
      </c>
      <c r="L60" s="744">
        <v>4.616053571428572</v>
      </c>
      <c r="M60" s="728" t="s">
        <v>3846</v>
      </c>
      <c r="N60" s="728"/>
      <c r="O60" s="728" t="s">
        <v>2161</v>
      </c>
      <c r="P60" s="721">
        <v>371.3</v>
      </c>
      <c r="Q60" s="729">
        <v>79</v>
      </c>
      <c r="R60" s="721">
        <v>0.34810000000000002</v>
      </c>
      <c r="S60" s="721">
        <v>1.4930000000000001</v>
      </c>
      <c r="T60" s="721">
        <v>129.24950000000001</v>
      </c>
      <c r="U60" s="721">
        <v>554.35090000000002</v>
      </c>
      <c r="V60" s="721">
        <v>16.8</v>
      </c>
      <c r="W60" s="721">
        <v>89.46</v>
      </c>
      <c r="X60" s="721">
        <v>257</v>
      </c>
      <c r="Y60" s="857">
        <v>33217.129999999997</v>
      </c>
    </row>
    <row r="61" spans="1:25" ht="14.45" customHeight="1" x14ac:dyDescent="0.25">
      <c r="A61" s="437" t="s">
        <v>4678</v>
      </c>
      <c r="B61" s="438" t="s">
        <v>2545</v>
      </c>
      <c r="C61" s="438" t="s">
        <v>4753</v>
      </c>
      <c r="D61" s="439" t="s">
        <v>34</v>
      </c>
      <c r="E61" s="439" t="s">
        <v>576</v>
      </c>
      <c r="F61" s="440">
        <v>44957</v>
      </c>
      <c r="G61" s="440"/>
      <c r="H61" s="439" t="s">
        <v>23</v>
      </c>
      <c r="I61" s="449"/>
      <c r="J61" s="450"/>
      <c r="K61" s="443">
        <v>200</v>
      </c>
      <c r="L61" s="444">
        <v>0</v>
      </c>
      <c r="M61" s="445" t="s">
        <v>3813</v>
      </c>
      <c r="N61" s="445"/>
      <c r="O61" s="445" t="s">
        <v>1700</v>
      </c>
      <c r="P61" s="447" t="s">
        <v>2534</v>
      </c>
      <c r="Q61" s="451">
        <v>200</v>
      </c>
      <c r="R61" s="447"/>
      <c r="S61" s="447"/>
      <c r="T61" s="447"/>
      <c r="U61" s="447"/>
      <c r="V61" s="447"/>
      <c r="W61" s="447"/>
      <c r="X61" s="447"/>
      <c r="Y61" s="858" t="s">
        <v>3785</v>
      </c>
    </row>
    <row r="62" spans="1:25" ht="14.45" customHeight="1" x14ac:dyDescent="0.25">
      <c r="A62" s="722" t="s">
        <v>4678</v>
      </c>
      <c r="B62" s="723" t="s">
        <v>2545</v>
      </c>
      <c r="C62" s="723"/>
      <c r="D62" s="724" t="s">
        <v>34</v>
      </c>
      <c r="E62" s="724" t="s">
        <v>576</v>
      </c>
      <c r="F62" s="725">
        <v>44957</v>
      </c>
      <c r="G62" s="725"/>
      <c r="H62" s="724" t="s">
        <v>23</v>
      </c>
      <c r="I62" s="441"/>
      <c r="J62" s="442"/>
      <c r="K62" s="720">
        <v>1100</v>
      </c>
      <c r="L62" s="744">
        <v>0</v>
      </c>
      <c r="M62" s="728" t="s">
        <v>3813</v>
      </c>
      <c r="N62" s="728"/>
      <c r="O62" s="728" t="s">
        <v>540</v>
      </c>
      <c r="P62" s="721" t="s">
        <v>3812</v>
      </c>
      <c r="Q62" s="729">
        <v>1100</v>
      </c>
      <c r="R62" s="721"/>
      <c r="S62" s="721"/>
      <c r="T62" s="721"/>
      <c r="U62" s="721"/>
      <c r="V62" s="721"/>
      <c r="W62" s="721"/>
      <c r="X62" s="721"/>
      <c r="Y62" s="857" t="s">
        <v>3786</v>
      </c>
    </row>
    <row r="63" spans="1:25" ht="14.45" customHeight="1" x14ac:dyDescent="0.25">
      <c r="A63" s="437" t="s">
        <v>4678</v>
      </c>
      <c r="B63" s="438" t="s">
        <v>2545</v>
      </c>
      <c r="C63" s="438"/>
      <c r="D63" s="439" t="s">
        <v>34</v>
      </c>
      <c r="E63" s="439" t="s">
        <v>576</v>
      </c>
      <c r="F63" s="440">
        <v>44957</v>
      </c>
      <c r="G63" s="440"/>
      <c r="H63" s="439" t="s">
        <v>23</v>
      </c>
      <c r="I63" s="449"/>
      <c r="J63" s="450"/>
      <c r="K63" s="443">
        <v>240</v>
      </c>
      <c r="L63" s="444">
        <v>0</v>
      </c>
      <c r="M63" s="445" t="s">
        <v>3813</v>
      </c>
      <c r="N63" s="445"/>
      <c r="O63" s="445" t="s">
        <v>539</v>
      </c>
      <c r="P63" s="447" t="s">
        <v>1053</v>
      </c>
      <c r="Q63" s="451">
        <v>240</v>
      </c>
      <c r="R63" s="447"/>
      <c r="S63" s="447"/>
      <c r="T63" s="447"/>
      <c r="U63" s="447"/>
      <c r="V63" s="447"/>
      <c r="W63" s="447"/>
      <c r="X63" s="447"/>
      <c r="Y63" s="858" t="s">
        <v>3784</v>
      </c>
    </row>
    <row r="64" spans="1:25" ht="14.45" customHeight="1" x14ac:dyDescent="0.25">
      <c r="A64" s="722" t="s">
        <v>4678</v>
      </c>
      <c r="B64" s="723" t="s">
        <v>2543</v>
      </c>
      <c r="C64" s="723"/>
      <c r="D64" s="724" t="s">
        <v>34</v>
      </c>
      <c r="E64" s="724" t="s">
        <v>284</v>
      </c>
      <c r="F64" s="725">
        <v>44957</v>
      </c>
      <c r="G64" s="725"/>
      <c r="H64" s="724" t="s">
        <v>23</v>
      </c>
      <c r="I64" s="441"/>
      <c r="J64" s="442"/>
      <c r="K64" s="720">
        <v>0</v>
      </c>
      <c r="L64" s="744">
        <v>0</v>
      </c>
      <c r="M64" s="728"/>
      <c r="N64" s="728"/>
      <c r="O64" s="728" t="s">
        <v>3814</v>
      </c>
      <c r="P64" s="721" t="s">
        <v>3815</v>
      </c>
      <c r="Q64" s="729"/>
      <c r="R64" s="721"/>
      <c r="S64" s="721"/>
      <c r="T64" s="721"/>
      <c r="U64" s="721"/>
      <c r="V64" s="721"/>
      <c r="W64" s="721"/>
      <c r="X64" s="721"/>
      <c r="Y64" s="857" t="s">
        <v>2891</v>
      </c>
    </row>
    <row r="65" spans="1:25" ht="14.45" customHeight="1" x14ac:dyDescent="0.25">
      <c r="A65" s="437" t="s">
        <v>4678</v>
      </c>
      <c r="B65" s="438" t="s">
        <v>2543</v>
      </c>
      <c r="C65" s="438"/>
      <c r="D65" s="439" t="s">
        <v>34</v>
      </c>
      <c r="E65" s="439" t="s">
        <v>284</v>
      </c>
      <c r="F65" s="440">
        <v>44957</v>
      </c>
      <c r="G65" s="440"/>
      <c r="H65" s="439" t="s">
        <v>23</v>
      </c>
      <c r="I65" s="449"/>
      <c r="J65" s="450"/>
      <c r="K65" s="443">
        <v>0</v>
      </c>
      <c r="L65" s="444">
        <v>0</v>
      </c>
      <c r="M65" s="445"/>
      <c r="N65" s="445"/>
      <c r="O65" s="445" t="s">
        <v>3735</v>
      </c>
      <c r="P65" s="447" t="s">
        <v>3816</v>
      </c>
      <c r="Q65" s="451"/>
      <c r="R65" s="447"/>
      <c r="S65" s="447"/>
      <c r="T65" s="447"/>
      <c r="U65" s="447"/>
      <c r="V65" s="447"/>
      <c r="W65" s="447"/>
      <c r="X65" s="447"/>
      <c r="Y65" s="858" t="s">
        <v>2891</v>
      </c>
    </row>
    <row r="66" spans="1:25" ht="14.45" customHeight="1" x14ac:dyDescent="0.25">
      <c r="A66" s="722" t="s">
        <v>4678</v>
      </c>
      <c r="B66" s="723">
        <v>29</v>
      </c>
      <c r="C66" s="723"/>
      <c r="D66" s="724" t="s">
        <v>13</v>
      </c>
      <c r="E66" s="724" t="s">
        <v>3819</v>
      </c>
      <c r="F66" s="725">
        <v>44957</v>
      </c>
      <c r="G66" s="725"/>
      <c r="H66" s="724" t="s">
        <v>23</v>
      </c>
      <c r="I66" s="441"/>
      <c r="J66" s="442"/>
      <c r="K66" s="720">
        <v>66</v>
      </c>
      <c r="L66" s="744">
        <v>4.3842857142857143</v>
      </c>
      <c r="M66" s="728"/>
      <c r="N66" s="728"/>
      <c r="O66" s="728" t="s">
        <v>2692</v>
      </c>
      <c r="P66" s="721">
        <v>396</v>
      </c>
      <c r="Q66" s="729">
        <v>66</v>
      </c>
      <c r="R66" s="721">
        <v>0.31</v>
      </c>
      <c r="S66" s="721">
        <v>1.2010000000000001</v>
      </c>
      <c r="T66" s="721">
        <v>122.76</v>
      </c>
      <c r="U66" s="721">
        <v>475.596</v>
      </c>
      <c r="V66" s="721">
        <v>15.96</v>
      </c>
      <c r="W66" s="721">
        <v>91.45</v>
      </c>
      <c r="X66" s="721">
        <v>295</v>
      </c>
      <c r="Y66" s="857">
        <v>36214.199999999997</v>
      </c>
    </row>
    <row r="67" spans="1:25" ht="14.45" customHeight="1" x14ac:dyDescent="0.25">
      <c r="A67" s="437" t="s">
        <v>4678</v>
      </c>
      <c r="B67" s="438">
        <v>31</v>
      </c>
      <c r="C67" s="438"/>
      <c r="D67" s="439" t="s">
        <v>13</v>
      </c>
      <c r="E67" s="439" t="s">
        <v>28</v>
      </c>
      <c r="F67" s="440">
        <v>44958</v>
      </c>
      <c r="G67" s="440"/>
      <c r="H67" s="439" t="s">
        <v>23</v>
      </c>
      <c r="I67" s="449"/>
      <c r="J67" s="450"/>
      <c r="K67" s="443">
        <v>265</v>
      </c>
      <c r="L67" s="444">
        <v>17.444571428571429</v>
      </c>
      <c r="M67" s="445" t="s">
        <v>3820</v>
      </c>
      <c r="N67" s="445"/>
      <c r="O67" s="445" t="s">
        <v>2608</v>
      </c>
      <c r="P67" s="447">
        <v>1590</v>
      </c>
      <c r="Q67" s="451">
        <v>265</v>
      </c>
      <c r="R67" s="447">
        <v>0.30719999999999997</v>
      </c>
      <c r="S67" s="447">
        <v>0.69199999999999995</v>
      </c>
      <c r="T67" s="447">
        <v>488.44799999999998</v>
      </c>
      <c r="U67" s="447">
        <v>1100.28</v>
      </c>
      <c r="V67" s="447">
        <v>63.5</v>
      </c>
      <c r="W67" s="447">
        <v>105.37</v>
      </c>
      <c r="X67" s="447">
        <v>343</v>
      </c>
      <c r="Y67" s="858">
        <v>167537.66</v>
      </c>
    </row>
    <row r="68" spans="1:25" ht="14.45" customHeight="1" x14ac:dyDescent="0.25">
      <c r="A68" s="722" t="s">
        <v>4678</v>
      </c>
      <c r="B68" s="723">
        <v>32</v>
      </c>
      <c r="C68" s="723"/>
      <c r="D68" s="724" t="s">
        <v>34</v>
      </c>
      <c r="E68" s="724" t="s">
        <v>201</v>
      </c>
      <c r="F68" s="725">
        <v>44958</v>
      </c>
      <c r="G68" s="725"/>
      <c r="H68" s="724" t="s">
        <v>23</v>
      </c>
      <c r="I68" s="441"/>
      <c r="J68" s="442"/>
      <c r="K68" s="720">
        <v>88</v>
      </c>
      <c r="L68" s="744">
        <v>5.8664571428571426</v>
      </c>
      <c r="M68" s="728" t="s">
        <v>3845</v>
      </c>
      <c r="N68" s="728"/>
      <c r="O68" s="728" t="s">
        <v>2561</v>
      </c>
      <c r="P68" s="721">
        <v>528</v>
      </c>
      <c r="Q68" s="729">
        <v>88</v>
      </c>
      <c r="R68" s="721">
        <v>0.31109999999999999</v>
      </c>
      <c r="S68" s="721">
        <v>1.7769999999999999</v>
      </c>
      <c r="T68" s="721">
        <v>164.26079999999999</v>
      </c>
      <c r="U68" s="721">
        <v>938.25599999999997</v>
      </c>
      <c r="V68" s="721">
        <v>21.35</v>
      </c>
      <c r="W68" s="721">
        <v>106.71</v>
      </c>
      <c r="X68" s="721">
        <v>343</v>
      </c>
      <c r="Y68" s="857">
        <v>56341.45</v>
      </c>
    </row>
    <row r="69" spans="1:25" ht="14.45" customHeight="1" x14ac:dyDescent="0.25">
      <c r="A69" s="437" t="s">
        <v>4678</v>
      </c>
      <c r="B69" s="438">
        <v>34</v>
      </c>
      <c r="C69" s="438"/>
      <c r="D69" s="439" t="s">
        <v>13</v>
      </c>
      <c r="E69" s="438" t="s">
        <v>3765</v>
      </c>
      <c r="F69" s="440">
        <v>44958</v>
      </c>
      <c r="G69" s="440"/>
      <c r="H69" s="439" t="s">
        <v>23</v>
      </c>
      <c r="I69" s="461"/>
      <c r="J69" s="462">
        <v>198</v>
      </c>
      <c r="K69" s="443">
        <v>-129</v>
      </c>
      <c r="L69" s="444">
        <v>2.0574321428571429</v>
      </c>
      <c r="M69" s="439" t="s">
        <v>3888</v>
      </c>
      <c r="N69" s="439"/>
      <c r="O69" s="439" t="s">
        <v>3645</v>
      </c>
      <c r="P69" s="458">
        <v>207</v>
      </c>
      <c r="Q69" s="459">
        <v>69</v>
      </c>
      <c r="R69" s="458">
        <v>0.27829999999999999</v>
      </c>
      <c r="S69" s="458">
        <v>0.98499999999999999</v>
      </c>
      <c r="T69" s="458">
        <v>57.6081</v>
      </c>
      <c r="U69" s="458">
        <v>203.89500000000001</v>
      </c>
      <c r="V69" s="458">
        <v>7.49</v>
      </c>
      <c r="W69" s="458">
        <v>185.17</v>
      </c>
      <c r="X69" s="458">
        <v>665.36</v>
      </c>
      <c r="Y69" s="860">
        <v>38330.129999999997</v>
      </c>
    </row>
    <row r="70" spans="1:25" ht="14.45" customHeight="1" x14ac:dyDescent="0.25">
      <c r="A70" s="722" t="s">
        <v>4678</v>
      </c>
      <c r="B70" s="723">
        <v>33</v>
      </c>
      <c r="C70" s="723"/>
      <c r="D70" s="724" t="s">
        <v>13</v>
      </c>
      <c r="E70" s="724" t="s">
        <v>1825</v>
      </c>
      <c r="F70" s="725">
        <v>44958</v>
      </c>
      <c r="G70" s="725"/>
      <c r="H70" s="724" t="s">
        <v>23</v>
      </c>
      <c r="I70" s="441">
        <v>576</v>
      </c>
      <c r="J70" s="442"/>
      <c r="K70" s="720">
        <v>-448</v>
      </c>
      <c r="L70" s="744">
        <v>16.435200000000002</v>
      </c>
      <c r="M70" s="728"/>
      <c r="N70" s="728"/>
      <c r="O70" s="728" t="s">
        <v>4702</v>
      </c>
      <c r="P70" s="721">
        <v>768</v>
      </c>
      <c r="Q70" s="729">
        <v>128</v>
      </c>
      <c r="R70" s="721">
        <v>0.59919999999999995</v>
      </c>
      <c r="S70" s="721">
        <v>2.5739999999999998</v>
      </c>
      <c r="T70" s="721">
        <v>460.18560000000002</v>
      </c>
      <c r="U70" s="721">
        <v>1976.8320000000001</v>
      </c>
      <c r="V70" s="721">
        <v>59.82</v>
      </c>
      <c r="W70" s="721">
        <v>205.53</v>
      </c>
      <c r="X70" s="721">
        <v>343</v>
      </c>
      <c r="Y70" s="857">
        <v>157843.66</v>
      </c>
    </row>
    <row r="71" spans="1:25" ht="14.45" customHeight="1" x14ac:dyDescent="0.25">
      <c r="A71" s="437" t="s">
        <v>4678</v>
      </c>
      <c r="B71" s="438">
        <v>30</v>
      </c>
      <c r="C71" s="438"/>
      <c r="D71" s="439" t="s">
        <v>13</v>
      </c>
      <c r="E71" s="439" t="s">
        <v>2973</v>
      </c>
      <c r="F71" s="440">
        <v>44958</v>
      </c>
      <c r="G71" s="440"/>
      <c r="H71" s="439" t="s">
        <v>23</v>
      </c>
      <c r="I71" s="449"/>
      <c r="J71" s="450"/>
      <c r="K71" s="443">
        <v>69</v>
      </c>
      <c r="L71" s="444">
        <v>8.0491964285714293</v>
      </c>
      <c r="M71" s="445"/>
      <c r="N71" s="445"/>
      <c r="O71" s="445" t="s">
        <v>1751</v>
      </c>
      <c r="P71" s="447">
        <v>338.1</v>
      </c>
      <c r="Q71" s="451">
        <v>69</v>
      </c>
      <c r="R71" s="447">
        <v>0.66659999999999997</v>
      </c>
      <c r="S71" s="447">
        <v>1.994</v>
      </c>
      <c r="T71" s="447">
        <v>225.3775</v>
      </c>
      <c r="U71" s="447">
        <v>674.17139999999995</v>
      </c>
      <c r="V71" s="447">
        <v>29.3</v>
      </c>
      <c r="W71" s="447">
        <v>228.64</v>
      </c>
      <c r="X71" s="447">
        <v>343</v>
      </c>
      <c r="Y71" s="858">
        <v>77304.47</v>
      </c>
    </row>
    <row r="72" spans="1:25" ht="14.45" customHeight="1" x14ac:dyDescent="0.25">
      <c r="A72" s="722" t="s">
        <v>4678</v>
      </c>
      <c r="B72" s="723" t="s">
        <v>3818</v>
      </c>
      <c r="C72" s="723"/>
      <c r="D72" s="724" t="s">
        <v>13</v>
      </c>
      <c r="E72" s="724" t="s">
        <v>289</v>
      </c>
      <c r="F72" s="725">
        <v>44959</v>
      </c>
      <c r="G72" s="725"/>
      <c r="H72" s="724" t="s">
        <v>23</v>
      </c>
      <c r="I72" s="441"/>
      <c r="J72" s="442"/>
      <c r="K72" s="720">
        <v>0</v>
      </c>
      <c r="L72" s="744">
        <v>0</v>
      </c>
      <c r="M72" s="728" t="s">
        <v>3817</v>
      </c>
      <c r="N72" s="728"/>
      <c r="O72" s="728" t="s">
        <v>177</v>
      </c>
      <c r="P72" s="721"/>
      <c r="Q72" s="729"/>
      <c r="R72" s="721"/>
      <c r="S72" s="721"/>
      <c r="T72" s="721"/>
      <c r="U72" s="721"/>
      <c r="V72" s="721"/>
      <c r="W72" s="721"/>
      <c r="X72" s="721"/>
      <c r="Y72" s="857" t="s">
        <v>796</v>
      </c>
    </row>
    <row r="73" spans="1:25" ht="14.45" customHeight="1" x14ac:dyDescent="0.25">
      <c r="A73" s="437" t="s">
        <v>4678</v>
      </c>
      <c r="B73" s="438" t="s">
        <v>2562</v>
      </c>
      <c r="C73" s="438"/>
      <c r="D73" s="439" t="s">
        <v>13</v>
      </c>
      <c r="E73" s="438" t="s">
        <v>3765</v>
      </c>
      <c r="F73" s="440">
        <v>44960</v>
      </c>
      <c r="G73" s="440"/>
      <c r="H73" s="439" t="s">
        <v>23</v>
      </c>
      <c r="I73" s="449"/>
      <c r="J73" s="450"/>
      <c r="K73" s="443">
        <v>144</v>
      </c>
      <c r="L73" s="444">
        <v>0</v>
      </c>
      <c r="M73" s="445"/>
      <c r="N73" s="445"/>
      <c r="O73" s="445" t="s">
        <v>3373</v>
      </c>
      <c r="P73" s="447"/>
      <c r="Q73" s="451">
        <v>144</v>
      </c>
      <c r="R73" s="447"/>
      <c r="S73" s="447"/>
      <c r="T73" s="447"/>
      <c r="U73" s="447"/>
      <c r="V73" s="447"/>
      <c r="W73" s="447"/>
      <c r="X73" s="447"/>
      <c r="Y73" s="858" t="s">
        <v>3821</v>
      </c>
    </row>
    <row r="74" spans="1:25" ht="14.45" customHeight="1" x14ac:dyDescent="0.25">
      <c r="A74" s="722" t="s">
        <v>4678</v>
      </c>
      <c r="B74" s="723" t="s">
        <v>2598</v>
      </c>
      <c r="C74" s="723"/>
      <c r="D74" s="724" t="s">
        <v>13</v>
      </c>
      <c r="E74" s="723" t="s">
        <v>3765</v>
      </c>
      <c r="F74" s="725">
        <v>44964</v>
      </c>
      <c r="G74" s="725"/>
      <c r="H74" s="724" t="s">
        <v>23</v>
      </c>
      <c r="I74" s="441"/>
      <c r="J74" s="442"/>
      <c r="K74" s="720">
        <v>0</v>
      </c>
      <c r="L74" s="744">
        <v>0</v>
      </c>
      <c r="M74" s="728" t="s">
        <v>3861</v>
      </c>
      <c r="N74" s="728"/>
      <c r="O74" s="728" t="s">
        <v>3822</v>
      </c>
      <c r="P74" s="721" t="s">
        <v>3823</v>
      </c>
      <c r="Q74" s="729"/>
      <c r="R74" s="721"/>
      <c r="S74" s="721">
        <v>9.9000000000000005E-2</v>
      </c>
      <c r="T74" s="721"/>
      <c r="U74" s="721">
        <v>500</v>
      </c>
      <c r="V74" s="721"/>
      <c r="W74" s="721"/>
      <c r="X74" s="721"/>
      <c r="Y74" s="857" t="s">
        <v>3824</v>
      </c>
    </row>
    <row r="75" spans="1:25" ht="14.45" customHeight="1" x14ac:dyDescent="0.25">
      <c r="A75" s="437" t="s">
        <v>4678</v>
      </c>
      <c r="B75" s="438" t="s">
        <v>3854</v>
      </c>
      <c r="C75" s="438"/>
      <c r="D75" s="439" t="s">
        <v>13</v>
      </c>
      <c r="E75" s="438" t="s">
        <v>3765</v>
      </c>
      <c r="F75" s="440">
        <v>44964</v>
      </c>
      <c r="G75" s="440"/>
      <c r="H75" s="439" t="s">
        <v>23</v>
      </c>
      <c r="I75" s="449"/>
      <c r="J75" s="450"/>
      <c r="K75" s="443">
        <v>12</v>
      </c>
      <c r="L75" s="444">
        <v>0</v>
      </c>
      <c r="M75" s="445"/>
      <c r="N75" s="445"/>
      <c r="O75" s="445" t="s">
        <v>3426</v>
      </c>
      <c r="P75" s="447"/>
      <c r="Q75" s="451">
        <v>12</v>
      </c>
      <c r="R75" s="447"/>
      <c r="S75" s="447"/>
      <c r="T75" s="447"/>
      <c r="U75" s="447"/>
      <c r="V75" s="447"/>
      <c r="W75" s="447"/>
      <c r="X75" s="447"/>
      <c r="Y75" s="858" t="s">
        <v>3853</v>
      </c>
    </row>
    <row r="76" spans="1:25" ht="14.45" customHeight="1" x14ac:dyDescent="0.25">
      <c r="A76" s="722" t="s">
        <v>4678</v>
      </c>
      <c r="B76" s="723">
        <v>45</v>
      </c>
      <c r="C76" s="723"/>
      <c r="D76" s="724" t="s">
        <v>13</v>
      </c>
      <c r="E76" s="724" t="s">
        <v>28</v>
      </c>
      <c r="F76" s="725">
        <v>44965</v>
      </c>
      <c r="G76" s="725"/>
      <c r="H76" s="724" t="s">
        <v>23</v>
      </c>
      <c r="I76" s="441"/>
      <c r="J76" s="442"/>
      <c r="K76" s="720">
        <v>110</v>
      </c>
      <c r="L76" s="744">
        <v>7.5145714285714282</v>
      </c>
      <c r="M76" s="728" t="s">
        <v>3830</v>
      </c>
      <c r="N76" s="728"/>
      <c r="O76" s="728" t="s">
        <v>2348</v>
      </c>
      <c r="P76" s="721">
        <v>660</v>
      </c>
      <c r="Q76" s="729">
        <v>110</v>
      </c>
      <c r="R76" s="721">
        <v>0.31879999999999997</v>
      </c>
      <c r="S76" s="721">
        <v>0.81100000000000005</v>
      </c>
      <c r="T76" s="721">
        <v>210.40799999999999</v>
      </c>
      <c r="U76" s="721">
        <v>535.26</v>
      </c>
      <c r="V76" s="721">
        <v>27.35</v>
      </c>
      <c r="W76" s="721">
        <v>109.35</v>
      </c>
      <c r="X76" s="721">
        <v>343</v>
      </c>
      <c r="Y76" s="857">
        <v>72169.94</v>
      </c>
    </row>
    <row r="77" spans="1:25" ht="14.45" customHeight="1" x14ac:dyDescent="0.25">
      <c r="A77" s="437" t="s">
        <v>4678</v>
      </c>
      <c r="B77" s="438">
        <v>43</v>
      </c>
      <c r="C77" s="438"/>
      <c r="D77" s="439" t="s">
        <v>34</v>
      </c>
      <c r="E77" s="439" t="s">
        <v>79</v>
      </c>
      <c r="F77" s="440">
        <v>44965</v>
      </c>
      <c r="G77" s="440"/>
      <c r="H77" s="439" t="s">
        <v>23</v>
      </c>
      <c r="I77" s="449"/>
      <c r="J77" s="450"/>
      <c r="K77" s="443">
        <v>55</v>
      </c>
      <c r="L77" s="444">
        <v>5.3683928571428572</v>
      </c>
      <c r="M77" s="445"/>
      <c r="N77" s="445"/>
      <c r="O77" s="445" t="s">
        <v>2625</v>
      </c>
      <c r="P77" s="447">
        <v>330</v>
      </c>
      <c r="Q77" s="451">
        <v>55</v>
      </c>
      <c r="R77" s="447">
        <v>0.45550000000000002</v>
      </c>
      <c r="S77" s="447">
        <v>1.6990000000000001</v>
      </c>
      <c r="T77" s="447">
        <v>150.315</v>
      </c>
      <c r="U77" s="447">
        <v>560.66999999999996</v>
      </c>
      <c r="V77" s="447">
        <v>19.54</v>
      </c>
      <c r="W77" s="447">
        <v>110.69</v>
      </c>
      <c r="X77" s="447">
        <v>243</v>
      </c>
      <c r="Y77" s="858">
        <v>36526.550000000003</v>
      </c>
    </row>
    <row r="78" spans="1:25" ht="14.45" customHeight="1" x14ac:dyDescent="0.25">
      <c r="A78" s="722" t="s">
        <v>4678</v>
      </c>
      <c r="B78" s="723">
        <v>41</v>
      </c>
      <c r="C78" s="723"/>
      <c r="D78" s="724" t="s">
        <v>13</v>
      </c>
      <c r="E78" s="724" t="s">
        <v>657</v>
      </c>
      <c r="F78" s="725">
        <v>44965</v>
      </c>
      <c r="G78" s="725"/>
      <c r="H78" s="724" t="s">
        <v>23</v>
      </c>
      <c r="I78" s="441"/>
      <c r="J78" s="442"/>
      <c r="K78" s="720">
        <v>351</v>
      </c>
      <c r="L78" s="744">
        <v>12.534710714285714</v>
      </c>
      <c r="M78" s="728"/>
      <c r="N78" s="728"/>
      <c r="O78" s="728" t="s">
        <v>2963</v>
      </c>
      <c r="P78" s="721">
        <v>2035.8</v>
      </c>
      <c r="Q78" s="729">
        <v>351</v>
      </c>
      <c r="R78" s="721">
        <v>0.1724</v>
      </c>
      <c r="S78" s="721">
        <v>0.41499999999999998</v>
      </c>
      <c r="T78" s="721">
        <v>350.97190000000001</v>
      </c>
      <c r="U78" s="721">
        <v>844.85699999999997</v>
      </c>
      <c r="V78" s="721">
        <v>45.63</v>
      </c>
      <c r="W78" s="721">
        <v>56.72</v>
      </c>
      <c r="X78" s="721">
        <v>329</v>
      </c>
      <c r="Y78" s="857">
        <v>115470.58</v>
      </c>
    </row>
    <row r="79" spans="1:25" ht="14.45" customHeight="1" x14ac:dyDescent="0.25">
      <c r="A79" s="437" t="s">
        <v>4678</v>
      </c>
      <c r="B79" s="438">
        <v>44</v>
      </c>
      <c r="C79" s="438"/>
      <c r="D79" s="439" t="s">
        <v>13</v>
      </c>
      <c r="E79" s="439" t="s">
        <v>3479</v>
      </c>
      <c r="F79" s="440">
        <v>44965</v>
      </c>
      <c r="G79" s="440"/>
      <c r="H79" s="439" t="s">
        <v>23</v>
      </c>
      <c r="I79" s="449"/>
      <c r="J79" s="450"/>
      <c r="K79" s="443">
        <v>182</v>
      </c>
      <c r="L79" s="444">
        <v>27.059532142857144</v>
      </c>
      <c r="M79" s="445" t="s">
        <v>3826</v>
      </c>
      <c r="N79" s="445"/>
      <c r="O79" s="445" t="s">
        <v>3825</v>
      </c>
      <c r="P79" s="447">
        <v>1101.0999999999999</v>
      </c>
      <c r="Q79" s="451">
        <v>182</v>
      </c>
      <c r="R79" s="447">
        <v>0.68810000000000004</v>
      </c>
      <c r="S79" s="447">
        <v>2.7810000000000001</v>
      </c>
      <c r="T79" s="447">
        <v>757.66690000000006</v>
      </c>
      <c r="U79" s="447">
        <v>3062.1590999999999</v>
      </c>
      <c r="V79" s="447">
        <v>98.5</v>
      </c>
      <c r="W79" s="447">
        <v>289</v>
      </c>
      <c r="X79" s="447">
        <v>420</v>
      </c>
      <c r="Y79" s="858">
        <v>318220.09999999998</v>
      </c>
    </row>
    <row r="80" spans="1:25" ht="14.45" customHeight="1" x14ac:dyDescent="0.25">
      <c r="A80" s="722" t="s">
        <v>4678</v>
      </c>
      <c r="B80" s="723">
        <v>42</v>
      </c>
      <c r="C80" s="723"/>
      <c r="D80" s="724" t="s">
        <v>13</v>
      </c>
      <c r="E80" s="724" t="s">
        <v>1825</v>
      </c>
      <c r="F80" s="725">
        <v>44965</v>
      </c>
      <c r="G80" s="725"/>
      <c r="H80" s="724" t="s">
        <v>23</v>
      </c>
      <c r="I80" s="441"/>
      <c r="J80" s="442"/>
      <c r="K80" s="720">
        <v>18</v>
      </c>
      <c r="L80" s="744">
        <v>2.3111999999999999</v>
      </c>
      <c r="M80" s="728"/>
      <c r="N80" s="728"/>
      <c r="O80" s="728" t="s">
        <v>4702</v>
      </c>
      <c r="P80" s="721">
        <v>108</v>
      </c>
      <c r="Q80" s="729">
        <v>18</v>
      </c>
      <c r="R80" s="721">
        <v>0.59919999999999995</v>
      </c>
      <c r="S80" s="721">
        <v>2.5739999999999998</v>
      </c>
      <c r="T80" s="721">
        <v>64.7136</v>
      </c>
      <c r="U80" s="721">
        <v>277.99200000000002</v>
      </c>
      <c r="V80" s="721">
        <v>8.41</v>
      </c>
      <c r="W80" s="721">
        <v>205.53</v>
      </c>
      <c r="X80" s="721">
        <v>343</v>
      </c>
      <c r="Y80" s="857">
        <v>22197.24</v>
      </c>
    </row>
    <row r="81" spans="1:25" ht="14.45" customHeight="1" x14ac:dyDescent="0.25">
      <c r="A81" s="437" t="s">
        <v>4678</v>
      </c>
      <c r="B81" s="438">
        <v>46</v>
      </c>
      <c r="C81" s="438"/>
      <c r="D81" s="439" t="s">
        <v>34</v>
      </c>
      <c r="E81" s="439" t="s">
        <v>893</v>
      </c>
      <c r="F81" s="440">
        <v>44966</v>
      </c>
      <c r="G81" s="440"/>
      <c r="H81" s="439" t="s">
        <v>23</v>
      </c>
      <c r="I81" s="449"/>
      <c r="J81" s="450"/>
      <c r="K81" s="443">
        <v>62</v>
      </c>
      <c r="L81" s="444">
        <v>4.7642571428571427</v>
      </c>
      <c r="M81" s="842">
        <v>0.05</v>
      </c>
      <c r="N81" s="842"/>
      <c r="O81" s="445" t="s">
        <v>639</v>
      </c>
      <c r="P81" s="447">
        <v>372</v>
      </c>
      <c r="Q81" s="451">
        <v>62</v>
      </c>
      <c r="R81" s="447">
        <v>0.35859999999999997</v>
      </c>
      <c r="S81" s="447">
        <v>1.518</v>
      </c>
      <c r="T81" s="447">
        <v>133.39920000000001</v>
      </c>
      <c r="U81" s="447">
        <v>564.69600000000003</v>
      </c>
      <c r="V81" s="447">
        <v>17.34</v>
      </c>
      <c r="W81" s="447">
        <v>112.96</v>
      </c>
      <c r="X81" s="447">
        <v>315</v>
      </c>
      <c r="Y81" s="858">
        <v>42020.75</v>
      </c>
    </row>
    <row r="82" spans="1:25" ht="14.45" customHeight="1" x14ac:dyDescent="0.25">
      <c r="A82" s="722" t="s">
        <v>4678</v>
      </c>
      <c r="B82" s="723">
        <v>47</v>
      </c>
      <c r="C82" s="723"/>
      <c r="D82" s="724" t="s">
        <v>34</v>
      </c>
      <c r="E82" s="724" t="s">
        <v>46</v>
      </c>
      <c r="F82" s="725">
        <v>44966</v>
      </c>
      <c r="G82" s="725"/>
      <c r="H82" s="724" t="s">
        <v>23</v>
      </c>
      <c r="I82" s="441"/>
      <c r="J82" s="442"/>
      <c r="K82" s="720">
        <v>49</v>
      </c>
      <c r="L82" s="744">
        <v>3.7652999999999999</v>
      </c>
      <c r="M82" s="843">
        <v>0.05</v>
      </c>
      <c r="N82" s="843"/>
      <c r="O82" s="728" t="s">
        <v>639</v>
      </c>
      <c r="P82" s="721">
        <v>294</v>
      </c>
      <c r="Q82" s="729">
        <v>49</v>
      </c>
      <c r="R82" s="721">
        <v>0.35859999999999997</v>
      </c>
      <c r="S82" s="721">
        <v>1.518</v>
      </c>
      <c r="T82" s="721">
        <v>105.4284</v>
      </c>
      <c r="U82" s="721">
        <v>446.29199999999997</v>
      </c>
      <c r="V82" s="721">
        <v>13.71</v>
      </c>
      <c r="W82" s="721">
        <v>112.96</v>
      </c>
      <c r="X82" s="721">
        <v>315</v>
      </c>
      <c r="Y82" s="857">
        <v>33210.239999999998</v>
      </c>
    </row>
    <row r="83" spans="1:25" ht="14.45" customHeight="1" x14ac:dyDescent="0.25">
      <c r="A83" s="437" t="s">
        <v>4678</v>
      </c>
      <c r="B83" s="438">
        <v>48</v>
      </c>
      <c r="C83" s="438"/>
      <c r="D83" s="439" t="s">
        <v>34</v>
      </c>
      <c r="E83" s="439" t="s">
        <v>861</v>
      </c>
      <c r="F83" s="440">
        <v>44966</v>
      </c>
      <c r="G83" s="440"/>
      <c r="H83" s="439" t="s">
        <v>23</v>
      </c>
      <c r="I83" s="449"/>
      <c r="J83" s="450"/>
      <c r="K83" s="443">
        <v>188</v>
      </c>
      <c r="L83" s="444">
        <v>19.0914</v>
      </c>
      <c r="M83" s="445"/>
      <c r="N83" s="445"/>
      <c r="O83" s="445" t="s">
        <v>3243</v>
      </c>
      <c r="P83" s="447">
        <v>1128</v>
      </c>
      <c r="Q83" s="451">
        <v>188</v>
      </c>
      <c r="R83" s="447">
        <v>0.47389999999999999</v>
      </c>
      <c r="S83" s="447">
        <v>1.355</v>
      </c>
      <c r="T83" s="447">
        <v>534.55920000000003</v>
      </c>
      <c r="U83" s="447">
        <v>1528.44</v>
      </c>
      <c r="V83" s="447">
        <v>69.489999999999995</v>
      </c>
      <c r="W83" s="447">
        <v>149.28</v>
      </c>
      <c r="X83" s="447">
        <v>315</v>
      </c>
      <c r="Y83" s="858">
        <v>168386.15</v>
      </c>
    </row>
    <row r="84" spans="1:25" ht="14.45" customHeight="1" x14ac:dyDescent="0.25">
      <c r="A84" s="722" t="s">
        <v>4678</v>
      </c>
      <c r="B84" s="723">
        <v>52</v>
      </c>
      <c r="C84" s="723"/>
      <c r="D84" s="724" t="s">
        <v>34</v>
      </c>
      <c r="E84" s="724" t="s">
        <v>79</v>
      </c>
      <c r="F84" s="725">
        <v>44966</v>
      </c>
      <c r="G84" s="725"/>
      <c r="H84" s="724" t="s">
        <v>23</v>
      </c>
      <c r="I84" s="441"/>
      <c r="J84" s="442"/>
      <c r="K84" s="720">
        <v>54</v>
      </c>
      <c r="L84" s="744">
        <v>2.3409</v>
      </c>
      <c r="M84" s="767"/>
      <c r="N84" s="767"/>
      <c r="O84" s="728" t="s">
        <v>3862</v>
      </c>
      <c r="P84" s="721">
        <v>324</v>
      </c>
      <c r="Q84" s="729">
        <v>54</v>
      </c>
      <c r="R84" s="721">
        <v>0.20230000000000001</v>
      </c>
      <c r="S84" s="721">
        <v>0.499</v>
      </c>
      <c r="T84" s="721">
        <v>65.545199999999994</v>
      </c>
      <c r="U84" s="721">
        <v>161.67599999999999</v>
      </c>
      <c r="V84" s="721">
        <v>8.52</v>
      </c>
      <c r="W84" s="721">
        <v>44.3</v>
      </c>
      <c r="X84" s="721">
        <v>219</v>
      </c>
      <c r="Y84" s="857">
        <v>14354.4</v>
      </c>
    </row>
    <row r="85" spans="1:25" ht="14.45" customHeight="1" x14ac:dyDescent="0.25">
      <c r="A85" s="437" t="s">
        <v>4678</v>
      </c>
      <c r="B85" s="438" t="s">
        <v>3827</v>
      </c>
      <c r="C85" s="438"/>
      <c r="D85" s="439" t="s">
        <v>13</v>
      </c>
      <c r="E85" s="439" t="s">
        <v>43</v>
      </c>
      <c r="F85" s="440">
        <v>44966</v>
      </c>
      <c r="G85" s="440"/>
      <c r="H85" s="439" t="s">
        <v>23</v>
      </c>
      <c r="I85" s="449"/>
      <c r="J85" s="450"/>
      <c r="K85" s="443">
        <v>0</v>
      </c>
      <c r="L85" s="444">
        <v>0</v>
      </c>
      <c r="M85" s="463"/>
      <c r="N85" s="463"/>
      <c r="O85" s="445" t="s">
        <v>3394</v>
      </c>
      <c r="P85" s="447" t="s">
        <v>248</v>
      </c>
      <c r="Q85" s="451"/>
      <c r="R85" s="447"/>
      <c r="S85" s="447"/>
      <c r="T85" s="447"/>
      <c r="U85" s="447"/>
      <c r="V85" s="447"/>
      <c r="W85" s="447"/>
      <c r="X85" s="447"/>
      <c r="Y85" s="858">
        <v>8000</v>
      </c>
    </row>
    <row r="86" spans="1:25" ht="14.45" customHeight="1" x14ac:dyDescent="0.25">
      <c r="A86" s="722" t="s">
        <v>4678</v>
      </c>
      <c r="B86" s="723" t="s">
        <v>3827</v>
      </c>
      <c r="C86" s="723"/>
      <c r="D86" s="724" t="s">
        <v>13</v>
      </c>
      <c r="E86" s="724" t="s">
        <v>43</v>
      </c>
      <c r="F86" s="725">
        <v>44966</v>
      </c>
      <c r="G86" s="725"/>
      <c r="H86" s="724" t="s">
        <v>23</v>
      </c>
      <c r="I86" s="441"/>
      <c r="J86" s="442"/>
      <c r="K86" s="720">
        <v>0</v>
      </c>
      <c r="L86" s="744">
        <v>0</v>
      </c>
      <c r="M86" s="767"/>
      <c r="N86" s="767"/>
      <c r="O86" s="728" t="s">
        <v>2430</v>
      </c>
      <c r="P86" s="721" t="s">
        <v>54</v>
      </c>
      <c r="Q86" s="729"/>
      <c r="R86" s="721"/>
      <c r="S86" s="721"/>
      <c r="T86" s="721"/>
      <c r="U86" s="721"/>
      <c r="V86" s="721"/>
      <c r="W86" s="721"/>
      <c r="X86" s="721"/>
      <c r="Y86" s="857">
        <v>4500</v>
      </c>
    </row>
    <row r="87" spans="1:25" ht="14.45" customHeight="1" x14ac:dyDescent="0.25">
      <c r="A87" s="437" t="s">
        <v>4678</v>
      </c>
      <c r="B87" s="438">
        <v>49</v>
      </c>
      <c r="C87" s="438"/>
      <c r="D87" s="439" t="s">
        <v>13</v>
      </c>
      <c r="E87" s="439" t="s">
        <v>3764</v>
      </c>
      <c r="F87" s="440">
        <v>44966</v>
      </c>
      <c r="G87" s="440"/>
      <c r="H87" s="439" t="s">
        <v>23</v>
      </c>
      <c r="I87" s="449"/>
      <c r="J87" s="450"/>
      <c r="K87" s="443">
        <v>65</v>
      </c>
      <c r="L87" s="444">
        <v>2.7385785714285715</v>
      </c>
      <c r="M87" s="463" t="s">
        <v>549</v>
      </c>
      <c r="N87" s="463"/>
      <c r="O87" s="445" t="s">
        <v>3301</v>
      </c>
      <c r="P87" s="447">
        <v>289.25</v>
      </c>
      <c r="Q87" s="451">
        <v>65</v>
      </c>
      <c r="R87" s="447">
        <v>0.2651</v>
      </c>
      <c r="S87" s="447">
        <v>0.82099999999999995</v>
      </c>
      <c r="T87" s="447">
        <v>76.680199999999999</v>
      </c>
      <c r="U87" s="447">
        <v>237.4743</v>
      </c>
      <c r="V87" s="447">
        <v>9.9700000000000006</v>
      </c>
      <c r="W87" s="447">
        <v>81.92</v>
      </c>
      <c r="X87" s="447">
        <v>309</v>
      </c>
      <c r="Y87" s="858">
        <v>23695.360000000001</v>
      </c>
    </row>
    <row r="88" spans="1:25" ht="14.45" customHeight="1" x14ac:dyDescent="0.25">
      <c r="A88" s="722" t="s">
        <v>4678</v>
      </c>
      <c r="B88" s="723">
        <v>50</v>
      </c>
      <c r="C88" s="723"/>
      <c r="D88" s="724" t="s">
        <v>13</v>
      </c>
      <c r="E88" s="724" t="s">
        <v>3764</v>
      </c>
      <c r="F88" s="725">
        <v>44966</v>
      </c>
      <c r="G88" s="725"/>
      <c r="H88" s="724" t="s">
        <v>23</v>
      </c>
      <c r="I88" s="441"/>
      <c r="J88" s="442"/>
      <c r="K88" s="720">
        <v>84</v>
      </c>
      <c r="L88" s="744">
        <v>4.0162642857142856</v>
      </c>
      <c r="M88" s="767"/>
      <c r="N88" s="767"/>
      <c r="O88" s="728" t="s">
        <v>3303</v>
      </c>
      <c r="P88" s="721">
        <v>424.2</v>
      </c>
      <c r="Q88" s="729">
        <v>84</v>
      </c>
      <c r="R88" s="721">
        <v>0.2651</v>
      </c>
      <c r="S88" s="721">
        <v>0.82099999999999995</v>
      </c>
      <c r="T88" s="721">
        <v>112.4554</v>
      </c>
      <c r="U88" s="721">
        <v>348.26819999999998</v>
      </c>
      <c r="V88" s="721">
        <v>14.62</v>
      </c>
      <c r="W88" s="721">
        <v>81.92</v>
      </c>
      <c r="X88" s="721">
        <v>309</v>
      </c>
      <c r="Y88" s="857">
        <v>34750.46</v>
      </c>
    </row>
    <row r="89" spans="1:25" ht="14.45" customHeight="1" x14ac:dyDescent="0.25">
      <c r="A89" s="437" t="s">
        <v>4678</v>
      </c>
      <c r="B89" s="438">
        <v>50</v>
      </c>
      <c r="C89" s="438"/>
      <c r="D89" s="439" t="s">
        <v>13</v>
      </c>
      <c r="E89" s="439" t="s">
        <v>3764</v>
      </c>
      <c r="F89" s="440">
        <v>44966</v>
      </c>
      <c r="G89" s="440"/>
      <c r="H89" s="439" t="s">
        <v>23</v>
      </c>
      <c r="I89" s="449"/>
      <c r="J89" s="450"/>
      <c r="K89" s="443">
        <v>10</v>
      </c>
      <c r="L89" s="444">
        <v>0.29642499999999999</v>
      </c>
      <c r="M89" s="463"/>
      <c r="N89" s="463"/>
      <c r="O89" s="445" t="s">
        <v>3611</v>
      </c>
      <c r="P89" s="447">
        <v>56.5</v>
      </c>
      <c r="Q89" s="451">
        <v>10</v>
      </c>
      <c r="R89" s="447">
        <v>0.1469</v>
      </c>
      <c r="S89" s="447">
        <v>1.427</v>
      </c>
      <c r="T89" s="447">
        <v>8.2998999999999992</v>
      </c>
      <c r="U89" s="447">
        <v>80.625500000000002</v>
      </c>
      <c r="V89" s="447">
        <v>1.08</v>
      </c>
      <c r="W89" s="447">
        <v>45.39</v>
      </c>
      <c r="X89" s="447">
        <v>309</v>
      </c>
      <c r="Y89" s="858">
        <v>2564.65</v>
      </c>
    </row>
    <row r="90" spans="1:25" ht="14.45" customHeight="1" x14ac:dyDescent="0.25">
      <c r="A90" s="722" t="s">
        <v>4678</v>
      </c>
      <c r="B90" s="723" t="s">
        <v>2609</v>
      </c>
      <c r="C90" s="723"/>
      <c r="D90" s="724" t="s">
        <v>13</v>
      </c>
      <c r="E90" s="724" t="s">
        <v>799</v>
      </c>
      <c r="F90" s="725">
        <v>44970</v>
      </c>
      <c r="G90" s="725"/>
      <c r="H90" s="724" t="s">
        <v>23</v>
      </c>
      <c r="I90" s="441"/>
      <c r="J90" s="442"/>
      <c r="K90" s="720">
        <v>314.00000000000006</v>
      </c>
      <c r="L90" s="744">
        <v>0</v>
      </c>
      <c r="M90" s="767" t="s">
        <v>3837</v>
      </c>
      <c r="N90" s="767"/>
      <c r="O90" s="728" t="s">
        <v>3831</v>
      </c>
      <c r="P90" s="721">
        <v>1601.4</v>
      </c>
      <c r="Q90" s="729">
        <v>314.00000000000006</v>
      </c>
      <c r="R90" s="721"/>
      <c r="S90" s="721"/>
      <c r="T90" s="721"/>
      <c r="U90" s="721"/>
      <c r="V90" s="721"/>
      <c r="W90" s="721"/>
      <c r="X90" s="721"/>
      <c r="Y90" s="857">
        <v>87756.72</v>
      </c>
    </row>
    <row r="91" spans="1:25" ht="14.45" customHeight="1" x14ac:dyDescent="0.25">
      <c r="A91" s="437" t="s">
        <v>4678</v>
      </c>
      <c r="B91" s="438">
        <v>53</v>
      </c>
      <c r="C91" s="438"/>
      <c r="D91" s="439" t="s">
        <v>13</v>
      </c>
      <c r="E91" s="438" t="s">
        <v>3765</v>
      </c>
      <c r="F91" s="440">
        <v>44970</v>
      </c>
      <c r="G91" s="440"/>
      <c r="H91" s="439" t="s">
        <v>23</v>
      </c>
      <c r="I91" s="449"/>
      <c r="J91" s="450"/>
      <c r="K91" s="443">
        <v>96</v>
      </c>
      <c r="L91" s="444">
        <v>1.4801142857142857</v>
      </c>
      <c r="M91" s="463" t="s">
        <v>3564</v>
      </c>
      <c r="N91" s="463"/>
      <c r="O91" s="445" t="s">
        <v>3832</v>
      </c>
      <c r="P91" s="447">
        <v>288</v>
      </c>
      <c r="Q91" s="451">
        <v>96</v>
      </c>
      <c r="R91" s="447">
        <v>0.1439</v>
      </c>
      <c r="S91" s="447">
        <v>0.33900000000000002</v>
      </c>
      <c r="T91" s="447">
        <v>41.443199999999997</v>
      </c>
      <c r="U91" s="447">
        <v>97.632000000000005</v>
      </c>
      <c r="V91" s="447">
        <v>5.39</v>
      </c>
      <c r="W91" s="447">
        <v>47.49</v>
      </c>
      <c r="X91" s="447">
        <v>330</v>
      </c>
      <c r="Y91" s="858">
        <v>13677.12</v>
      </c>
    </row>
    <row r="92" spans="1:25" ht="14.45" customHeight="1" x14ac:dyDescent="0.25">
      <c r="A92" s="722" t="s">
        <v>4678</v>
      </c>
      <c r="B92" s="723">
        <v>54</v>
      </c>
      <c r="C92" s="723"/>
      <c r="D92" s="724" t="s">
        <v>13</v>
      </c>
      <c r="E92" s="723" t="s">
        <v>3765</v>
      </c>
      <c r="F92" s="725">
        <v>44970</v>
      </c>
      <c r="G92" s="725"/>
      <c r="H92" s="724" t="s">
        <v>23</v>
      </c>
      <c r="I92" s="441"/>
      <c r="J92" s="442"/>
      <c r="K92" s="720">
        <v>138</v>
      </c>
      <c r="L92" s="744">
        <v>0.43026428571428571</v>
      </c>
      <c r="M92" s="767" t="s">
        <v>3564</v>
      </c>
      <c r="N92" s="767"/>
      <c r="O92" s="728" t="s">
        <v>3833</v>
      </c>
      <c r="P92" s="721">
        <v>414</v>
      </c>
      <c r="Q92" s="729">
        <v>138</v>
      </c>
      <c r="R92" s="721">
        <v>2.9100000000000001E-2</v>
      </c>
      <c r="S92" s="721">
        <v>4.8000000000000001E-2</v>
      </c>
      <c r="T92" s="721">
        <v>12.0474</v>
      </c>
      <c r="U92" s="721">
        <v>19.872</v>
      </c>
      <c r="V92" s="721">
        <v>1.57</v>
      </c>
      <c r="W92" s="721">
        <v>13.36</v>
      </c>
      <c r="X92" s="721">
        <v>459</v>
      </c>
      <c r="Y92" s="857">
        <v>5529.76</v>
      </c>
    </row>
    <row r="93" spans="1:25" ht="14.45" customHeight="1" x14ac:dyDescent="0.25">
      <c r="A93" s="437" t="s">
        <v>4678</v>
      </c>
      <c r="B93" s="438" t="s">
        <v>3835</v>
      </c>
      <c r="C93" s="438"/>
      <c r="D93" s="439" t="s">
        <v>13</v>
      </c>
      <c r="E93" s="439" t="s">
        <v>3836</v>
      </c>
      <c r="F93" s="440">
        <v>44971</v>
      </c>
      <c r="G93" s="440"/>
      <c r="H93" s="439" t="s">
        <v>23</v>
      </c>
      <c r="I93" s="449"/>
      <c r="J93" s="450"/>
      <c r="K93" s="443">
        <v>0</v>
      </c>
      <c r="L93" s="444">
        <v>0</v>
      </c>
      <c r="M93" s="463"/>
      <c r="N93" s="463"/>
      <c r="O93" s="445" t="s">
        <v>3834</v>
      </c>
      <c r="P93" s="447"/>
      <c r="Q93" s="451"/>
      <c r="R93" s="447"/>
      <c r="S93" s="447"/>
      <c r="T93" s="447"/>
      <c r="U93" s="447"/>
      <c r="V93" s="447"/>
      <c r="W93" s="447"/>
      <c r="X93" s="447"/>
      <c r="Y93" s="858">
        <v>15000</v>
      </c>
    </row>
    <row r="94" spans="1:25" ht="14.45" customHeight="1" x14ac:dyDescent="0.25">
      <c r="A94" s="722" t="s">
        <v>4678</v>
      </c>
      <c r="B94" s="723" t="s">
        <v>3838</v>
      </c>
      <c r="C94" s="723"/>
      <c r="D94" s="724" t="s">
        <v>13</v>
      </c>
      <c r="E94" s="724" t="s">
        <v>3839</v>
      </c>
      <c r="F94" s="725">
        <v>44971</v>
      </c>
      <c r="G94" s="725"/>
      <c r="H94" s="724" t="s">
        <v>23</v>
      </c>
      <c r="I94" s="441"/>
      <c r="J94" s="442">
        <v>606</v>
      </c>
      <c r="K94" s="720">
        <v>0</v>
      </c>
      <c r="L94" s="744">
        <v>0</v>
      </c>
      <c r="M94" s="767" t="s">
        <v>3840</v>
      </c>
      <c r="N94" s="767"/>
      <c r="O94" s="728" t="s">
        <v>555</v>
      </c>
      <c r="P94" s="721"/>
      <c r="Q94" s="729">
        <v>606</v>
      </c>
      <c r="R94" s="721"/>
      <c r="S94" s="721"/>
      <c r="T94" s="721"/>
      <c r="U94" s="721"/>
      <c r="V94" s="721"/>
      <c r="W94" s="721"/>
      <c r="X94" s="721"/>
      <c r="Y94" s="857">
        <v>507960</v>
      </c>
    </row>
    <row r="95" spans="1:25" ht="14.45" customHeight="1" x14ac:dyDescent="0.25">
      <c r="A95" s="437" t="s">
        <v>4678</v>
      </c>
      <c r="B95" s="438" t="s">
        <v>2517</v>
      </c>
      <c r="C95" s="438"/>
      <c r="D95" s="439" t="s">
        <v>13</v>
      </c>
      <c r="E95" s="438" t="s">
        <v>585</v>
      </c>
      <c r="F95" s="440">
        <v>44972</v>
      </c>
      <c r="G95" s="440"/>
      <c r="H95" s="439" t="s">
        <v>23</v>
      </c>
      <c r="I95" s="449"/>
      <c r="J95" s="450"/>
      <c r="K95" s="443">
        <v>20</v>
      </c>
      <c r="L95" s="444">
        <v>0</v>
      </c>
      <c r="M95" s="463" t="s">
        <v>3842</v>
      </c>
      <c r="N95" s="463"/>
      <c r="O95" s="445" t="s">
        <v>214</v>
      </c>
      <c r="P95" s="447"/>
      <c r="Q95" s="451">
        <v>20</v>
      </c>
      <c r="R95" s="447"/>
      <c r="S95" s="447"/>
      <c r="T95" s="447"/>
      <c r="U95" s="447"/>
      <c r="V95" s="447"/>
      <c r="W95" s="447"/>
      <c r="X95" s="447"/>
      <c r="Y95" s="858">
        <v>28400</v>
      </c>
    </row>
    <row r="96" spans="1:25" ht="14.45" customHeight="1" x14ac:dyDescent="0.25">
      <c r="A96" s="722" t="s">
        <v>4678</v>
      </c>
      <c r="B96" s="723" t="s">
        <v>2517</v>
      </c>
      <c r="C96" s="723"/>
      <c r="D96" s="724" t="s">
        <v>13</v>
      </c>
      <c r="E96" s="723" t="s">
        <v>585</v>
      </c>
      <c r="F96" s="725">
        <v>44972</v>
      </c>
      <c r="G96" s="725"/>
      <c r="H96" s="724" t="s">
        <v>23</v>
      </c>
      <c r="I96" s="441"/>
      <c r="J96" s="442"/>
      <c r="K96" s="720">
        <v>20</v>
      </c>
      <c r="L96" s="744">
        <v>0</v>
      </c>
      <c r="M96" s="767"/>
      <c r="N96" s="767"/>
      <c r="O96" s="728" t="s">
        <v>215</v>
      </c>
      <c r="P96" s="721"/>
      <c r="Q96" s="729">
        <v>20</v>
      </c>
      <c r="R96" s="721"/>
      <c r="S96" s="721"/>
      <c r="T96" s="721"/>
      <c r="U96" s="721"/>
      <c r="V96" s="721"/>
      <c r="W96" s="721"/>
      <c r="X96" s="721"/>
      <c r="Y96" s="857">
        <v>36400</v>
      </c>
    </row>
    <row r="97" spans="1:25" ht="14.45" customHeight="1" x14ac:dyDescent="0.25">
      <c r="A97" s="437" t="s">
        <v>4678</v>
      </c>
      <c r="B97" s="438" t="s">
        <v>2517</v>
      </c>
      <c r="C97" s="438"/>
      <c r="D97" s="439" t="s">
        <v>13</v>
      </c>
      <c r="E97" s="438" t="s">
        <v>585</v>
      </c>
      <c r="F97" s="440">
        <v>44972</v>
      </c>
      <c r="G97" s="440"/>
      <c r="H97" s="439" t="s">
        <v>23</v>
      </c>
      <c r="I97" s="449"/>
      <c r="J97" s="450"/>
      <c r="K97" s="443">
        <v>20</v>
      </c>
      <c r="L97" s="444">
        <v>0</v>
      </c>
      <c r="M97" s="463"/>
      <c r="N97" s="463"/>
      <c r="O97" s="445" t="s">
        <v>216</v>
      </c>
      <c r="P97" s="447"/>
      <c r="Q97" s="451">
        <v>20</v>
      </c>
      <c r="R97" s="447"/>
      <c r="S97" s="447"/>
      <c r="T97" s="447"/>
      <c r="U97" s="447"/>
      <c r="V97" s="447"/>
      <c r="W97" s="447"/>
      <c r="X97" s="447"/>
      <c r="Y97" s="858">
        <v>44600</v>
      </c>
    </row>
    <row r="98" spans="1:25" ht="14.45" customHeight="1" x14ac:dyDescent="0.25">
      <c r="A98" s="722" t="s">
        <v>4678</v>
      </c>
      <c r="B98" s="723" t="s">
        <v>2517</v>
      </c>
      <c r="C98" s="723"/>
      <c r="D98" s="724" t="s">
        <v>13</v>
      </c>
      <c r="E98" s="723" t="s">
        <v>585</v>
      </c>
      <c r="F98" s="725">
        <v>44972</v>
      </c>
      <c r="G98" s="725"/>
      <c r="H98" s="724" t="s">
        <v>23</v>
      </c>
      <c r="I98" s="441"/>
      <c r="J98" s="442"/>
      <c r="K98" s="720">
        <v>20</v>
      </c>
      <c r="L98" s="744">
        <v>0</v>
      </c>
      <c r="M98" s="767"/>
      <c r="N98" s="767"/>
      <c r="O98" s="728" t="s">
        <v>219</v>
      </c>
      <c r="P98" s="721"/>
      <c r="Q98" s="729">
        <v>20</v>
      </c>
      <c r="R98" s="721"/>
      <c r="S98" s="721"/>
      <c r="T98" s="721"/>
      <c r="U98" s="721"/>
      <c r="V98" s="721"/>
      <c r="W98" s="721"/>
      <c r="X98" s="721"/>
      <c r="Y98" s="857">
        <v>48000</v>
      </c>
    </row>
    <row r="99" spans="1:25" ht="14.45" customHeight="1" x14ac:dyDescent="0.25">
      <c r="A99" s="437" t="s">
        <v>4678</v>
      </c>
      <c r="B99" s="438" t="s">
        <v>2517</v>
      </c>
      <c r="C99" s="438"/>
      <c r="D99" s="439" t="s">
        <v>13</v>
      </c>
      <c r="E99" s="438" t="s">
        <v>585</v>
      </c>
      <c r="F99" s="440">
        <v>44972</v>
      </c>
      <c r="G99" s="440"/>
      <c r="H99" s="439" t="s">
        <v>23</v>
      </c>
      <c r="I99" s="449"/>
      <c r="J99" s="450"/>
      <c r="K99" s="443">
        <v>20</v>
      </c>
      <c r="L99" s="444">
        <v>0</v>
      </c>
      <c r="M99" s="463"/>
      <c r="N99" s="463"/>
      <c r="O99" s="445" t="s">
        <v>220</v>
      </c>
      <c r="P99" s="447"/>
      <c r="Q99" s="451">
        <v>20</v>
      </c>
      <c r="R99" s="447"/>
      <c r="S99" s="447"/>
      <c r="T99" s="447"/>
      <c r="U99" s="447"/>
      <c r="V99" s="447"/>
      <c r="W99" s="447"/>
      <c r="X99" s="447"/>
      <c r="Y99" s="858">
        <v>52400</v>
      </c>
    </row>
    <row r="100" spans="1:25" ht="14.45" customHeight="1" x14ac:dyDescent="0.25">
      <c r="A100" s="722" t="s">
        <v>4678</v>
      </c>
      <c r="B100" s="723" t="s">
        <v>2517</v>
      </c>
      <c r="C100" s="723"/>
      <c r="D100" s="724" t="s">
        <v>13</v>
      </c>
      <c r="E100" s="723" t="s">
        <v>585</v>
      </c>
      <c r="F100" s="725">
        <v>44972</v>
      </c>
      <c r="G100" s="725"/>
      <c r="H100" s="724" t="s">
        <v>23</v>
      </c>
      <c r="I100" s="441"/>
      <c r="J100" s="442"/>
      <c r="K100" s="720">
        <v>100</v>
      </c>
      <c r="L100" s="744">
        <v>0</v>
      </c>
      <c r="M100" s="767"/>
      <c r="N100" s="767"/>
      <c r="O100" s="728" t="s">
        <v>99</v>
      </c>
      <c r="P100" s="721"/>
      <c r="Q100" s="729">
        <v>100</v>
      </c>
      <c r="R100" s="721"/>
      <c r="S100" s="721"/>
      <c r="T100" s="721"/>
      <c r="U100" s="721"/>
      <c r="V100" s="721"/>
      <c r="W100" s="721"/>
      <c r="X100" s="721"/>
      <c r="Y100" s="857">
        <v>15100</v>
      </c>
    </row>
    <row r="101" spans="1:25" ht="14.45" customHeight="1" x14ac:dyDescent="0.25">
      <c r="A101" s="437" t="s">
        <v>4678</v>
      </c>
      <c r="B101" s="438" t="s">
        <v>2517</v>
      </c>
      <c r="C101" s="438"/>
      <c r="D101" s="439" t="s">
        <v>13</v>
      </c>
      <c r="E101" s="438" t="s">
        <v>585</v>
      </c>
      <c r="F101" s="440">
        <v>44972</v>
      </c>
      <c r="G101" s="440"/>
      <c r="H101" s="439" t="s">
        <v>23</v>
      </c>
      <c r="I101" s="449"/>
      <c r="J101" s="450"/>
      <c r="K101" s="443">
        <v>100</v>
      </c>
      <c r="L101" s="444">
        <v>0</v>
      </c>
      <c r="M101" s="463"/>
      <c r="N101" s="463"/>
      <c r="O101" s="445" t="s">
        <v>102</v>
      </c>
      <c r="P101" s="447"/>
      <c r="Q101" s="451">
        <v>100</v>
      </c>
      <c r="R101" s="447"/>
      <c r="S101" s="447"/>
      <c r="T101" s="447"/>
      <c r="U101" s="447"/>
      <c r="V101" s="447"/>
      <c r="W101" s="447"/>
      <c r="X101" s="447"/>
      <c r="Y101" s="858">
        <v>15100</v>
      </c>
    </row>
    <row r="102" spans="1:25" ht="14.45" customHeight="1" x14ac:dyDescent="0.25">
      <c r="A102" s="722" t="s">
        <v>4678</v>
      </c>
      <c r="B102" s="723" t="s">
        <v>2517</v>
      </c>
      <c r="C102" s="723"/>
      <c r="D102" s="724" t="s">
        <v>13</v>
      </c>
      <c r="E102" s="723" t="s">
        <v>585</v>
      </c>
      <c r="F102" s="725">
        <v>44972</v>
      </c>
      <c r="G102" s="725"/>
      <c r="H102" s="724" t="s">
        <v>23</v>
      </c>
      <c r="I102" s="441"/>
      <c r="J102" s="442"/>
      <c r="K102" s="720">
        <v>10</v>
      </c>
      <c r="L102" s="744">
        <v>0</v>
      </c>
      <c r="M102" s="767"/>
      <c r="N102" s="767"/>
      <c r="O102" s="728" t="s">
        <v>95</v>
      </c>
      <c r="P102" s="721"/>
      <c r="Q102" s="729">
        <v>10</v>
      </c>
      <c r="R102" s="721"/>
      <c r="S102" s="721"/>
      <c r="T102" s="721"/>
      <c r="U102" s="721"/>
      <c r="V102" s="721"/>
      <c r="W102" s="721"/>
      <c r="X102" s="721"/>
      <c r="Y102" s="857">
        <v>1400</v>
      </c>
    </row>
    <row r="103" spans="1:25" ht="14.45" customHeight="1" x14ac:dyDescent="0.25">
      <c r="A103" s="437" t="s">
        <v>4678</v>
      </c>
      <c r="B103" s="438" t="s">
        <v>2517</v>
      </c>
      <c r="C103" s="438"/>
      <c r="D103" s="439" t="s">
        <v>13</v>
      </c>
      <c r="E103" s="438" t="s">
        <v>585</v>
      </c>
      <c r="F103" s="440">
        <v>44972</v>
      </c>
      <c r="G103" s="440"/>
      <c r="H103" s="439" t="s">
        <v>23</v>
      </c>
      <c r="I103" s="449"/>
      <c r="J103" s="450"/>
      <c r="K103" s="443">
        <v>10</v>
      </c>
      <c r="L103" s="444">
        <v>0</v>
      </c>
      <c r="M103" s="463"/>
      <c r="N103" s="463"/>
      <c r="O103" s="445" t="s">
        <v>98</v>
      </c>
      <c r="P103" s="447"/>
      <c r="Q103" s="451">
        <v>10</v>
      </c>
      <c r="R103" s="447"/>
      <c r="S103" s="447"/>
      <c r="T103" s="447"/>
      <c r="U103" s="447"/>
      <c r="V103" s="447"/>
      <c r="W103" s="447"/>
      <c r="X103" s="447"/>
      <c r="Y103" s="858">
        <v>1400</v>
      </c>
    </row>
    <row r="104" spans="1:25" ht="14.45" customHeight="1" x14ac:dyDescent="0.25">
      <c r="A104" s="722" t="s">
        <v>4678</v>
      </c>
      <c r="B104" s="723" t="s">
        <v>2517</v>
      </c>
      <c r="C104" s="723"/>
      <c r="D104" s="724" t="s">
        <v>13</v>
      </c>
      <c r="E104" s="723" t="s">
        <v>585</v>
      </c>
      <c r="F104" s="725">
        <v>44972</v>
      </c>
      <c r="G104" s="725"/>
      <c r="H104" s="724" t="s">
        <v>23</v>
      </c>
      <c r="I104" s="441"/>
      <c r="J104" s="442"/>
      <c r="K104" s="720">
        <v>40</v>
      </c>
      <c r="L104" s="744">
        <v>0</v>
      </c>
      <c r="M104" s="767"/>
      <c r="N104" s="767"/>
      <c r="O104" s="728" t="s">
        <v>92</v>
      </c>
      <c r="P104" s="721"/>
      <c r="Q104" s="729">
        <v>40</v>
      </c>
      <c r="R104" s="721"/>
      <c r="S104" s="721"/>
      <c r="T104" s="721"/>
      <c r="U104" s="721"/>
      <c r="V104" s="721"/>
      <c r="W104" s="721"/>
      <c r="X104" s="721"/>
      <c r="Y104" s="857">
        <v>5200</v>
      </c>
    </row>
    <row r="105" spans="1:25" ht="14.45" customHeight="1" x14ac:dyDescent="0.25">
      <c r="A105" s="437" t="s">
        <v>4678</v>
      </c>
      <c r="B105" s="438" t="s">
        <v>2517</v>
      </c>
      <c r="C105" s="438"/>
      <c r="D105" s="439" t="s">
        <v>13</v>
      </c>
      <c r="E105" s="438" t="s">
        <v>585</v>
      </c>
      <c r="F105" s="440">
        <v>44972</v>
      </c>
      <c r="G105" s="440"/>
      <c r="H105" s="439" t="s">
        <v>23</v>
      </c>
      <c r="I105" s="449"/>
      <c r="J105" s="450"/>
      <c r="K105" s="443">
        <v>40</v>
      </c>
      <c r="L105" s="444">
        <v>0</v>
      </c>
      <c r="M105" s="463"/>
      <c r="N105" s="463"/>
      <c r="O105" s="445" t="s">
        <v>94</v>
      </c>
      <c r="P105" s="447"/>
      <c r="Q105" s="451">
        <v>40</v>
      </c>
      <c r="R105" s="447"/>
      <c r="S105" s="447"/>
      <c r="T105" s="447"/>
      <c r="U105" s="447"/>
      <c r="V105" s="447"/>
      <c r="W105" s="447"/>
      <c r="X105" s="447"/>
      <c r="Y105" s="858">
        <v>5200</v>
      </c>
    </row>
    <row r="106" spans="1:25" ht="14.45" customHeight="1" x14ac:dyDescent="0.25">
      <c r="A106" s="722" t="s">
        <v>4678</v>
      </c>
      <c r="B106" s="839" t="s">
        <v>3844</v>
      </c>
      <c r="C106" s="839"/>
      <c r="D106" s="724" t="s">
        <v>13</v>
      </c>
      <c r="E106" s="723" t="s">
        <v>3765</v>
      </c>
      <c r="F106" s="725">
        <v>44972</v>
      </c>
      <c r="G106" s="725"/>
      <c r="H106" s="724" t="s">
        <v>23</v>
      </c>
      <c r="I106" s="441"/>
      <c r="J106" s="442"/>
      <c r="K106" s="720">
        <v>0</v>
      </c>
      <c r="L106" s="744">
        <v>0</v>
      </c>
      <c r="M106" s="767"/>
      <c r="N106" s="767"/>
      <c r="O106" s="728" t="s">
        <v>3238</v>
      </c>
      <c r="P106" s="721"/>
      <c r="Q106" s="729"/>
      <c r="R106" s="721"/>
      <c r="S106" s="721"/>
      <c r="T106" s="721"/>
      <c r="U106" s="721"/>
      <c r="V106" s="721"/>
      <c r="W106" s="721"/>
      <c r="X106" s="721"/>
      <c r="Y106" s="857">
        <v>9396</v>
      </c>
    </row>
    <row r="107" spans="1:25" ht="14.45" customHeight="1" x14ac:dyDescent="0.25">
      <c r="A107" s="437" t="s">
        <v>4678</v>
      </c>
      <c r="B107" s="838" t="s">
        <v>3843</v>
      </c>
      <c r="C107" s="838"/>
      <c r="D107" s="439" t="s">
        <v>13</v>
      </c>
      <c r="E107" s="439" t="s">
        <v>3762</v>
      </c>
      <c r="F107" s="440">
        <v>44973</v>
      </c>
      <c r="G107" s="440"/>
      <c r="H107" s="439" t="s">
        <v>23</v>
      </c>
      <c r="I107" s="449"/>
      <c r="J107" s="450"/>
      <c r="K107" s="443">
        <v>400</v>
      </c>
      <c r="L107" s="444">
        <v>0</v>
      </c>
      <c r="M107" s="463"/>
      <c r="N107" s="463"/>
      <c r="O107" s="445" t="s">
        <v>3396</v>
      </c>
      <c r="P107" s="447"/>
      <c r="Q107" s="451">
        <v>400</v>
      </c>
      <c r="R107" s="447"/>
      <c r="S107" s="447"/>
      <c r="T107" s="447"/>
      <c r="U107" s="447"/>
      <c r="V107" s="447"/>
      <c r="W107" s="447"/>
      <c r="X107" s="447"/>
      <c r="Y107" s="858">
        <v>41055</v>
      </c>
    </row>
    <row r="108" spans="1:25" ht="14.45" customHeight="1" x14ac:dyDescent="0.25">
      <c r="A108" s="722" t="s">
        <v>4678</v>
      </c>
      <c r="B108" s="723">
        <v>56</v>
      </c>
      <c r="C108" s="723"/>
      <c r="D108" s="724" t="s">
        <v>13</v>
      </c>
      <c r="E108" s="724" t="s">
        <v>3764</v>
      </c>
      <c r="F108" s="725">
        <v>44973</v>
      </c>
      <c r="G108" s="725"/>
      <c r="H108" s="724" t="s">
        <v>23</v>
      </c>
      <c r="I108" s="441"/>
      <c r="J108" s="442"/>
      <c r="K108" s="720">
        <v>65</v>
      </c>
      <c r="L108" s="744">
        <v>2.7385785714285715</v>
      </c>
      <c r="M108" s="767"/>
      <c r="N108" s="767"/>
      <c r="O108" s="728" t="s">
        <v>3301</v>
      </c>
      <c r="P108" s="721">
        <v>289.25</v>
      </c>
      <c r="Q108" s="729">
        <v>65</v>
      </c>
      <c r="R108" s="721">
        <v>0.2651</v>
      </c>
      <c r="S108" s="721">
        <v>0.82099999999999995</v>
      </c>
      <c r="T108" s="721">
        <v>76.680199999999999</v>
      </c>
      <c r="U108" s="721">
        <v>237.4743</v>
      </c>
      <c r="V108" s="721">
        <v>9.9700000000000006</v>
      </c>
      <c r="W108" s="721">
        <v>81.92</v>
      </c>
      <c r="X108" s="721">
        <v>309</v>
      </c>
      <c r="Y108" s="857">
        <v>23695.360000000001</v>
      </c>
    </row>
    <row r="109" spans="1:25" ht="14.45" customHeight="1" x14ac:dyDescent="0.25">
      <c r="A109" s="437" t="s">
        <v>4678</v>
      </c>
      <c r="B109" s="438">
        <v>56</v>
      </c>
      <c r="C109" s="438"/>
      <c r="D109" s="439" t="s">
        <v>13</v>
      </c>
      <c r="E109" s="439" t="s">
        <v>3764</v>
      </c>
      <c r="F109" s="440">
        <v>44973</v>
      </c>
      <c r="G109" s="440"/>
      <c r="H109" s="439" t="s">
        <v>23</v>
      </c>
      <c r="I109" s="449"/>
      <c r="J109" s="450"/>
      <c r="K109" s="443">
        <v>84</v>
      </c>
      <c r="L109" s="444">
        <v>4.0162642857142856</v>
      </c>
      <c r="M109" s="463"/>
      <c r="N109" s="463"/>
      <c r="O109" s="445" t="s">
        <v>3303</v>
      </c>
      <c r="P109" s="447">
        <v>424.2</v>
      </c>
      <c r="Q109" s="451">
        <v>84</v>
      </c>
      <c r="R109" s="447">
        <v>0.2651</v>
      </c>
      <c r="S109" s="447">
        <v>0.82099999999999995</v>
      </c>
      <c r="T109" s="447">
        <v>112.4554</v>
      </c>
      <c r="U109" s="447">
        <v>348.26819999999998</v>
      </c>
      <c r="V109" s="447">
        <v>14.62</v>
      </c>
      <c r="W109" s="447">
        <v>81.92</v>
      </c>
      <c r="X109" s="447">
        <v>309</v>
      </c>
      <c r="Y109" s="858">
        <v>34750.46</v>
      </c>
    </row>
    <row r="110" spans="1:25" ht="14.45" customHeight="1" x14ac:dyDescent="0.25">
      <c r="A110" s="722" t="s">
        <v>4678</v>
      </c>
      <c r="B110" s="723">
        <v>56</v>
      </c>
      <c r="C110" s="723"/>
      <c r="D110" s="724" t="s">
        <v>13</v>
      </c>
      <c r="E110" s="724" t="s">
        <v>3764</v>
      </c>
      <c r="F110" s="725">
        <v>44973</v>
      </c>
      <c r="G110" s="725"/>
      <c r="H110" s="724" t="s">
        <v>23</v>
      </c>
      <c r="I110" s="441"/>
      <c r="J110" s="442"/>
      <c r="K110" s="720">
        <v>10</v>
      </c>
      <c r="L110" s="744">
        <v>0.29642499999999999</v>
      </c>
      <c r="M110" s="767"/>
      <c r="N110" s="767"/>
      <c r="O110" s="728" t="s">
        <v>3611</v>
      </c>
      <c r="P110" s="721">
        <v>56.5</v>
      </c>
      <c r="Q110" s="729">
        <v>10</v>
      </c>
      <c r="R110" s="721">
        <v>0.1469</v>
      </c>
      <c r="S110" s="721">
        <v>1.427</v>
      </c>
      <c r="T110" s="721">
        <v>8.2998999999999992</v>
      </c>
      <c r="U110" s="721">
        <v>80.625500000000002</v>
      </c>
      <c r="V110" s="721">
        <v>1.08</v>
      </c>
      <c r="W110" s="721">
        <v>45.39</v>
      </c>
      <c r="X110" s="721">
        <v>309</v>
      </c>
      <c r="Y110" s="857">
        <v>2564.65</v>
      </c>
    </row>
    <row r="111" spans="1:25" ht="14.45" customHeight="1" x14ac:dyDescent="0.25">
      <c r="A111" s="437" t="s">
        <v>4678</v>
      </c>
      <c r="B111" s="438">
        <v>56</v>
      </c>
      <c r="C111" s="438"/>
      <c r="D111" s="439" t="s">
        <v>13</v>
      </c>
      <c r="E111" s="439" t="s">
        <v>3764</v>
      </c>
      <c r="F111" s="440">
        <v>44973</v>
      </c>
      <c r="G111" s="440"/>
      <c r="H111" s="439" t="s">
        <v>23</v>
      </c>
      <c r="I111" s="449"/>
      <c r="J111" s="450"/>
      <c r="K111" s="443">
        <v>24</v>
      </c>
      <c r="L111" s="444">
        <v>0.63586785714285721</v>
      </c>
      <c r="M111" s="463"/>
      <c r="N111" s="463"/>
      <c r="O111" s="445" t="s">
        <v>3663</v>
      </c>
      <c r="P111" s="447">
        <v>121.2</v>
      </c>
      <c r="Q111" s="451">
        <v>24</v>
      </c>
      <c r="R111" s="447">
        <v>0.1469</v>
      </c>
      <c r="S111" s="447">
        <v>1.427</v>
      </c>
      <c r="T111" s="447">
        <v>17.804300000000001</v>
      </c>
      <c r="U111" s="447">
        <v>172.95240000000001</v>
      </c>
      <c r="V111" s="447">
        <v>2.31</v>
      </c>
      <c r="W111" s="447">
        <v>45.39</v>
      </c>
      <c r="X111" s="447">
        <v>309</v>
      </c>
      <c r="Y111" s="858">
        <v>5501.52</v>
      </c>
    </row>
    <row r="112" spans="1:25" ht="14.45" customHeight="1" x14ac:dyDescent="0.25">
      <c r="A112" s="722" t="s">
        <v>4678</v>
      </c>
      <c r="B112" s="723" t="s">
        <v>2619</v>
      </c>
      <c r="C112" s="723"/>
      <c r="D112" s="724" t="s">
        <v>34</v>
      </c>
      <c r="E112" s="724" t="s">
        <v>284</v>
      </c>
      <c r="F112" s="725">
        <v>44974</v>
      </c>
      <c r="G112" s="725"/>
      <c r="H112" s="724" t="s">
        <v>23</v>
      </c>
      <c r="I112" s="441"/>
      <c r="J112" s="442"/>
      <c r="K112" s="720">
        <v>0</v>
      </c>
      <c r="L112" s="744">
        <v>0</v>
      </c>
      <c r="M112" s="767"/>
      <c r="N112" s="767"/>
      <c r="O112" s="728" t="s">
        <v>3864</v>
      </c>
      <c r="P112" s="721" t="s">
        <v>3869</v>
      </c>
      <c r="Q112" s="729"/>
      <c r="R112" s="721"/>
      <c r="S112" s="721"/>
      <c r="T112" s="721"/>
      <c r="U112" s="721"/>
      <c r="V112" s="721"/>
      <c r="W112" s="721"/>
      <c r="X112" s="721"/>
      <c r="Y112" s="857" t="s">
        <v>3874</v>
      </c>
    </row>
    <row r="113" spans="1:25" ht="14.45" customHeight="1" x14ac:dyDescent="0.25">
      <c r="A113" s="437" t="s">
        <v>4678</v>
      </c>
      <c r="B113" s="438" t="s">
        <v>2619</v>
      </c>
      <c r="C113" s="438"/>
      <c r="D113" s="439" t="s">
        <v>34</v>
      </c>
      <c r="E113" s="439" t="s">
        <v>284</v>
      </c>
      <c r="F113" s="440">
        <v>44974</v>
      </c>
      <c r="G113" s="440"/>
      <c r="H113" s="439" t="s">
        <v>23</v>
      </c>
      <c r="I113" s="449"/>
      <c r="J113" s="450"/>
      <c r="K113" s="443">
        <v>0</v>
      </c>
      <c r="L113" s="444">
        <v>0</v>
      </c>
      <c r="M113" s="463"/>
      <c r="N113" s="463"/>
      <c r="O113" s="445" t="s">
        <v>3865</v>
      </c>
      <c r="P113" s="447" t="s">
        <v>3870</v>
      </c>
      <c r="Q113" s="451"/>
      <c r="R113" s="447"/>
      <c r="S113" s="447"/>
      <c r="T113" s="447"/>
      <c r="U113" s="447"/>
      <c r="V113" s="447"/>
      <c r="W113" s="447"/>
      <c r="X113" s="447"/>
      <c r="Y113" s="858" t="s">
        <v>3875</v>
      </c>
    </row>
    <row r="114" spans="1:25" ht="14.45" customHeight="1" x14ac:dyDescent="0.25">
      <c r="A114" s="722" t="s">
        <v>4678</v>
      </c>
      <c r="B114" s="723" t="s">
        <v>2619</v>
      </c>
      <c r="C114" s="723"/>
      <c r="D114" s="724" t="s">
        <v>34</v>
      </c>
      <c r="E114" s="724" t="s">
        <v>284</v>
      </c>
      <c r="F114" s="725">
        <v>44974</v>
      </c>
      <c r="G114" s="725"/>
      <c r="H114" s="724" t="s">
        <v>23</v>
      </c>
      <c r="I114" s="441"/>
      <c r="J114" s="442"/>
      <c r="K114" s="720">
        <v>0</v>
      </c>
      <c r="L114" s="744">
        <v>0</v>
      </c>
      <c r="M114" s="767"/>
      <c r="N114" s="767"/>
      <c r="O114" s="728" t="s">
        <v>3866</v>
      </c>
      <c r="P114" s="721" t="s">
        <v>3871</v>
      </c>
      <c r="Q114" s="729"/>
      <c r="R114" s="721"/>
      <c r="S114" s="721"/>
      <c r="T114" s="721"/>
      <c r="U114" s="721"/>
      <c r="V114" s="721"/>
      <c r="W114" s="721"/>
      <c r="X114" s="721"/>
      <c r="Y114" s="857" t="s">
        <v>3876</v>
      </c>
    </row>
    <row r="115" spans="1:25" ht="14.45" customHeight="1" x14ac:dyDescent="0.25">
      <c r="A115" s="437" t="s">
        <v>4678</v>
      </c>
      <c r="B115" s="438" t="s">
        <v>2619</v>
      </c>
      <c r="C115" s="438"/>
      <c r="D115" s="439" t="s">
        <v>34</v>
      </c>
      <c r="E115" s="439" t="s">
        <v>284</v>
      </c>
      <c r="F115" s="440">
        <v>44974</v>
      </c>
      <c r="G115" s="440"/>
      <c r="H115" s="439" t="s">
        <v>23</v>
      </c>
      <c r="I115" s="449"/>
      <c r="J115" s="450"/>
      <c r="K115" s="443">
        <v>0</v>
      </c>
      <c r="L115" s="444">
        <v>0</v>
      </c>
      <c r="M115" s="463"/>
      <c r="N115" s="463"/>
      <c r="O115" s="445" t="s">
        <v>3867</v>
      </c>
      <c r="P115" s="447" t="s">
        <v>3872</v>
      </c>
      <c r="Q115" s="451"/>
      <c r="R115" s="447"/>
      <c r="S115" s="447"/>
      <c r="T115" s="447"/>
      <c r="U115" s="447"/>
      <c r="V115" s="447"/>
      <c r="W115" s="447"/>
      <c r="X115" s="447"/>
      <c r="Y115" s="858" t="s">
        <v>3877</v>
      </c>
    </row>
    <row r="116" spans="1:25" ht="14.45" customHeight="1" x14ac:dyDescent="0.25">
      <c r="A116" s="722" t="s">
        <v>4678</v>
      </c>
      <c r="B116" s="723" t="s">
        <v>2619</v>
      </c>
      <c r="C116" s="723"/>
      <c r="D116" s="724" t="s">
        <v>34</v>
      </c>
      <c r="E116" s="724" t="s">
        <v>284</v>
      </c>
      <c r="F116" s="725">
        <v>44974</v>
      </c>
      <c r="G116" s="725"/>
      <c r="H116" s="724" t="s">
        <v>23</v>
      </c>
      <c r="I116" s="441"/>
      <c r="J116" s="442"/>
      <c r="K116" s="720">
        <v>0</v>
      </c>
      <c r="L116" s="744">
        <v>0</v>
      </c>
      <c r="M116" s="767"/>
      <c r="N116" s="767"/>
      <c r="O116" s="728" t="s">
        <v>3868</v>
      </c>
      <c r="P116" s="721" t="s">
        <v>3873</v>
      </c>
      <c r="Q116" s="729"/>
      <c r="R116" s="721"/>
      <c r="S116" s="721"/>
      <c r="T116" s="721"/>
      <c r="U116" s="721"/>
      <c r="V116" s="721"/>
      <c r="W116" s="721"/>
      <c r="X116" s="721"/>
      <c r="Y116" s="857" t="s">
        <v>3878</v>
      </c>
    </row>
    <row r="117" spans="1:25" ht="14.45" customHeight="1" x14ac:dyDescent="0.25">
      <c r="A117" s="437" t="s">
        <v>4678</v>
      </c>
      <c r="B117" s="438" t="s">
        <v>3857</v>
      </c>
      <c r="C117" s="438"/>
      <c r="D117" s="439" t="s">
        <v>13</v>
      </c>
      <c r="E117" s="439" t="s">
        <v>3858</v>
      </c>
      <c r="F117" s="440">
        <v>44974</v>
      </c>
      <c r="G117" s="440"/>
      <c r="H117" s="439" t="s">
        <v>23</v>
      </c>
      <c r="I117" s="449"/>
      <c r="J117" s="450"/>
      <c r="K117" s="443">
        <v>0</v>
      </c>
      <c r="L117" s="444">
        <v>0</v>
      </c>
      <c r="M117" s="463"/>
      <c r="N117" s="463"/>
      <c r="O117" s="445" t="s">
        <v>3856</v>
      </c>
      <c r="P117" s="447"/>
      <c r="Q117" s="451"/>
      <c r="R117" s="447"/>
      <c r="S117" s="447"/>
      <c r="T117" s="447"/>
      <c r="U117" s="447"/>
      <c r="V117" s="447"/>
      <c r="W117" s="447"/>
      <c r="X117" s="447"/>
      <c r="Y117" s="858" t="s">
        <v>3859</v>
      </c>
    </row>
    <row r="118" spans="1:25" ht="14.45" customHeight="1" x14ac:dyDescent="0.25">
      <c r="A118" s="722" t="s">
        <v>4678</v>
      </c>
      <c r="B118" s="723">
        <v>57</v>
      </c>
      <c r="C118" s="723"/>
      <c r="D118" s="724" t="s">
        <v>34</v>
      </c>
      <c r="E118" s="724" t="s">
        <v>46</v>
      </c>
      <c r="F118" s="725">
        <v>44977</v>
      </c>
      <c r="G118" s="725"/>
      <c r="H118" s="724" t="s">
        <v>23</v>
      </c>
      <c r="I118" s="441"/>
      <c r="J118" s="442"/>
      <c r="K118" s="720">
        <v>87</v>
      </c>
      <c r="L118" s="744">
        <v>6.6853285714285713</v>
      </c>
      <c r="M118" s="767"/>
      <c r="N118" s="767"/>
      <c r="O118" s="728" t="s">
        <v>639</v>
      </c>
      <c r="P118" s="721">
        <v>522</v>
      </c>
      <c r="Q118" s="729">
        <v>87</v>
      </c>
      <c r="R118" s="721">
        <v>0.35859999999999997</v>
      </c>
      <c r="S118" s="721">
        <v>1.518</v>
      </c>
      <c r="T118" s="721">
        <v>187.1892</v>
      </c>
      <c r="U118" s="721">
        <v>792.39599999999996</v>
      </c>
      <c r="V118" s="721">
        <v>24.33</v>
      </c>
      <c r="W118" s="721">
        <v>112.96</v>
      </c>
      <c r="X118" s="721">
        <v>315</v>
      </c>
      <c r="Y118" s="857">
        <v>58964.6</v>
      </c>
    </row>
    <row r="119" spans="1:25" ht="14.45" customHeight="1" x14ac:dyDescent="0.25">
      <c r="A119" s="437" t="s">
        <v>4678</v>
      </c>
      <c r="B119" s="438" t="s">
        <v>3849</v>
      </c>
      <c r="C119" s="438"/>
      <c r="D119" s="439" t="s">
        <v>34</v>
      </c>
      <c r="E119" s="439" t="s">
        <v>16</v>
      </c>
      <c r="F119" s="440">
        <v>44977</v>
      </c>
      <c r="G119" s="440"/>
      <c r="H119" s="439" t="s">
        <v>23</v>
      </c>
      <c r="I119" s="449"/>
      <c r="J119" s="450"/>
      <c r="K119" s="443">
        <v>76</v>
      </c>
      <c r="L119" s="444">
        <v>5.6967428571428576</v>
      </c>
      <c r="M119" s="463"/>
      <c r="N119" s="463"/>
      <c r="O119" s="445" t="s">
        <v>2730</v>
      </c>
      <c r="P119" s="447">
        <v>456</v>
      </c>
      <c r="Q119" s="451">
        <v>76</v>
      </c>
      <c r="R119" s="447">
        <v>0.3498</v>
      </c>
      <c r="S119" s="447">
        <v>1.425</v>
      </c>
      <c r="T119" s="447">
        <v>159.50880000000001</v>
      </c>
      <c r="U119" s="447">
        <v>649.79999999999995</v>
      </c>
      <c r="V119" s="447">
        <v>20.74</v>
      </c>
      <c r="W119" s="447">
        <v>119.98</v>
      </c>
      <c r="X119" s="447">
        <v>343</v>
      </c>
      <c r="Y119" s="858">
        <v>54711.519999999997</v>
      </c>
    </row>
    <row r="120" spans="1:25" ht="14.45" customHeight="1" x14ac:dyDescent="0.25">
      <c r="A120" s="722" t="s">
        <v>4678</v>
      </c>
      <c r="B120" s="723" t="s">
        <v>3850</v>
      </c>
      <c r="C120" s="723"/>
      <c r="D120" s="724" t="s">
        <v>34</v>
      </c>
      <c r="E120" s="724" t="s">
        <v>16</v>
      </c>
      <c r="F120" s="725">
        <v>44977</v>
      </c>
      <c r="G120" s="725"/>
      <c r="H120" s="724" t="s">
        <v>23</v>
      </c>
      <c r="I120" s="441"/>
      <c r="J120" s="442"/>
      <c r="K120" s="720">
        <v>81</v>
      </c>
      <c r="L120" s="744">
        <v>12.292328571428571</v>
      </c>
      <c r="M120" s="767"/>
      <c r="N120" s="767"/>
      <c r="O120" s="728" t="s">
        <v>2469</v>
      </c>
      <c r="P120" s="721">
        <v>486</v>
      </c>
      <c r="Q120" s="729">
        <v>81</v>
      </c>
      <c r="R120" s="721">
        <v>0.70820000000000005</v>
      </c>
      <c r="S120" s="721">
        <v>3.4609999999999999</v>
      </c>
      <c r="T120" s="721">
        <v>344.18520000000001</v>
      </c>
      <c r="U120" s="721">
        <v>1682.046</v>
      </c>
      <c r="V120" s="721">
        <v>44.74</v>
      </c>
      <c r="W120" s="721">
        <v>242.91</v>
      </c>
      <c r="X120" s="721">
        <v>343</v>
      </c>
      <c r="Y120" s="857">
        <v>118055.52</v>
      </c>
    </row>
    <row r="121" spans="1:25" ht="14.45" customHeight="1" x14ac:dyDescent="0.25">
      <c r="A121" s="437" t="s">
        <v>4678</v>
      </c>
      <c r="B121" s="438" t="s">
        <v>3851</v>
      </c>
      <c r="C121" s="438"/>
      <c r="D121" s="439" t="s">
        <v>34</v>
      </c>
      <c r="E121" s="439" t="s">
        <v>16</v>
      </c>
      <c r="F121" s="440">
        <v>44977</v>
      </c>
      <c r="G121" s="440"/>
      <c r="H121" s="439" t="s">
        <v>23</v>
      </c>
      <c r="I121" s="449"/>
      <c r="J121" s="450"/>
      <c r="K121" s="443">
        <v>180</v>
      </c>
      <c r="L121" s="444">
        <v>10.514571428571429</v>
      </c>
      <c r="M121" s="463"/>
      <c r="N121" s="463"/>
      <c r="O121" s="445" t="s">
        <v>2859</v>
      </c>
      <c r="P121" s="447">
        <v>1080</v>
      </c>
      <c r="Q121" s="451">
        <v>180</v>
      </c>
      <c r="R121" s="447">
        <v>0.27260000000000001</v>
      </c>
      <c r="S121" s="447">
        <v>0.72899999999999998</v>
      </c>
      <c r="T121" s="447">
        <v>294.40800000000002</v>
      </c>
      <c r="U121" s="447">
        <v>787.32</v>
      </c>
      <c r="V121" s="447">
        <v>38.270000000000003</v>
      </c>
      <c r="W121" s="447">
        <v>93.5</v>
      </c>
      <c r="X121" s="447">
        <v>343</v>
      </c>
      <c r="Y121" s="858">
        <v>100981.94</v>
      </c>
    </row>
    <row r="122" spans="1:25" ht="14.45" customHeight="1" x14ac:dyDescent="0.25">
      <c r="A122" s="722" t="s">
        <v>4678</v>
      </c>
      <c r="B122" s="723" t="s">
        <v>3852</v>
      </c>
      <c r="C122" s="723"/>
      <c r="D122" s="724" t="s">
        <v>34</v>
      </c>
      <c r="E122" s="724" t="s">
        <v>16</v>
      </c>
      <c r="F122" s="725">
        <v>44977</v>
      </c>
      <c r="G122" s="725"/>
      <c r="H122" s="724" t="s">
        <v>23</v>
      </c>
      <c r="I122" s="441"/>
      <c r="J122" s="442"/>
      <c r="K122" s="720">
        <v>275</v>
      </c>
      <c r="L122" s="744">
        <v>9.3755357142857143</v>
      </c>
      <c r="M122" s="767"/>
      <c r="N122" s="767"/>
      <c r="O122" s="728" t="s">
        <v>2845</v>
      </c>
      <c r="P122" s="721">
        <v>1650</v>
      </c>
      <c r="Q122" s="729">
        <v>275</v>
      </c>
      <c r="R122" s="721">
        <v>0.15909999999999999</v>
      </c>
      <c r="S122" s="721">
        <v>0.26</v>
      </c>
      <c r="T122" s="721">
        <v>262.51499999999999</v>
      </c>
      <c r="U122" s="721">
        <v>429</v>
      </c>
      <c r="V122" s="721">
        <v>34.130000000000003</v>
      </c>
      <c r="W122" s="721">
        <v>69.69</v>
      </c>
      <c r="X122" s="721">
        <v>438</v>
      </c>
      <c r="Y122" s="857">
        <v>114988.5</v>
      </c>
    </row>
    <row r="123" spans="1:25" ht="14.45" customHeight="1" x14ac:dyDescent="0.25">
      <c r="A123" s="437" t="s">
        <v>4678</v>
      </c>
      <c r="B123" s="438">
        <v>58</v>
      </c>
      <c r="C123" s="438"/>
      <c r="D123" s="439" t="s">
        <v>13</v>
      </c>
      <c r="E123" s="439" t="s">
        <v>45</v>
      </c>
      <c r="F123" s="440">
        <v>44977</v>
      </c>
      <c r="G123" s="440"/>
      <c r="H123" s="439" t="s">
        <v>23</v>
      </c>
      <c r="I123" s="449"/>
      <c r="J123" s="450"/>
      <c r="K123" s="443">
        <v>38</v>
      </c>
      <c r="L123" s="444">
        <v>4.1772714285714283</v>
      </c>
      <c r="M123" s="463"/>
      <c r="N123" s="463"/>
      <c r="O123" s="445" t="s">
        <v>2840</v>
      </c>
      <c r="P123" s="447">
        <v>117.8</v>
      </c>
      <c r="Q123" s="451">
        <v>38</v>
      </c>
      <c r="R123" s="447">
        <v>0.9929</v>
      </c>
      <c r="S123" s="447">
        <v>4.5880000000000001</v>
      </c>
      <c r="T123" s="447">
        <v>116.9636</v>
      </c>
      <c r="U123" s="447">
        <v>540.46640000000002</v>
      </c>
      <c r="V123" s="447">
        <v>15.21</v>
      </c>
      <c r="W123" s="447">
        <v>312.76</v>
      </c>
      <c r="X123" s="447">
        <v>315</v>
      </c>
      <c r="Y123" s="858">
        <v>36843.54</v>
      </c>
    </row>
    <row r="124" spans="1:25" ht="14.45" customHeight="1" x14ac:dyDescent="0.25">
      <c r="A124" s="722" t="s">
        <v>4678</v>
      </c>
      <c r="B124" s="723">
        <v>63</v>
      </c>
      <c r="C124" s="723"/>
      <c r="D124" s="724" t="s">
        <v>13</v>
      </c>
      <c r="E124" s="724" t="s">
        <v>3883</v>
      </c>
      <c r="F124" s="725">
        <v>44977</v>
      </c>
      <c r="G124" s="725"/>
      <c r="H124" s="724" t="s">
        <v>23</v>
      </c>
      <c r="I124" s="441"/>
      <c r="J124" s="442"/>
      <c r="K124" s="720">
        <v>80</v>
      </c>
      <c r="L124" s="744">
        <v>11.475285714285715</v>
      </c>
      <c r="M124" s="767"/>
      <c r="N124" s="767"/>
      <c r="O124" s="728" t="s">
        <v>3848</v>
      </c>
      <c r="P124" s="721">
        <v>520</v>
      </c>
      <c r="Q124" s="729">
        <v>80</v>
      </c>
      <c r="R124" s="721">
        <v>0.6179</v>
      </c>
      <c r="S124" s="721">
        <v>2.117</v>
      </c>
      <c r="T124" s="721">
        <v>321.30799999999999</v>
      </c>
      <c r="U124" s="721">
        <v>1100.8399999999999</v>
      </c>
      <c r="V124" s="721">
        <v>41.77</v>
      </c>
      <c r="W124" s="721">
        <v>182.28</v>
      </c>
      <c r="X124" s="721">
        <v>295</v>
      </c>
      <c r="Y124" s="857">
        <v>94785.86</v>
      </c>
    </row>
    <row r="125" spans="1:25" ht="14.45" customHeight="1" x14ac:dyDescent="0.25">
      <c r="A125" s="437" t="s">
        <v>4678</v>
      </c>
      <c r="B125" s="438">
        <v>60</v>
      </c>
      <c r="C125" s="438"/>
      <c r="D125" s="439" t="s">
        <v>13</v>
      </c>
      <c r="E125" s="438" t="s">
        <v>3765</v>
      </c>
      <c r="F125" s="440">
        <v>44977</v>
      </c>
      <c r="G125" s="440"/>
      <c r="H125" s="439" t="s">
        <v>23</v>
      </c>
      <c r="I125" s="449"/>
      <c r="J125" s="450"/>
      <c r="K125" s="443">
        <v>1033</v>
      </c>
      <c r="L125" s="444">
        <v>7.6921607142857145</v>
      </c>
      <c r="M125" s="463" t="s">
        <v>3919</v>
      </c>
      <c r="N125" s="463"/>
      <c r="O125" s="445" t="s">
        <v>3349</v>
      </c>
      <c r="P125" s="447">
        <v>3099</v>
      </c>
      <c r="Q125" s="451">
        <v>1033</v>
      </c>
      <c r="R125" s="447">
        <v>6.9500000000000006E-2</v>
      </c>
      <c r="S125" s="447">
        <v>0.182</v>
      </c>
      <c r="T125" s="447">
        <v>215.38050000000001</v>
      </c>
      <c r="U125" s="447">
        <v>564.01800000000003</v>
      </c>
      <c r="V125" s="447">
        <v>28</v>
      </c>
      <c r="W125" s="447">
        <v>39.43</v>
      </c>
      <c r="X125" s="447">
        <v>567.34</v>
      </c>
      <c r="Y125" s="858">
        <v>122193.97</v>
      </c>
    </row>
    <row r="126" spans="1:25" ht="14.45" customHeight="1" x14ac:dyDescent="0.25">
      <c r="A126" s="722" t="s">
        <v>4678</v>
      </c>
      <c r="B126" s="723">
        <v>61</v>
      </c>
      <c r="C126" s="723"/>
      <c r="D126" s="724" t="s">
        <v>13</v>
      </c>
      <c r="E126" s="723" t="s">
        <v>3765</v>
      </c>
      <c r="F126" s="725">
        <v>44977</v>
      </c>
      <c r="G126" s="725"/>
      <c r="H126" s="724" t="s">
        <v>23</v>
      </c>
      <c r="I126" s="441"/>
      <c r="J126" s="442"/>
      <c r="K126" s="720">
        <v>78</v>
      </c>
      <c r="L126" s="744">
        <v>0.24319285714285716</v>
      </c>
      <c r="M126" s="767" t="s">
        <v>3564</v>
      </c>
      <c r="N126" s="767"/>
      <c r="O126" s="728" t="s">
        <v>3833</v>
      </c>
      <c r="P126" s="721">
        <v>234</v>
      </c>
      <c r="Q126" s="729">
        <v>78</v>
      </c>
      <c r="R126" s="721">
        <v>2.9100000000000001E-2</v>
      </c>
      <c r="S126" s="721">
        <v>4.8000000000000001E-2</v>
      </c>
      <c r="T126" s="721">
        <v>6.8094000000000001</v>
      </c>
      <c r="U126" s="721">
        <v>11.231999999999999</v>
      </c>
      <c r="V126" s="721">
        <v>0.89</v>
      </c>
      <c r="W126" s="721">
        <v>13.36</v>
      </c>
      <c r="X126" s="721">
        <v>459</v>
      </c>
      <c r="Y126" s="857">
        <v>3125.51</v>
      </c>
    </row>
    <row r="127" spans="1:25" ht="14.45" customHeight="1" x14ac:dyDescent="0.25">
      <c r="A127" s="437" t="s">
        <v>4678</v>
      </c>
      <c r="B127" s="438" t="s">
        <v>2644</v>
      </c>
      <c r="C127" s="438"/>
      <c r="D127" s="439" t="s">
        <v>13</v>
      </c>
      <c r="E127" s="439" t="s">
        <v>3839</v>
      </c>
      <c r="F127" s="440">
        <v>44977</v>
      </c>
      <c r="G127" s="440"/>
      <c r="H127" s="439" t="s">
        <v>23</v>
      </c>
      <c r="I127" s="449"/>
      <c r="J127" s="450"/>
      <c r="K127" s="443">
        <v>27</v>
      </c>
      <c r="L127" s="444">
        <v>0</v>
      </c>
      <c r="M127" s="463"/>
      <c r="N127" s="463"/>
      <c r="O127" s="445" t="s">
        <v>459</v>
      </c>
      <c r="P127" s="447"/>
      <c r="Q127" s="451">
        <v>27</v>
      </c>
      <c r="R127" s="447"/>
      <c r="S127" s="447"/>
      <c r="T127" s="447"/>
      <c r="U127" s="447"/>
      <c r="V127" s="447"/>
      <c r="W127" s="447"/>
      <c r="X127" s="447"/>
      <c r="Y127" s="858" t="s">
        <v>3847</v>
      </c>
    </row>
    <row r="128" spans="1:25" ht="14.45" customHeight="1" x14ac:dyDescent="0.25">
      <c r="A128" s="722" t="s">
        <v>4678</v>
      </c>
      <c r="B128" s="723" t="s">
        <v>2644</v>
      </c>
      <c r="C128" s="723"/>
      <c r="D128" s="724" t="s">
        <v>13</v>
      </c>
      <c r="E128" s="724" t="s">
        <v>3839</v>
      </c>
      <c r="F128" s="725">
        <v>44977</v>
      </c>
      <c r="G128" s="725"/>
      <c r="H128" s="724" t="s">
        <v>23</v>
      </c>
      <c r="I128" s="441"/>
      <c r="J128" s="442"/>
      <c r="K128" s="720">
        <v>27</v>
      </c>
      <c r="L128" s="744">
        <v>0</v>
      </c>
      <c r="M128" s="767"/>
      <c r="N128" s="767"/>
      <c r="O128" s="728" t="s">
        <v>460</v>
      </c>
      <c r="P128" s="721"/>
      <c r="Q128" s="729">
        <v>27</v>
      </c>
      <c r="R128" s="721"/>
      <c r="S128" s="721"/>
      <c r="T128" s="721"/>
      <c r="U128" s="721"/>
      <c r="V128" s="721"/>
      <c r="W128" s="721"/>
      <c r="X128" s="721"/>
      <c r="Y128" s="857" t="s">
        <v>3847</v>
      </c>
    </row>
    <row r="129" spans="1:25" ht="14.45" customHeight="1" x14ac:dyDescent="0.25">
      <c r="A129" s="437" t="s">
        <v>4678</v>
      </c>
      <c r="B129" s="438" t="s">
        <v>2848</v>
      </c>
      <c r="C129" s="438"/>
      <c r="D129" s="439" t="s">
        <v>34</v>
      </c>
      <c r="E129" s="439" t="s">
        <v>16</v>
      </c>
      <c r="F129" s="440">
        <v>44978</v>
      </c>
      <c r="G129" s="440"/>
      <c r="H129" s="439" t="s">
        <v>23</v>
      </c>
      <c r="I129" s="449"/>
      <c r="J129" s="450"/>
      <c r="K129" s="443">
        <v>158</v>
      </c>
      <c r="L129" s="444">
        <v>10.146985714285714</v>
      </c>
      <c r="M129" s="463"/>
      <c r="N129" s="463"/>
      <c r="O129" s="445" t="s">
        <v>2423</v>
      </c>
      <c r="P129" s="447">
        <v>948</v>
      </c>
      <c r="Q129" s="451">
        <v>158</v>
      </c>
      <c r="R129" s="447">
        <v>0.29970000000000002</v>
      </c>
      <c r="S129" s="447">
        <v>1.6739999999999999</v>
      </c>
      <c r="T129" s="447">
        <v>284.11559999999997</v>
      </c>
      <c r="U129" s="447">
        <v>1586.952</v>
      </c>
      <c r="V129" s="447">
        <v>36.94</v>
      </c>
      <c r="W129" s="447">
        <v>102.8</v>
      </c>
      <c r="X129" s="447">
        <v>343</v>
      </c>
      <c r="Y129" s="858">
        <v>97451.65</v>
      </c>
    </row>
    <row r="130" spans="1:25" ht="14.45" customHeight="1" x14ac:dyDescent="0.25">
      <c r="A130" s="722" t="s">
        <v>4678</v>
      </c>
      <c r="B130" s="723">
        <v>62</v>
      </c>
      <c r="C130" s="723"/>
      <c r="D130" s="724" t="s">
        <v>13</v>
      </c>
      <c r="E130" s="724" t="s">
        <v>531</v>
      </c>
      <c r="F130" s="725">
        <v>44978</v>
      </c>
      <c r="G130" s="725"/>
      <c r="H130" s="724" t="s">
        <v>23</v>
      </c>
      <c r="I130" s="441"/>
      <c r="J130" s="442"/>
      <c r="K130" s="720">
        <v>14</v>
      </c>
      <c r="L130" s="744">
        <v>0.22246071428571429</v>
      </c>
      <c r="M130" s="767" t="s">
        <v>3971</v>
      </c>
      <c r="N130" s="767"/>
      <c r="O130" s="728" t="s">
        <v>3855</v>
      </c>
      <c r="P130" s="721">
        <v>39.200000000000003</v>
      </c>
      <c r="Q130" s="729">
        <v>14</v>
      </c>
      <c r="R130" s="721">
        <v>0.15890000000000001</v>
      </c>
      <c r="S130" s="721">
        <v>0.76500000000000001</v>
      </c>
      <c r="T130" s="721">
        <v>6.2289000000000003</v>
      </c>
      <c r="U130" s="721">
        <v>29.988</v>
      </c>
      <c r="V130" s="721">
        <v>0.81</v>
      </c>
      <c r="W130" s="721">
        <v>59.59</v>
      </c>
      <c r="X130" s="721">
        <v>375</v>
      </c>
      <c r="Y130" s="857">
        <v>2335.83</v>
      </c>
    </row>
    <row r="131" spans="1:25" ht="14.45" customHeight="1" x14ac:dyDescent="0.25">
      <c r="A131" s="437" t="s">
        <v>4678</v>
      </c>
      <c r="B131" s="438">
        <v>64</v>
      </c>
      <c r="C131" s="438"/>
      <c r="D131" s="439" t="s">
        <v>13</v>
      </c>
      <c r="E131" s="439" t="s">
        <v>3479</v>
      </c>
      <c r="F131" s="440">
        <v>44978</v>
      </c>
      <c r="G131" s="440"/>
      <c r="H131" s="439" t="s">
        <v>23</v>
      </c>
      <c r="I131" s="449"/>
      <c r="J131" s="450"/>
      <c r="K131" s="443">
        <v>213</v>
      </c>
      <c r="L131" s="444">
        <v>8.5142964285714289</v>
      </c>
      <c r="M131" s="463"/>
      <c r="N131" s="463"/>
      <c r="O131" s="445" t="s">
        <v>3860</v>
      </c>
      <c r="P131" s="447">
        <v>1288.6500000000001</v>
      </c>
      <c r="Q131" s="451">
        <v>213</v>
      </c>
      <c r="R131" s="447">
        <v>0.185</v>
      </c>
      <c r="S131" s="447">
        <v>0.70899999999999996</v>
      </c>
      <c r="T131" s="447">
        <v>238.40029999999999</v>
      </c>
      <c r="U131" s="447">
        <v>913.65290000000005</v>
      </c>
      <c r="V131" s="447">
        <v>30.99</v>
      </c>
      <c r="W131" s="447">
        <v>66.599999999999994</v>
      </c>
      <c r="X131" s="447">
        <v>360</v>
      </c>
      <c r="Y131" s="858">
        <v>85824.09</v>
      </c>
    </row>
    <row r="132" spans="1:25" ht="14.45" customHeight="1" x14ac:dyDescent="0.25">
      <c r="A132" s="722" t="s">
        <v>4678</v>
      </c>
      <c r="B132" s="723">
        <v>65</v>
      </c>
      <c r="C132" s="723"/>
      <c r="D132" s="724" t="s">
        <v>13</v>
      </c>
      <c r="E132" s="724" t="s">
        <v>3764</v>
      </c>
      <c r="F132" s="725">
        <v>44978</v>
      </c>
      <c r="G132" s="725"/>
      <c r="H132" s="724" t="s">
        <v>23</v>
      </c>
      <c r="I132" s="441"/>
      <c r="J132" s="442"/>
      <c r="K132" s="720">
        <v>1888</v>
      </c>
      <c r="L132" s="744">
        <v>31.26393214285714</v>
      </c>
      <c r="M132" s="767" t="s">
        <v>3886</v>
      </c>
      <c r="N132" s="767"/>
      <c r="O132" s="728" t="s">
        <v>2841</v>
      </c>
      <c r="P132" s="721">
        <v>9156.7999999999993</v>
      </c>
      <c r="Q132" s="729">
        <v>1888</v>
      </c>
      <c r="R132" s="721">
        <v>9.5600000000000004E-2</v>
      </c>
      <c r="S132" s="721">
        <v>0.16</v>
      </c>
      <c r="T132" s="721">
        <v>875.39009999999996</v>
      </c>
      <c r="U132" s="721">
        <v>1465.088</v>
      </c>
      <c r="V132" s="721">
        <v>113.8</v>
      </c>
      <c r="W132" s="721">
        <v>29.54</v>
      </c>
      <c r="X132" s="721">
        <v>309</v>
      </c>
      <c r="Y132" s="857">
        <v>270495.53000000003</v>
      </c>
    </row>
    <row r="133" spans="1:25" ht="14.45" customHeight="1" x14ac:dyDescent="0.25">
      <c r="A133" s="437" t="s">
        <v>4678</v>
      </c>
      <c r="B133" s="438">
        <v>65</v>
      </c>
      <c r="C133" s="438"/>
      <c r="D133" s="439" t="s">
        <v>13</v>
      </c>
      <c r="E133" s="439" t="s">
        <v>3764</v>
      </c>
      <c r="F133" s="440">
        <v>44978</v>
      </c>
      <c r="G133" s="440"/>
      <c r="H133" s="439" t="s">
        <v>23</v>
      </c>
      <c r="I133" s="449"/>
      <c r="J133" s="450"/>
      <c r="K133" s="443">
        <v>315</v>
      </c>
      <c r="L133" s="444">
        <v>9.1483321428571429</v>
      </c>
      <c r="M133" s="463" t="s">
        <v>3879</v>
      </c>
      <c r="N133" s="463"/>
      <c r="O133" s="445" t="s">
        <v>1975</v>
      </c>
      <c r="P133" s="447">
        <v>1622.25</v>
      </c>
      <c r="Q133" s="451">
        <v>315</v>
      </c>
      <c r="R133" s="447">
        <v>0.15790000000000001</v>
      </c>
      <c r="S133" s="447">
        <v>0.309</v>
      </c>
      <c r="T133" s="447">
        <v>256.1533</v>
      </c>
      <c r="U133" s="447">
        <v>501.27530000000002</v>
      </c>
      <c r="V133" s="447">
        <v>33.299999999999997</v>
      </c>
      <c r="W133" s="447">
        <v>48.79</v>
      </c>
      <c r="X133" s="447">
        <v>309</v>
      </c>
      <c r="Y133" s="858">
        <v>79151.360000000001</v>
      </c>
    </row>
    <row r="134" spans="1:25" ht="14.45" customHeight="1" x14ac:dyDescent="0.25">
      <c r="A134" s="722" t="s">
        <v>4678</v>
      </c>
      <c r="B134" s="723">
        <v>67</v>
      </c>
      <c r="C134" s="723"/>
      <c r="D134" s="724" t="s">
        <v>13</v>
      </c>
      <c r="E134" s="724" t="s">
        <v>3863</v>
      </c>
      <c r="F134" s="725">
        <v>44979</v>
      </c>
      <c r="G134" s="725"/>
      <c r="H134" s="724" t="s">
        <v>23</v>
      </c>
      <c r="I134" s="441"/>
      <c r="J134" s="442"/>
      <c r="K134" s="720">
        <v>201</v>
      </c>
      <c r="L134" s="744">
        <v>6.5899285714285716</v>
      </c>
      <c r="M134" s="767"/>
      <c r="N134" s="767"/>
      <c r="O134" s="728" t="s">
        <v>149</v>
      </c>
      <c r="P134" s="721">
        <v>1005</v>
      </c>
      <c r="Q134" s="729">
        <v>201</v>
      </c>
      <c r="R134" s="721">
        <v>0.18360000000000001</v>
      </c>
      <c r="S134" s="721">
        <v>0.39400000000000002</v>
      </c>
      <c r="T134" s="721">
        <v>184.518</v>
      </c>
      <c r="U134" s="721">
        <v>395.97</v>
      </c>
      <c r="V134" s="721">
        <v>23.99</v>
      </c>
      <c r="W134" s="721">
        <v>62.97</v>
      </c>
      <c r="X134" s="721">
        <v>342.97</v>
      </c>
      <c r="Y134" s="857">
        <v>63284.85</v>
      </c>
    </row>
    <row r="135" spans="1:25" ht="14.45" customHeight="1" x14ac:dyDescent="0.25">
      <c r="A135" s="437" t="s">
        <v>4678</v>
      </c>
      <c r="B135" s="438" t="s">
        <v>3905</v>
      </c>
      <c r="C135" s="438"/>
      <c r="D135" s="439" t="s">
        <v>34</v>
      </c>
      <c r="E135" s="439" t="s">
        <v>3902</v>
      </c>
      <c r="F135" s="440">
        <v>44984</v>
      </c>
      <c r="G135" s="440"/>
      <c r="H135" s="439" t="s">
        <v>23</v>
      </c>
      <c r="I135" s="449"/>
      <c r="J135" s="450"/>
      <c r="K135" s="443">
        <v>0</v>
      </c>
      <c r="L135" s="444">
        <v>0</v>
      </c>
      <c r="M135" s="463"/>
      <c r="N135" s="463"/>
      <c r="O135" s="445" t="s">
        <v>3903</v>
      </c>
      <c r="P135" s="447"/>
      <c r="Q135" s="451"/>
      <c r="R135" s="447"/>
      <c r="S135" s="447"/>
      <c r="T135" s="447"/>
      <c r="U135" s="447"/>
      <c r="V135" s="447"/>
      <c r="W135" s="447"/>
      <c r="X135" s="447"/>
      <c r="Y135" s="858" t="s">
        <v>3904</v>
      </c>
    </row>
    <row r="136" spans="1:25" ht="14.45" customHeight="1" x14ac:dyDescent="0.25">
      <c r="A136" s="722" t="s">
        <v>4678</v>
      </c>
      <c r="B136" s="723" t="s">
        <v>2655</v>
      </c>
      <c r="C136" s="723"/>
      <c r="D136" s="724" t="s">
        <v>13</v>
      </c>
      <c r="E136" s="723" t="s">
        <v>3765</v>
      </c>
      <c r="F136" s="725">
        <v>44985</v>
      </c>
      <c r="G136" s="725"/>
      <c r="H136" s="724" t="s">
        <v>23</v>
      </c>
      <c r="I136" s="441"/>
      <c r="J136" s="442"/>
      <c r="K136" s="720">
        <v>12</v>
      </c>
      <c r="L136" s="744">
        <v>0</v>
      </c>
      <c r="M136" s="767"/>
      <c r="N136" s="767"/>
      <c r="O136" s="784" t="s">
        <v>3906</v>
      </c>
      <c r="P136" s="721"/>
      <c r="Q136" s="729">
        <v>12</v>
      </c>
      <c r="R136" s="721"/>
      <c r="S136" s="721"/>
      <c r="T136" s="721"/>
      <c r="U136" s="721"/>
      <c r="V136" s="721"/>
      <c r="W136" s="721"/>
      <c r="X136" s="721"/>
      <c r="Y136" s="857" t="s">
        <v>3853</v>
      </c>
    </row>
    <row r="137" spans="1:25" ht="14.45" customHeight="1" x14ac:dyDescent="0.25">
      <c r="A137" s="437" t="s">
        <v>4678</v>
      </c>
      <c r="B137" s="438">
        <v>72</v>
      </c>
      <c r="C137" s="438"/>
      <c r="D137" s="439" t="s">
        <v>13</v>
      </c>
      <c r="E137" s="439" t="s">
        <v>3479</v>
      </c>
      <c r="F137" s="440">
        <v>44987</v>
      </c>
      <c r="G137" s="440"/>
      <c r="H137" s="439" t="s">
        <v>23</v>
      </c>
      <c r="I137" s="449"/>
      <c r="J137" s="450"/>
      <c r="K137" s="443">
        <v>39</v>
      </c>
      <c r="L137" s="444">
        <v>5.7984714285714292</v>
      </c>
      <c r="M137" s="463"/>
      <c r="N137" s="463"/>
      <c r="O137" s="445" t="s">
        <v>3825</v>
      </c>
      <c r="P137" s="447">
        <v>235.95</v>
      </c>
      <c r="Q137" s="451">
        <v>39</v>
      </c>
      <c r="R137" s="447">
        <v>0.68810000000000004</v>
      </c>
      <c r="S137" s="447">
        <v>2.7810000000000001</v>
      </c>
      <c r="T137" s="447">
        <v>162.35720000000001</v>
      </c>
      <c r="U137" s="447">
        <v>656.17700000000002</v>
      </c>
      <c r="V137" s="447">
        <v>21.11</v>
      </c>
      <c r="W137" s="447">
        <v>289</v>
      </c>
      <c r="X137" s="447">
        <v>420</v>
      </c>
      <c r="Y137" s="858">
        <v>68190.02</v>
      </c>
    </row>
    <row r="138" spans="1:25" ht="14.45" customHeight="1" x14ac:dyDescent="0.25">
      <c r="A138" s="722" t="s">
        <v>4678</v>
      </c>
      <c r="B138" s="723">
        <v>71</v>
      </c>
      <c r="C138" s="723"/>
      <c r="D138" s="724" t="s">
        <v>13</v>
      </c>
      <c r="E138" s="724" t="s">
        <v>3883</v>
      </c>
      <c r="F138" s="725">
        <v>44987</v>
      </c>
      <c r="G138" s="725"/>
      <c r="H138" s="724" t="s">
        <v>23</v>
      </c>
      <c r="I138" s="441"/>
      <c r="J138" s="442"/>
      <c r="K138" s="720">
        <v>77</v>
      </c>
      <c r="L138" s="744">
        <v>11.18975</v>
      </c>
      <c r="M138" s="767"/>
      <c r="N138" s="767"/>
      <c r="O138" s="728" t="s">
        <v>999</v>
      </c>
      <c r="P138" s="721">
        <v>500.5</v>
      </c>
      <c r="Q138" s="729">
        <v>77</v>
      </c>
      <c r="R138" s="721">
        <v>0.626</v>
      </c>
      <c r="S138" s="721">
        <v>2.1869999999999998</v>
      </c>
      <c r="T138" s="721">
        <v>313.31299999999999</v>
      </c>
      <c r="U138" s="721">
        <v>1094.5934999999999</v>
      </c>
      <c r="V138" s="721">
        <v>40.729999999999997</v>
      </c>
      <c r="W138" s="721">
        <v>182.28</v>
      </c>
      <c r="X138" s="721">
        <v>295</v>
      </c>
      <c r="Y138" s="857">
        <v>91231.14</v>
      </c>
    </row>
    <row r="139" spans="1:25" ht="14.45" customHeight="1" x14ac:dyDescent="0.25">
      <c r="A139" s="437" t="s">
        <v>4678</v>
      </c>
      <c r="B139" s="438">
        <v>73</v>
      </c>
      <c r="C139" s="438"/>
      <c r="D139" s="439" t="s">
        <v>13</v>
      </c>
      <c r="E139" s="438" t="s">
        <v>3765</v>
      </c>
      <c r="F139" s="440">
        <v>44987</v>
      </c>
      <c r="G139" s="440"/>
      <c r="H139" s="439" t="s">
        <v>23</v>
      </c>
      <c r="I139" s="449"/>
      <c r="J139" s="450"/>
      <c r="K139" s="443">
        <v>103</v>
      </c>
      <c r="L139" s="444">
        <v>0.32113928571428568</v>
      </c>
      <c r="M139" s="463"/>
      <c r="N139" s="463"/>
      <c r="O139" s="445" t="s">
        <v>3833</v>
      </c>
      <c r="P139" s="447">
        <v>309</v>
      </c>
      <c r="Q139" s="451">
        <v>103</v>
      </c>
      <c r="R139" s="447">
        <v>2.9100000000000001E-2</v>
      </c>
      <c r="S139" s="447">
        <v>4.8000000000000001E-2</v>
      </c>
      <c r="T139" s="447">
        <v>8.9918999999999993</v>
      </c>
      <c r="U139" s="447">
        <v>14.832000000000001</v>
      </c>
      <c r="V139" s="447">
        <v>1.17</v>
      </c>
      <c r="W139" s="447">
        <v>12.22</v>
      </c>
      <c r="X139" s="447">
        <v>420</v>
      </c>
      <c r="Y139" s="858">
        <v>3776.6</v>
      </c>
    </row>
    <row r="140" spans="1:25" ht="14.45" customHeight="1" x14ac:dyDescent="0.25">
      <c r="A140" s="722" t="s">
        <v>4678</v>
      </c>
      <c r="B140" s="723" t="s">
        <v>2647</v>
      </c>
      <c r="C140" s="723"/>
      <c r="D140" s="724" t="s">
        <v>13</v>
      </c>
      <c r="E140" s="723" t="s">
        <v>3765</v>
      </c>
      <c r="F140" s="725">
        <v>44987</v>
      </c>
      <c r="G140" s="725"/>
      <c r="H140" s="724" t="s">
        <v>23</v>
      </c>
      <c r="I140" s="441"/>
      <c r="J140" s="442"/>
      <c r="K140" s="720">
        <v>0</v>
      </c>
      <c r="L140" s="744">
        <v>0</v>
      </c>
      <c r="M140" s="767" t="s">
        <v>3882</v>
      </c>
      <c r="N140" s="767"/>
      <c r="O140" s="728" t="s">
        <v>3880</v>
      </c>
      <c r="P140" s="721">
        <v>816</v>
      </c>
      <c r="Q140" s="729"/>
      <c r="R140" s="721"/>
      <c r="S140" s="721"/>
      <c r="T140" s="721"/>
      <c r="U140" s="721"/>
      <c r="V140" s="721"/>
      <c r="W140" s="721"/>
      <c r="X140" s="721"/>
      <c r="Y140" s="857"/>
    </row>
    <row r="141" spans="1:25" ht="14.45" customHeight="1" x14ac:dyDescent="0.25">
      <c r="A141" s="437" t="s">
        <v>4678</v>
      </c>
      <c r="B141" s="438" t="s">
        <v>2647</v>
      </c>
      <c r="C141" s="438"/>
      <c r="D141" s="439" t="s">
        <v>13</v>
      </c>
      <c r="E141" s="438" t="s">
        <v>3765</v>
      </c>
      <c r="F141" s="440">
        <v>44987</v>
      </c>
      <c r="G141" s="440"/>
      <c r="H141" s="439" t="s">
        <v>23</v>
      </c>
      <c r="I141" s="449"/>
      <c r="J141" s="450"/>
      <c r="K141" s="443">
        <v>0</v>
      </c>
      <c r="L141" s="444">
        <v>0</v>
      </c>
      <c r="M141" s="463" t="s">
        <v>3882</v>
      </c>
      <c r="N141" s="463"/>
      <c r="O141" s="445" t="s">
        <v>3881</v>
      </c>
      <c r="P141" s="447">
        <v>585</v>
      </c>
      <c r="Q141" s="451"/>
      <c r="R141" s="447"/>
      <c r="S141" s="447"/>
      <c r="T141" s="447"/>
      <c r="U141" s="447"/>
      <c r="V141" s="447"/>
      <c r="W141" s="447"/>
      <c r="X141" s="447"/>
      <c r="Y141" s="858"/>
    </row>
    <row r="142" spans="1:25" ht="14.45" customHeight="1" x14ac:dyDescent="0.25">
      <c r="A142" s="722" t="s">
        <v>4678</v>
      </c>
      <c r="B142" s="723" t="s">
        <v>2658</v>
      </c>
      <c r="C142" s="723"/>
      <c r="D142" s="724" t="s">
        <v>34</v>
      </c>
      <c r="E142" s="724" t="s">
        <v>861</v>
      </c>
      <c r="F142" s="725">
        <v>44988</v>
      </c>
      <c r="G142" s="725"/>
      <c r="H142" s="724" t="s">
        <v>23</v>
      </c>
      <c r="I142" s="441"/>
      <c r="J142" s="442"/>
      <c r="K142" s="720">
        <v>0</v>
      </c>
      <c r="L142" s="744">
        <v>0</v>
      </c>
      <c r="M142" s="767" t="s">
        <v>3885</v>
      </c>
      <c r="N142" s="767"/>
      <c r="O142" s="784" t="s">
        <v>3884</v>
      </c>
      <c r="P142" s="721"/>
      <c r="Q142" s="729"/>
      <c r="R142" s="721"/>
      <c r="S142" s="721"/>
      <c r="T142" s="721"/>
      <c r="U142" s="721"/>
      <c r="V142" s="721"/>
      <c r="W142" s="721"/>
      <c r="X142" s="721"/>
      <c r="Y142" s="857">
        <v>39000.14</v>
      </c>
    </row>
    <row r="143" spans="1:25" ht="14.45" customHeight="1" x14ac:dyDescent="0.25">
      <c r="A143" s="437" t="s">
        <v>4678</v>
      </c>
      <c r="B143" s="438">
        <v>77</v>
      </c>
      <c r="C143" s="438"/>
      <c r="D143" s="439" t="s">
        <v>34</v>
      </c>
      <c r="E143" s="439" t="s">
        <v>328</v>
      </c>
      <c r="F143" s="440">
        <v>44994</v>
      </c>
      <c r="G143" s="440"/>
      <c r="H143" s="439" t="s">
        <v>23</v>
      </c>
      <c r="I143" s="449"/>
      <c r="J143" s="450"/>
      <c r="K143" s="443">
        <v>215</v>
      </c>
      <c r="L143" s="444">
        <v>14.245285714285714</v>
      </c>
      <c r="M143" s="463"/>
      <c r="N143" s="463"/>
      <c r="O143" s="445" t="s">
        <v>650</v>
      </c>
      <c r="P143" s="447">
        <v>1290</v>
      </c>
      <c r="Q143" s="451">
        <v>215</v>
      </c>
      <c r="R143" s="447">
        <v>0.30919999999999997</v>
      </c>
      <c r="S143" s="447">
        <v>1.1000000000000001</v>
      </c>
      <c r="T143" s="447">
        <v>398.86799999999999</v>
      </c>
      <c r="U143" s="447">
        <v>1419</v>
      </c>
      <c r="V143" s="447">
        <v>51.85</v>
      </c>
      <c r="W143" s="447">
        <v>106.06</v>
      </c>
      <c r="X143" s="447">
        <v>343</v>
      </c>
      <c r="Y143" s="858">
        <v>136811.72</v>
      </c>
    </row>
    <row r="144" spans="1:25" ht="14.45" customHeight="1" x14ac:dyDescent="0.25">
      <c r="A144" s="722" t="s">
        <v>4678</v>
      </c>
      <c r="B144" s="723">
        <v>78</v>
      </c>
      <c r="C144" s="723"/>
      <c r="D144" s="724" t="s">
        <v>34</v>
      </c>
      <c r="E144" s="724" t="s">
        <v>19</v>
      </c>
      <c r="F144" s="725">
        <v>44994</v>
      </c>
      <c r="G144" s="725"/>
      <c r="H144" s="724" t="s">
        <v>23</v>
      </c>
      <c r="I144" s="441"/>
      <c r="J144" s="442"/>
      <c r="K144" s="720">
        <v>419</v>
      </c>
      <c r="L144" s="744">
        <v>15.527092857142858</v>
      </c>
      <c r="M144" s="767"/>
      <c r="N144" s="767"/>
      <c r="O144" s="728" t="s">
        <v>3532</v>
      </c>
      <c r="P144" s="721">
        <v>1277.95</v>
      </c>
      <c r="Q144" s="729">
        <v>419</v>
      </c>
      <c r="R144" s="721">
        <v>0.3402</v>
      </c>
      <c r="S144" s="721">
        <v>1.4530000000000001</v>
      </c>
      <c r="T144" s="721">
        <v>434.7586</v>
      </c>
      <c r="U144" s="721">
        <v>1856.8614</v>
      </c>
      <c r="V144" s="721">
        <v>56.52</v>
      </c>
      <c r="W144" s="721">
        <v>72.459999999999994</v>
      </c>
      <c r="X144" s="721">
        <v>213</v>
      </c>
      <c r="Y144" s="857">
        <v>92603.58</v>
      </c>
    </row>
    <row r="145" spans="1:25" ht="14.45" customHeight="1" x14ac:dyDescent="0.25">
      <c r="A145" s="437" t="s">
        <v>4678</v>
      </c>
      <c r="B145" s="438">
        <v>78</v>
      </c>
      <c r="C145" s="438"/>
      <c r="D145" s="439" t="s">
        <v>34</v>
      </c>
      <c r="E145" s="439" t="s">
        <v>19</v>
      </c>
      <c r="F145" s="440">
        <v>44994</v>
      </c>
      <c r="G145" s="440"/>
      <c r="H145" s="439" t="s">
        <v>23</v>
      </c>
      <c r="I145" s="449"/>
      <c r="J145" s="450"/>
      <c r="K145" s="443">
        <v>480</v>
      </c>
      <c r="L145" s="444">
        <v>6.0651428571428578</v>
      </c>
      <c r="M145" s="463"/>
      <c r="N145" s="463"/>
      <c r="O145" s="445" t="s">
        <v>3509</v>
      </c>
      <c r="P145" s="447">
        <v>1464</v>
      </c>
      <c r="Q145" s="451">
        <v>480</v>
      </c>
      <c r="R145" s="447">
        <v>0.11600000000000001</v>
      </c>
      <c r="S145" s="447">
        <v>0.29399999999999998</v>
      </c>
      <c r="T145" s="447">
        <v>169.82400000000001</v>
      </c>
      <c r="U145" s="447">
        <v>430.416</v>
      </c>
      <c r="V145" s="447">
        <v>22.08</v>
      </c>
      <c r="W145" s="447">
        <v>24.71</v>
      </c>
      <c r="X145" s="447">
        <v>213</v>
      </c>
      <c r="Y145" s="858">
        <v>36172.51</v>
      </c>
    </row>
    <row r="146" spans="1:25" ht="14.45" customHeight="1" x14ac:dyDescent="0.25">
      <c r="A146" s="722" t="s">
        <v>4678</v>
      </c>
      <c r="B146" s="723" t="s">
        <v>3890</v>
      </c>
      <c r="C146" s="723"/>
      <c r="D146" s="724" t="s">
        <v>34</v>
      </c>
      <c r="E146" s="724" t="s">
        <v>16</v>
      </c>
      <c r="F146" s="725">
        <v>44994</v>
      </c>
      <c r="G146" s="725"/>
      <c r="H146" s="724" t="s">
        <v>23</v>
      </c>
      <c r="I146" s="441"/>
      <c r="J146" s="442"/>
      <c r="K146" s="720">
        <v>112</v>
      </c>
      <c r="L146" s="744">
        <v>13.6776</v>
      </c>
      <c r="M146" s="767" t="s">
        <v>3080</v>
      </c>
      <c r="N146" s="767"/>
      <c r="O146" s="728" t="s">
        <v>2581</v>
      </c>
      <c r="P146" s="721">
        <v>672</v>
      </c>
      <c r="Q146" s="729">
        <v>112</v>
      </c>
      <c r="R146" s="721">
        <v>0.56989999999999996</v>
      </c>
      <c r="S146" s="721">
        <v>1.304</v>
      </c>
      <c r="T146" s="721">
        <v>382.97280000000001</v>
      </c>
      <c r="U146" s="721">
        <v>876.28800000000001</v>
      </c>
      <c r="V146" s="721">
        <v>49.79</v>
      </c>
      <c r="W146" s="721">
        <v>249.62</v>
      </c>
      <c r="X146" s="721">
        <v>438</v>
      </c>
      <c r="Y146" s="857">
        <v>167742.09</v>
      </c>
    </row>
    <row r="147" spans="1:25" ht="14.45" customHeight="1" x14ac:dyDescent="0.25">
      <c r="A147" s="437" t="s">
        <v>4678</v>
      </c>
      <c r="B147" s="438" t="s">
        <v>3891</v>
      </c>
      <c r="C147" s="438"/>
      <c r="D147" s="439" t="s">
        <v>34</v>
      </c>
      <c r="E147" s="439" t="s">
        <v>16</v>
      </c>
      <c r="F147" s="440">
        <v>44994</v>
      </c>
      <c r="G147" s="440"/>
      <c r="H147" s="439" t="s">
        <v>23</v>
      </c>
      <c r="I147" s="449"/>
      <c r="J147" s="450"/>
      <c r="K147" s="443">
        <v>92</v>
      </c>
      <c r="L147" s="444">
        <v>3.1365428571428571</v>
      </c>
      <c r="M147" s="463"/>
      <c r="N147" s="463"/>
      <c r="O147" s="445" t="s">
        <v>2845</v>
      </c>
      <c r="P147" s="447">
        <v>552</v>
      </c>
      <c r="Q147" s="451">
        <v>92</v>
      </c>
      <c r="R147" s="447">
        <v>0.15909999999999999</v>
      </c>
      <c r="S147" s="447">
        <v>0.26</v>
      </c>
      <c r="T147" s="447">
        <v>87.8232</v>
      </c>
      <c r="U147" s="447">
        <v>143.52000000000001</v>
      </c>
      <c r="V147" s="447">
        <v>11.42</v>
      </c>
      <c r="W147" s="447">
        <v>69.69</v>
      </c>
      <c r="X147" s="447">
        <v>438</v>
      </c>
      <c r="Y147" s="858">
        <v>38466.559999999998</v>
      </c>
    </row>
    <row r="148" spans="1:25" ht="14.45" customHeight="1" x14ac:dyDescent="0.25">
      <c r="A148" s="722" t="s">
        <v>4678</v>
      </c>
      <c r="B148" s="723" t="s">
        <v>3892</v>
      </c>
      <c r="C148" s="723"/>
      <c r="D148" s="724" t="s">
        <v>34</v>
      </c>
      <c r="E148" s="724" t="s">
        <v>16</v>
      </c>
      <c r="F148" s="725">
        <v>44994</v>
      </c>
      <c r="G148" s="725"/>
      <c r="H148" s="724" t="s">
        <v>23</v>
      </c>
      <c r="I148" s="441"/>
      <c r="J148" s="442"/>
      <c r="K148" s="720">
        <v>98</v>
      </c>
      <c r="L148" s="744">
        <v>7.3457999999999997</v>
      </c>
      <c r="M148" s="767"/>
      <c r="N148" s="767"/>
      <c r="O148" s="728" t="s">
        <v>4213</v>
      </c>
      <c r="P148" s="721">
        <v>588</v>
      </c>
      <c r="Q148" s="729">
        <v>98</v>
      </c>
      <c r="R148" s="721">
        <v>0.3498</v>
      </c>
      <c r="S148" s="721">
        <v>1.425</v>
      </c>
      <c r="T148" s="721">
        <v>205.6824</v>
      </c>
      <c r="U148" s="721">
        <v>837.9</v>
      </c>
      <c r="V148" s="721">
        <v>26.74</v>
      </c>
      <c r="W148" s="721">
        <v>119.98</v>
      </c>
      <c r="X148" s="721">
        <v>343</v>
      </c>
      <c r="Y148" s="857">
        <v>70549.06</v>
      </c>
    </row>
    <row r="149" spans="1:25" ht="14.45" customHeight="1" x14ac:dyDescent="0.25">
      <c r="A149" s="437" t="s">
        <v>4678</v>
      </c>
      <c r="B149" s="438" t="s">
        <v>3893</v>
      </c>
      <c r="C149" s="438"/>
      <c r="D149" s="439" t="s">
        <v>34</v>
      </c>
      <c r="E149" s="439" t="s">
        <v>16</v>
      </c>
      <c r="F149" s="440">
        <v>44994</v>
      </c>
      <c r="G149" s="440"/>
      <c r="H149" s="439" t="s">
        <v>23</v>
      </c>
      <c r="I149" s="449"/>
      <c r="J149" s="450"/>
      <c r="K149" s="443">
        <v>100</v>
      </c>
      <c r="L149" s="444">
        <v>15.175714285714287</v>
      </c>
      <c r="M149" s="463"/>
      <c r="N149" s="463"/>
      <c r="O149" s="445" t="s">
        <v>2469</v>
      </c>
      <c r="P149" s="447">
        <v>600</v>
      </c>
      <c r="Q149" s="451">
        <v>100</v>
      </c>
      <c r="R149" s="447">
        <v>0.70820000000000005</v>
      </c>
      <c r="S149" s="447">
        <v>3.4609999999999999</v>
      </c>
      <c r="T149" s="447">
        <v>424.92</v>
      </c>
      <c r="U149" s="447">
        <v>2076.6</v>
      </c>
      <c r="V149" s="447">
        <v>55.24</v>
      </c>
      <c r="W149" s="447">
        <v>242.91</v>
      </c>
      <c r="X149" s="447">
        <v>343</v>
      </c>
      <c r="Y149" s="858">
        <v>145747.56</v>
      </c>
    </row>
    <row r="150" spans="1:25" ht="14.45" customHeight="1" x14ac:dyDescent="0.25">
      <c r="A150" s="722" t="s">
        <v>4678</v>
      </c>
      <c r="B150" s="723">
        <v>79</v>
      </c>
      <c r="C150" s="723"/>
      <c r="D150" s="724" t="s">
        <v>13</v>
      </c>
      <c r="E150" s="724" t="s">
        <v>3883</v>
      </c>
      <c r="F150" s="725">
        <v>44994</v>
      </c>
      <c r="G150" s="725"/>
      <c r="H150" s="724" t="s">
        <v>23</v>
      </c>
      <c r="I150" s="441"/>
      <c r="J150" s="442"/>
      <c r="K150" s="720">
        <v>76</v>
      </c>
      <c r="L150" s="744">
        <v>10.901521428571428</v>
      </c>
      <c r="M150" s="767"/>
      <c r="N150" s="767"/>
      <c r="O150" s="728" t="s">
        <v>3848</v>
      </c>
      <c r="P150" s="721">
        <v>494</v>
      </c>
      <c r="Q150" s="729">
        <v>76</v>
      </c>
      <c r="R150" s="721">
        <v>0.6179</v>
      </c>
      <c r="S150" s="721">
        <v>2.117</v>
      </c>
      <c r="T150" s="721">
        <v>305.24259999999998</v>
      </c>
      <c r="U150" s="721">
        <v>1045.798</v>
      </c>
      <c r="V150" s="721">
        <v>39.68</v>
      </c>
      <c r="W150" s="721">
        <v>182.28</v>
      </c>
      <c r="X150" s="721">
        <v>295</v>
      </c>
      <c r="Y150" s="857">
        <v>90046.57</v>
      </c>
    </row>
    <row r="151" spans="1:25" ht="14.45" customHeight="1" x14ac:dyDescent="0.25">
      <c r="A151" s="437" t="s">
        <v>4678</v>
      </c>
      <c r="B151" s="438" t="s">
        <v>2648</v>
      </c>
      <c r="C151" s="438"/>
      <c r="D151" s="439" t="s">
        <v>13</v>
      </c>
      <c r="E151" s="439" t="s">
        <v>2265</v>
      </c>
      <c r="F151" s="440">
        <v>44995</v>
      </c>
      <c r="G151" s="440"/>
      <c r="H151" s="439" t="s">
        <v>23</v>
      </c>
      <c r="I151" s="449"/>
      <c r="J151" s="450"/>
      <c r="K151" s="443">
        <v>0</v>
      </c>
      <c r="L151" s="444">
        <v>0</v>
      </c>
      <c r="M151" s="463"/>
      <c r="N151" s="463"/>
      <c r="O151" s="445" t="s">
        <v>296</v>
      </c>
      <c r="P151" s="447" t="s">
        <v>3900</v>
      </c>
      <c r="Q151" s="451"/>
      <c r="R151" s="447"/>
      <c r="S151" s="447"/>
      <c r="T151" s="447"/>
      <c r="U151" s="447"/>
      <c r="V151" s="447"/>
      <c r="W151" s="447"/>
      <c r="X151" s="447"/>
      <c r="Y151" s="858">
        <v>42510</v>
      </c>
    </row>
    <row r="152" spans="1:25" ht="14.45" customHeight="1" x14ac:dyDescent="0.25">
      <c r="A152" s="722" t="s">
        <v>4678</v>
      </c>
      <c r="B152" s="723">
        <v>83</v>
      </c>
      <c r="C152" s="723"/>
      <c r="D152" s="724" t="s">
        <v>13</v>
      </c>
      <c r="E152" s="724" t="s">
        <v>3863</v>
      </c>
      <c r="F152" s="725">
        <v>44995</v>
      </c>
      <c r="G152" s="725"/>
      <c r="H152" s="724" t="s">
        <v>23</v>
      </c>
      <c r="I152" s="441"/>
      <c r="J152" s="442"/>
      <c r="K152" s="720">
        <v>48</v>
      </c>
      <c r="L152" s="744">
        <v>1.782</v>
      </c>
      <c r="M152" s="767"/>
      <c r="N152" s="767"/>
      <c r="O152" s="728" t="s">
        <v>3901</v>
      </c>
      <c r="P152" s="721">
        <v>240</v>
      </c>
      <c r="Q152" s="729">
        <v>48</v>
      </c>
      <c r="R152" s="721">
        <v>0.2079</v>
      </c>
      <c r="S152" s="721">
        <v>0.55600000000000005</v>
      </c>
      <c r="T152" s="721">
        <v>49.896000000000001</v>
      </c>
      <c r="U152" s="721">
        <v>133.44</v>
      </c>
      <c r="V152" s="721">
        <v>6.49</v>
      </c>
      <c r="W152" s="721">
        <v>71.31</v>
      </c>
      <c r="X152" s="721">
        <v>343</v>
      </c>
      <c r="Y152" s="857">
        <v>17114.330000000002</v>
      </c>
    </row>
    <row r="153" spans="1:25" ht="14.45" customHeight="1" x14ac:dyDescent="0.25">
      <c r="A153" s="437" t="s">
        <v>4678</v>
      </c>
      <c r="B153" s="438">
        <v>80</v>
      </c>
      <c r="C153" s="438"/>
      <c r="D153" s="439" t="s">
        <v>34</v>
      </c>
      <c r="E153" s="439" t="s">
        <v>79</v>
      </c>
      <c r="F153" s="440">
        <v>44995</v>
      </c>
      <c r="G153" s="440"/>
      <c r="H153" s="439" t="s">
        <v>23</v>
      </c>
      <c r="I153" s="449"/>
      <c r="J153" s="450"/>
      <c r="K153" s="443">
        <v>50</v>
      </c>
      <c r="L153" s="444">
        <v>2.1675</v>
      </c>
      <c r="M153" s="463"/>
      <c r="N153" s="463"/>
      <c r="O153" s="445" t="s">
        <v>78</v>
      </c>
      <c r="P153" s="447">
        <v>300</v>
      </c>
      <c r="Q153" s="451">
        <v>50</v>
      </c>
      <c r="R153" s="447">
        <v>0.20230000000000001</v>
      </c>
      <c r="S153" s="447">
        <v>0.499</v>
      </c>
      <c r="T153" s="447">
        <v>60.69</v>
      </c>
      <c r="U153" s="447">
        <v>149.69999999999999</v>
      </c>
      <c r="V153" s="447">
        <v>7.89</v>
      </c>
      <c r="W153" s="447">
        <v>69.39</v>
      </c>
      <c r="X153" s="447">
        <v>343</v>
      </c>
      <c r="Y153" s="858">
        <v>20816.669999999998</v>
      </c>
    </row>
    <row r="154" spans="1:25" ht="14.45" customHeight="1" x14ac:dyDescent="0.25">
      <c r="A154" s="722" t="s">
        <v>4678</v>
      </c>
      <c r="B154" s="723">
        <v>81</v>
      </c>
      <c r="C154" s="723"/>
      <c r="D154" s="724" t="s">
        <v>34</v>
      </c>
      <c r="E154" s="724" t="s">
        <v>79</v>
      </c>
      <c r="F154" s="725">
        <v>44995</v>
      </c>
      <c r="G154" s="725"/>
      <c r="H154" s="724" t="s">
        <v>23</v>
      </c>
      <c r="I154" s="441"/>
      <c r="J154" s="442"/>
      <c r="K154" s="720">
        <v>467</v>
      </c>
      <c r="L154" s="744">
        <v>20.244450000000001</v>
      </c>
      <c r="M154" s="767"/>
      <c r="N154" s="767"/>
      <c r="O154" s="728" t="s">
        <v>78</v>
      </c>
      <c r="P154" s="721">
        <v>2802</v>
      </c>
      <c r="Q154" s="729">
        <v>467</v>
      </c>
      <c r="R154" s="721">
        <v>0.20230000000000001</v>
      </c>
      <c r="S154" s="721">
        <v>0.499</v>
      </c>
      <c r="T154" s="721">
        <v>566.84460000000001</v>
      </c>
      <c r="U154" s="721">
        <v>1398.1980000000001</v>
      </c>
      <c r="V154" s="721">
        <v>73.69</v>
      </c>
      <c r="W154" s="721">
        <v>49.16</v>
      </c>
      <c r="X154" s="721">
        <v>243</v>
      </c>
      <c r="Y154" s="857">
        <v>137743.24</v>
      </c>
    </row>
    <row r="155" spans="1:25" ht="14.45" customHeight="1" x14ac:dyDescent="0.25">
      <c r="A155" s="437" t="s">
        <v>4678</v>
      </c>
      <c r="B155" s="438" t="s">
        <v>3894</v>
      </c>
      <c r="C155" s="438"/>
      <c r="D155" s="439" t="s">
        <v>13</v>
      </c>
      <c r="E155" s="439" t="s">
        <v>289</v>
      </c>
      <c r="F155" s="440">
        <v>44995</v>
      </c>
      <c r="G155" s="440"/>
      <c r="H155" s="439" t="s">
        <v>23</v>
      </c>
      <c r="I155" s="449"/>
      <c r="J155" s="450"/>
      <c r="K155" s="443">
        <v>0</v>
      </c>
      <c r="L155" s="444">
        <v>0</v>
      </c>
      <c r="M155" s="463"/>
      <c r="N155" s="463"/>
      <c r="O155" s="445" t="s">
        <v>177</v>
      </c>
      <c r="P155" s="447"/>
      <c r="Q155" s="451"/>
      <c r="R155" s="447"/>
      <c r="S155" s="447"/>
      <c r="T155" s="447"/>
      <c r="U155" s="447"/>
      <c r="V155" s="447"/>
      <c r="W155" s="447"/>
      <c r="X155" s="447"/>
      <c r="Y155" s="858" t="s">
        <v>2003</v>
      </c>
    </row>
    <row r="156" spans="1:25" ht="14.45" customHeight="1" x14ac:dyDescent="0.25">
      <c r="A156" s="722" t="s">
        <v>4678</v>
      </c>
      <c r="B156" s="723" t="s">
        <v>3894</v>
      </c>
      <c r="C156" s="723"/>
      <c r="D156" s="724" t="s">
        <v>13</v>
      </c>
      <c r="E156" s="724" t="s">
        <v>289</v>
      </c>
      <c r="F156" s="725">
        <v>44995</v>
      </c>
      <c r="G156" s="725"/>
      <c r="H156" s="724" t="s">
        <v>23</v>
      </c>
      <c r="I156" s="441"/>
      <c r="J156" s="442"/>
      <c r="K156" s="720">
        <v>0</v>
      </c>
      <c r="L156" s="744">
        <v>0</v>
      </c>
      <c r="M156" s="767"/>
      <c r="N156" s="767"/>
      <c r="O156" s="728" t="s">
        <v>290</v>
      </c>
      <c r="P156" s="721"/>
      <c r="Q156" s="729"/>
      <c r="R156" s="721"/>
      <c r="S156" s="721"/>
      <c r="T156" s="721"/>
      <c r="U156" s="721"/>
      <c r="V156" s="721"/>
      <c r="W156" s="721"/>
      <c r="X156" s="721"/>
      <c r="Y156" s="857" t="s">
        <v>269</v>
      </c>
    </row>
    <row r="157" spans="1:25" ht="14.45" customHeight="1" x14ac:dyDescent="0.25">
      <c r="A157" s="437" t="s">
        <v>4678</v>
      </c>
      <c r="B157" s="438" t="s">
        <v>3894</v>
      </c>
      <c r="C157" s="438"/>
      <c r="D157" s="439" t="s">
        <v>13</v>
      </c>
      <c r="E157" s="439" t="s">
        <v>289</v>
      </c>
      <c r="F157" s="440">
        <v>44995</v>
      </c>
      <c r="G157" s="440"/>
      <c r="H157" s="439" t="s">
        <v>23</v>
      </c>
      <c r="I157" s="449"/>
      <c r="J157" s="450"/>
      <c r="K157" s="443">
        <v>0</v>
      </c>
      <c r="L157" s="444">
        <v>0</v>
      </c>
      <c r="M157" s="463"/>
      <c r="N157" s="463"/>
      <c r="O157" s="445" t="s">
        <v>241</v>
      </c>
      <c r="P157" s="447"/>
      <c r="Q157" s="451"/>
      <c r="R157" s="447"/>
      <c r="S157" s="447"/>
      <c r="T157" s="447"/>
      <c r="U157" s="447"/>
      <c r="V157" s="447"/>
      <c r="W157" s="447"/>
      <c r="X157" s="447"/>
      <c r="Y157" s="858" t="s">
        <v>186</v>
      </c>
    </row>
    <row r="158" spans="1:25" ht="14.45" customHeight="1" x14ac:dyDescent="0.25">
      <c r="A158" s="722" t="s">
        <v>4678</v>
      </c>
      <c r="B158" s="723" t="s">
        <v>3899</v>
      </c>
      <c r="C158" s="723"/>
      <c r="D158" s="724" t="s">
        <v>13</v>
      </c>
      <c r="E158" s="724" t="s">
        <v>1696</v>
      </c>
      <c r="F158" s="725">
        <v>44995</v>
      </c>
      <c r="G158" s="725"/>
      <c r="H158" s="724" t="s">
        <v>23</v>
      </c>
      <c r="I158" s="441"/>
      <c r="J158" s="442"/>
      <c r="K158" s="720">
        <v>238</v>
      </c>
      <c r="L158" s="744">
        <v>0</v>
      </c>
      <c r="M158" s="767"/>
      <c r="N158" s="767"/>
      <c r="O158" s="728" t="s">
        <v>3895</v>
      </c>
      <c r="P158" s="721">
        <v>1428</v>
      </c>
      <c r="Q158" s="729">
        <v>238</v>
      </c>
      <c r="R158" s="721"/>
      <c r="S158" s="721"/>
      <c r="T158" s="721"/>
      <c r="U158" s="721"/>
      <c r="V158" s="721"/>
      <c r="W158" s="721"/>
      <c r="X158" s="721"/>
      <c r="Y158" s="857" t="s">
        <v>3896</v>
      </c>
    </row>
    <row r="159" spans="1:25" ht="14.45" customHeight="1" x14ac:dyDescent="0.25">
      <c r="A159" s="437" t="s">
        <v>4678</v>
      </c>
      <c r="B159" s="438" t="s">
        <v>3899</v>
      </c>
      <c r="C159" s="438"/>
      <c r="D159" s="439" t="s">
        <v>13</v>
      </c>
      <c r="E159" s="439" t="s">
        <v>1696</v>
      </c>
      <c r="F159" s="440">
        <v>44995</v>
      </c>
      <c r="G159" s="440"/>
      <c r="H159" s="439" t="s">
        <v>23</v>
      </c>
      <c r="I159" s="449"/>
      <c r="J159" s="450"/>
      <c r="K159" s="443">
        <v>50</v>
      </c>
      <c r="L159" s="444">
        <v>0</v>
      </c>
      <c r="M159" s="463"/>
      <c r="N159" s="463"/>
      <c r="O159" s="445" t="s">
        <v>2571</v>
      </c>
      <c r="P159" s="447">
        <v>300</v>
      </c>
      <c r="Q159" s="451">
        <v>50</v>
      </c>
      <c r="R159" s="447"/>
      <c r="S159" s="447"/>
      <c r="T159" s="447"/>
      <c r="U159" s="447"/>
      <c r="V159" s="447"/>
      <c r="W159" s="447"/>
      <c r="X159" s="447"/>
      <c r="Y159" s="858" t="s">
        <v>3897</v>
      </c>
    </row>
    <row r="160" spans="1:25" ht="14.45" customHeight="1" x14ac:dyDescent="0.25">
      <c r="A160" s="722" t="s">
        <v>4678</v>
      </c>
      <c r="B160" s="723" t="s">
        <v>3899</v>
      </c>
      <c r="C160" s="723"/>
      <c r="D160" s="724" t="s">
        <v>13</v>
      </c>
      <c r="E160" s="724" t="s">
        <v>1696</v>
      </c>
      <c r="F160" s="725">
        <v>44995</v>
      </c>
      <c r="G160" s="725"/>
      <c r="H160" s="724" t="s">
        <v>23</v>
      </c>
      <c r="I160" s="441"/>
      <c r="J160" s="442"/>
      <c r="K160" s="720">
        <v>10</v>
      </c>
      <c r="L160" s="744">
        <v>0</v>
      </c>
      <c r="M160" s="767"/>
      <c r="N160" s="767"/>
      <c r="O160" s="728" t="s">
        <v>3294</v>
      </c>
      <c r="P160" s="721">
        <v>60</v>
      </c>
      <c r="Q160" s="729">
        <v>10</v>
      </c>
      <c r="R160" s="721"/>
      <c r="S160" s="721"/>
      <c r="T160" s="721"/>
      <c r="U160" s="721"/>
      <c r="V160" s="721"/>
      <c r="W160" s="721"/>
      <c r="X160" s="721"/>
      <c r="Y160" s="857" t="s">
        <v>3898</v>
      </c>
    </row>
    <row r="161" spans="1:25" ht="14.45" customHeight="1" x14ac:dyDescent="0.25">
      <c r="A161" s="437" t="s">
        <v>4678</v>
      </c>
      <c r="B161" s="438" t="s">
        <v>3899</v>
      </c>
      <c r="C161" s="438"/>
      <c r="D161" s="439" t="s">
        <v>13</v>
      </c>
      <c r="E161" s="439" t="s">
        <v>1696</v>
      </c>
      <c r="F161" s="440">
        <v>44995</v>
      </c>
      <c r="G161" s="440"/>
      <c r="H161" s="439" t="s">
        <v>23</v>
      </c>
      <c r="I161" s="449"/>
      <c r="J161" s="450"/>
      <c r="K161" s="443">
        <v>30</v>
      </c>
      <c r="L161" s="444">
        <v>0</v>
      </c>
      <c r="M161" s="463"/>
      <c r="N161" s="463"/>
      <c r="O161" s="445" t="s">
        <v>1921</v>
      </c>
      <c r="P161" s="447">
        <v>180</v>
      </c>
      <c r="Q161" s="451">
        <v>30</v>
      </c>
      <c r="R161" s="447"/>
      <c r="S161" s="447"/>
      <c r="T161" s="447"/>
      <c r="U161" s="447"/>
      <c r="V161" s="447"/>
      <c r="W161" s="447"/>
      <c r="X161" s="447"/>
      <c r="Y161" s="858" t="s">
        <v>1711</v>
      </c>
    </row>
    <row r="162" spans="1:25" ht="14.45" customHeight="1" x14ac:dyDescent="0.25">
      <c r="A162" s="722" t="s">
        <v>4678</v>
      </c>
      <c r="B162" s="723">
        <v>82</v>
      </c>
      <c r="C162" s="723"/>
      <c r="D162" s="724" t="s">
        <v>13</v>
      </c>
      <c r="E162" s="724" t="s">
        <v>3764</v>
      </c>
      <c r="F162" s="725">
        <v>44995</v>
      </c>
      <c r="G162" s="725"/>
      <c r="H162" s="724" t="s">
        <v>23</v>
      </c>
      <c r="I162" s="441"/>
      <c r="J162" s="442"/>
      <c r="K162" s="720">
        <v>535</v>
      </c>
      <c r="L162" s="744">
        <v>8.8592178571428573</v>
      </c>
      <c r="M162" s="767"/>
      <c r="N162" s="767"/>
      <c r="O162" s="728" t="s">
        <v>2841</v>
      </c>
      <c r="P162" s="721">
        <v>2594.75</v>
      </c>
      <c r="Q162" s="729">
        <v>535</v>
      </c>
      <c r="R162" s="721">
        <v>9.5600000000000004E-2</v>
      </c>
      <c r="S162" s="721">
        <v>0.16</v>
      </c>
      <c r="T162" s="721">
        <v>248.0581</v>
      </c>
      <c r="U162" s="721">
        <v>415.16</v>
      </c>
      <c r="V162" s="721">
        <v>32.25</v>
      </c>
      <c r="W162" s="721">
        <v>29.54</v>
      </c>
      <c r="X162" s="721">
        <v>309</v>
      </c>
      <c r="Y162" s="857">
        <v>76649.95</v>
      </c>
    </row>
    <row r="163" spans="1:25" ht="14.45" customHeight="1" x14ac:dyDescent="0.25">
      <c r="A163" s="437" t="s">
        <v>4678</v>
      </c>
      <c r="B163" s="438">
        <v>85</v>
      </c>
      <c r="C163" s="438"/>
      <c r="D163" s="439" t="s">
        <v>13</v>
      </c>
      <c r="E163" s="439" t="s">
        <v>625</v>
      </c>
      <c r="F163" s="440">
        <v>44998</v>
      </c>
      <c r="G163" s="440"/>
      <c r="H163" s="439" t="s">
        <v>23</v>
      </c>
      <c r="I163" s="449"/>
      <c r="J163" s="450"/>
      <c r="K163" s="443">
        <v>844</v>
      </c>
      <c r="L163" s="444">
        <v>9.2056285714285728</v>
      </c>
      <c r="M163" s="463"/>
      <c r="N163" s="463"/>
      <c r="O163" s="445" t="s">
        <v>1686</v>
      </c>
      <c r="P163" s="447">
        <v>2532</v>
      </c>
      <c r="Q163" s="451">
        <v>844</v>
      </c>
      <c r="R163" s="447">
        <v>0.1018</v>
      </c>
      <c r="S163" s="447">
        <v>0.26600000000000001</v>
      </c>
      <c r="T163" s="447">
        <v>257.75760000000002</v>
      </c>
      <c r="U163" s="447">
        <v>673.51199999999994</v>
      </c>
      <c r="V163" s="447">
        <v>33.51</v>
      </c>
      <c r="W163" s="447">
        <v>24.74</v>
      </c>
      <c r="X163" s="447">
        <v>243</v>
      </c>
      <c r="Y163" s="858">
        <v>62635.1</v>
      </c>
    </row>
    <row r="164" spans="1:25" ht="14.45" customHeight="1" x14ac:dyDescent="0.25">
      <c r="A164" s="722" t="s">
        <v>4678</v>
      </c>
      <c r="B164" s="723">
        <v>84</v>
      </c>
      <c r="C164" s="723"/>
      <c r="D164" s="724" t="s">
        <v>34</v>
      </c>
      <c r="E164" s="724" t="s">
        <v>19</v>
      </c>
      <c r="F164" s="725">
        <v>44998</v>
      </c>
      <c r="G164" s="725"/>
      <c r="H164" s="724" t="s">
        <v>23</v>
      </c>
      <c r="I164" s="441"/>
      <c r="J164" s="442"/>
      <c r="K164" s="720">
        <v>106</v>
      </c>
      <c r="L164" s="744">
        <v>3.9280964285714286</v>
      </c>
      <c r="M164" s="767"/>
      <c r="N164" s="767"/>
      <c r="O164" s="728" t="s">
        <v>3532</v>
      </c>
      <c r="P164" s="721">
        <v>323.3</v>
      </c>
      <c r="Q164" s="729">
        <v>106</v>
      </c>
      <c r="R164" s="721">
        <v>0.3402</v>
      </c>
      <c r="S164" s="721">
        <v>1.4530000000000001</v>
      </c>
      <c r="T164" s="721">
        <v>109.9867</v>
      </c>
      <c r="U164" s="721">
        <v>469.75490000000002</v>
      </c>
      <c r="V164" s="721">
        <v>14.3</v>
      </c>
      <c r="W164" s="721">
        <v>72.459999999999994</v>
      </c>
      <c r="X164" s="721">
        <v>213</v>
      </c>
      <c r="Y164" s="857">
        <v>23427.16</v>
      </c>
    </row>
    <row r="165" spans="1:25" ht="14.45" customHeight="1" x14ac:dyDescent="0.25">
      <c r="A165" s="437" t="s">
        <v>4678</v>
      </c>
      <c r="B165" s="438">
        <v>86</v>
      </c>
      <c r="C165" s="438"/>
      <c r="D165" s="439" t="s">
        <v>34</v>
      </c>
      <c r="E165" s="439" t="s">
        <v>328</v>
      </c>
      <c r="F165" s="440">
        <v>44998</v>
      </c>
      <c r="G165" s="440"/>
      <c r="H165" s="439" t="s">
        <v>23</v>
      </c>
      <c r="I165" s="449"/>
      <c r="J165" s="450"/>
      <c r="K165" s="443">
        <v>43</v>
      </c>
      <c r="L165" s="444">
        <v>2.8490571428571427</v>
      </c>
      <c r="M165" s="463"/>
      <c r="N165" s="463"/>
      <c r="O165" s="445" t="s">
        <v>650</v>
      </c>
      <c r="P165" s="447">
        <v>258</v>
      </c>
      <c r="Q165" s="451">
        <v>43</v>
      </c>
      <c r="R165" s="447">
        <v>0.30919999999999997</v>
      </c>
      <c r="S165" s="447">
        <v>1.1000000000000001</v>
      </c>
      <c r="T165" s="447">
        <v>79.773600000000002</v>
      </c>
      <c r="U165" s="447">
        <v>283.8</v>
      </c>
      <c r="V165" s="447">
        <v>10.37</v>
      </c>
      <c r="W165" s="447">
        <v>106.06</v>
      </c>
      <c r="X165" s="447">
        <v>343</v>
      </c>
      <c r="Y165" s="858">
        <v>27362.34</v>
      </c>
    </row>
    <row r="166" spans="1:25" ht="14.45" customHeight="1" x14ac:dyDescent="0.25">
      <c r="A166" s="722" t="s">
        <v>4678</v>
      </c>
      <c r="B166" s="723">
        <v>87</v>
      </c>
      <c r="C166" s="723"/>
      <c r="D166" s="724" t="s">
        <v>34</v>
      </c>
      <c r="E166" s="724" t="s">
        <v>3863</v>
      </c>
      <c r="F166" s="725">
        <v>44998</v>
      </c>
      <c r="G166" s="725"/>
      <c r="H166" s="724" t="s">
        <v>23</v>
      </c>
      <c r="I166" s="441"/>
      <c r="J166" s="442"/>
      <c r="K166" s="720">
        <v>36</v>
      </c>
      <c r="L166" s="744">
        <v>1.3364999999999998</v>
      </c>
      <c r="M166" s="767"/>
      <c r="N166" s="767"/>
      <c r="O166" s="728" t="s">
        <v>3901</v>
      </c>
      <c r="P166" s="721">
        <v>180</v>
      </c>
      <c r="Q166" s="729">
        <v>36</v>
      </c>
      <c r="R166" s="721">
        <v>0.2079</v>
      </c>
      <c r="S166" s="721">
        <v>0.55600000000000005</v>
      </c>
      <c r="T166" s="721">
        <v>37.421999999999997</v>
      </c>
      <c r="U166" s="721">
        <v>100.08</v>
      </c>
      <c r="V166" s="721">
        <v>4.8600000000000003</v>
      </c>
      <c r="W166" s="721">
        <v>71.31</v>
      </c>
      <c r="X166" s="721">
        <v>343</v>
      </c>
      <c r="Y166" s="857">
        <v>12835.8</v>
      </c>
    </row>
    <row r="167" spans="1:25" ht="14.45" customHeight="1" x14ac:dyDescent="0.25">
      <c r="A167" s="437" t="s">
        <v>4678</v>
      </c>
      <c r="B167" s="438" t="s">
        <v>2702</v>
      </c>
      <c r="C167" s="438"/>
      <c r="D167" s="439" t="s">
        <v>13</v>
      </c>
      <c r="E167" s="439" t="s">
        <v>3918</v>
      </c>
      <c r="F167" s="440">
        <v>44999</v>
      </c>
      <c r="G167" s="440"/>
      <c r="H167" s="439" t="s">
        <v>23</v>
      </c>
      <c r="I167" s="449"/>
      <c r="J167" s="450"/>
      <c r="K167" s="443">
        <v>0</v>
      </c>
      <c r="L167" s="444">
        <v>0</v>
      </c>
      <c r="M167" s="463"/>
      <c r="N167" s="463"/>
      <c r="O167" s="453" t="s">
        <v>3915</v>
      </c>
      <c r="P167" s="447">
        <v>192</v>
      </c>
      <c r="Q167" s="451"/>
      <c r="R167" s="447"/>
      <c r="S167" s="447"/>
      <c r="T167" s="447"/>
      <c r="U167" s="447"/>
      <c r="V167" s="447"/>
      <c r="W167" s="447"/>
      <c r="X167" s="447"/>
      <c r="Y167" s="858" t="s">
        <v>2891</v>
      </c>
    </row>
    <row r="168" spans="1:25" ht="14.45" customHeight="1" x14ac:dyDescent="0.25">
      <c r="A168" s="722" t="s">
        <v>4678</v>
      </c>
      <c r="B168" s="723" t="s">
        <v>2702</v>
      </c>
      <c r="C168" s="723"/>
      <c r="D168" s="724" t="s">
        <v>13</v>
      </c>
      <c r="E168" s="724" t="s">
        <v>3918</v>
      </c>
      <c r="F168" s="725">
        <v>44999</v>
      </c>
      <c r="G168" s="725"/>
      <c r="H168" s="724" t="s">
        <v>23</v>
      </c>
      <c r="I168" s="441"/>
      <c r="J168" s="442"/>
      <c r="K168" s="720">
        <v>0</v>
      </c>
      <c r="L168" s="744">
        <v>0</v>
      </c>
      <c r="M168" s="767"/>
      <c r="N168" s="767"/>
      <c r="O168" s="784" t="s">
        <v>3916</v>
      </c>
      <c r="P168" s="721">
        <v>96</v>
      </c>
      <c r="Q168" s="729"/>
      <c r="R168" s="721"/>
      <c r="S168" s="721"/>
      <c r="T168" s="721"/>
      <c r="U168" s="721"/>
      <c r="V168" s="721"/>
      <c r="W168" s="721"/>
      <c r="X168" s="721"/>
      <c r="Y168" s="857" t="s">
        <v>2928</v>
      </c>
    </row>
    <row r="169" spans="1:25" ht="14.45" customHeight="1" x14ac:dyDescent="0.25">
      <c r="A169" s="437" t="s">
        <v>4678</v>
      </c>
      <c r="B169" s="438" t="s">
        <v>2702</v>
      </c>
      <c r="C169" s="438"/>
      <c r="D169" s="439" t="s">
        <v>13</v>
      </c>
      <c r="E169" s="439" t="s">
        <v>3918</v>
      </c>
      <c r="F169" s="440">
        <v>44999</v>
      </c>
      <c r="G169" s="440"/>
      <c r="H169" s="439" t="s">
        <v>23</v>
      </c>
      <c r="I169" s="449"/>
      <c r="J169" s="450"/>
      <c r="K169" s="443">
        <v>0</v>
      </c>
      <c r="L169" s="444">
        <v>0</v>
      </c>
      <c r="M169" s="463"/>
      <c r="N169" s="463"/>
      <c r="O169" s="453" t="s">
        <v>3917</v>
      </c>
      <c r="P169" s="447">
        <v>140</v>
      </c>
      <c r="Q169" s="451"/>
      <c r="R169" s="447"/>
      <c r="S169" s="447"/>
      <c r="T169" s="447"/>
      <c r="U169" s="447"/>
      <c r="V169" s="447"/>
      <c r="W169" s="447"/>
      <c r="X169" s="447"/>
      <c r="Y169" s="858" t="s">
        <v>2928</v>
      </c>
    </row>
    <row r="170" spans="1:25" ht="14.45" customHeight="1" x14ac:dyDescent="0.25">
      <c r="A170" s="722" t="s">
        <v>4678</v>
      </c>
      <c r="B170" s="723" t="s">
        <v>2667</v>
      </c>
      <c r="C170" s="723"/>
      <c r="D170" s="724" t="s">
        <v>13</v>
      </c>
      <c r="E170" s="724" t="s">
        <v>516</v>
      </c>
      <c r="F170" s="725">
        <v>45000</v>
      </c>
      <c r="G170" s="725"/>
      <c r="H170" s="724" t="s">
        <v>23</v>
      </c>
      <c r="I170" s="441"/>
      <c r="J170" s="442"/>
      <c r="K170" s="720">
        <v>0</v>
      </c>
      <c r="L170" s="744">
        <v>0</v>
      </c>
      <c r="M170" s="767"/>
      <c r="N170" s="767"/>
      <c r="O170" s="784" t="s">
        <v>3913</v>
      </c>
      <c r="P170" s="721">
        <v>318</v>
      </c>
      <c r="Q170" s="729"/>
      <c r="R170" s="721"/>
      <c r="S170" s="721"/>
      <c r="T170" s="721"/>
      <c r="U170" s="721"/>
      <c r="V170" s="721"/>
      <c r="W170" s="721"/>
      <c r="X170" s="721"/>
      <c r="Y170" s="857" t="s">
        <v>3914</v>
      </c>
    </row>
    <row r="171" spans="1:25" ht="14.45" customHeight="1" x14ac:dyDescent="0.25">
      <c r="A171" s="437" t="s">
        <v>4678</v>
      </c>
      <c r="B171" s="438" t="s">
        <v>3909</v>
      </c>
      <c r="C171" s="438"/>
      <c r="D171" s="439" t="s">
        <v>13</v>
      </c>
      <c r="E171" s="439" t="s">
        <v>3791</v>
      </c>
      <c r="F171" s="440">
        <v>45000</v>
      </c>
      <c r="G171" s="440"/>
      <c r="H171" s="439" t="s">
        <v>23</v>
      </c>
      <c r="I171" s="449"/>
      <c r="J171" s="450"/>
      <c r="K171" s="443">
        <v>300</v>
      </c>
      <c r="L171" s="444">
        <v>0</v>
      </c>
      <c r="M171" s="463" t="s">
        <v>3908</v>
      </c>
      <c r="N171" s="463"/>
      <c r="O171" s="453" t="s">
        <v>3790</v>
      </c>
      <c r="P171" s="447">
        <v>1500</v>
      </c>
      <c r="Q171" s="451">
        <v>300</v>
      </c>
      <c r="R171" s="447"/>
      <c r="S171" s="447"/>
      <c r="T171" s="447"/>
      <c r="U171" s="447"/>
      <c r="V171" s="447"/>
      <c r="W171" s="447"/>
      <c r="X171" s="447"/>
      <c r="Y171" s="858" t="s">
        <v>3907</v>
      </c>
    </row>
    <row r="172" spans="1:25" ht="14.45" customHeight="1" x14ac:dyDescent="0.25">
      <c r="A172" s="722" t="s">
        <v>4678</v>
      </c>
      <c r="B172" s="723" t="s">
        <v>2693</v>
      </c>
      <c r="C172" s="723"/>
      <c r="D172" s="724" t="s">
        <v>13</v>
      </c>
      <c r="E172" s="724" t="s">
        <v>43</v>
      </c>
      <c r="F172" s="725">
        <v>45000</v>
      </c>
      <c r="G172" s="725"/>
      <c r="H172" s="724" t="s">
        <v>23</v>
      </c>
      <c r="I172" s="441"/>
      <c r="J172" s="442"/>
      <c r="K172" s="720">
        <v>0</v>
      </c>
      <c r="L172" s="744">
        <v>0</v>
      </c>
      <c r="M172" s="767"/>
      <c r="N172" s="767"/>
      <c r="O172" s="784" t="s">
        <v>3911</v>
      </c>
      <c r="P172" s="721">
        <v>24</v>
      </c>
      <c r="Q172" s="729"/>
      <c r="R172" s="721"/>
      <c r="S172" s="721"/>
      <c r="T172" s="721"/>
      <c r="U172" s="721"/>
      <c r="V172" s="721"/>
      <c r="W172" s="721"/>
      <c r="X172" s="721"/>
      <c r="Y172" s="857" t="s">
        <v>3912</v>
      </c>
    </row>
    <row r="173" spans="1:25" ht="14.45" customHeight="1" x14ac:dyDescent="0.25">
      <c r="A173" s="437" t="s">
        <v>4678</v>
      </c>
      <c r="B173" s="438">
        <v>91</v>
      </c>
      <c r="C173" s="438"/>
      <c r="D173" s="439" t="s">
        <v>13</v>
      </c>
      <c r="E173" s="439" t="s">
        <v>3925</v>
      </c>
      <c r="F173" s="440">
        <v>45000</v>
      </c>
      <c r="G173" s="440"/>
      <c r="H173" s="439" t="s">
        <v>23</v>
      </c>
      <c r="I173" s="449"/>
      <c r="J173" s="450"/>
      <c r="K173" s="443">
        <v>56</v>
      </c>
      <c r="L173" s="444">
        <v>3.5712000000000002</v>
      </c>
      <c r="M173" s="463" t="s">
        <v>3910</v>
      </c>
      <c r="N173" s="463"/>
      <c r="O173" s="453" t="s">
        <v>3528</v>
      </c>
      <c r="P173" s="447">
        <v>336</v>
      </c>
      <c r="Q173" s="451">
        <v>56</v>
      </c>
      <c r="R173" s="447">
        <v>0.29759999999999998</v>
      </c>
      <c r="S173" s="447">
        <v>0.67600000000000005</v>
      </c>
      <c r="T173" s="447">
        <v>99.993600000000001</v>
      </c>
      <c r="U173" s="447">
        <v>227.136</v>
      </c>
      <c r="V173" s="447">
        <v>13</v>
      </c>
      <c r="W173" s="447">
        <v>87.79</v>
      </c>
      <c r="X173" s="447">
        <v>295</v>
      </c>
      <c r="Y173" s="858">
        <v>29498.11</v>
      </c>
    </row>
    <row r="174" spans="1:25" ht="14.45" customHeight="1" x14ac:dyDescent="0.25">
      <c r="A174" s="722" t="s">
        <v>4678</v>
      </c>
      <c r="B174" s="723">
        <v>92</v>
      </c>
      <c r="C174" s="723"/>
      <c r="D174" s="724" t="s">
        <v>13</v>
      </c>
      <c r="E174" s="724" t="s">
        <v>3925</v>
      </c>
      <c r="F174" s="725">
        <v>45000</v>
      </c>
      <c r="G174" s="725"/>
      <c r="H174" s="724" t="s">
        <v>23</v>
      </c>
      <c r="I174" s="441"/>
      <c r="J174" s="442"/>
      <c r="K174" s="720">
        <v>2</v>
      </c>
      <c r="L174" s="744">
        <v>0.13285714285714287</v>
      </c>
      <c r="M174" s="767" t="s">
        <v>3879</v>
      </c>
      <c r="N174" s="767"/>
      <c r="O174" s="784" t="s">
        <v>3685</v>
      </c>
      <c r="P174" s="721">
        <v>12</v>
      </c>
      <c r="Q174" s="729">
        <v>2</v>
      </c>
      <c r="R174" s="721">
        <v>0.31</v>
      </c>
      <c r="S174" s="721">
        <v>1.2010000000000001</v>
      </c>
      <c r="T174" s="721">
        <v>3.72</v>
      </c>
      <c r="U174" s="721">
        <v>14.412000000000001</v>
      </c>
      <c r="V174" s="721">
        <v>0.48</v>
      </c>
      <c r="W174" s="721">
        <v>91.45</v>
      </c>
      <c r="X174" s="721">
        <v>295</v>
      </c>
      <c r="Y174" s="857">
        <v>1097.4000000000001</v>
      </c>
    </row>
    <row r="175" spans="1:25" ht="14.45" customHeight="1" x14ac:dyDescent="0.25">
      <c r="A175" s="437" t="s">
        <v>4678</v>
      </c>
      <c r="B175" s="438" t="s">
        <v>2694</v>
      </c>
      <c r="C175" s="438"/>
      <c r="D175" s="439" t="s">
        <v>13</v>
      </c>
      <c r="E175" s="439" t="s">
        <v>516</v>
      </c>
      <c r="F175" s="440">
        <v>45001</v>
      </c>
      <c r="G175" s="440"/>
      <c r="H175" s="439" t="s">
        <v>23</v>
      </c>
      <c r="I175" s="449"/>
      <c r="J175" s="450"/>
      <c r="K175" s="443">
        <v>0</v>
      </c>
      <c r="L175" s="444">
        <v>0</v>
      </c>
      <c r="M175" s="463"/>
      <c r="N175" s="463"/>
      <c r="O175" s="453" t="s">
        <v>3913</v>
      </c>
      <c r="P175" s="447">
        <v>348</v>
      </c>
      <c r="Q175" s="451"/>
      <c r="R175" s="447"/>
      <c r="S175" s="447"/>
      <c r="T175" s="447"/>
      <c r="U175" s="447"/>
      <c r="V175" s="447"/>
      <c r="W175" s="447"/>
      <c r="X175" s="447"/>
      <c r="Y175" s="858" t="s">
        <v>3914</v>
      </c>
    </row>
    <row r="176" spans="1:25" ht="14.45" customHeight="1" x14ac:dyDescent="0.25">
      <c r="A176" s="722" t="s">
        <v>4678</v>
      </c>
      <c r="B176" s="723">
        <v>93</v>
      </c>
      <c r="C176" s="723"/>
      <c r="D176" s="724" t="s">
        <v>13</v>
      </c>
      <c r="E176" s="724" t="s">
        <v>2973</v>
      </c>
      <c r="F176" s="725">
        <v>45001</v>
      </c>
      <c r="G176" s="725"/>
      <c r="H176" s="724" t="s">
        <v>23</v>
      </c>
      <c r="I176" s="441"/>
      <c r="J176" s="442"/>
      <c r="K176" s="720">
        <v>103</v>
      </c>
      <c r="L176" s="744">
        <v>12.015464285714286</v>
      </c>
      <c r="M176" s="844"/>
      <c r="N176" s="844"/>
      <c r="O176" s="784" t="s">
        <v>1751</v>
      </c>
      <c r="P176" s="721">
        <v>504.7</v>
      </c>
      <c r="Q176" s="729">
        <v>103</v>
      </c>
      <c r="R176" s="721">
        <v>0.66659999999999997</v>
      </c>
      <c r="S176" s="721">
        <v>1.994</v>
      </c>
      <c r="T176" s="721">
        <v>336.43299999999999</v>
      </c>
      <c r="U176" s="721">
        <v>1006.3718</v>
      </c>
      <c r="V176" s="721">
        <v>43.74</v>
      </c>
      <c r="W176" s="721">
        <v>228.64</v>
      </c>
      <c r="X176" s="721">
        <v>343</v>
      </c>
      <c r="Y176" s="857">
        <v>115396.53</v>
      </c>
    </row>
    <row r="177" spans="1:25" ht="14.45" customHeight="1" x14ac:dyDescent="0.25">
      <c r="A177" s="437" t="s">
        <v>4678</v>
      </c>
      <c r="B177" s="438">
        <v>93</v>
      </c>
      <c r="C177" s="438"/>
      <c r="D177" s="439" t="s">
        <v>13</v>
      </c>
      <c r="E177" s="439" t="s">
        <v>2973</v>
      </c>
      <c r="F177" s="440">
        <v>45001</v>
      </c>
      <c r="G177" s="440"/>
      <c r="H177" s="439" t="s">
        <v>23</v>
      </c>
      <c r="I177" s="449"/>
      <c r="J177" s="450"/>
      <c r="K177" s="443">
        <v>112</v>
      </c>
      <c r="L177" s="444">
        <v>7.6969214285714287</v>
      </c>
      <c r="M177" s="463"/>
      <c r="N177" s="463"/>
      <c r="O177" s="453" t="s">
        <v>1863</v>
      </c>
      <c r="P177" s="447">
        <v>548.79999999999995</v>
      </c>
      <c r="Q177" s="451">
        <v>112</v>
      </c>
      <c r="R177" s="447">
        <v>0.39269999999999999</v>
      </c>
      <c r="S177" s="447">
        <v>0.872</v>
      </c>
      <c r="T177" s="447">
        <v>215.5138</v>
      </c>
      <c r="U177" s="447">
        <v>478.55360000000002</v>
      </c>
      <c r="V177" s="447">
        <v>28.02</v>
      </c>
      <c r="W177" s="447">
        <v>134.69999999999999</v>
      </c>
      <c r="X177" s="447">
        <v>343</v>
      </c>
      <c r="Y177" s="858">
        <v>73923.360000000001</v>
      </c>
    </row>
    <row r="178" spans="1:25" ht="14.45" customHeight="1" x14ac:dyDescent="0.25">
      <c r="A178" s="722" t="s">
        <v>4678</v>
      </c>
      <c r="B178" s="723">
        <v>93</v>
      </c>
      <c r="C178" s="723"/>
      <c r="D178" s="724" t="s">
        <v>13</v>
      </c>
      <c r="E178" s="724" t="s">
        <v>2973</v>
      </c>
      <c r="F178" s="725">
        <v>45001</v>
      </c>
      <c r="G178" s="725"/>
      <c r="H178" s="724" t="s">
        <v>23</v>
      </c>
      <c r="I178" s="441"/>
      <c r="J178" s="442"/>
      <c r="K178" s="720">
        <v>200</v>
      </c>
      <c r="L178" s="744">
        <v>8.6449999999999996</v>
      </c>
      <c r="M178" s="767"/>
      <c r="N178" s="767"/>
      <c r="O178" s="784" t="s">
        <v>1753</v>
      </c>
      <c r="P178" s="721">
        <v>980</v>
      </c>
      <c r="Q178" s="729">
        <v>200</v>
      </c>
      <c r="R178" s="721">
        <v>0.247</v>
      </c>
      <c r="S178" s="721">
        <v>0.498</v>
      </c>
      <c r="T178" s="721">
        <v>242.06</v>
      </c>
      <c r="U178" s="721">
        <v>488.04</v>
      </c>
      <c r="V178" s="721">
        <v>31.47</v>
      </c>
      <c r="W178" s="721">
        <v>84.72</v>
      </c>
      <c r="X178" s="721">
        <v>343</v>
      </c>
      <c r="Y178" s="857">
        <v>83026.58</v>
      </c>
    </row>
    <row r="179" spans="1:25" ht="14.45" customHeight="1" x14ac:dyDescent="0.25">
      <c r="A179" s="437" t="s">
        <v>4678</v>
      </c>
      <c r="B179" s="438" t="s">
        <v>3921</v>
      </c>
      <c r="C179" s="438"/>
      <c r="D179" s="439" t="s">
        <v>13</v>
      </c>
      <c r="E179" s="439" t="s">
        <v>3762</v>
      </c>
      <c r="F179" s="440">
        <v>45005</v>
      </c>
      <c r="G179" s="440"/>
      <c r="H179" s="439" t="s">
        <v>23</v>
      </c>
      <c r="I179" s="449"/>
      <c r="J179" s="450"/>
      <c r="K179" s="443">
        <v>169</v>
      </c>
      <c r="L179" s="444">
        <v>0</v>
      </c>
      <c r="M179" s="463"/>
      <c r="N179" s="463"/>
      <c r="O179" s="453" t="s">
        <v>3244</v>
      </c>
      <c r="P179" s="447"/>
      <c r="Q179" s="451">
        <v>169</v>
      </c>
      <c r="R179" s="447" t="s">
        <v>3920</v>
      </c>
      <c r="S179" s="447"/>
      <c r="T179" s="447"/>
      <c r="U179" s="447"/>
      <c r="V179" s="447"/>
      <c r="W179" s="447"/>
      <c r="X179" s="447"/>
      <c r="Y179" s="858" t="s">
        <v>3914</v>
      </c>
    </row>
    <row r="180" spans="1:25" ht="14.45" customHeight="1" x14ac:dyDescent="0.25">
      <c r="A180" s="722" t="s">
        <v>4678</v>
      </c>
      <c r="B180" s="723" t="s">
        <v>2720</v>
      </c>
      <c r="C180" s="723"/>
      <c r="D180" s="724" t="s">
        <v>13</v>
      </c>
      <c r="E180" s="723" t="s">
        <v>3765</v>
      </c>
      <c r="F180" s="725">
        <v>45005</v>
      </c>
      <c r="G180" s="725"/>
      <c r="H180" s="724" t="s">
        <v>23</v>
      </c>
      <c r="I180" s="441"/>
      <c r="J180" s="442"/>
      <c r="K180" s="720">
        <v>12</v>
      </c>
      <c r="L180" s="744">
        <v>0</v>
      </c>
      <c r="M180" s="767"/>
      <c r="N180" s="767"/>
      <c r="O180" s="784" t="s">
        <v>3238</v>
      </c>
      <c r="P180" s="721"/>
      <c r="Q180" s="729">
        <v>12</v>
      </c>
      <c r="R180" s="721"/>
      <c r="S180" s="721"/>
      <c r="T180" s="721"/>
      <c r="U180" s="721"/>
      <c r="V180" s="721"/>
      <c r="W180" s="721"/>
      <c r="X180" s="721"/>
      <c r="Y180" s="857" t="s">
        <v>3922</v>
      </c>
    </row>
    <row r="181" spans="1:25" ht="14.45" customHeight="1" x14ac:dyDescent="0.25">
      <c r="A181" s="437" t="s">
        <v>4678</v>
      </c>
      <c r="B181" s="438" t="s">
        <v>3923</v>
      </c>
      <c r="C181" s="438"/>
      <c r="D181" s="439" t="s">
        <v>13</v>
      </c>
      <c r="E181" s="438" t="s">
        <v>3765</v>
      </c>
      <c r="F181" s="440">
        <v>45005</v>
      </c>
      <c r="G181" s="440"/>
      <c r="H181" s="439" t="s">
        <v>23</v>
      </c>
      <c r="I181" s="449"/>
      <c r="J181" s="450"/>
      <c r="K181" s="443">
        <v>0</v>
      </c>
      <c r="L181" s="444">
        <v>0</v>
      </c>
      <c r="M181" s="463"/>
      <c r="N181" s="463"/>
      <c r="O181" s="453" t="s">
        <v>3512</v>
      </c>
      <c r="P181" s="447"/>
      <c r="Q181" s="451"/>
      <c r="R181" s="447"/>
      <c r="S181" s="447"/>
      <c r="T181" s="447"/>
      <c r="U181" s="447"/>
      <c r="V181" s="447"/>
      <c r="W181" s="447"/>
      <c r="X181" s="447"/>
      <c r="Y181" s="858" t="s">
        <v>2849</v>
      </c>
    </row>
    <row r="182" spans="1:25" ht="14.45" customHeight="1" x14ac:dyDescent="0.25">
      <c r="A182" s="722" t="s">
        <v>4678</v>
      </c>
      <c r="B182" s="723" t="s">
        <v>2729</v>
      </c>
      <c r="C182" s="723"/>
      <c r="D182" s="724" t="s">
        <v>34</v>
      </c>
      <c r="E182" s="724" t="s">
        <v>576</v>
      </c>
      <c r="F182" s="725">
        <v>45008</v>
      </c>
      <c r="G182" s="725"/>
      <c r="H182" s="724" t="s">
        <v>23</v>
      </c>
      <c r="I182" s="441"/>
      <c r="J182" s="442"/>
      <c r="K182" s="720">
        <v>571</v>
      </c>
      <c r="L182" s="744">
        <v>0</v>
      </c>
      <c r="M182" s="767" t="s">
        <v>3926</v>
      </c>
      <c r="N182" s="767"/>
      <c r="O182" s="728" t="s">
        <v>859</v>
      </c>
      <c r="P182" s="721">
        <v>3483.1</v>
      </c>
      <c r="Q182" s="729">
        <v>571</v>
      </c>
      <c r="R182" s="721"/>
      <c r="S182" s="721"/>
      <c r="T182" s="721"/>
      <c r="U182" s="721"/>
      <c r="V182" s="721"/>
      <c r="W182" s="721"/>
      <c r="X182" s="721"/>
      <c r="Y182" s="857" t="s">
        <v>3924</v>
      </c>
    </row>
    <row r="183" spans="1:25" ht="14.45" customHeight="1" x14ac:dyDescent="0.25">
      <c r="A183" s="437" t="s">
        <v>4678</v>
      </c>
      <c r="B183" s="438">
        <v>97</v>
      </c>
      <c r="C183" s="438"/>
      <c r="D183" s="439" t="s">
        <v>13</v>
      </c>
      <c r="E183" s="439" t="s">
        <v>3819</v>
      </c>
      <c r="F183" s="440">
        <v>45009</v>
      </c>
      <c r="G183" s="440"/>
      <c r="H183" s="439" t="s">
        <v>23</v>
      </c>
      <c r="I183" s="449"/>
      <c r="J183" s="450"/>
      <c r="K183" s="443">
        <v>114</v>
      </c>
      <c r="L183" s="444">
        <v>16.352282142857142</v>
      </c>
      <c r="M183" s="463" t="s">
        <v>559</v>
      </c>
      <c r="N183" s="463"/>
      <c r="O183" s="445" t="s">
        <v>3848</v>
      </c>
      <c r="P183" s="447">
        <v>741</v>
      </c>
      <c r="Q183" s="451">
        <v>114</v>
      </c>
      <c r="R183" s="447">
        <v>0.6179</v>
      </c>
      <c r="S183" s="447">
        <v>2.117</v>
      </c>
      <c r="T183" s="447">
        <v>457.8639</v>
      </c>
      <c r="U183" s="447">
        <v>1568.6969999999999</v>
      </c>
      <c r="V183" s="447">
        <v>59.52</v>
      </c>
      <c r="W183" s="447">
        <v>182.28</v>
      </c>
      <c r="X183" s="447">
        <v>295</v>
      </c>
      <c r="Y183" s="858">
        <v>135069.85</v>
      </c>
    </row>
    <row r="184" spans="1:25" ht="14.45" customHeight="1" x14ac:dyDescent="0.25">
      <c r="A184" s="722" t="s">
        <v>4678</v>
      </c>
      <c r="B184" s="723">
        <v>101</v>
      </c>
      <c r="C184" s="723"/>
      <c r="D184" s="724" t="s">
        <v>13</v>
      </c>
      <c r="E184" s="724" t="s">
        <v>3819</v>
      </c>
      <c r="F184" s="725">
        <v>45009</v>
      </c>
      <c r="G184" s="725"/>
      <c r="H184" s="724" t="s">
        <v>23</v>
      </c>
      <c r="I184" s="441"/>
      <c r="J184" s="442"/>
      <c r="K184" s="720">
        <v>144</v>
      </c>
      <c r="L184" s="744">
        <v>5.9801142857142855</v>
      </c>
      <c r="M184" s="767"/>
      <c r="N184" s="767"/>
      <c r="O184" s="728" t="s">
        <v>4699</v>
      </c>
      <c r="P184" s="721">
        <v>864</v>
      </c>
      <c r="Q184" s="729">
        <v>144</v>
      </c>
      <c r="R184" s="721">
        <v>0.1938</v>
      </c>
      <c r="S184" s="721">
        <v>0.63600000000000001</v>
      </c>
      <c r="T184" s="721">
        <v>167.44319999999999</v>
      </c>
      <c r="U184" s="721">
        <v>549.50400000000002</v>
      </c>
      <c r="V184" s="721">
        <v>21.77</v>
      </c>
      <c r="W184" s="721">
        <v>57.17</v>
      </c>
      <c r="X184" s="721">
        <v>295</v>
      </c>
      <c r="Y184" s="857">
        <v>49395.74</v>
      </c>
    </row>
    <row r="185" spans="1:25" ht="14.45" customHeight="1" x14ac:dyDescent="0.25">
      <c r="A185" s="437" t="s">
        <v>4678</v>
      </c>
      <c r="B185" s="438">
        <v>100</v>
      </c>
      <c r="C185" s="438"/>
      <c r="D185" s="439" t="s">
        <v>13</v>
      </c>
      <c r="E185" s="439" t="s">
        <v>3925</v>
      </c>
      <c r="F185" s="440">
        <v>45009</v>
      </c>
      <c r="G185" s="440"/>
      <c r="H185" s="439" t="s">
        <v>23</v>
      </c>
      <c r="I185" s="449"/>
      <c r="J185" s="450"/>
      <c r="K185" s="443">
        <v>54</v>
      </c>
      <c r="L185" s="444">
        <v>6.9336000000000002</v>
      </c>
      <c r="M185" s="463" t="s">
        <v>3940</v>
      </c>
      <c r="N185" s="463"/>
      <c r="O185" s="445" t="s">
        <v>4702</v>
      </c>
      <c r="P185" s="447">
        <v>324</v>
      </c>
      <c r="Q185" s="451">
        <v>54</v>
      </c>
      <c r="R185" s="447">
        <v>0.59919999999999995</v>
      </c>
      <c r="S185" s="447">
        <v>2.5739999999999998</v>
      </c>
      <c r="T185" s="447">
        <v>194.14080000000001</v>
      </c>
      <c r="U185" s="447">
        <v>833.976</v>
      </c>
      <c r="V185" s="447">
        <v>25.24</v>
      </c>
      <c r="W185" s="447">
        <v>176.76</v>
      </c>
      <c r="X185" s="447">
        <v>295</v>
      </c>
      <c r="Y185" s="858">
        <v>57271.54</v>
      </c>
    </row>
    <row r="186" spans="1:25" ht="14.45" customHeight="1" x14ac:dyDescent="0.25">
      <c r="A186" s="722" t="s">
        <v>4678</v>
      </c>
      <c r="B186" s="723">
        <v>102</v>
      </c>
      <c r="C186" s="723"/>
      <c r="D186" s="724" t="s">
        <v>13</v>
      </c>
      <c r="E186" s="724" t="s">
        <v>3925</v>
      </c>
      <c r="F186" s="725">
        <v>45009</v>
      </c>
      <c r="G186" s="725"/>
      <c r="H186" s="724" t="s">
        <v>23</v>
      </c>
      <c r="I186" s="441"/>
      <c r="J186" s="442"/>
      <c r="K186" s="720">
        <v>130</v>
      </c>
      <c r="L186" s="744">
        <v>8.290285714285714</v>
      </c>
      <c r="M186" s="767"/>
      <c r="N186" s="767"/>
      <c r="O186" s="728" t="s">
        <v>3528</v>
      </c>
      <c r="P186" s="721">
        <v>780</v>
      </c>
      <c r="Q186" s="729">
        <v>130</v>
      </c>
      <c r="R186" s="721">
        <v>0.29759999999999998</v>
      </c>
      <c r="S186" s="721">
        <v>0.67600000000000005</v>
      </c>
      <c r="T186" s="721">
        <v>232.12799999999999</v>
      </c>
      <c r="U186" s="721">
        <v>527.28</v>
      </c>
      <c r="V186" s="721">
        <v>30.18</v>
      </c>
      <c r="W186" s="721">
        <v>87.79</v>
      </c>
      <c r="X186" s="721">
        <v>295</v>
      </c>
      <c r="Y186" s="857">
        <v>68477.759999999995</v>
      </c>
    </row>
    <row r="187" spans="1:25" ht="14.45" customHeight="1" x14ac:dyDescent="0.25">
      <c r="A187" s="437" t="s">
        <v>4678</v>
      </c>
      <c r="B187" s="438">
        <v>99</v>
      </c>
      <c r="C187" s="438"/>
      <c r="D187" s="439" t="s">
        <v>13</v>
      </c>
      <c r="E187" s="439" t="s">
        <v>1433</v>
      </c>
      <c r="F187" s="440">
        <v>45009</v>
      </c>
      <c r="G187" s="440"/>
      <c r="H187" s="439" t="s">
        <v>23</v>
      </c>
      <c r="I187" s="449"/>
      <c r="J187" s="450"/>
      <c r="K187" s="443">
        <v>91</v>
      </c>
      <c r="L187" s="444">
        <v>8.0418000000000003</v>
      </c>
      <c r="M187" s="463"/>
      <c r="N187" s="463"/>
      <c r="O187" s="445" t="s">
        <v>1472</v>
      </c>
      <c r="P187" s="447">
        <v>546</v>
      </c>
      <c r="Q187" s="451">
        <v>91</v>
      </c>
      <c r="R187" s="447">
        <v>0.41239999999999999</v>
      </c>
      <c r="S187" s="447">
        <v>1.1619999999999999</v>
      </c>
      <c r="T187" s="447">
        <v>225.1704</v>
      </c>
      <c r="U187" s="447">
        <v>634.452</v>
      </c>
      <c r="V187" s="447">
        <v>29.27</v>
      </c>
      <c r="W187" s="447">
        <v>141.44999999999999</v>
      </c>
      <c r="X187" s="447">
        <v>343</v>
      </c>
      <c r="Y187" s="858">
        <v>77231.7</v>
      </c>
    </row>
    <row r="188" spans="1:25" ht="14.45" customHeight="1" x14ac:dyDescent="0.25">
      <c r="A188" s="722" t="s">
        <v>4678</v>
      </c>
      <c r="B188" s="723">
        <v>98</v>
      </c>
      <c r="C188" s="723"/>
      <c r="D188" s="724" t="s">
        <v>13</v>
      </c>
      <c r="E188" s="724" t="s">
        <v>3764</v>
      </c>
      <c r="F188" s="725">
        <v>45009</v>
      </c>
      <c r="G188" s="725"/>
      <c r="H188" s="724" t="s">
        <v>23</v>
      </c>
      <c r="I188" s="441"/>
      <c r="J188" s="442"/>
      <c r="K188" s="720">
        <v>121</v>
      </c>
      <c r="L188" s="744">
        <v>2.0036749999999999</v>
      </c>
      <c r="M188" s="767"/>
      <c r="N188" s="767"/>
      <c r="O188" s="728" t="s">
        <v>2841</v>
      </c>
      <c r="P188" s="721">
        <v>586.85</v>
      </c>
      <c r="Q188" s="729">
        <v>121</v>
      </c>
      <c r="R188" s="721">
        <v>9.5600000000000004E-2</v>
      </c>
      <c r="S188" s="721">
        <v>0.16</v>
      </c>
      <c r="T188" s="721">
        <v>56.102899999999998</v>
      </c>
      <c r="U188" s="721">
        <v>93.896000000000001</v>
      </c>
      <c r="V188" s="721">
        <v>7.29</v>
      </c>
      <c r="W188" s="721">
        <v>29.54</v>
      </c>
      <c r="X188" s="721">
        <v>309</v>
      </c>
      <c r="Y188" s="857">
        <v>17335.78</v>
      </c>
    </row>
    <row r="189" spans="1:25" ht="14.45" customHeight="1" x14ac:dyDescent="0.25">
      <c r="A189" s="437" t="s">
        <v>4678</v>
      </c>
      <c r="B189" s="438">
        <v>105</v>
      </c>
      <c r="C189" s="438"/>
      <c r="D189" s="439" t="s">
        <v>13</v>
      </c>
      <c r="E189" s="439" t="s">
        <v>28</v>
      </c>
      <c r="F189" s="440">
        <v>45013</v>
      </c>
      <c r="G189" s="440"/>
      <c r="H189" s="439" t="s">
        <v>23</v>
      </c>
      <c r="I189" s="449"/>
      <c r="J189" s="450"/>
      <c r="K189" s="443">
        <v>189</v>
      </c>
      <c r="L189" s="444">
        <v>6.0466499999999996</v>
      </c>
      <c r="M189" s="463"/>
      <c r="N189" s="463"/>
      <c r="O189" s="445" t="s">
        <v>104</v>
      </c>
      <c r="P189" s="447">
        <v>1134</v>
      </c>
      <c r="Q189" s="451">
        <v>189</v>
      </c>
      <c r="R189" s="447">
        <v>0.14929999999999999</v>
      </c>
      <c r="S189" s="447">
        <v>0.56599999999999995</v>
      </c>
      <c r="T189" s="447">
        <v>169.30619999999999</v>
      </c>
      <c r="U189" s="447">
        <v>641.84400000000005</v>
      </c>
      <c r="V189" s="447">
        <v>22.01</v>
      </c>
      <c r="W189" s="447">
        <v>51.21</v>
      </c>
      <c r="X189" s="447">
        <v>343</v>
      </c>
      <c r="Y189" s="858">
        <v>58072.03</v>
      </c>
    </row>
    <row r="190" spans="1:25" ht="14.45" customHeight="1" x14ac:dyDescent="0.25">
      <c r="A190" s="722" t="s">
        <v>4678</v>
      </c>
      <c r="B190" s="723" t="s">
        <v>3927</v>
      </c>
      <c r="C190" s="723"/>
      <c r="D190" s="724" t="s">
        <v>34</v>
      </c>
      <c r="E190" s="724" t="s">
        <v>16</v>
      </c>
      <c r="F190" s="725">
        <v>45013</v>
      </c>
      <c r="G190" s="725"/>
      <c r="H190" s="724" t="s">
        <v>23</v>
      </c>
      <c r="I190" s="441"/>
      <c r="J190" s="442"/>
      <c r="K190" s="720">
        <v>168</v>
      </c>
      <c r="L190" s="744">
        <v>10.789199999999999</v>
      </c>
      <c r="M190" s="767" t="s">
        <v>3941</v>
      </c>
      <c r="N190" s="767"/>
      <c r="O190" s="728" t="s">
        <v>2423</v>
      </c>
      <c r="P190" s="721">
        <v>1008</v>
      </c>
      <c r="Q190" s="729">
        <v>168</v>
      </c>
      <c r="R190" s="721">
        <v>0.29970000000000002</v>
      </c>
      <c r="S190" s="721">
        <v>1.6739999999999999</v>
      </c>
      <c r="T190" s="721">
        <v>302.0976</v>
      </c>
      <c r="U190" s="721">
        <v>1687.3920000000001</v>
      </c>
      <c r="V190" s="721">
        <v>39.270000000000003</v>
      </c>
      <c r="W190" s="721">
        <v>102.8</v>
      </c>
      <c r="X190" s="721">
        <v>343</v>
      </c>
      <c r="Y190" s="857">
        <v>103619.48</v>
      </c>
    </row>
    <row r="191" spans="1:25" ht="14.45" customHeight="1" x14ac:dyDescent="0.25">
      <c r="A191" s="437" t="s">
        <v>4678</v>
      </c>
      <c r="B191" s="438">
        <v>107</v>
      </c>
      <c r="C191" s="438"/>
      <c r="D191" s="439" t="s">
        <v>13</v>
      </c>
      <c r="E191" s="439" t="s">
        <v>531</v>
      </c>
      <c r="F191" s="440">
        <v>45013</v>
      </c>
      <c r="G191" s="440"/>
      <c r="H191" s="439" t="s">
        <v>23</v>
      </c>
      <c r="I191" s="449"/>
      <c r="J191" s="450"/>
      <c r="K191" s="443">
        <v>243</v>
      </c>
      <c r="L191" s="444">
        <v>3.9302214285714285</v>
      </c>
      <c r="M191" s="463"/>
      <c r="N191" s="463"/>
      <c r="O191" s="445" t="s">
        <v>3928</v>
      </c>
      <c r="P191" s="447">
        <v>692.55</v>
      </c>
      <c r="Q191" s="451">
        <v>243</v>
      </c>
      <c r="R191" s="447">
        <v>0.15890000000000001</v>
      </c>
      <c r="S191" s="447">
        <v>0.76500000000000001</v>
      </c>
      <c r="T191" s="447">
        <v>110.0462</v>
      </c>
      <c r="U191" s="447">
        <v>529.80079999999998</v>
      </c>
      <c r="V191" s="447">
        <v>14.31</v>
      </c>
      <c r="W191" s="447">
        <v>59.59</v>
      </c>
      <c r="X191" s="447">
        <v>375</v>
      </c>
      <c r="Y191" s="858">
        <v>41267.32</v>
      </c>
    </row>
    <row r="192" spans="1:25" ht="14.45" customHeight="1" x14ac:dyDescent="0.25">
      <c r="A192" s="722" t="s">
        <v>4678</v>
      </c>
      <c r="B192" s="723">
        <v>109</v>
      </c>
      <c r="C192" s="723"/>
      <c r="D192" s="724" t="s">
        <v>13</v>
      </c>
      <c r="E192" s="724" t="s">
        <v>3925</v>
      </c>
      <c r="F192" s="725">
        <v>45013</v>
      </c>
      <c r="G192" s="725"/>
      <c r="H192" s="724" t="s">
        <v>23</v>
      </c>
      <c r="I192" s="441"/>
      <c r="J192" s="442"/>
      <c r="K192" s="720">
        <v>73</v>
      </c>
      <c r="L192" s="744">
        <v>6.6012857142857149</v>
      </c>
      <c r="M192" s="767" t="s">
        <v>4703</v>
      </c>
      <c r="N192" s="767"/>
      <c r="O192" s="728" t="s">
        <v>3511</v>
      </c>
      <c r="P192" s="721">
        <v>438</v>
      </c>
      <c r="Q192" s="729">
        <v>73</v>
      </c>
      <c r="R192" s="721">
        <v>0.42199999999999999</v>
      </c>
      <c r="S192" s="721">
        <v>1.389</v>
      </c>
      <c r="T192" s="721">
        <v>184.83600000000001</v>
      </c>
      <c r="U192" s="721">
        <v>608.38199999999995</v>
      </c>
      <c r="V192" s="721">
        <v>24.03</v>
      </c>
      <c r="W192" s="721">
        <v>111.83</v>
      </c>
      <c r="X192" s="721">
        <v>265</v>
      </c>
      <c r="Y192" s="857">
        <v>48981.54</v>
      </c>
    </row>
    <row r="193" spans="1:25" ht="14.45" customHeight="1" x14ac:dyDescent="0.25">
      <c r="A193" s="437" t="s">
        <v>4678</v>
      </c>
      <c r="B193" s="438" t="s">
        <v>2758</v>
      </c>
      <c r="C193" s="438"/>
      <c r="D193" s="439" t="s">
        <v>34</v>
      </c>
      <c r="E193" s="439" t="s">
        <v>284</v>
      </c>
      <c r="F193" s="440">
        <v>45015</v>
      </c>
      <c r="G193" s="440"/>
      <c r="H193" s="439" t="s">
        <v>23</v>
      </c>
      <c r="I193" s="449"/>
      <c r="J193" s="450"/>
      <c r="K193" s="443">
        <v>0</v>
      </c>
      <c r="L193" s="444">
        <v>0</v>
      </c>
      <c r="M193" s="463"/>
      <c r="N193" s="463"/>
      <c r="O193" s="445" t="s">
        <v>3929</v>
      </c>
      <c r="P193" s="447"/>
      <c r="Q193" s="451"/>
      <c r="R193" s="447"/>
      <c r="S193" s="447"/>
      <c r="T193" s="447"/>
      <c r="U193" s="447"/>
      <c r="V193" s="447"/>
      <c r="W193" s="447"/>
      <c r="X193" s="447"/>
      <c r="Y193" s="858" t="s">
        <v>3932</v>
      </c>
    </row>
    <row r="194" spans="1:25" ht="14.45" customHeight="1" x14ac:dyDescent="0.25">
      <c r="A194" s="722" t="s">
        <v>4678</v>
      </c>
      <c r="B194" s="723" t="s">
        <v>2758</v>
      </c>
      <c r="C194" s="723"/>
      <c r="D194" s="724" t="s">
        <v>34</v>
      </c>
      <c r="E194" s="724" t="s">
        <v>284</v>
      </c>
      <c r="F194" s="725">
        <v>45015</v>
      </c>
      <c r="G194" s="725"/>
      <c r="H194" s="724" t="s">
        <v>23</v>
      </c>
      <c r="I194" s="441"/>
      <c r="J194" s="442"/>
      <c r="K194" s="720">
        <v>0</v>
      </c>
      <c r="L194" s="744">
        <v>0</v>
      </c>
      <c r="M194" s="767"/>
      <c r="N194" s="767"/>
      <c r="O194" s="728" t="s">
        <v>3930</v>
      </c>
      <c r="P194" s="721"/>
      <c r="Q194" s="729"/>
      <c r="R194" s="721"/>
      <c r="S194" s="721"/>
      <c r="T194" s="721"/>
      <c r="U194" s="721"/>
      <c r="V194" s="721"/>
      <c r="W194" s="721"/>
      <c r="X194" s="721"/>
      <c r="Y194" s="857" t="s">
        <v>3933</v>
      </c>
    </row>
    <row r="195" spans="1:25" ht="14.45" customHeight="1" x14ac:dyDescent="0.25">
      <c r="A195" s="437" t="s">
        <v>4678</v>
      </c>
      <c r="B195" s="438" t="s">
        <v>2758</v>
      </c>
      <c r="C195" s="438"/>
      <c r="D195" s="439" t="s">
        <v>34</v>
      </c>
      <c r="E195" s="439" t="s">
        <v>284</v>
      </c>
      <c r="F195" s="440">
        <v>45015</v>
      </c>
      <c r="G195" s="440"/>
      <c r="H195" s="439" t="s">
        <v>23</v>
      </c>
      <c r="I195" s="449"/>
      <c r="J195" s="450"/>
      <c r="K195" s="443">
        <v>0</v>
      </c>
      <c r="L195" s="444">
        <v>0</v>
      </c>
      <c r="M195" s="463"/>
      <c r="N195" s="463"/>
      <c r="O195" s="445" t="s">
        <v>3866</v>
      </c>
      <c r="P195" s="447"/>
      <c r="Q195" s="451"/>
      <c r="R195" s="447"/>
      <c r="S195" s="447"/>
      <c r="T195" s="447"/>
      <c r="U195" s="447"/>
      <c r="V195" s="447"/>
      <c r="W195" s="447"/>
      <c r="X195" s="447"/>
      <c r="Y195" s="858" t="s">
        <v>3934</v>
      </c>
    </row>
    <row r="196" spans="1:25" ht="14.45" customHeight="1" x14ac:dyDescent="0.25">
      <c r="A196" s="722" t="s">
        <v>4678</v>
      </c>
      <c r="B196" s="723" t="s">
        <v>2758</v>
      </c>
      <c r="C196" s="723"/>
      <c r="D196" s="724" t="s">
        <v>34</v>
      </c>
      <c r="E196" s="724" t="s">
        <v>284</v>
      </c>
      <c r="F196" s="725">
        <v>45015</v>
      </c>
      <c r="G196" s="725"/>
      <c r="H196" s="724" t="s">
        <v>23</v>
      </c>
      <c r="I196" s="441"/>
      <c r="J196" s="442"/>
      <c r="K196" s="720">
        <v>0</v>
      </c>
      <c r="L196" s="744">
        <v>0</v>
      </c>
      <c r="M196" s="767"/>
      <c r="N196" s="767"/>
      <c r="O196" s="728" t="s">
        <v>3864</v>
      </c>
      <c r="P196" s="721"/>
      <c r="Q196" s="729"/>
      <c r="R196" s="721"/>
      <c r="S196" s="721"/>
      <c r="T196" s="721"/>
      <c r="U196" s="721"/>
      <c r="V196" s="721"/>
      <c r="W196" s="721"/>
      <c r="X196" s="721"/>
      <c r="Y196" s="857" t="s">
        <v>3935</v>
      </c>
    </row>
    <row r="197" spans="1:25" ht="14.45" customHeight="1" x14ac:dyDescent="0.25">
      <c r="A197" s="437" t="s">
        <v>4678</v>
      </c>
      <c r="B197" s="438" t="s">
        <v>2758</v>
      </c>
      <c r="C197" s="438"/>
      <c r="D197" s="439" t="s">
        <v>34</v>
      </c>
      <c r="E197" s="439" t="s">
        <v>284</v>
      </c>
      <c r="F197" s="440">
        <v>45015</v>
      </c>
      <c r="G197" s="440"/>
      <c r="H197" s="439" t="s">
        <v>23</v>
      </c>
      <c r="I197" s="449"/>
      <c r="J197" s="450"/>
      <c r="K197" s="443">
        <v>0</v>
      </c>
      <c r="L197" s="444">
        <v>0</v>
      </c>
      <c r="M197" s="463"/>
      <c r="N197" s="463"/>
      <c r="O197" s="445" t="s">
        <v>3867</v>
      </c>
      <c r="P197" s="447"/>
      <c r="Q197" s="451"/>
      <c r="R197" s="447"/>
      <c r="S197" s="447"/>
      <c r="T197" s="447"/>
      <c r="U197" s="447"/>
      <c r="V197" s="447"/>
      <c r="W197" s="447"/>
      <c r="X197" s="447"/>
      <c r="Y197" s="858" t="s">
        <v>3936</v>
      </c>
    </row>
    <row r="198" spans="1:25" ht="14.45" customHeight="1" x14ac:dyDescent="0.25">
      <c r="A198" s="722" t="s">
        <v>4678</v>
      </c>
      <c r="B198" s="723" t="s">
        <v>2758</v>
      </c>
      <c r="C198" s="723"/>
      <c r="D198" s="724" t="s">
        <v>34</v>
      </c>
      <c r="E198" s="724" t="s">
        <v>284</v>
      </c>
      <c r="F198" s="725">
        <v>45015</v>
      </c>
      <c r="G198" s="725"/>
      <c r="H198" s="724" t="s">
        <v>23</v>
      </c>
      <c r="I198" s="441"/>
      <c r="J198" s="442"/>
      <c r="K198" s="720">
        <v>0</v>
      </c>
      <c r="L198" s="744">
        <v>0</v>
      </c>
      <c r="M198" s="767"/>
      <c r="N198" s="767"/>
      <c r="O198" s="728" t="s">
        <v>3931</v>
      </c>
      <c r="P198" s="721"/>
      <c r="Q198" s="729"/>
      <c r="R198" s="721"/>
      <c r="S198" s="721"/>
      <c r="T198" s="721"/>
      <c r="U198" s="721"/>
      <c r="V198" s="721"/>
      <c r="W198" s="721"/>
      <c r="X198" s="721"/>
      <c r="Y198" s="857" t="s">
        <v>3937</v>
      </c>
    </row>
    <row r="199" spans="1:25" ht="14.45" customHeight="1" x14ac:dyDescent="0.25">
      <c r="A199" s="437" t="s">
        <v>4678</v>
      </c>
      <c r="B199" s="438" t="s">
        <v>3939</v>
      </c>
      <c r="C199" s="438"/>
      <c r="D199" s="439" t="s">
        <v>13</v>
      </c>
      <c r="E199" s="439" t="s">
        <v>289</v>
      </c>
      <c r="F199" s="440">
        <v>45016</v>
      </c>
      <c r="G199" s="440"/>
      <c r="H199" s="439" t="s">
        <v>23</v>
      </c>
      <c r="I199" s="449"/>
      <c r="J199" s="450"/>
      <c r="K199" s="443">
        <v>0</v>
      </c>
      <c r="L199" s="444">
        <v>0</v>
      </c>
      <c r="M199" s="463" t="s">
        <v>3938</v>
      </c>
      <c r="N199" s="463"/>
      <c r="O199" s="445" t="s">
        <v>177</v>
      </c>
      <c r="P199" s="447"/>
      <c r="Q199" s="451"/>
      <c r="R199" s="447"/>
      <c r="S199" s="447"/>
      <c r="T199" s="447"/>
      <c r="U199" s="447"/>
      <c r="V199" s="447"/>
      <c r="W199" s="447"/>
      <c r="X199" s="447"/>
      <c r="Y199" s="858" t="s">
        <v>2003</v>
      </c>
    </row>
    <row r="200" spans="1:25" ht="14.45" customHeight="1" x14ac:dyDescent="0.25">
      <c r="A200" s="722" t="s">
        <v>4678</v>
      </c>
      <c r="B200" s="723" t="s">
        <v>3939</v>
      </c>
      <c r="C200" s="723"/>
      <c r="D200" s="724" t="s">
        <v>13</v>
      </c>
      <c r="E200" s="724" t="s">
        <v>289</v>
      </c>
      <c r="F200" s="725">
        <v>45016</v>
      </c>
      <c r="G200" s="725"/>
      <c r="H200" s="724" t="s">
        <v>23</v>
      </c>
      <c r="I200" s="441"/>
      <c r="J200" s="442"/>
      <c r="K200" s="720">
        <v>0</v>
      </c>
      <c r="L200" s="744">
        <v>0</v>
      </c>
      <c r="M200" s="767"/>
      <c r="N200" s="767"/>
      <c r="O200" s="728" t="s">
        <v>290</v>
      </c>
      <c r="P200" s="721"/>
      <c r="Q200" s="729"/>
      <c r="R200" s="721"/>
      <c r="S200" s="721"/>
      <c r="T200" s="721"/>
      <c r="U200" s="721"/>
      <c r="V200" s="721"/>
      <c r="W200" s="721"/>
      <c r="X200" s="721"/>
      <c r="Y200" s="857" t="s">
        <v>269</v>
      </c>
    </row>
    <row r="201" spans="1:25" ht="14.45" customHeight="1" x14ac:dyDescent="0.25">
      <c r="A201" s="437" t="s">
        <v>4678</v>
      </c>
      <c r="B201" s="438" t="s">
        <v>3939</v>
      </c>
      <c r="C201" s="438"/>
      <c r="D201" s="439" t="s">
        <v>13</v>
      </c>
      <c r="E201" s="439" t="s">
        <v>289</v>
      </c>
      <c r="F201" s="440">
        <v>45016</v>
      </c>
      <c r="G201" s="440"/>
      <c r="H201" s="439" t="s">
        <v>23</v>
      </c>
      <c r="I201" s="449"/>
      <c r="J201" s="450"/>
      <c r="K201" s="443">
        <v>0</v>
      </c>
      <c r="L201" s="444">
        <v>0</v>
      </c>
      <c r="M201" s="463"/>
      <c r="N201" s="463"/>
      <c r="O201" s="445" t="s">
        <v>241</v>
      </c>
      <c r="P201" s="447"/>
      <c r="Q201" s="451"/>
      <c r="R201" s="447"/>
      <c r="S201" s="447"/>
      <c r="T201" s="447"/>
      <c r="U201" s="447"/>
      <c r="V201" s="447"/>
      <c r="W201" s="447"/>
      <c r="X201" s="447"/>
      <c r="Y201" s="858" t="s">
        <v>186</v>
      </c>
    </row>
    <row r="202" spans="1:25" ht="14.45" customHeight="1" x14ac:dyDescent="0.25">
      <c r="A202" s="722" t="s">
        <v>4678</v>
      </c>
      <c r="B202" s="723">
        <v>110</v>
      </c>
      <c r="C202" s="723"/>
      <c r="D202" s="724" t="s">
        <v>13</v>
      </c>
      <c r="E202" s="724" t="s">
        <v>3819</v>
      </c>
      <c r="F202" s="725">
        <v>45016</v>
      </c>
      <c r="G202" s="725"/>
      <c r="H202" s="724" t="s">
        <v>23</v>
      </c>
      <c r="I202" s="441"/>
      <c r="J202" s="442"/>
      <c r="K202" s="720">
        <v>84</v>
      </c>
      <c r="L202" s="744">
        <v>5.58</v>
      </c>
      <c r="M202" s="767" t="s">
        <v>1173</v>
      </c>
      <c r="N202" s="767"/>
      <c r="O202" s="728" t="s">
        <v>2692</v>
      </c>
      <c r="P202" s="721">
        <v>504</v>
      </c>
      <c r="Q202" s="729">
        <v>84</v>
      </c>
      <c r="R202" s="721">
        <v>0.31</v>
      </c>
      <c r="S202" s="721">
        <v>1.2010000000000001</v>
      </c>
      <c r="T202" s="721">
        <v>156.24</v>
      </c>
      <c r="U202" s="721">
        <v>605.30399999999997</v>
      </c>
      <c r="V202" s="721">
        <v>20.309999999999999</v>
      </c>
      <c r="W202" s="721">
        <v>91.45</v>
      </c>
      <c r="X202" s="721">
        <v>295</v>
      </c>
      <c r="Y202" s="857">
        <v>46090.8</v>
      </c>
    </row>
    <row r="203" spans="1:25" ht="14.45" customHeight="1" x14ac:dyDescent="0.25">
      <c r="A203" s="437" t="s">
        <v>4678</v>
      </c>
      <c r="B203" s="438" t="s">
        <v>3947</v>
      </c>
      <c r="C203" s="438"/>
      <c r="D203" s="439" t="s">
        <v>13</v>
      </c>
      <c r="E203" s="439" t="s">
        <v>516</v>
      </c>
      <c r="F203" s="440">
        <v>45019</v>
      </c>
      <c r="G203" s="440"/>
      <c r="H203" s="439" t="s">
        <v>23</v>
      </c>
      <c r="I203" s="449"/>
      <c r="J203" s="450"/>
      <c r="K203" s="443">
        <v>0</v>
      </c>
      <c r="L203" s="444">
        <v>0</v>
      </c>
      <c r="M203" s="463"/>
      <c r="N203" s="463"/>
      <c r="O203" s="445" t="s">
        <v>3945</v>
      </c>
      <c r="P203" s="447">
        <v>1830</v>
      </c>
      <c r="Q203" s="451"/>
      <c r="R203" s="447"/>
      <c r="S203" s="447"/>
      <c r="T203" s="447"/>
      <c r="U203" s="447"/>
      <c r="V203" s="447"/>
      <c r="W203" s="447"/>
      <c r="X203" s="447"/>
      <c r="Y203" s="858" t="s">
        <v>3946</v>
      </c>
    </row>
    <row r="204" spans="1:25" ht="14.45" customHeight="1" x14ac:dyDescent="0.25">
      <c r="A204" s="722" t="s">
        <v>4678</v>
      </c>
      <c r="B204" s="723">
        <v>113</v>
      </c>
      <c r="C204" s="723"/>
      <c r="D204" s="724" t="s">
        <v>13</v>
      </c>
      <c r="E204" s="724" t="s">
        <v>161</v>
      </c>
      <c r="F204" s="725">
        <v>45019</v>
      </c>
      <c r="G204" s="725"/>
      <c r="H204" s="724" t="s">
        <v>23</v>
      </c>
      <c r="I204" s="441"/>
      <c r="J204" s="442"/>
      <c r="K204" s="720">
        <v>30</v>
      </c>
      <c r="L204" s="744">
        <v>0.95078571428571423</v>
      </c>
      <c r="M204" s="767"/>
      <c r="N204" s="767"/>
      <c r="O204" s="728" t="s">
        <v>3639</v>
      </c>
      <c r="P204" s="721">
        <v>180</v>
      </c>
      <c r="Q204" s="729">
        <v>30</v>
      </c>
      <c r="R204" s="721">
        <v>0.1479</v>
      </c>
      <c r="S204" s="721">
        <v>0.40899999999999997</v>
      </c>
      <c r="T204" s="721">
        <v>26.622</v>
      </c>
      <c r="U204" s="721">
        <v>73.62</v>
      </c>
      <c r="V204" s="721">
        <v>3.46</v>
      </c>
      <c r="W204" s="721">
        <v>50.73</v>
      </c>
      <c r="X204" s="721">
        <v>343</v>
      </c>
      <c r="Y204" s="857">
        <v>9131.35</v>
      </c>
    </row>
    <row r="205" spans="1:25" ht="14.45" customHeight="1" x14ac:dyDescent="0.25">
      <c r="A205" s="437" t="s">
        <v>4678</v>
      </c>
      <c r="B205" s="438">
        <v>114</v>
      </c>
      <c r="C205" s="438"/>
      <c r="D205" s="439" t="s">
        <v>13</v>
      </c>
      <c r="E205" s="439" t="s">
        <v>625</v>
      </c>
      <c r="F205" s="440">
        <v>45020</v>
      </c>
      <c r="G205" s="440"/>
      <c r="H205" s="439" t="s">
        <v>23</v>
      </c>
      <c r="I205" s="449"/>
      <c r="J205" s="450"/>
      <c r="K205" s="443">
        <v>317</v>
      </c>
      <c r="L205" s="444">
        <v>4.1800428571428574</v>
      </c>
      <c r="M205" s="463"/>
      <c r="N205" s="463"/>
      <c r="O205" s="445" t="s">
        <v>3942</v>
      </c>
      <c r="P205" s="447">
        <v>776.65</v>
      </c>
      <c r="Q205" s="451">
        <v>317</v>
      </c>
      <c r="R205" s="447">
        <v>0.1507</v>
      </c>
      <c r="S205" s="447">
        <v>0.39300000000000002</v>
      </c>
      <c r="T205" s="447">
        <v>117.0412</v>
      </c>
      <c r="U205" s="447">
        <v>305.2235</v>
      </c>
      <c r="V205" s="447">
        <v>15.22</v>
      </c>
      <c r="W205" s="447">
        <v>35.409999999999997</v>
      </c>
      <c r="X205" s="447">
        <v>235</v>
      </c>
      <c r="Y205" s="858">
        <v>27504.67</v>
      </c>
    </row>
    <row r="206" spans="1:25" ht="14.45" customHeight="1" x14ac:dyDescent="0.25">
      <c r="A206" s="722" t="s">
        <v>4678</v>
      </c>
      <c r="B206" s="723" t="s">
        <v>3944</v>
      </c>
      <c r="C206" s="723"/>
      <c r="D206" s="724" t="s">
        <v>13</v>
      </c>
      <c r="E206" s="724" t="s">
        <v>480</v>
      </c>
      <c r="F206" s="725">
        <v>45020</v>
      </c>
      <c r="G206" s="725"/>
      <c r="H206" s="724" t="s">
        <v>23</v>
      </c>
      <c r="I206" s="441"/>
      <c r="J206" s="442"/>
      <c r="K206" s="720">
        <v>0</v>
      </c>
      <c r="L206" s="744">
        <v>0</v>
      </c>
      <c r="M206" s="767"/>
      <c r="N206" s="767"/>
      <c r="O206" s="728" t="s">
        <v>481</v>
      </c>
      <c r="P206" s="721">
        <v>312</v>
      </c>
      <c r="Q206" s="729"/>
      <c r="R206" s="721"/>
      <c r="S206" s="721"/>
      <c r="T206" s="721"/>
      <c r="U206" s="721"/>
      <c r="V206" s="721"/>
      <c r="W206" s="721"/>
      <c r="X206" s="721"/>
      <c r="Y206" s="857" t="s">
        <v>3943</v>
      </c>
    </row>
    <row r="207" spans="1:25" ht="14.45" customHeight="1" x14ac:dyDescent="0.25">
      <c r="A207" s="437" t="s">
        <v>4678</v>
      </c>
      <c r="B207" s="438" t="s">
        <v>3953</v>
      </c>
      <c r="C207" s="438"/>
      <c r="D207" s="439" t="s">
        <v>34</v>
      </c>
      <c r="E207" s="439" t="s">
        <v>284</v>
      </c>
      <c r="F207" s="440">
        <v>45021</v>
      </c>
      <c r="G207" s="440"/>
      <c r="H207" s="439" t="s">
        <v>23</v>
      </c>
      <c r="I207" s="449"/>
      <c r="J207" s="450"/>
      <c r="K207" s="443">
        <v>0</v>
      </c>
      <c r="L207" s="444">
        <v>0</v>
      </c>
      <c r="M207" s="463"/>
      <c r="N207" s="463"/>
      <c r="O207" s="445" t="s">
        <v>3868</v>
      </c>
      <c r="P207" s="447">
        <v>84.7</v>
      </c>
      <c r="Q207" s="451"/>
      <c r="R207" s="447"/>
      <c r="S207" s="447"/>
      <c r="T207" s="447"/>
      <c r="U207" s="447"/>
      <c r="V207" s="447"/>
      <c r="W207" s="447"/>
      <c r="X207" s="447"/>
      <c r="Y207" s="858" t="s">
        <v>3952</v>
      </c>
    </row>
    <row r="208" spans="1:25" ht="14.45" customHeight="1" x14ac:dyDescent="0.25">
      <c r="A208" s="722" t="s">
        <v>4678</v>
      </c>
      <c r="B208" s="723" t="s">
        <v>3953</v>
      </c>
      <c r="C208" s="723"/>
      <c r="D208" s="724" t="s">
        <v>34</v>
      </c>
      <c r="E208" s="724" t="s">
        <v>284</v>
      </c>
      <c r="F208" s="725">
        <v>45021</v>
      </c>
      <c r="G208" s="725"/>
      <c r="H208" s="724" t="s">
        <v>23</v>
      </c>
      <c r="I208" s="441"/>
      <c r="J208" s="442"/>
      <c r="K208" s="720">
        <v>0</v>
      </c>
      <c r="L208" s="744">
        <v>0</v>
      </c>
      <c r="M208" s="767"/>
      <c r="N208" s="767"/>
      <c r="O208" s="728" t="s">
        <v>3951</v>
      </c>
      <c r="P208" s="721">
        <v>42.35</v>
      </c>
      <c r="Q208" s="729"/>
      <c r="R208" s="721"/>
      <c r="S208" s="721"/>
      <c r="T208" s="721"/>
      <c r="U208" s="721"/>
      <c r="V208" s="721"/>
      <c r="W208" s="721"/>
      <c r="X208" s="721"/>
      <c r="Y208" s="857" t="s">
        <v>3952</v>
      </c>
    </row>
    <row r="209" spans="1:25" ht="14.45" customHeight="1" x14ac:dyDescent="0.25">
      <c r="A209" s="437" t="s">
        <v>4678</v>
      </c>
      <c r="B209" s="438">
        <v>119</v>
      </c>
      <c r="C209" s="438"/>
      <c r="D209" s="439" t="s">
        <v>13</v>
      </c>
      <c r="E209" s="439" t="s">
        <v>28</v>
      </c>
      <c r="F209" s="440">
        <v>45022</v>
      </c>
      <c r="G209" s="440"/>
      <c r="H209" s="439" t="s">
        <v>23</v>
      </c>
      <c r="I209" s="449"/>
      <c r="J209" s="450"/>
      <c r="K209" s="443">
        <v>80</v>
      </c>
      <c r="L209" s="444">
        <v>2.5594285714285716</v>
      </c>
      <c r="M209" s="463"/>
      <c r="N209" s="463"/>
      <c r="O209" s="445" t="s">
        <v>104</v>
      </c>
      <c r="P209" s="447">
        <v>480</v>
      </c>
      <c r="Q209" s="451">
        <v>80</v>
      </c>
      <c r="R209" s="447">
        <v>0.14929999999999999</v>
      </c>
      <c r="S209" s="447">
        <v>0.56599999999999995</v>
      </c>
      <c r="T209" s="447">
        <v>71.664000000000001</v>
      </c>
      <c r="U209" s="447">
        <v>271.68</v>
      </c>
      <c r="V209" s="447">
        <v>9.32</v>
      </c>
      <c r="W209" s="447">
        <v>51.21</v>
      </c>
      <c r="X209" s="447">
        <v>343</v>
      </c>
      <c r="Y209" s="858">
        <v>24580.75</v>
      </c>
    </row>
    <row r="210" spans="1:25" ht="14.45" customHeight="1" x14ac:dyDescent="0.25">
      <c r="A210" s="722" t="s">
        <v>4678</v>
      </c>
      <c r="B210" s="723">
        <v>121</v>
      </c>
      <c r="C210" s="723"/>
      <c r="D210" s="724" t="s">
        <v>13</v>
      </c>
      <c r="E210" s="724" t="s">
        <v>28</v>
      </c>
      <c r="F210" s="725">
        <v>45022</v>
      </c>
      <c r="G210" s="725"/>
      <c r="H210" s="724" t="s">
        <v>23</v>
      </c>
      <c r="I210" s="441"/>
      <c r="J210" s="442"/>
      <c r="K210" s="720">
        <v>196</v>
      </c>
      <c r="L210" s="744">
        <v>8.4420000000000002</v>
      </c>
      <c r="M210" s="767"/>
      <c r="N210" s="767"/>
      <c r="O210" s="728" t="s">
        <v>3804</v>
      </c>
      <c r="P210" s="721">
        <v>1176</v>
      </c>
      <c r="Q210" s="729">
        <v>196</v>
      </c>
      <c r="R210" s="721">
        <v>0.20100000000000001</v>
      </c>
      <c r="S210" s="721">
        <v>0.41199999999999998</v>
      </c>
      <c r="T210" s="721">
        <v>236.376</v>
      </c>
      <c r="U210" s="721">
        <v>484.512</v>
      </c>
      <c r="V210" s="721">
        <v>30.73</v>
      </c>
      <c r="W210" s="721">
        <v>62.91</v>
      </c>
      <c r="X210" s="721">
        <v>313</v>
      </c>
      <c r="Y210" s="857">
        <v>73985.69</v>
      </c>
    </row>
    <row r="211" spans="1:25" ht="14.45" customHeight="1" x14ac:dyDescent="0.25">
      <c r="A211" s="437" t="s">
        <v>4678</v>
      </c>
      <c r="B211" s="438">
        <v>120</v>
      </c>
      <c r="C211" s="438"/>
      <c r="D211" s="439" t="s">
        <v>34</v>
      </c>
      <c r="E211" s="439" t="s">
        <v>861</v>
      </c>
      <c r="F211" s="440">
        <v>45022</v>
      </c>
      <c r="G211" s="440"/>
      <c r="H211" s="439" t="s">
        <v>23</v>
      </c>
      <c r="I211" s="449"/>
      <c r="J211" s="450"/>
      <c r="K211" s="443">
        <v>384</v>
      </c>
      <c r="L211" s="444">
        <v>38.995200000000004</v>
      </c>
      <c r="M211" s="463"/>
      <c r="N211" s="463"/>
      <c r="O211" s="445" t="s">
        <v>3243</v>
      </c>
      <c r="P211" s="447">
        <v>2304</v>
      </c>
      <c r="Q211" s="451">
        <v>384</v>
      </c>
      <c r="R211" s="447">
        <v>0.47389999999999999</v>
      </c>
      <c r="S211" s="447">
        <v>1.355</v>
      </c>
      <c r="T211" s="447">
        <v>1091.8656000000001</v>
      </c>
      <c r="U211" s="447">
        <v>3121.92</v>
      </c>
      <c r="V211" s="447">
        <v>141.94</v>
      </c>
      <c r="W211" s="447">
        <v>149.28</v>
      </c>
      <c r="X211" s="447">
        <v>315</v>
      </c>
      <c r="Y211" s="858">
        <v>343937.66</v>
      </c>
    </row>
    <row r="212" spans="1:25" ht="14.45" customHeight="1" x14ac:dyDescent="0.25">
      <c r="A212" s="722" t="s">
        <v>4678</v>
      </c>
      <c r="B212" s="723">
        <v>123</v>
      </c>
      <c r="C212" s="723"/>
      <c r="D212" s="724" t="s">
        <v>34</v>
      </c>
      <c r="E212" s="724" t="s">
        <v>3404</v>
      </c>
      <c r="F212" s="725">
        <v>45022</v>
      </c>
      <c r="G212" s="725"/>
      <c r="H212" s="724" t="s">
        <v>23</v>
      </c>
      <c r="I212" s="441"/>
      <c r="J212" s="442"/>
      <c r="K212" s="720">
        <v>4</v>
      </c>
      <c r="L212" s="744">
        <v>0.22362857142857143</v>
      </c>
      <c r="M212" s="767"/>
      <c r="N212" s="767"/>
      <c r="O212" s="728" t="s">
        <v>3950</v>
      </c>
      <c r="P212" s="721">
        <v>24</v>
      </c>
      <c r="Q212" s="729">
        <v>4</v>
      </c>
      <c r="R212" s="721">
        <v>0.26090000000000002</v>
      </c>
      <c r="S212" s="721">
        <v>1.0840000000000001</v>
      </c>
      <c r="T212" s="721">
        <v>6.2615999999999996</v>
      </c>
      <c r="U212" s="721">
        <v>26.015999999999998</v>
      </c>
      <c r="V212" s="721">
        <v>0.81</v>
      </c>
      <c r="W212" s="721">
        <v>69.14</v>
      </c>
      <c r="X212" s="721">
        <v>265</v>
      </c>
      <c r="Y212" s="857">
        <v>1659.32</v>
      </c>
    </row>
    <row r="213" spans="1:25" ht="14.45" customHeight="1" x14ac:dyDescent="0.25">
      <c r="A213" s="437" t="s">
        <v>4678</v>
      </c>
      <c r="B213" s="438">
        <v>124</v>
      </c>
      <c r="C213" s="438"/>
      <c r="D213" s="439" t="s">
        <v>34</v>
      </c>
      <c r="E213" s="439" t="s">
        <v>328</v>
      </c>
      <c r="F213" s="440">
        <v>45022</v>
      </c>
      <c r="G213" s="440"/>
      <c r="H213" s="439" t="s">
        <v>23</v>
      </c>
      <c r="I213" s="449"/>
      <c r="J213" s="450"/>
      <c r="K213" s="443">
        <v>34</v>
      </c>
      <c r="L213" s="444">
        <v>2.2527428571428572</v>
      </c>
      <c r="M213" s="463"/>
      <c r="N213" s="463"/>
      <c r="O213" s="445" t="s">
        <v>650</v>
      </c>
      <c r="P213" s="447">
        <v>204</v>
      </c>
      <c r="Q213" s="451">
        <v>34</v>
      </c>
      <c r="R213" s="447">
        <v>0.30919999999999997</v>
      </c>
      <c r="S213" s="447">
        <v>1.1000000000000001</v>
      </c>
      <c r="T213" s="447">
        <v>63.076799999999999</v>
      </c>
      <c r="U213" s="447">
        <v>224.4</v>
      </c>
      <c r="V213" s="447">
        <v>8.1999999999999993</v>
      </c>
      <c r="W213" s="447">
        <v>106.06</v>
      </c>
      <c r="X213" s="447">
        <v>343</v>
      </c>
      <c r="Y213" s="858">
        <v>21635.34</v>
      </c>
    </row>
    <row r="214" spans="1:25" ht="14.45" customHeight="1" x14ac:dyDescent="0.25">
      <c r="A214" s="722" t="s">
        <v>4678</v>
      </c>
      <c r="B214" s="723">
        <v>117</v>
      </c>
      <c r="C214" s="723"/>
      <c r="D214" s="724" t="s">
        <v>13</v>
      </c>
      <c r="E214" s="724" t="s">
        <v>161</v>
      </c>
      <c r="F214" s="725">
        <v>45022</v>
      </c>
      <c r="G214" s="725"/>
      <c r="H214" s="724" t="s">
        <v>23</v>
      </c>
      <c r="I214" s="441"/>
      <c r="J214" s="442"/>
      <c r="K214" s="720">
        <v>2</v>
      </c>
      <c r="L214" s="744">
        <v>6.3385714285714281E-2</v>
      </c>
      <c r="M214" s="767"/>
      <c r="N214" s="767"/>
      <c r="O214" s="728" t="s">
        <v>3639</v>
      </c>
      <c r="P214" s="721">
        <v>12</v>
      </c>
      <c r="Q214" s="729">
        <v>2</v>
      </c>
      <c r="R214" s="721">
        <v>0.1479</v>
      </c>
      <c r="S214" s="721">
        <v>0.40899999999999997</v>
      </c>
      <c r="T214" s="721">
        <v>1.7747999999999999</v>
      </c>
      <c r="U214" s="721">
        <v>4.9080000000000004</v>
      </c>
      <c r="V214" s="721">
        <v>0.23</v>
      </c>
      <c r="W214" s="721">
        <v>50.73</v>
      </c>
      <c r="X214" s="721">
        <v>343</v>
      </c>
      <c r="Y214" s="857">
        <v>608.76</v>
      </c>
    </row>
    <row r="215" spans="1:25" ht="14.45" customHeight="1" x14ac:dyDescent="0.25">
      <c r="A215" s="437" t="s">
        <v>4678</v>
      </c>
      <c r="B215" s="438">
        <v>118</v>
      </c>
      <c r="C215" s="438"/>
      <c r="D215" s="439" t="s">
        <v>13</v>
      </c>
      <c r="E215" s="439" t="s">
        <v>3925</v>
      </c>
      <c r="F215" s="440">
        <v>45022</v>
      </c>
      <c r="G215" s="440"/>
      <c r="H215" s="439" t="s">
        <v>23</v>
      </c>
      <c r="I215" s="449"/>
      <c r="J215" s="450"/>
      <c r="K215" s="443">
        <v>48</v>
      </c>
      <c r="L215" s="444">
        <v>6.8851714285714278</v>
      </c>
      <c r="M215" s="463"/>
      <c r="N215" s="463"/>
      <c r="O215" s="445" t="s">
        <v>3848</v>
      </c>
      <c r="P215" s="447">
        <v>312</v>
      </c>
      <c r="Q215" s="451">
        <v>48</v>
      </c>
      <c r="R215" s="447">
        <v>0.6179</v>
      </c>
      <c r="S215" s="447">
        <v>2.117</v>
      </c>
      <c r="T215" s="447">
        <v>192.78479999999999</v>
      </c>
      <c r="U215" s="447">
        <v>660.50400000000002</v>
      </c>
      <c r="V215" s="447">
        <v>25.06</v>
      </c>
      <c r="W215" s="447">
        <v>182.28</v>
      </c>
      <c r="X215" s="447">
        <v>295</v>
      </c>
      <c r="Y215" s="858">
        <v>56871.360000000001</v>
      </c>
    </row>
    <row r="216" spans="1:25" ht="14.45" customHeight="1" x14ac:dyDescent="0.25">
      <c r="A216" s="722" t="s">
        <v>4678</v>
      </c>
      <c r="B216" s="723">
        <v>122</v>
      </c>
      <c r="C216" s="723"/>
      <c r="D216" s="724" t="s">
        <v>13</v>
      </c>
      <c r="E216" s="724" t="s">
        <v>3765</v>
      </c>
      <c r="F216" s="725">
        <v>45022</v>
      </c>
      <c r="G216" s="725"/>
      <c r="H216" s="724" t="s">
        <v>23</v>
      </c>
      <c r="I216" s="441"/>
      <c r="J216" s="442"/>
      <c r="K216" s="720">
        <v>560</v>
      </c>
      <c r="L216" s="744">
        <v>7.5959999999999992</v>
      </c>
      <c r="M216" s="767" t="s">
        <v>3977</v>
      </c>
      <c r="N216" s="767"/>
      <c r="O216" s="728" t="s">
        <v>3949</v>
      </c>
      <c r="P216" s="721">
        <v>1680</v>
      </c>
      <c r="Q216" s="729">
        <v>560</v>
      </c>
      <c r="R216" s="721">
        <v>0.12659999999999999</v>
      </c>
      <c r="S216" s="721">
        <v>0.30499999999999999</v>
      </c>
      <c r="T216" s="721">
        <v>212.68799999999999</v>
      </c>
      <c r="U216" s="721">
        <v>512.4</v>
      </c>
      <c r="V216" s="721">
        <v>27.65</v>
      </c>
      <c r="W216" s="721">
        <v>41.78</v>
      </c>
      <c r="X216" s="721">
        <v>330</v>
      </c>
      <c r="Y216" s="857">
        <v>70190.399999999994</v>
      </c>
    </row>
    <row r="217" spans="1:25" ht="14.45" customHeight="1" x14ac:dyDescent="0.25">
      <c r="A217" s="437" t="s">
        <v>4678</v>
      </c>
      <c r="B217" s="438" t="s">
        <v>2785</v>
      </c>
      <c r="C217" s="438" t="s">
        <v>4753</v>
      </c>
      <c r="D217" s="439" t="s">
        <v>13</v>
      </c>
      <c r="E217" s="439" t="s">
        <v>3765</v>
      </c>
      <c r="F217" s="440">
        <v>45022</v>
      </c>
      <c r="G217" s="440"/>
      <c r="H217" s="439" t="s">
        <v>23</v>
      </c>
      <c r="I217" s="449"/>
      <c r="J217" s="450"/>
      <c r="K217" s="443">
        <v>12</v>
      </c>
      <c r="L217" s="444">
        <v>0</v>
      </c>
      <c r="M217" s="463"/>
      <c r="N217" s="463"/>
      <c r="O217" s="445" t="s">
        <v>3291</v>
      </c>
      <c r="P217" s="447"/>
      <c r="Q217" s="451">
        <v>12</v>
      </c>
      <c r="R217" s="447"/>
      <c r="S217" s="447"/>
      <c r="T217" s="447"/>
      <c r="U217" s="447"/>
      <c r="V217" s="447"/>
      <c r="W217" s="447"/>
      <c r="X217" s="447"/>
      <c r="Y217" s="858" t="s">
        <v>3853</v>
      </c>
    </row>
    <row r="218" spans="1:25" ht="14.45" customHeight="1" x14ac:dyDescent="0.25">
      <c r="A218" s="722" t="s">
        <v>4678</v>
      </c>
      <c r="B218" s="723" t="s">
        <v>2944</v>
      </c>
      <c r="C218" s="723" t="s">
        <v>4753</v>
      </c>
      <c r="D218" s="724" t="s">
        <v>13</v>
      </c>
      <c r="E218" s="723" t="s">
        <v>585</v>
      </c>
      <c r="F218" s="725">
        <v>45023</v>
      </c>
      <c r="G218" s="725"/>
      <c r="H218" s="724" t="s">
        <v>23</v>
      </c>
      <c r="I218" s="441"/>
      <c r="J218" s="442"/>
      <c r="K218" s="720">
        <v>60</v>
      </c>
      <c r="L218" s="744">
        <v>0</v>
      </c>
      <c r="M218" s="767"/>
      <c r="N218" s="767"/>
      <c r="O218" s="728" t="s">
        <v>99</v>
      </c>
      <c r="P218" s="721"/>
      <c r="Q218" s="729">
        <v>60</v>
      </c>
      <c r="R218" s="721"/>
      <c r="S218" s="721"/>
      <c r="T218" s="721"/>
      <c r="U218" s="721"/>
      <c r="V218" s="721"/>
      <c r="W218" s="721"/>
      <c r="X218" s="721"/>
      <c r="Y218" s="857" t="s">
        <v>3961</v>
      </c>
    </row>
    <row r="219" spans="1:25" ht="14.45" customHeight="1" x14ac:dyDescent="0.25">
      <c r="A219" s="437" t="s">
        <v>4678</v>
      </c>
      <c r="B219" s="438" t="s">
        <v>2944</v>
      </c>
      <c r="C219" s="438" t="s">
        <v>4753</v>
      </c>
      <c r="D219" s="439" t="s">
        <v>13</v>
      </c>
      <c r="E219" s="438" t="s">
        <v>585</v>
      </c>
      <c r="F219" s="440">
        <v>45023</v>
      </c>
      <c r="G219" s="440"/>
      <c r="H219" s="439" t="s">
        <v>23</v>
      </c>
      <c r="I219" s="449"/>
      <c r="J219" s="450"/>
      <c r="K219" s="443">
        <v>60</v>
      </c>
      <c r="L219" s="444">
        <v>0</v>
      </c>
      <c r="M219" s="463"/>
      <c r="N219" s="463"/>
      <c r="O219" s="445" t="s">
        <v>102</v>
      </c>
      <c r="P219" s="447"/>
      <c r="Q219" s="451">
        <v>60</v>
      </c>
      <c r="R219" s="447"/>
      <c r="S219" s="447"/>
      <c r="T219" s="447"/>
      <c r="U219" s="447"/>
      <c r="V219" s="447"/>
      <c r="W219" s="447"/>
      <c r="X219" s="447"/>
      <c r="Y219" s="858" t="s">
        <v>3961</v>
      </c>
    </row>
    <row r="220" spans="1:25" ht="14.45" customHeight="1" x14ac:dyDescent="0.25">
      <c r="A220" s="722" t="s">
        <v>4678</v>
      </c>
      <c r="B220" s="723" t="s">
        <v>2944</v>
      </c>
      <c r="C220" s="723" t="s">
        <v>4753</v>
      </c>
      <c r="D220" s="724" t="s">
        <v>13</v>
      </c>
      <c r="E220" s="723" t="s">
        <v>585</v>
      </c>
      <c r="F220" s="725">
        <v>45023</v>
      </c>
      <c r="G220" s="725"/>
      <c r="H220" s="724" t="s">
        <v>23</v>
      </c>
      <c r="I220" s="441"/>
      <c r="J220" s="442"/>
      <c r="K220" s="720">
        <v>6</v>
      </c>
      <c r="L220" s="744">
        <v>0</v>
      </c>
      <c r="M220" s="767"/>
      <c r="N220" s="767"/>
      <c r="O220" s="728" t="s">
        <v>95</v>
      </c>
      <c r="P220" s="721"/>
      <c r="Q220" s="729">
        <v>6</v>
      </c>
      <c r="R220" s="721"/>
      <c r="S220" s="721"/>
      <c r="T220" s="721"/>
      <c r="U220" s="721"/>
      <c r="V220" s="721"/>
      <c r="W220" s="721"/>
      <c r="X220" s="721"/>
      <c r="Y220" s="857" t="s">
        <v>3962</v>
      </c>
    </row>
    <row r="221" spans="1:25" ht="14.45" customHeight="1" x14ac:dyDescent="0.25">
      <c r="A221" s="437" t="s">
        <v>4678</v>
      </c>
      <c r="B221" s="438" t="s">
        <v>2944</v>
      </c>
      <c r="C221" s="438" t="s">
        <v>4753</v>
      </c>
      <c r="D221" s="439" t="s">
        <v>13</v>
      </c>
      <c r="E221" s="438" t="s">
        <v>585</v>
      </c>
      <c r="F221" s="440">
        <v>45023</v>
      </c>
      <c r="G221" s="440"/>
      <c r="H221" s="439" t="s">
        <v>23</v>
      </c>
      <c r="I221" s="449"/>
      <c r="J221" s="450"/>
      <c r="K221" s="443">
        <v>6</v>
      </c>
      <c r="L221" s="444">
        <v>0</v>
      </c>
      <c r="M221" s="463"/>
      <c r="N221" s="463"/>
      <c r="O221" s="445" t="s">
        <v>98</v>
      </c>
      <c r="P221" s="447"/>
      <c r="Q221" s="451">
        <v>6</v>
      </c>
      <c r="R221" s="447"/>
      <c r="S221" s="447"/>
      <c r="T221" s="447"/>
      <c r="U221" s="447"/>
      <c r="V221" s="447"/>
      <c r="W221" s="447"/>
      <c r="X221" s="447"/>
      <c r="Y221" s="858" t="s">
        <v>3962</v>
      </c>
    </row>
    <row r="222" spans="1:25" ht="14.45" customHeight="1" x14ac:dyDescent="0.25">
      <c r="A222" s="722" t="s">
        <v>4678</v>
      </c>
      <c r="B222" s="723" t="s">
        <v>2944</v>
      </c>
      <c r="C222" s="723" t="s">
        <v>4753</v>
      </c>
      <c r="D222" s="724" t="s">
        <v>13</v>
      </c>
      <c r="E222" s="723" t="s">
        <v>585</v>
      </c>
      <c r="F222" s="725">
        <v>45023</v>
      </c>
      <c r="G222" s="725"/>
      <c r="H222" s="724" t="s">
        <v>23</v>
      </c>
      <c r="I222" s="441"/>
      <c r="J222" s="442"/>
      <c r="K222" s="720">
        <v>24</v>
      </c>
      <c r="L222" s="744">
        <v>0</v>
      </c>
      <c r="M222" s="767"/>
      <c r="N222" s="767"/>
      <c r="O222" s="728" t="s">
        <v>92</v>
      </c>
      <c r="P222" s="721"/>
      <c r="Q222" s="729">
        <v>24</v>
      </c>
      <c r="R222" s="721"/>
      <c r="S222" s="721"/>
      <c r="T222" s="721"/>
      <c r="U222" s="721"/>
      <c r="V222" s="721"/>
      <c r="W222" s="721"/>
      <c r="X222" s="721"/>
      <c r="Y222" s="857" t="s">
        <v>3963</v>
      </c>
    </row>
    <row r="223" spans="1:25" ht="14.45" customHeight="1" x14ac:dyDescent="0.25">
      <c r="A223" s="437" t="s">
        <v>4678</v>
      </c>
      <c r="B223" s="438" t="s">
        <v>2944</v>
      </c>
      <c r="C223" s="438" t="s">
        <v>4753</v>
      </c>
      <c r="D223" s="439" t="s">
        <v>13</v>
      </c>
      <c r="E223" s="438" t="s">
        <v>585</v>
      </c>
      <c r="F223" s="440">
        <v>45023</v>
      </c>
      <c r="G223" s="440"/>
      <c r="H223" s="439" t="s">
        <v>23</v>
      </c>
      <c r="I223" s="449"/>
      <c r="J223" s="450"/>
      <c r="K223" s="443">
        <v>24</v>
      </c>
      <c r="L223" s="444">
        <v>0</v>
      </c>
      <c r="M223" s="463"/>
      <c r="N223" s="463"/>
      <c r="O223" s="445" t="s">
        <v>94</v>
      </c>
      <c r="P223" s="447"/>
      <c r="Q223" s="451">
        <v>24</v>
      </c>
      <c r="R223" s="447"/>
      <c r="S223" s="447"/>
      <c r="T223" s="447"/>
      <c r="U223" s="447"/>
      <c r="V223" s="447"/>
      <c r="W223" s="447"/>
      <c r="X223" s="447"/>
      <c r="Y223" s="858" t="s">
        <v>3963</v>
      </c>
    </row>
    <row r="224" spans="1:25" ht="14.45" customHeight="1" x14ac:dyDescent="0.25">
      <c r="A224" s="722" t="s">
        <v>4678</v>
      </c>
      <c r="B224" s="723" t="s">
        <v>2792</v>
      </c>
      <c r="C224" s="723" t="s">
        <v>4753</v>
      </c>
      <c r="D224" s="724" t="s">
        <v>13</v>
      </c>
      <c r="E224" s="724" t="s">
        <v>27</v>
      </c>
      <c r="F224" s="725">
        <v>45023</v>
      </c>
      <c r="G224" s="725"/>
      <c r="H224" s="724" t="s">
        <v>23</v>
      </c>
      <c r="I224" s="441"/>
      <c r="J224" s="442"/>
      <c r="K224" s="720">
        <v>0</v>
      </c>
      <c r="L224" s="744">
        <v>0</v>
      </c>
      <c r="M224" s="767" t="s">
        <v>3964</v>
      </c>
      <c r="N224" s="767"/>
      <c r="O224" s="728" t="s">
        <v>1292</v>
      </c>
      <c r="P224" s="721" t="s">
        <v>160</v>
      </c>
      <c r="Q224" s="729"/>
      <c r="R224" s="721"/>
      <c r="S224" s="721"/>
      <c r="T224" s="721"/>
      <c r="U224" s="721"/>
      <c r="V224" s="721"/>
      <c r="W224" s="721"/>
      <c r="X224" s="721"/>
      <c r="Y224" s="857" t="s">
        <v>3960</v>
      </c>
    </row>
    <row r="225" spans="1:25" ht="14.45" customHeight="1" x14ac:dyDescent="0.25">
      <c r="A225" s="437" t="s">
        <v>4678</v>
      </c>
      <c r="B225" s="438" t="s">
        <v>2792</v>
      </c>
      <c r="C225" s="438" t="s">
        <v>4753</v>
      </c>
      <c r="D225" s="439" t="s">
        <v>13</v>
      </c>
      <c r="E225" s="439" t="s">
        <v>27</v>
      </c>
      <c r="F225" s="440">
        <v>45023</v>
      </c>
      <c r="G225" s="440"/>
      <c r="H225" s="439" t="s">
        <v>23</v>
      </c>
      <c r="I225" s="449"/>
      <c r="J225" s="450"/>
      <c r="K225" s="443">
        <v>0</v>
      </c>
      <c r="L225" s="444">
        <v>0</v>
      </c>
      <c r="M225" s="463" t="s">
        <v>3964</v>
      </c>
      <c r="N225" s="463"/>
      <c r="O225" s="445" t="s">
        <v>668</v>
      </c>
      <c r="P225" s="447" t="s">
        <v>26</v>
      </c>
      <c r="Q225" s="451"/>
      <c r="R225" s="447"/>
      <c r="S225" s="447"/>
      <c r="T225" s="447"/>
      <c r="U225" s="447"/>
      <c r="V225" s="447"/>
      <c r="W225" s="447"/>
      <c r="X225" s="447"/>
      <c r="Y225" s="858" t="s">
        <v>234</v>
      </c>
    </row>
    <row r="226" spans="1:25" ht="14.45" customHeight="1" x14ac:dyDescent="0.25">
      <c r="A226" s="722" t="s">
        <v>4678</v>
      </c>
      <c r="B226" s="723" t="s">
        <v>3969</v>
      </c>
      <c r="C226" s="723" t="s">
        <v>4753</v>
      </c>
      <c r="D226" s="724" t="s">
        <v>13</v>
      </c>
      <c r="E226" s="723" t="s">
        <v>585</v>
      </c>
      <c r="F226" s="725">
        <v>45026</v>
      </c>
      <c r="G226" s="725"/>
      <c r="H226" s="724" t="s">
        <v>23</v>
      </c>
      <c r="I226" s="441"/>
      <c r="J226" s="442"/>
      <c r="K226" s="720">
        <v>41</v>
      </c>
      <c r="L226" s="744">
        <v>0</v>
      </c>
      <c r="M226" s="767"/>
      <c r="N226" s="767"/>
      <c r="O226" s="728" t="s">
        <v>710</v>
      </c>
      <c r="P226" s="721"/>
      <c r="Q226" s="729">
        <v>41</v>
      </c>
      <c r="R226" s="721"/>
      <c r="S226" s="721"/>
      <c r="T226" s="721"/>
      <c r="U226" s="721"/>
      <c r="V226" s="721"/>
      <c r="W226" s="721"/>
      <c r="X226" s="721"/>
      <c r="Y226" s="857" t="s">
        <v>3966</v>
      </c>
    </row>
    <row r="227" spans="1:25" ht="14.45" customHeight="1" x14ac:dyDescent="0.25">
      <c r="A227" s="437" t="s">
        <v>4678</v>
      </c>
      <c r="B227" s="438" t="s">
        <v>3969</v>
      </c>
      <c r="C227" s="438" t="s">
        <v>4753</v>
      </c>
      <c r="D227" s="439" t="s">
        <v>13</v>
      </c>
      <c r="E227" s="438" t="s">
        <v>585</v>
      </c>
      <c r="F227" s="440">
        <v>45026</v>
      </c>
      <c r="G227" s="440"/>
      <c r="H227" s="439" t="s">
        <v>23</v>
      </c>
      <c r="I227" s="449"/>
      <c r="J227" s="450"/>
      <c r="K227" s="443">
        <v>41</v>
      </c>
      <c r="L227" s="444">
        <v>0</v>
      </c>
      <c r="M227" s="463"/>
      <c r="N227" s="463"/>
      <c r="O227" s="445" t="s">
        <v>711</v>
      </c>
      <c r="P227" s="447"/>
      <c r="Q227" s="451">
        <v>41</v>
      </c>
      <c r="R227" s="447"/>
      <c r="S227" s="447"/>
      <c r="T227" s="447"/>
      <c r="U227" s="447"/>
      <c r="V227" s="447"/>
      <c r="W227" s="447"/>
      <c r="X227" s="447"/>
      <c r="Y227" s="858" t="s">
        <v>3966</v>
      </c>
    </row>
    <row r="228" spans="1:25" ht="14.45" customHeight="1" x14ac:dyDescent="0.25">
      <c r="A228" s="722" t="s">
        <v>4678</v>
      </c>
      <c r="B228" s="723" t="s">
        <v>3969</v>
      </c>
      <c r="C228" s="723" t="s">
        <v>4753</v>
      </c>
      <c r="D228" s="724" t="s">
        <v>13</v>
      </c>
      <c r="E228" s="723" t="s">
        <v>585</v>
      </c>
      <c r="F228" s="725">
        <v>45026</v>
      </c>
      <c r="G228" s="725"/>
      <c r="H228" s="724" t="s">
        <v>23</v>
      </c>
      <c r="I228" s="441"/>
      <c r="J228" s="442"/>
      <c r="K228" s="720">
        <v>18</v>
      </c>
      <c r="L228" s="744">
        <v>0</v>
      </c>
      <c r="M228" s="767"/>
      <c r="N228" s="767"/>
      <c r="O228" s="728" t="s">
        <v>712</v>
      </c>
      <c r="P228" s="721"/>
      <c r="Q228" s="729">
        <v>18</v>
      </c>
      <c r="R228" s="721"/>
      <c r="S228" s="721"/>
      <c r="T228" s="721"/>
      <c r="U228" s="721"/>
      <c r="V228" s="721"/>
      <c r="W228" s="721"/>
      <c r="X228" s="721"/>
      <c r="Y228" s="857" t="s">
        <v>101</v>
      </c>
    </row>
    <row r="229" spans="1:25" ht="14.45" customHeight="1" x14ac:dyDescent="0.25">
      <c r="A229" s="437" t="s">
        <v>4678</v>
      </c>
      <c r="B229" s="438" t="s">
        <v>3969</v>
      </c>
      <c r="C229" s="438" t="s">
        <v>4753</v>
      </c>
      <c r="D229" s="439" t="s">
        <v>13</v>
      </c>
      <c r="E229" s="438" t="s">
        <v>585</v>
      </c>
      <c r="F229" s="440">
        <v>45026</v>
      </c>
      <c r="G229" s="440"/>
      <c r="H229" s="439" t="s">
        <v>23</v>
      </c>
      <c r="I229" s="449"/>
      <c r="J229" s="450"/>
      <c r="K229" s="443">
        <v>91</v>
      </c>
      <c r="L229" s="444">
        <v>0</v>
      </c>
      <c r="M229" s="463"/>
      <c r="N229" s="463"/>
      <c r="O229" s="445" t="s">
        <v>713</v>
      </c>
      <c r="P229" s="447"/>
      <c r="Q229" s="451">
        <v>91</v>
      </c>
      <c r="R229" s="447"/>
      <c r="S229" s="447"/>
      <c r="T229" s="447"/>
      <c r="U229" s="447"/>
      <c r="V229" s="447"/>
      <c r="W229" s="447"/>
      <c r="X229" s="447"/>
      <c r="Y229" s="858" t="s">
        <v>3967</v>
      </c>
    </row>
    <row r="230" spans="1:25" ht="14.45" customHeight="1" x14ac:dyDescent="0.25">
      <c r="A230" s="722" t="s">
        <v>4678</v>
      </c>
      <c r="B230" s="723" t="s">
        <v>3969</v>
      </c>
      <c r="C230" s="723" t="s">
        <v>4753</v>
      </c>
      <c r="D230" s="724" t="s">
        <v>13</v>
      </c>
      <c r="E230" s="723" t="s">
        <v>585</v>
      </c>
      <c r="F230" s="725">
        <v>45026</v>
      </c>
      <c r="G230" s="725"/>
      <c r="H230" s="724" t="s">
        <v>23</v>
      </c>
      <c r="I230" s="441"/>
      <c r="J230" s="442"/>
      <c r="K230" s="720">
        <v>91</v>
      </c>
      <c r="L230" s="744">
        <v>0</v>
      </c>
      <c r="M230" s="767"/>
      <c r="N230" s="767"/>
      <c r="O230" s="728" t="s">
        <v>714</v>
      </c>
      <c r="P230" s="721"/>
      <c r="Q230" s="729">
        <v>91</v>
      </c>
      <c r="R230" s="721"/>
      <c r="S230" s="721"/>
      <c r="T230" s="721"/>
      <c r="U230" s="721"/>
      <c r="V230" s="721"/>
      <c r="W230" s="721"/>
      <c r="X230" s="721"/>
      <c r="Y230" s="857" t="s">
        <v>3967</v>
      </c>
    </row>
    <row r="231" spans="1:25" ht="14.45" customHeight="1" x14ac:dyDescent="0.25">
      <c r="A231" s="437" t="s">
        <v>4678</v>
      </c>
      <c r="B231" s="438" t="s">
        <v>3969</v>
      </c>
      <c r="C231" s="438" t="s">
        <v>4753</v>
      </c>
      <c r="D231" s="439" t="s">
        <v>13</v>
      </c>
      <c r="E231" s="438" t="s">
        <v>585</v>
      </c>
      <c r="F231" s="440">
        <v>45026</v>
      </c>
      <c r="G231" s="440"/>
      <c r="H231" s="439" t="s">
        <v>23</v>
      </c>
      <c r="I231" s="449"/>
      <c r="J231" s="450"/>
      <c r="K231" s="443">
        <v>18</v>
      </c>
      <c r="L231" s="444">
        <v>0</v>
      </c>
      <c r="M231" s="463"/>
      <c r="N231" s="463"/>
      <c r="O231" s="445" t="s">
        <v>718</v>
      </c>
      <c r="P231" s="447"/>
      <c r="Q231" s="451">
        <v>18</v>
      </c>
      <c r="R231" s="447"/>
      <c r="S231" s="447"/>
      <c r="T231" s="447"/>
      <c r="U231" s="447"/>
      <c r="V231" s="447"/>
      <c r="W231" s="447"/>
      <c r="X231" s="447"/>
      <c r="Y231" s="858" t="s">
        <v>101</v>
      </c>
    </row>
    <row r="232" spans="1:25" ht="14.45" customHeight="1" x14ac:dyDescent="0.25">
      <c r="A232" s="722" t="s">
        <v>4678</v>
      </c>
      <c r="B232" s="723" t="s">
        <v>3969</v>
      </c>
      <c r="C232" s="723" t="s">
        <v>4753</v>
      </c>
      <c r="D232" s="724" t="s">
        <v>13</v>
      </c>
      <c r="E232" s="723" t="s">
        <v>585</v>
      </c>
      <c r="F232" s="725">
        <v>45026</v>
      </c>
      <c r="G232" s="725"/>
      <c r="H232" s="724" t="s">
        <v>23</v>
      </c>
      <c r="I232" s="441"/>
      <c r="J232" s="442"/>
      <c r="K232" s="720">
        <v>171</v>
      </c>
      <c r="L232" s="744">
        <v>0</v>
      </c>
      <c r="M232" s="767"/>
      <c r="N232" s="767"/>
      <c r="O232" s="728" t="s">
        <v>871</v>
      </c>
      <c r="P232" s="721"/>
      <c r="Q232" s="729">
        <v>171</v>
      </c>
      <c r="R232" s="721"/>
      <c r="S232" s="721"/>
      <c r="T232" s="721"/>
      <c r="U232" s="721"/>
      <c r="V232" s="721"/>
      <c r="W232" s="721"/>
      <c r="X232" s="721"/>
      <c r="Y232" s="857" t="s">
        <v>3968</v>
      </c>
    </row>
    <row r="233" spans="1:25" ht="14.45" customHeight="1" x14ac:dyDescent="0.25">
      <c r="A233" s="437" t="s">
        <v>4678</v>
      </c>
      <c r="B233" s="438" t="s">
        <v>3969</v>
      </c>
      <c r="C233" s="438" t="s">
        <v>4753</v>
      </c>
      <c r="D233" s="439" t="s">
        <v>13</v>
      </c>
      <c r="E233" s="438" t="s">
        <v>585</v>
      </c>
      <c r="F233" s="440">
        <v>45026</v>
      </c>
      <c r="G233" s="440"/>
      <c r="H233" s="439" t="s">
        <v>23</v>
      </c>
      <c r="I233" s="449"/>
      <c r="J233" s="450"/>
      <c r="K233" s="443">
        <v>15</v>
      </c>
      <c r="L233" s="444">
        <v>0</v>
      </c>
      <c r="M233" s="463"/>
      <c r="N233" s="463"/>
      <c r="O233" s="445" t="s">
        <v>872</v>
      </c>
      <c r="P233" s="447"/>
      <c r="Q233" s="451">
        <v>15</v>
      </c>
      <c r="R233" s="447"/>
      <c r="S233" s="447"/>
      <c r="T233" s="447"/>
      <c r="U233" s="447"/>
      <c r="V233" s="447"/>
      <c r="W233" s="447"/>
      <c r="X233" s="447"/>
      <c r="Y233" s="858" t="s">
        <v>3778</v>
      </c>
    </row>
    <row r="234" spans="1:25" ht="14.45" customHeight="1" x14ac:dyDescent="0.25">
      <c r="A234" s="722" t="s">
        <v>4678</v>
      </c>
      <c r="B234" s="723">
        <v>130</v>
      </c>
      <c r="C234" s="723"/>
      <c r="D234" s="724" t="s">
        <v>13</v>
      </c>
      <c r="E234" s="724" t="s">
        <v>3970</v>
      </c>
      <c r="F234" s="725">
        <v>45027</v>
      </c>
      <c r="G234" s="725"/>
      <c r="H234" s="724" t="s">
        <v>23</v>
      </c>
      <c r="I234" s="441"/>
      <c r="J234" s="442"/>
      <c r="K234" s="720">
        <v>19</v>
      </c>
      <c r="L234" s="744">
        <v>0.97714285714285709</v>
      </c>
      <c r="M234" s="767" t="s">
        <v>3973</v>
      </c>
      <c r="N234" s="767"/>
      <c r="O234" s="728" t="s">
        <v>2558</v>
      </c>
      <c r="P234" s="721">
        <v>114</v>
      </c>
      <c r="Q234" s="729">
        <v>19</v>
      </c>
      <c r="R234" s="721">
        <v>0.24</v>
      </c>
      <c r="S234" s="721">
        <v>1.2569999999999999</v>
      </c>
      <c r="T234" s="721">
        <v>27.36</v>
      </c>
      <c r="U234" s="721">
        <v>143.298</v>
      </c>
      <c r="V234" s="721">
        <v>3.56</v>
      </c>
      <c r="W234" s="721">
        <v>180.95</v>
      </c>
      <c r="X234" s="721">
        <v>753.95</v>
      </c>
      <c r="Y234" s="857">
        <v>20628</v>
      </c>
    </row>
    <row r="235" spans="1:25" ht="14.45" customHeight="1" x14ac:dyDescent="0.25">
      <c r="A235" s="437" t="s">
        <v>4678</v>
      </c>
      <c r="B235" s="438">
        <v>132</v>
      </c>
      <c r="C235" s="438"/>
      <c r="D235" s="439" t="s">
        <v>34</v>
      </c>
      <c r="E235" s="439" t="s">
        <v>79</v>
      </c>
      <c r="F235" s="440">
        <v>45027</v>
      </c>
      <c r="G235" s="440"/>
      <c r="H235" s="439" t="s">
        <v>23</v>
      </c>
      <c r="I235" s="449"/>
      <c r="J235" s="450"/>
      <c r="K235" s="443">
        <v>240</v>
      </c>
      <c r="L235" s="444">
        <v>10.404</v>
      </c>
      <c r="M235" s="463"/>
      <c r="N235" s="463"/>
      <c r="O235" s="445" t="s">
        <v>78</v>
      </c>
      <c r="P235" s="447">
        <v>1440</v>
      </c>
      <c r="Q235" s="451">
        <v>240</v>
      </c>
      <c r="R235" s="447">
        <v>0.20230000000000001</v>
      </c>
      <c r="S235" s="447">
        <v>0.499</v>
      </c>
      <c r="T235" s="447">
        <v>291.31200000000001</v>
      </c>
      <c r="U235" s="447">
        <v>718.56</v>
      </c>
      <c r="V235" s="447">
        <v>37.869999999999997</v>
      </c>
      <c r="W235" s="447">
        <v>49.16</v>
      </c>
      <c r="X235" s="447">
        <v>243</v>
      </c>
      <c r="Y235" s="858">
        <v>70788.820000000007</v>
      </c>
    </row>
    <row r="236" spans="1:25" ht="14.45" customHeight="1" x14ac:dyDescent="0.25">
      <c r="A236" s="722" t="s">
        <v>4678</v>
      </c>
      <c r="B236" s="723">
        <v>134</v>
      </c>
      <c r="C236" s="723"/>
      <c r="D236" s="724" t="s">
        <v>13</v>
      </c>
      <c r="E236" s="724" t="s">
        <v>3819</v>
      </c>
      <c r="F236" s="725">
        <v>45028</v>
      </c>
      <c r="G236" s="725"/>
      <c r="H236" s="724" t="s">
        <v>23</v>
      </c>
      <c r="I236" s="441"/>
      <c r="J236" s="442"/>
      <c r="K236" s="720">
        <v>35</v>
      </c>
      <c r="L236" s="744">
        <v>2.3249999999999997</v>
      </c>
      <c r="M236" s="767" t="s">
        <v>3972</v>
      </c>
      <c r="N236" s="767"/>
      <c r="O236" s="728" t="s">
        <v>2692</v>
      </c>
      <c r="P236" s="721">
        <v>210</v>
      </c>
      <c r="Q236" s="729">
        <v>35</v>
      </c>
      <c r="R236" s="721">
        <v>0.31</v>
      </c>
      <c r="S236" s="721">
        <v>1.2010000000000001</v>
      </c>
      <c r="T236" s="721">
        <v>65.099999999999994</v>
      </c>
      <c r="U236" s="721">
        <v>252.21</v>
      </c>
      <c r="V236" s="721">
        <v>8.4600000000000009</v>
      </c>
      <c r="W236" s="721">
        <v>91.45</v>
      </c>
      <c r="X236" s="721">
        <v>295</v>
      </c>
      <c r="Y236" s="857">
        <v>19204.5</v>
      </c>
    </row>
    <row r="237" spans="1:25" ht="14.45" customHeight="1" x14ac:dyDescent="0.25">
      <c r="A237" s="437" t="s">
        <v>4678</v>
      </c>
      <c r="B237" s="438">
        <v>137</v>
      </c>
      <c r="C237" s="438"/>
      <c r="D237" s="439" t="s">
        <v>13</v>
      </c>
      <c r="E237" s="439" t="s">
        <v>292</v>
      </c>
      <c r="F237" s="440">
        <v>45029</v>
      </c>
      <c r="G237" s="440"/>
      <c r="H237" s="439" t="s">
        <v>23</v>
      </c>
      <c r="I237" s="449"/>
      <c r="J237" s="450"/>
      <c r="K237" s="443">
        <v>308</v>
      </c>
      <c r="L237" s="444">
        <v>16.525960714285713</v>
      </c>
      <c r="M237" s="463"/>
      <c r="N237" s="463"/>
      <c r="O237" s="445" t="s">
        <v>3974</v>
      </c>
      <c r="P237" s="447">
        <v>1416.8</v>
      </c>
      <c r="Q237" s="451">
        <v>308</v>
      </c>
      <c r="R237" s="447">
        <v>0.3266</v>
      </c>
      <c r="S237" s="447">
        <v>0.84099999999999997</v>
      </c>
      <c r="T237" s="447">
        <v>462.7269</v>
      </c>
      <c r="U237" s="447">
        <v>1191.5288</v>
      </c>
      <c r="V237" s="447">
        <v>60.15</v>
      </c>
      <c r="W237" s="447">
        <v>105.49</v>
      </c>
      <c r="X237" s="447">
        <v>323</v>
      </c>
      <c r="Y237" s="858">
        <v>149460.78</v>
      </c>
    </row>
    <row r="238" spans="1:25" ht="14.45" customHeight="1" x14ac:dyDescent="0.25">
      <c r="A238" s="722" t="s">
        <v>4678</v>
      </c>
      <c r="B238" s="723">
        <v>143</v>
      </c>
      <c r="C238" s="723"/>
      <c r="D238" s="724" t="s">
        <v>13</v>
      </c>
      <c r="E238" s="724" t="s">
        <v>625</v>
      </c>
      <c r="F238" s="725">
        <v>45029</v>
      </c>
      <c r="G238" s="725"/>
      <c r="H238" s="724" t="s">
        <v>23</v>
      </c>
      <c r="I238" s="441"/>
      <c r="J238" s="442"/>
      <c r="K238" s="720">
        <v>925</v>
      </c>
      <c r="L238" s="744">
        <v>12.197282142857144</v>
      </c>
      <c r="M238" s="767"/>
      <c r="N238" s="767"/>
      <c r="O238" s="728" t="s">
        <v>3942</v>
      </c>
      <c r="P238" s="721">
        <v>2266.25</v>
      </c>
      <c r="Q238" s="729">
        <v>925</v>
      </c>
      <c r="R238" s="721">
        <v>0.1507</v>
      </c>
      <c r="S238" s="721">
        <v>0.39300000000000002</v>
      </c>
      <c r="T238" s="721">
        <v>341.52390000000003</v>
      </c>
      <c r="U238" s="721">
        <v>890.63630000000001</v>
      </c>
      <c r="V238" s="721">
        <v>44.4</v>
      </c>
      <c r="W238" s="721">
        <v>35.409999999999997</v>
      </c>
      <c r="X238" s="721">
        <v>235</v>
      </c>
      <c r="Y238" s="857">
        <v>80258.11</v>
      </c>
    </row>
    <row r="239" spans="1:25" ht="14.45" customHeight="1" x14ac:dyDescent="0.25">
      <c r="A239" s="437" t="s">
        <v>4678</v>
      </c>
      <c r="B239" s="438">
        <v>138</v>
      </c>
      <c r="C239" s="438"/>
      <c r="D239" s="439" t="s">
        <v>13</v>
      </c>
      <c r="E239" s="439" t="s">
        <v>28</v>
      </c>
      <c r="F239" s="440">
        <v>45029</v>
      </c>
      <c r="G239" s="440"/>
      <c r="H239" s="439" t="s">
        <v>23</v>
      </c>
      <c r="I239" s="449"/>
      <c r="J239" s="450"/>
      <c r="K239" s="443">
        <v>517</v>
      </c>
      <c r="L239" s="444">
        <v>34.033371428571428</v>
      </c>
      <c r="M239" s="463"/>
      <c r="N239" s="463"/>
      <c r="O239" s="445" t="s">
        <v>2608</v>
      </c>
      <c r="P239" s="447">
        <v>3102</v>
      </c>
      <c r="Q239" s="451">
        <v>517</v>
      </c>
      <c r="R239" s="447">
        <v>0.30719999999999997</v>
      </c>
      <c r="S239" s="447">
        <v>0.69199999999999995</v>
      </c>
      <c r="T239" s="447">
        <v>952.93439999999998</v>
      </c>
      <c r="U239" s="447">
        <v>2146.5839999999998</v>
      </c>
      <c r="V239" s="447">
        <v>123.88</v>
      </c>
      <c r="W239" s="447">
        <v>105.37</v>
      </c>
      <c r="X239" s="447">
        <v>343</v>
      </c>
      <c r="Y239" s="858">
        <v>326857.74</v>
      </c>
    </row>
    <row r="240" spans="1:25" ht="14.45" customHeight="1" x14ac:dyDescent="0.25">
      <c r="A240" s="722" t="s">
        <v>4678</v>
      </c>
      <c r="B240" s="723">
        <v>139</v>
      </c>
      <c r="C240" s="723"/>
      <c r="D240" s="724" t="s">
        <v>34</v>
      </c>
      <c r="E240" s="724" t="s">
        <v>861</v>
      </c>
      <c r="F240" s="725">
        <v>45029</v>
      </c>
      <c r="G240" s="725"/>
      <c r="H240" s="724" t="s">
        <v>23</v>
      </c>
      <c r="I240" s="441"/>
      <c r="J240" s="442"/>
      <c r="K240" s="720">
        <v>21</v>
      </c>
      <c r="L240" s="744">
        <v>2.1325499999999997</v>
      </c>
      <c r="M240" s="767"/>
      <c r="N240" s="767"/>
      <c r="O240" s="728" t="s">
        <v>3243</v>
      </c>
      <c r="P240" s="721">
        <v>126</v>
      </c>
      <c r="Q240" s="729">
        <v>21</v>
      </c>
      <c r="R240" s="721">
        <v>0.47389999999999999</v>
      </c>
      <c r="S240" s="721">
        <v>1.355</v>
      </c>
      <c r="T240" s="721">
        <v>59.711399999999998</v>
      </c>
      <c r="U240" s="721">
        <v>170.73</v>
      </c>
      <c r="V240" s="721">
        <v>7.76</v>
      </c>
      <c r="W240" s="721">
        <v>149.28</v>
      </c>
      <c r="X240" s="721">
        <v>315</v>
      </c>
      <c r="Y240" s="857">
        <v>18809.09</v>
      </c>
    </row>
    <row r="241" spans="1:25" ht="14.45" customHeight="1" x14ac:dyDescent="0.25">
      <c r="A241" s="437" t="s">
        <v>4678</v>
      </c>
      <c r="B241" s="438">
        <v>141</v>
      </c>
      <c r="C241" s="438"/>
      <c r="D241" s="439" t="s">
        <v>34</v>
      </c>
      <c r="E241" s="439" t="s">
        <v>3976</v>
      </c>
      <c r="F241" s="440">
        <v>45029</v>
      </c>
      <c r="G241" s="440"/>
      <c r="H241" s="439" t="s">
        <v>23</v>
      </c>
      <c r="I241" s="449"/>
      <c r="J241" s="450"/>
      <c r="K241" s="443">
        <v>25</v>
      </c>
      <c r="L241" s="444">
        <v>1.3746428571428573</v>
      </c>
      <c r="M241" s="463"/>
      <c r="N241" s="463"/>
      <c r="O241" s="445" t="s">
        <v>3975</v>
      </c>
      <c r="P241" s="447">
        <v>150</v>
      </c>
      <c r="Q241" s="451">
        <v>25</v>
      </c>
      <c r="R241" s="447">
        <v>0.25659999999999999</v>
      </c>
      <c r="S241" s="447">
        <v>0.68899999999999995</v>
      </c>
      <c r="T241" s="447">
        <v>38.49</v>
      </c>
      <c r="U241" s="447">
        <v>103.35</v>
      </c>
      <c r="V241" s="447">
        <v>5</v>
      </c>
      <c r="W241" s="447">
        <v>79.290000000000006</v>
      </c>
      <c r="X241" s="447">
        <v>309</v>
      </c>
      <c r="Y241" s="858">
        <v>11893.41</v>
      </c>
    </row>
    <row r="242" spans="1:25" ht="14.45" customHeight="1" x14ac:dyDescent="0.25">
      <c r="A242" s="722" t="s">
        <v>4678</v>
      </c>
      <c r="B242" s="723">
        <v>140</v>
      </c>
      <c r="C242" s="723"/>
      <c r="D242" s="724" t="s">
        <v>13</v>
      </c>
      <c r="E242" s="724" t="s">
        <v>3764</v>
      </c>
      <c r="F242" s="725">
        <v>45029</v>
      </c>
      <c r="G242" s="725"/>
      <c r="H242" s="724" t="s">
        <v>23</v>
      </c>
      <c r="I242" s="441"/>
      <c r="J242" s="442"/>
      <c r="K242" s="720">
        <v>157</v>
      </c>
      <c r="L242" s="744">
        <v>6.6147178571428569</v>
      </c>
      <c r="M242" s="767"/>
      <c r="N242" s="767"/>
      <c r="O242" s="728" t="s">
        <v>3301</v>
      </c>
      <c r="P242" s="721">
        <v>698.65</v>
      </c>
      <c r="Q242" s="729">
        <v>157</v>
      </c>
      <c r="R242" s="721">
        <v>0.2651</v>
      </c>
      <c r="S242" s="721">
        <v>0.82099999999999995</v>
      </c>
      <c r="T242" s="721">
        <v>185.21209999999999</v>
      </c>
      <c r="U242" s="721">
        <v>573.59169999999995</v>
      </c>
      <c r="V242" s="721">
        <v>24.08</v>
      </c>
      <c r="W242" s="721">
        <v>81.92</v>
      </c>
      <c r="X242" s="721">
        <v>309</v>
      </c>
      <c r="Y242" s="857">
        <v>57230.54</v>
      </c>
    </row>
    <row r="243" spans="1:25" ht="14.45" customHeight="1" x14ac:dyDescent="0.25">
      <c r="A243" s="437" t="s">
        <v>4678</v>
      </c>
      <c r="B243" s="438">
        <v>140</v>
      </c>
      <c r="C243" s="438"/>
      <c r="D243" s="439" t="s">
        <v>13</v>
      </c>
      <c r="E243" s="439" t="s">
        <v>3764</v>
      </c>
      <c r="F243" s="440">
        <v>45029</v>
      </c>
      <c r="G243" s="440"/>
      <c r="H243" s="439" t="s">
        <v>23</v>
      </c>
      <c r="I243" s="449"/>
      <c r="J243" s="450"/>
      <c r="K243" s="443">
        <v>257</v>
      </c>
      <c r="L243" s="444">
        <v>12.287857142857144</v>
      </c>
      <c r="M243" s="463" t="s">
        <v>3998</v>
      </c>
      <c r="N243" s="463"/>
      <c r="O243" s="445" t="s">
        <v>3303</v>
      </c>
      <c r="P243" s="447">
        <v>1297.8499999999999</v>
      </c>
      <c r="Q243" s="451">
        <v>257</v>
      </c>
      <c r="R243" s="447">
        <v>0.2651</v>
      </c>
      <c r="S243" s="447">
        <v>0.82099999999999995</v>
      </c>
      <c r="T243" s="447">
        <v>344.06</v>
      </c>
      <c r="U243" s="447">
        <v>1065.5349000000001</v>
      </c>
      <c r="V243" s="447">
        <v>44.73</v>
      </c>
      <c r="W243" s="447">
        <v>81.92</v>
      </c>
      <c r="X243" s="447">
        <v>309</v>
      </c>
      <c r="Y243" s="858">
        <v>106314.55</v>
      </c>
    </row>
    <row r="244" spans="1:25" ht="14.45" customHeight="1" x14ac:dyDescent="0.25">
      <c r="A244" s="722" t="s">
        <v>4678</v>
      </c>
      <c r="B244" s="723">
        <v>140</v>
      </c>
      <c r="C244" s="723"/>
      <c r="D244" s="724" t="s">
        <v>13</v>
      </c>
      <c r="E244" s="724" t="s">
        <v>3764</v>
      </c>
      <c r="F244" s="725">
        <v>45029</v>
      </c>
      <c r="G244" s="725"/>
      <c r="H244" s="724" t="s">
        <v>23</v>
      </c>
      <c r="I244" s="441"/>
      <c r="J244" s="442"/>
      <c r="K244" s="720">
        <v>308</v>
      </c>
      <c r="L244" s="744">
        <v>8.945035714285714</v>
      </c>
      <c r="M244" s="767"/>
      <c r="N244" s="767"/>
      <c r="O244" s="728" t="s">
        <v>1975</v>
      </c>
      <c r="P244" s="721">
        <v>1586.2</v>
      </c>
      <c r="Q244" s="729">
        <v>308</v>
      </c>
      <c r="R244" s="721">
        <v>0.15790000000000001</v>
      </c>
      <c r="S244" s="721">
        <v>0.309</v>
      </c>
      <c r="T244" s="721">
        <v>250.46100000000001</v>
      </c>
      <c r="U244" s="721">
        <v>490.13580000000002</v>
      </c>
      <c r="V244" s="721">
        <v>32.56</v>
      </c>
      <c r="W244" s="721">
        <v>48.79</v>
      </c>
      <c r="X244" s="721">
        <v>309</v>
      </c>
      <c r="Y244" s="857">
        <v>77392.44</v>
      </c>
    </row>
    <row r="245" spans="1:25" ht="14.45" customHeight="1" x14ac:dyDescent="0.25">
      <c r="A245" s="437" t="s">
        <v>4678</v>
      </c>
      <c r="B245" s="438">
        <v>145</v>
      </c>
      <c r="C245" s="438"/>
      <c r="D245" s="439" t="s">
        <v>13</v>
      </c>
      <c r="E245" s="439" t="s">
        <v>292</v>
      </c>
      <c r="F245" s="440">
        <v>45030</v>
      </c>
      <c r="G245" s="440"/>
      <c r="H245" s="439" t="s">
        <v>23</v>
      </c>
      <c r="I245" s="449"/>
      <c r="J245" s="450"/>
      <c r="K245" s="443">
        <v>97</v>
      </c>
      <c r="L245" s="444">
        <v>5.2046035714285717</v>
      </c>
      <c r="M245" s="463"/>
      <c r="N245" s="463"/>
      <c r="O245" s="445" t="s">
        <v>3974</v>
      </c>
      <c r="P245" s="447">
        <v>446.2</v>
      </c>
      <c r="Q245" s="451">
        <v>97</v>
      </c>
      <c r="R245" s="447">
        <v>0.3266</v>
      </c>
      <c r="S245" s="447">
        <v>0.84099999999999997</v>
      </c>
      <c r="T245" s="447">
        <v>145.72890000000001</v>
      </c>
      <c r="U245" s="447">
        <v>375.25420000000003</v>
      </c>
      <c r="V245" s="447">
        <v>18.940000000000001</v>
      </c>
      <c r="W245" s="447">
        <v>105.49</v>
      </c>
      <c r="X245" s="447">
        <v>323</v>
      </c>
      <c r="Y245" s="858">
        <v>47070.44</v>
      </c>
    </row>
    <row r="246" spans="1:25" ht="14.45" customHeight="1" x14ac:dyDescent="0.25">
      <c r="A246" s="722" t="s">
        <v>4678</v>
      </c>
      <c r="B246" s="723" t="s">
        <v>3987</v>
      </c>
      <c r="C246" s="723" t="s">
        <v>4753</v>
      </c>
      <c r="D246" s="724" t="s">
        <v>13</v>
      </c>
      <c r="E246" s="724" t="s">
        <v>289</v>
      </c>
      <c r="F246" s="725">
        <v>45034</v>
      </c>
      <c r="G246" s="725"/>
      <c r="H246" s="724" t="s">
        <v>23</v>
      </c>
      <c r="I246" s="441"/>
      <c r="J246" s="442"/>
      <c r="K246" s="720">
        <v>0</v>
      </c>
      <c r="L246" s="744">
        <v>0</v>
      </c>
      <c r="M246" s="767"/>
      <c r="N246" s="767"/>
      <c r="O246" s="728" t="s">
        <v>177</v>
      </c>
      <c r="P246" s="721"/>
      <c r="Q246" s="729"/>
      <c r="R246" s="721"/>
      <c r="S246" s="721"/>
      <c r="T246" s="721"/>
      <c r="U246" s="721"/>
      <c r="V246" s="721"/>
      <c r="W246" s="721"/>
      <c r="X246" s="721"/>
      <c r="Y246" s="857" t="s">
        <v>2003</v>
      </c>
    </row>
    <row r="247" spans="1:25" ht="14.45" customHeight="1" x14ac:dyDescent="0.25">
      <c r="A247" s="437" t="s">
        <v>4678</v>
      </c>
      <c r="B247" s="438" t="s">
        <v>3987</v>
      </c>
      <c r="C247" s="438" t="s">
        <v>4753</v>
      </c>
      <c r="D247" s="439" t="s">
        <v>13</v>
      </c>
      <c r="E247" s="439" t="s">
        <v>289</v>
      </c>
      <c r="F247" s="440">
        <v>45034</v>
      </c>
      <c r="G247" s="440"/>
      <c r="H247" s="439" t="s">
        <v>23</v>
      </c>
      <c r="I247" s="449"/>
      <c r="J247" s="450"/>
      <c r="K247" s="443">
        <v>0</v>
      </c>
      <c r="L247" s="444">
        <v>0</v>
      </c>
      <c r="M247" s="463"/>
      <c r="N247" s="463"/>
      <c r="O247" s="445" t="s">
        <v>290</v>
      </c>
      <c r="P247" s="447"/>
      <c r="Q247" s="451"/>
      <c r="R247" s="447"/>
      <c r="S247" s="447"/>
      <c r="T247" s="447"/>
      <c r="U247" s="447"/>
      <c r="V247" s="447"/>
      <c r="W247" s="447"/>
      <c r="X247" s="447"/>
      <c r="Y247" s="858" t="s">
        <v>269</v>
      </c>
    </row>
    <row r="248" spans="1:25" ht="14.45" customHeight="1" x14ac:dyDescent="0.25">
      <c r="A248" s="722" t="s">
        <v>4678</v>
      </c>
      <c r="B248" s="723" t="s">
        <v>2799</v>
      </c>
      <c r="C248" s="723" t="s">
        <v>4753</v>
      </c>
      <c r="D248" s="724" t="s">
        <v>34</v>
      </c>
      <c r="E248" s="724" t="s">
        <v>861</v>
      </c>
      <c r="F248" s="725">
        <v>45034</v>
      </c>
      <c r="G248" s="725"/>
      <c r="H248" s="724" t="s">
        <v>23</v>
      </c>
      <c r="I248" s="441"/>
      <c r="J248" s="442"/>
      <c r="K248" s="720">
        <v>172</v>
      </c>
      <c r="L248" s="744">
        <v>0</v>
      </c>
      <c r="M248" s="767"/>
      <c r="N248" s="767"/>
      <c r="O248" s="728" t="s">
        <v>3982</v>
      </c>
      <c r="P248" s="721"/>
      <c r="Q248" s="729">
        <v>172</v>
      </c>
      <c r="R248" s="721"/>
      <c r="S248" s="721"/>
      <c r="T248" s="721"/>
      <c r="U248" s="721"/>
      <c r="V248" s="721"/>
      <c r="W248" s="721"/>
      <c r="X248" s="721"/>
      <c r="Y248" s="857" t="s">
        <v>3983</v>
      </c>
    </row>
    <row r="249" spans="1:25" ht="14.45" customHeight="1" x14ac:dyDescent="0.25">
      <c r="A249" s="437" t="s">
        <v>4678</v>
      </c>
      <c r="B249" s="438" t="s">
        <v>3984</v>
      </c>
      <c r="C249" s="438" t="s">
        <v>4753</v>
      </c>
      <c r="D249" s="439" t="s">
        <v>34</v>
      </c>
      <c r="E249" s="439" t="s">
        <v>284</v>
      </c>
      <c r="F249" s="440">
        <v>45034</v>
      </c>
      <c r="G249" s="440"/>
      <c r="H249" s="439" t="s">
        <v>23</v>
      </c>
      <c r="I249" s="449"/>
      <c r="J249" s="450"/>
      <c r="K249" s="443">
        <v>0</v>
      </c>
      <c r="L249" s="444">
        <v>0</v>
      </c>
      <c r="M249" s="463"/>
      <c r="N249" s="463"/>
      <c r="O249" s="445" t="s">
        <v>3867</v>
      </c>
      <c r="P249" s="447" t="s">
        <v>3986</v>
      </c>
      <c r="Q249" s="451"/>
      <c r="R249" s="447"/>
      <c r="S249" s="447"/>
      <c r="T249" s="447"/>
      <c r="U249" s="447"/>
      <c r="V249" s="447"/>
      <c r="W249" s="447"/>
      <c r="X249" s="447"/>
      <c r="Y249" s="858" t="s">
        <v>3985</v>
      </c>
    </row>
    <row r="250" spans="1:25" ht="14.45" customHeight="1" x14ac:dyDescent="0.25">
      <c r="A250" s="722" t="s">
        <v>4678</v>
      </c>
      <c r="B250" s="723" t="s">
        <v>2824</v>
      </c>
      <c r="C250" s="723" t="s">
        <v>4753</v>
      </c>
      <c r="D250" s="724" t="s">
        <v>13</v>
      </c>
      <c r="E250" s="724" t="s">
        <v>43</v>
      </c>
      <c r="F250" s="725">
        <v>45034</v>
      </c>
      <c r="G250" s="725"/>
      <c r="H250" s="724" t="s">
        <v>23</v>
      </c>
      <c r="I250" s="441"/>
      <c r="J250" s="442"/>
      <c r="K250" s="720">
        <v>0</v>
      </c>
      <c r="L250" s="744">
        <v>0</v>
      </c>
      <c r="M250" s="767"/>
      <c r="N250" s="767"/>
      <c r="O250" s="728" t="s">
        <v>2430</v>
      </c>
      <c r="P250" s="721">
        <v>6</v>
      </c>
      <c r="Q250" s="729"/>
      <c r="R250" s="721"/>
      <c r="S250" s="721"/>
      <c r="T250" s="721"/>
      <c r="U250" s="721"/>
      <c r="V250" s="721"/>
      <c r="W250" s="721"/>
      <c r="X250" s="721"/>
      <c r="Y250" s="857">
        <v>3500</v>
      </c>
    </row>
    <row r="251" spans="1:25" ht="14.45" customHeight="1" x14ac:dyDescent="0.25">
      <c r="A251" s="437" t="s">
        <v>4678</v>
      </c>
      <c r="B251" s="438" t="s">
        <v>3980</v>
      </c>
      <c r="C251" s="438" t="s">
        <v>4753</v>
      </c>
      <c r="D251" s="439" t="s">
        <v>13</v>
      </c>
      <c r="E251" s="439" t="s">
        <v>37</v>
      </c>
      <c r="F251" s="440">
        <v>45034</v>
      </c>
      <c r="G251" s="440"/>
      <c r="H251" s="439" t="s">
        <v>23</v>
      </c>
      <c r="I251" s="449"/>
      <c r="J251" s="450"/>
      <c r="K251" s="443">
        <v>0</v>
      </c>
      <c r="L251" s="444">
        <v>0</v>
      </c>
      <c r="M251" s="463"/>
      <c r="N251" s="463"/>
      <c r="O251" s="445" t="s">
        <v>3981</v>
      </c>
      <c r="P251" s="447" t="s">
        <v>3978</v>
      </c>
      <c r="Q251" s="451"/>
      <c r="R251" s="447"/>
      <c r="S251" s="447"/>
      <c r="T251" s="447"/>
      <c r="U251" s="447"/>
      <c r="V251" s="447"/>
      <c r="W251" s="447"/>
      <c r="X251" s="447"/>
      <c r="Y251" s="858" t="s">
        <v>3979</v>
      </c>
    </row>
    <row r="252" spans="1:25" ht="14.45" customHeight="1" x14ac:dyDescent="0.25">
      <c r="A252" s="722" t="s">
        <v>4678</v>
      </c>
      <c r="B252" s="723" t="s">
        <v>3989</v>
      </c>
      <c r="C252" s="723" t="s">
        <v>4753</v>
      </c>
      <c r="D252" s="724" t="s">
        <v>34</v>
      </c>
      <c r="E252" s="724" t="s">
        <v>284</v>
      </c>
      <c r="F252" s="725">
        <v>45035</v>
      </c>
      <c r="G252" s="725"/>
      <c r="H252" s="724" t="s">
        <v>23</v>
      </c>
      <c r="I252" s="441"/>
      <c r="J252" s="442"/>
      <c r="K252" s="720">
        <v>0</v>
      </c>
      <c r="L252" s="744">
        <v>0</v>
      </c>
      <c r="M252" s="767"/>
      <c r="N252" s="767"/>
      <c r="O252" s="728" t="s">
        <v>3988</v>
      </c>
      <c r="P252" s="721">
        <v>242</v>
      </c>
      <c r="Q252" s="729"/>
      <c r="R252" s="721"/>
      <c r="S252" s="721"/>
      <c r="T252" s="721"/>
      <c r="U252" s="721"/>
      <c r="V252" s="721"/>
      <c r="W252" s="721"/>
      <c r="X252" s="721"/>
      <c r="Y252" s="857" t="s">
        <v>3990</v>
      </c>
    </row>
    <row r="253" spans="1:25" ht="14.45" customHeight="1" x14ac:dyDescent="0.25">
      <c r="A253" s="437" t="s">
        <v>4678</v>
      </c>
      <c r="B253" s="438" t="s">
        <v>3997</v>
      </c>
      <c r="C253" s="438" t="s">
        <v>4753</v>
      </c>
      <c r="D253" s="439" t="s">
        <v>34</v>
      </c>
      <c r="E253" s="439" t="s">
        <v>576</v>
      </c>
      <c r="F253" s="440">
        <v>45035</v>
      </c>
      <c r="G253" s="440"/>
      <c r="H253" s="439" t="s">
        <v>23</v>
      </c>
      <c r="I253" s="449"/>
      <c r="J253" s="450"/>
      <c r="K253" s="443">
        <v>258</v>
      </c>
      <c r="L253" s="444">
        <v>0</v>
      </c>
      <c r="M253" s="463"/>
      <c r="N253" s="463"/>
      <c r="O253" s="445" t="s">
        <v>859</v>
      </c>
      <c r="P253" s="447" t="s">
        <v>3991</v>
      </c>
      <c r="Q253" s="451">
        <v>258</v>
      </c>
      <c r="R253" s="447"/>
      <c r="S253" s="447"/>
      <c r="T253" s="447"/>
      <c r="U253" s="447"/>
      <c r="V253" s="447"/>
      <c r="W253" s="447"/>
      <c r="X253" s="447"/>
      <c r="Y253" s="858" t="s">
        <v>3993</v>
      </c>
    </row>
    <row r="254" spans="1:25" ht="14.45" customHeight="1" x14ac:dyDescent="0.25">
      <c r="A254" s="722" t="s">
        <v>4678</v>
      </c>
      <c r="B254" s="723" t="s">
        <v>3997</v>
      </c>
      <c r="C254" s="723" t="s">
        <v>4753</v>
      </c>
      <c r="D254" s="724" t="s">
        <v>34</v>
      </c>
      <c r="E254" s="724" t="s">
        <v>576</v>
      </c>
      <c r="F254" s="725">
        <v>45035</v>
      </c>
      <c r="G254" s="725"/>
      <c r="H254" s="724" t="s">
        <v>23</v>
      </c>
      <c r="I254" s="441"/>
      <c r="J254" s="442"/>
      <c r="K254" s="720">
        <v>0</v>
      </c>
      <c r="L254" s="744">
        <v>0</v>
      </c>
      <c r="M254" s="767"/>
      <c r="N254" s="767"/>
      <c r="O254" s="728" t="s">
        <v>533</v>
      </c>
      <c r="P254" s="721" t="s">
        <v>3620</v>
      </c>
      <c r="Q254" s="729"/>
      <c r="R254" s="721"/>
      <c r="S254" s="721"/>
      <c r="T254" s="721"/>
      <c r="U254" s="721"/>
      <c r="V254" s="721"/>
      <c r="W254" s="721"/>
      <c r="X254" s="721"/>
      <c r="Y254" s="857" t="s">
        <v>3994</v>
      </c>
    </row>
    <row r="255" spans="1:25" ht="14.45" customHeight="1" x14ac:dyDescent="0.25">
      <c r="A255" s="437" t="s">
        <v>4678</v>
      </c>
      <c r="B255" s="438" t="s">
        <v>3997</v>
      </c>
      <c r="C255" s="438" t="s">
        <v>4753</v>
      </c>
      <c r="D255" s="439" t="s">
        <v>34</v>
      </c>
      <c r="E255" s="439" t="s">
        <v>576</v>
      </c>
      <c r="F255" s="440">
        <v>45035</v>
      </c>
      <c r="G255" s="440"/>
      <c r="H255" s="439" t="s">
        <v>23</v>
      </c>
      <c r="I255" s="449"/>
      <c r="J255" s="450"/>
      <c r="K255" s="443">
        <v>0</v>
      </c>
      <c r="L255" s="444">
        <v>0</v>
      </c>
      <c r="M255" s="463"/>
      <c r="N255" s="463"/>
      <c r="O255" s="445" t="s">
        <v>1988</v>
      </c>
      <c r="P255" s="447" t="s">
        <v>1053</v>
      </c>
      <c r="Q255" s="451"/>
      <c r="R255" s="447"/>
      <c r="S255" s="447"/>
      <c r="T255" s="447"/>
      <c r="U255" s="447"/>
      <c r="V255" s="447"/>
      <c r="W255" s="447"/>
      <c r="X255" s="447"/>
      <c r="Y255" s="858" t="s">
        <v>3995</v>
      </c>
    </row>
    <row r="256" spans="1:25" ht="14.45" customHeight="1" x14ac:dyDescent="0.25">
      <c r="A256" s="722" t="s">
        <v>4678</v>
      </c>
      <c r="B256" s="723" t="s">
        <v>3997</v>
      </c>
      <c r="C256" s="723" t="s">
        <v>4753</v>
      </c>
      <c r="D256" s="724" t="s">
        <v>34</v>
      </c>
      <c r="E256" s="724" t="s">
        <v>576</v>
      </c>
      <c r="F256" s="725">
        <v>45035</v>
      </c>
      <c r="G256" s="725"/>
      <c r="H256" s="724" t="s">
        <v>23</v>
      </c>
      <c r="I256" s="441"/>
      <c r="J256" s="442"/>
      <c r="K256" s="720">
        <v>0</v>
      </c>
      <c r="L256" s="744">
        <v>0</v>
      </c>
      <c r="M256" s="767"/>
      <c r="N256" s="767"/>
      <c r="O256" s="728" t="s">
        <v>537</v>
      </c>
      <c r="P256" s="721" t="s">
        <v>3992</v>
      </c>
      <c r="Q256" s="729"/>
      <c r="R256" s="721"/>
      <c r="S256" s="721"/>
      <c r="T256" s="721"/>
      <c r="U256" s="721"/>
      <c r="V256" s="721"/>
      <c r="W256" s="721"/>
      <c r="X256" s="721"/>
      <c r="Y256" s="857" t="s">
        <v>3996</v>
      </c>
    </row>
    <row r="257" spans="1:25" ht="14.45" customHeight="1" x14ac:dyDescent="0.25">
      <c r="A257" s="437" t="s">
        <v>4678</v>
      </c>
      <c r="B257" s="438">
        <v>153</v>
      </c>
      <c r="C257" s="438"/>
      <c r="D257" s="439" t="s">
        <v>13</v>
      </c>
      <c r="E257" s="439" t="s">
        <v>625</v>
      </c>
      <c r="F257" s="440">
        <v>45036</v>
      </c>
      <c r="G257" s="440"/>
      <c r="H257" s="439" t="s">
        <v>23</v>
      </c>
      <c r="I257" s="449"/>
      <c r="J257" s="450"/>
      <c r="K257" s="443">
        <v>188</v>
      </c>
      <c r="L257" s="444">
        <v>2.4790142857142858</v>
      </c>
      <c r="M257" s="463"/>
      <c r="N257" s="463"/>
      <c r="O257" s="445" t="s">
        <v>3942</v>
      </c>
      <c r="P257" s="447">
        <v>460.6</v>
      </c>
      <c r="Q257" s="451">
        <v>188</v>
      </c>
      <c r="R257" s="447">
        <v>0.1507</v>
      </c>
      <c r="S257" s="447">
        <v>0.39300000000000002</v>
      </c>
      <c r="T257" s="447">
        <v>69.412400000000005</v>
      </c>
      <c r="U257" s="447">
        <v>181.01580000000001</v>
      </c>
      <c r="V257" s="447">
        <v>9.02</v>
      </c>
      <c r="W257" s="447">
        <v>35.409999999999997</v>
      </c>
      <c r="X257" s="447">
        <v>235</v>
      </c>
      <c r="Y257" s="858">
        <v>16311.92</v>
      </c>
    </row>
    <row r="258" spans="1:25" ht="14.45" customHeight="1" x14ac:dyDescent="0.25">
      <c r="A258" s="722" t="s">
        <v>4678</v>
      </c>
      <c r="B258" s="723">
        <v>154</v>
      </c>
      <c r="C258" s="723"/>
      <c r="D258" s="724" t="s">
        <v>13</v>
      </c>
      <c r="E258" s="724" t="s">
        <v>625</v>
      </c>
      <c r="F258" s="725">
        <v>45036</v>
      </c>
      <c r="G258" s="725"/>
      <c r="H258" s="724" t="s">
        <v>23</v>
      </c>
      <c r="I258" s="441"/>
      <c r="J258" s="442"/>
      <c r="K258" s="720">
        <v>183</v>
      </c>
      <c r="L258" s="744">
        <v>10.686742857142857</v>
      </c>
      <c r="M258" s="767" t="s">
        <v>4011</v>
      </c>
      <c r="N258" s="767"/>
      <c r="O258" s="728" t="s">
        <v>4004</v>
      </c>
      <c r="P258" s="721">
        <v>860.1</v>
      </c>
      <c r="Q258" s="729">
        <v>183</v>
      </c>
      <c r="R258" s="721">
        <v>0.34789999999999999</v>
      </c>
      <c r="S258" s="721">
        <v>1.643</v>
      </c>
      <c r="T258" s="721">
        <v>299.22879999999998</v>
      </c>
      <c r="U258" s="721">
        <v>1413.1442999999999</v>
      </c>
      <c r="V258" s="721">
        <v>38.9</v>
      </c>
      <c r="W258" s="721">
        <v>108.89</v>
      </c>
      <c r="X258" s="721">
        <v>313</v>
      </c>
      <c r="Y258" s="857">
        <v>93658.61</v>
      </c>
    </row>
    <row r="259" spans="1:25" ht="14.45" customHeight="1" x14ac:dyDescent="0.25">
      <c r="A259" s="437" t="s">
        <v>4678</v>
      </c>
      <c r="B259" s="438">
        <v>156</v>
      </c>
      <c r="C259" s="438"/>
      <c r="D259" s="439" t="s">
        <v>13</v>
      </c>
      <c r="E259" s="439" t="s">
        <v>28</v>
      </c>
      <c r="F259" s="440">
        <v>45036</v>
      </c>
      <c r="G259" s="440"/>
      <c r="H259" s="439" t="s">
        <v>23</v>
      </c>
      <c r="I259" s="449"/>
      <c r="J259" s="450"/>
      <c r="K259" s="443">
        <v>210</v>
      </c>
      <c r="L259" s="444">
        <v>19.7865</v>
      </c>
      <c r="M259" s="463"/>
      <c r="N259" s="463"/>
      <c r="O259" s="445" t="s">
        <v>3231</v>
      </c>
      <c r="P259" s="447">
        <v>1260</v>
      </c>
      <c r="Q259" s="451">
        <v>210</v>
      </c>
      <c r="R259" s="447">
        <v>0.43969999999999998</v>
      </c>
      <c r="S259" s="447">
        <v>1.1279999999999999</v>
      </c>
      <c r="T259" s="447">
        <v>554.02200000000005</v>
      </c>
      <c r="U259" s="447">
        <v>1421.28</v>
      </c>
      <c r="V259" s="447">
        <v>72.02</v>
      </c>
      <c r="W259" s="447">
        <v>150.82</v>
      </c>
      <c r="X259" s="447">
        <v>343</v>
      </c>
      <c r="Y259" s="858">
        <v>190029.55</v>
      </c>
    </row>
    <row r="260" spans="1:25" ht="14.45" customHeight="1" x14ac:dyDescent="0.25">
      <c r="A260" s="722" t="s">
        <v>4678</v>
      </c>
      <c r="B260" s="723" t="s">
        <v>3999</v>
      </c>
      <c r="C260" s="723"/>
      <c r="D260" s="724" t="s">
        <v>34</v>
      </c>
      <c r="E260" s="724" t="s">
        <v>16</v>
      </c>
      <c r="F260" s="725">
        <v>45036</v>
      </c>
      <c r="G260" s="725"/>
      <c r="H260" s="724" t="s">
        <v>23</v>
      </c>
      <c r="I260" s="441"/>
      <c r="J260" s="442"/>
      <c r="K260" s="720">
        <v>182</v>
      </c>
      <c r="L260" s="744">
        <v>11.6883</v>
      </c>
      <c r="M260" s="767"/>
      <c r="N260" s="767"/>
      <c r="O260" s="728" t="s">
        <v>2423</v>
      </c>
      <c r="P260" s="721">
        <v>1092</v>
      </c>
      <c r="Q260" s="729">
        <v>182</v>
      </c>
      <c r="R260" s="721">
        <v>0.29970000000000002</v>
      </c>
      <c r="S260" s="721">
        <v>1.6739999999999999</v>
      </c>
      <c r="T260" s="721">
        <v>327.2724</v>
      </c>
      <c r="U260" s="721">
        <v>1828.008</v>
      </c>
      <c r="V260" s="721">
        <v>42.55</v>
      </c>
      <c r="W260" s="721">
        <v>102.8</v>
      </c>
      <c r="X260" s="721">
        <v>343</v>
      </c>
      <c r="Y260" s="857">
        <v>112254.43</v>
      </c>
    </row>
    <row r="261" spans="1:25" ht="14.45" customHeight="1" x14ac:dyDescent="0.25">
      <c r="A261" s="437" t="s">
        <v>4678</v>
      </c>
      <c r="B261" s="438">
        <v>184</v>
      </c>
      <c r="C261" s="438"/>
      <c r="D261" s="439" t="s">
        <v>34</v>
      </c>
      <c r="E261" s="439" t="s">
        <v>79</v>
      </c>
      <c r="F261" s="440">
        <v>45036</v>
      </c>
      <c r="G261" s="440"/>
      <c r="H261" s="464" t="s">
        <v>23</v>
      </c>
      <c r="I261" s="449"/>
      <c r="J261" s="450"/>
      <c r="K261" s="443">
        <v>308</v>
      </c>
      <c r="L261" s="444">
        <v>13.351799999999999</v>
      </c>
      <c r="M261" s="463" t="s">
        <v>4632</v>
      </c>
      <c r="N261" s="463"/>
      <c r="O261" s="445" t="s">
        <v>78</v>
      </c>
      <c r="P261" s="447">
        <v>1848</v>
      </c>
      <c r="Q261" s="451">
        <v>308</v>
      </c>
      <c r="R261" s="447">
        <v>0.20230000000000001</v>
      </c>
      <c r="S261" s="447">
        <v>0.499</v>
      </c>
      <c r="T261" s="447">
        <v>373.85039999999998</v>
      </c>
      <c r="U261" s="447">
        <v>922.15200000000004</v>
      </c>
      <c r="V261" s="447">
        <v>48.6</v>
      </c>
      <c r="W261" s="447">
        <v>49.16</v>
      </c>
      <c r="X261" s="447">
        <v>243</v>
      </c>
      <c r="Y261" s="858">
        <v>90845.65</v>
      </c>
    </row>
    <row r="262" spans="1:25" ht="14.45" customHeight="1" x14ac:dyDescent="0.25">
      <c r="A262" s="722" t="s">
        <v>4678</v>
      </c>
      <c r="B262" s="723">
        <v>151</v>
      </c>
      <c r="C262" s="723"/>
      <c r="D262" s="724" t="s">
        <v>34</v>
      </c>
      <c r="E262" s="724" t="s">
        <v>201</v>
      </c>
      <c r="F262" s="725">
        <v>45036</v>
      </c>
      <c r="G262" s="725"/>
      <c r="H262" s="724" t="s">
        <v>23</v>
      </c>
      <c r="I262" s="441"/>
      <c r="J262" s="442"/>
      <c r="K262" s="720">
        <v>23</v>
      </c>
      <c r="L262" s="744">
        <v>3.3918428571428572</v>
      </c>
      <c r="M262" s="767"/>
      <c r="N262" s="767"/>
      <c r="O262" s="728" t="s">
        <v>2719</v>
      </c>
      <c r="P262" s="721">
        <v>138</v>
      </c>
      <c r="Q262" s="729">
        <v>23</v>
      </c>
      <c r="R262" s="721">
        <v>0.68820000000000003</v>
      </c>
      <c r="S262" s="721">
        <v>3.2480000000000002</v>
      </c>
      <c r="T262" s="721">
        <v>94.971599999999995</v>
      </c>
      <c r="U262" s="721">
        <v>448.22399999999999</v>
      </c>
      <c r="V262" s="721">
        <v>12.35</v>
      </c>
      <c r="W262" s="721">
        <v>236.05</v>
      </c>
      <c r="X262" s="721">
        <v>343</v>
      </c>
      <c r="Y262" s="857">
        <v>32575.26</v>
      </c>
    </row>
    <row r="263" spans="1:25" ht="14.45" customHeight="1" x14ac:dyDescent="0.25">
      <c r="A263" s="437" t="s">
        <v>4678</v>
      </c>
      <c r="B263" s="438">
        <v>152</v>
      </c>
      <c r="C263" s="438"/>
      <c r="D263" s="439" t="s">
        <v>34</v>
      </c>
      <c r="E263" s="439" t="s">
        <v>328</v>
      </c>
      <c r="F263" s="440">
        <v>45036</v>
      </c>
      <c r="G263" s="440"/>
      <c r="H263" s="439" t="s">
        <v>23</v>
      </c>
      <c r="I263" s="449"/>
      <c r="J263" s="450"/>
      <c r="K263" s="443">
        <v>200</v>
      </c>
      <c r="L263" s="444">
        <v>13.251428571428573</v>
      </c>
      <c r="M263" s="463" t="s">
        <v>4138</v>
      </c>
      <c r="N263" s="463"/>
      <c r="O263" s="445" t="s">
        <v>650</v>
      </c>
      <c r="P263" s="447">
        <v>1200</v>
      </c>
      <c r="Q263" s="451">
        <v>200</v>
      </c>
      <c r="R263" s="447">
        <v>0.30919999999999997</v>
      </c>
      <c r="S263" s="447">
        <v>1.1000000000000001</v>
      </c>
      <c r="T263" s="447">
        <v>371.04</v>
      </c>
      <c r="U263" s="447">
        <v>1320</v>
      </c>
      <c r="V263" s="447">
        <v>48.24</v>
      </c>
      <c r="W263" s="447">
        <v>110.69</v>
      </c>
      <c r="X263" s="447">
        <v>358</v>
      </c>
      <c r="Y263" s="858">
        <v>132832.32000000001</v>
      </c>
    </row>
    <row r="264" spans="1:25" ht="14.45" customHeight="1" x14ac:dyDescent="0.25">
      <c r="A264" s="722" t="s">
        <v>4678</v>
      </c>
      <c r="B264" s="723">
        <v>155</v>
      </c>
      <c r="C264" s="723"/>
      <c r="D264" s="724" t="s">
        <v>34</v>
      </c>
      <c r="E264" s="724" t="s">
        <v>19</v>
      </c>
      <c r="F264" s="725">
        <v>45036</v>
      </c>
      <c r="G264" s="725"/>
      <c r="H264" s="724" t="s">
        <v>23</v>
      </c>
      <c r="I264" s="441"/>
      <c r="J264" s="442"/>
      <c r="K264" s="720">
        <v>314</v>
      </c>
      <c r="L264" s="744">
        <v>11.269460714285714</v>
      </c>
      <c r="M264" s="767" t="s">
        <v>3116</v>
      </c>
      <c r="N264" s="767"/>
      <c r="O264" s="728" t="s">
        <v>3094</v>
      </c>
      <c r="P264" s="721">
        <v>1161.8</v>
      </c>
      <c r="Q264" s="729">
        <v>314</v>
      </c>
      <c r="R264" s="721">
        <v>0.27160000000000001</v>
      </c>
      <c r="S264" s="721">
        <v>0.72799999999999998</v>
      </c>
      <c r="T264" s="721">
        <v>315.54489999999998</v>
      </c>
      <c r="U264" s="721">
        <v>845.79039999999998</v>
      </c>
      <c r="V264" s="721">
        <v>41.02</v>
      </c>
      <c r="W264" s="721">
        <v>97.23</v>
      </c>
      <c r="X264" s="721">
        <v>358</v>
      </c>
      <c r="Y264" s="857">
        <v>112965.07</v>
      </c>
    </row>
    <row r="265" spans="1:25" ht="14.45" customHeight="1" x14ac:dyDescent="0.25">
      <c r="A265" s="437" t="s">
        <v>4678</v>
      </c>
      <c r="B265" s="438" t="s">
        <v>2811</v>
      </c>
      <c r="C265" s="438" t="s">
        <v>4753</v>
      </c>
      <c r="D265" s="439" t="s">
        <v>13</v>
      </c>
      <c r="E265" s="439" t="s">
        <v>4003</v>
      </c>
      <c r="F265" s="440">
        <v>45036</v>
      </c>
      <c r="G265" s="440"/>
      <c r="H265" s="439" t="s">
        <v>23</v>
      </c>
      <c r="I265" s="449"/>
      <c r="J265" s="450"/>
      <c r="K265" s="443">
        <v>51</v>
      </c>
      <c r="L265" s="444">
        <v>0</v>
      </c>
      <c r="M265" s="463"/>
      <c r="N265" s="463"/>
      <c r="O265" s="445" t="s">
        <v>4000</v>
      </c>
      <c r="P265" s="447" t="s">
        <v>4001</v>
      </c>
      <c r="Q265" s="451">
        <v>51</v>
      </c>
      <c r="R265" s="447"/>
      <c r="S265" s="447"/>
      <c r="T265" s="447"/>
      <c r="U265" s="447"/>
      <c r="V265" s="447"/>
      <c r="W265" s="447"/>
      <c r="X265" s="447"/>
      <c r="Y265" s="858" t="s">
        <v>4002</v>
      </c>
    </row>
    <row r="266" spans="1:25" ht="14.45" customHeight="1" x14ac:dyDescent="0.25">
      <c r="A266" s="722" t="s">
        <v>4678</v>
      </c>
      <c r="B266" s="723" t="s">
        <v>2811</v>
      </c>
      <c r="C266" s="723" t="s">
        <v>4753</v>
      </c>
      <c r="D266" s="724" t="s">
        <v>13</v>
      </c>
      <c r="E266" s="724" t="s">
        <v>4003</v>
      </c>
      <c r="F266" s="725">
        <v>45036</v>
      </c>
      <c r="G266" s="725"/>
      <c r="H266" s="724" t="s">
        <v>23</v>
      </c>
      <c r="I266" s="441"/>
      <c r="J266" s="442"/>
      <c r="K266" s="720">
        <v>1</v>
      </c>
      <c r="L266" s="744">
        <v>0</v>
      </c>
      <c r="M266" s="767"/>
      <c r="N266" s="767"/>
      <c r="O266" s="728" t="s">
        <v>3613</v>
      </c>
      <c r="P266" s="721" t="s">
        <v>54</v>
      </c>
      <c r="Q266" s="729">
        <v>1</v>
      </c>
      <c r="R266" s="721"/>
      <c r="S266" s="721"/>
      <c r="T266" s="721"/>
      <c r="U266" s="721"/>
      <c r="V266" s="721"/>
      <c r="W266" s="721"/>
      <c r="X266" s="721"/>
      <c r="Y266" s="857" t="s">
        <v>105</v>
      </c>
    </row>
    <row r="267" spans="1:25" ht="14.45" customHeight="1" x14ac:dyDescent="0.25">
      <c r="A267" s="437" t="s">
        <v>4678</v>
      </c>
      <c r="B267" s="438" t="s">
        <v>4012</v>
      </c>
      <c r="C267" s="438" t="s">
        <v>4753</v>
      </c>
      <c r="D267" s="439" t="s">
        <v>13</v>
      </c>
      <c r="E267" s="439" t="s">
        <v>3918</v>
      </c>
      <c r="F267" s="440">
        <v>45037</v>
      </c>
      <c r="G267" s="440"/>
      <c r="H267" s="439" t="s">
        <v>23</v>
      </c>
      <c r="I267" s="449"/>
      <c r="J267" s="450"/>
      <c r="K267" s="443">
        <v>0</v>
      </c>
      <c r="L267" s="444">
        <v>0</v>
      </c>
      <c r="M267" s="463"/>
      <c r="N267" s="463"/>
      <c r="O267" s="445" t="s">
        <v>3915</v>
      </c>
      <c r="P267" s="447" t="s">
        <v>31</v>
      </c>
      <c r="Q267" s="451"/>
      <c r="R267" s="447"/>
      <c r="S267" s="447"/>
      <c r="T267" s="447"/>
      <c r="U267" s="447"/>
      <c r="V267" s="447"/>
      <c r="W267" s="447"/>
      <c r="X267" s="447"/>
      <c r="Y267" s="858" t="s">
        <v>2928</v>
      </c>
    </row>
    <row r="268" spans="1:25" ht="14.45" customHeight="1" x14ac:dyDescent="0.25">
      <c r="A268" s="722" t="s">
        <v>4678</v>
      </c>
      <c r="B268" s="723" t="s">
        <v>4012</v>
      </c>
      <c r="C268" s="723" t="s">
        <v>4753</v>
      </c>
      <c r="D268" s="724" t="s">
        <v>13</v>
      </c>
      <c r="E268" s="724" t="s">
        <v>3918</v>
      </c>
      <c r="F268" s="725">
        <v>45037</v>
      </c>
      <c r="G268" s="725"/>
      <c r="H268" s="724" t="s">
        <v>23</v>
      </c>
      <c r="I268" s="441"/>
      <c r="J268" s="442"/>
      <c r="K268" s="720">
        <v>0</v>
      </c>
      <c r="L268" s="744">
        <v>0</v>
      </c>
      <c r="M268" s="767"/>
      <c r="N268" s="767"/>
      <c r="O268" s="728" t="s">
        <v>3916</v>
      </c>
      <c r="P268" s="721" t="s">
        <v>31</v>
      </c>
      <c r="Q268" s="729"/>
      <c r="R268" s="721"/>
      <c r="S268" s="721"/>
      <c r="T268" s="721"/>
      <c r="U268" s="721"/>
      <c r="V268" s="721"/>
      <c r="W268" s="721"/>
      <c r="X268" s="721"/>
      <c r="Y268" s="857" t="s">
        <v>2928</v>
      </c>
    </row>
    <row r="269" spans="1:25" ht="14.45" customHeight="1" x14ac:dyDescent="0.25">
      <c r="A269" s="437" t="s">
        <v>4678</v>
      </c>
      <c r="B269" s="438" t="s">
        <v>2853</v>
      </c>
      <c r="C269" s="438" t="s">
        <v>4753</v>
      </c>
      <c r="D269" s="439" t="s">
        <v>13</v>
      </c>
      <c r="E269" s="439" t="s">
        <v>516</v>
      </c>
      <c r="F269" s="440">
        <v>45040</v>
      </c>
      <c r="G269" s="440"/>
      <c r="H269" s="439" t="s">
        <v>23</v>
      </c>
      <c r="I269" s="449"/>
      <c r="J269" s="450"/>
      <c r="K269" s="443">
        <v>0</v>
      </c>
      <c r="L269" s="444">
        <v>0</v>
      </c>
      <c r="M269" s="463"/>
      <c r="N269" s="463"/>
      <c r="O269" s="445" t="s">
        <v>4005</v>
      </c>
      <c r="P269" s="447" t="s">
        <v>4006</v>
      </c>
      <c r="Q269" s="451"/>
      <c r="R269" s="447"/>
      <c r="S269" s="447"/>
      <c r="T269" s="447"/>
      <c r="U269" s="447"/>
      <c r="V269" s="447"/>
      <c r="W269" s="447"/>
      <c r="X269" s="447"/>
      <c r="Y269" s="858" t="s">
        <v>4007</v>
      </c>
    </row>
    <row r="270" spans="1:25" ht="14.45" customHeight="1" x14ac:dyDescent="0.25">
      <c r="A270" s="722" t="s">
        <v>4678</v>
      </c>
      <c r="B270" s="723">
        <v>158</v>
      </c>
      <c r="C270" s="723"/>
      <c r="D270" s="724" t="s">
        <v>13</v>
      </c>
      <c r="E270" s="724" t="s">
        <v>3863</v>
      </c>
      <c r="F270" s="725">
        <v>45040</v>
      </c>
      <c r="G270" s="725"/>
      <c r="H270" s="724" t="s">
        <v>23</v>
      </c>
      <c r="I270" s="441"/>
      <c r="J270" s="442"/>
      <c r="K270" s="720">
        <v>96</v>
      </c>
      <c r="L270" s="744">
        <v>2.9725714285714284</v>
      </c>
      <c r="M270" s="767"/>
      <c r="N270" s="767"/>
      <c r="O270" s="728" t="s">
        <v>117</v>
      </c>
      <c r="P270" s="721">
        <v>480</v>
      </c>
      <c r="Q270" s="729">
        <v>96</v>
      </c>
      <c r="R270" s="721">
        <v>0.1734</v>
      </c>
      <c r="S270" s="721">
        <v>0.35099999999999998</v>
      </c>
      <c r="T270" s="721">
        <v>83.231999999999999</v>
      </c>
      <c r="U270" s="721">
        <v>168.48</v>
      </c>
      <c r="V270" s="721">
        <v>10.82</v>
      </c>
      <c r="W270" s="721">
        <v>59.48</v>
      </c>
      <c r="X270" s="721">
        <v>343</v>
      </c>
      <c r="Y270" s="857">
        <v>28548.58</v>
      </c>
    </row>
    <row r="271" spans="1:25" ht="14.45" customHeight="1" x14ac:dyDescent="0.25">
      <c r="A271" s="437" t="s">
        <v>4678</v>
      </c>
      <c r="B271" s="438" t="s">
        <v>4010</v>
      </c>
      <c r="C271" s="438" t="s">
        <v>4753</v>
      </c>
      <c r="D271" s="439" t="s">
        <v>13</v>
      </c>
      <c r="E271" s="439" t="s">
        <v>1696</v>
      </c>
      <c r="F271" s="440">
        <v>45040</v>
      </c>
      <c r="G271" s="440"/>
      <c r="H271" s="439" t="s">
        <v>23</v>
      </c>
      <c r="I271" s="449"/>
      <c r="J271" s="450"/>
      <c r="K271" s="443">
        <v>0</v>
      </c>
      <c r="L271" s="444">
        <v>0</v>
      </c>
      <c r="M271" s="463"/>
      <c r="N271" s="463"/>
      <c r="O271" s="445" t="s">
        <v>4008</v>
      </c>
      <c r="P271" s="447" t="s">
        <v>379</v>
      </c>
      <c r="Q271" s="451"/>
      <c r="R271" s="447"/>
      <c r="S271" s="447"/>
      <c r="T271" s="447"/>
      <c r="U271" s="447"/>
      <c r="V271" s="447"/>
      <c r="W271" s="447"/>
      <c r="X271" s="447"/>
      <c r="Y271" s="858" t="s">
        <v>4009</v>
      </c>
    </row>
    <row r="272" spans="1:25" ht="14.45" customHeight="1" x14ac:dyDescent="0.25">
      <c r="A272" s="722" t="s">
        <v>4678</v>
      </c>
      <c r="B272" s="723" t="s">
        <v>4010</v>
      </c>
      <c r="C272" s="723" t="s">
        <v>4753</v>
      </c>
      <c r="D272" s="724" t="s">
        <v>13</v>
      </c>
      <c r="E272" s="724" t="s">
        <v>1696</v>
      </c>
      <c r="F272" s="725">
        <v>45040</v>
      </c>
      <c r="G272" s="725"/>
      <c r="H272" s="724" t="s">
        <v>23</v>
      </c>
      <c r="I272" s="441"/>
      <c r="J272" s="442"/>
      <c r="K272" s="720">
        <v>0</v>
      </c>
      <c r="L272" s="744">
        <v>0</v>
      </c>
      <c r="M272" s="767"/>
      <c r="N272" s="767"/>
      <c r="O272" s="728" t="s">
        <v>949</v>
      </c>
      <c r="P272" s="721" t="s">
        <v>348</v>
      </c>
      <c r="Q272" s="729"/>
      <c r="R272" s="721"/>
      <c r="S272" s="721"/>
      <c r="T272" s="721"/>
      <c r="U272" s="721"/>
      <c r="V272" s="721"/>
      <c r="W272" s="721"/>
      <c r="X272" s="721"/>
      <c r="Y272" s="857" t="s">
        <v>2104</v>
      </c>
    </row>
    <row r="273" spans="1:25" ht="14.45" customHeight="1" x14ac:dyDescent="0.25">
      <c r="A273" s="437" t="s">
        <v>4678</v>
      </c>
      <c r="B273" s="438" t="s">
        <v>2881</v>
      </c>
      <c r="C273" s="438" t="s">
        <v>4753</v>
      </c>
      <c r="D273" s="439" t="s">
        <v>13</v>
      </c>
      <c r="E273" s="439" t="s">
        <v>43</v>
      </c>
      <c r="F273" s="440">
        <v>45042</v>
      </c>
      <c r="G273" s="440"/>
      <c r="H273" s="439" t="s">
        <v>23</v>
      </c>
      <c r="I273" s="449"/>
      <c r="J273" s="450"/>
      <c r="K273" s="443">
        <v>0</v>
      </c>
      <c r="L273" s="444">
        <v>0</v>
      </c>
      <c r="M273" s="463"/>
      <c r="N273" s="463"/>
      <c r="O273" s="445" t="s">
        <v>4013</v>
      </c>
      <c r="P273" s="447" t="s">
        <v>1515</v>
      </c>
      <c r="Q273" s="451"/>
      <c r="R273" s="447"/>
      <c r="S273" s="447"/>
      <c r="T273" s="447"/>
      <c r="U273" s="447"/>
      <c r="V273" s="447"/>
      <c r="W273" s="447"/>
      <c r="X273" s="447"/>
      <c r="Y273" s="858" t="s">
        <v>4014</v>
      </c>
    </row>
    <row r="274" spans="1:25" ht="14.45" customHeight="1" x14ac:dyDescent="0.25">
      <c r="A274" s="722" t="s">
        <v>4678</v>
      </c>
      <c r="B274" s="723" t="s">
        <v>2888</v>
      </c>
      <c r="C274" s="723" t="s">
        <v>4753</v>
      </c>
      <c r="D274" s="724" t="s">
        <v>13</v>
      </c>
      <c r="E274" s="724" t="s">
        <v>4038</v>
      </c>
      <c r="F274" s="725">
        <v>45043</v>
      </c>
      <c r="G274" s="725"/>
      <c r="H274" s="724" t="s">
        <v>23</v>
      </c>
      <c r="I274" s="441"/>
      <c r="J274" s="442"/>
      <c r="K274" s="720">
        <v>6</v>
      </c>
      <c r="L274" s="744">
        <v>0</v>
      </c>
      <c r="M274" s="767"/>
      <c r="N274" s="767"/>
      <c r="O274" s="728" t="s">
        <v>4036</v>
      </c>
      <c r="P274" s="721"/>
      <c r="Q274" s="729">
        <v>6</v>
      </c>
      <c r="R274" s="721"/>
      <c r="S274" s="721"/>
      <c r="T274" s="721"/>
      <c r="U274" s="721"/>
      <c r="V274" s="721"/>
      <c r="W274" s="721"/>
      <c r="X274" s="721"/>
      <c r="Y274" s="857" t="s">
        <v>4037</v>
      </c>
    </row>
    <row r="275" spans="1:25" ht="14.45" customHeight="1" x14ac:dyDescent="0.25">
      <c r="A275" s="437" t="s">
        <v>4678</v>
      </c>
      <c r="B275" s="438" t="s">
        <v>2899</v>
      </c>
      <c r="C275" s="438" t="s">
        <v>4753</v>
      </c>
      <c r="D275" s="439" t="s">
        <v>13</v>
      </c>
      <c r="E275" s="439" t="s">
        <v>1696</v>
      </c>
      <c r="F275" s="440">
        <v>45043</v>
      </c>
      <c r="G275" s="440"/>
      <c r="H275" s="439" t="s">
        <v>23</v>
      </c>
      <c r="I275" s="449"/>
      <c r="J275" s="450"/>
      <c r="K275" s="443">
        <v>100</v>
      </c>
      <c r="L275" s="444">
        <v>0</v>
      </c>
      <c r="M275" s="463"/>
      <c r="N275" s="463"/>
      <c r="O275" s="445" t="s">
        <v>1916</v>
      </c>
      <c r="P275" s="447">
        <v>600</v>
      </c>
      <c r="Q275" s="451">
        <v>100</v>
      </c>
      <c r="R275" s="447"/>
      <c r="S275" s="447"/>
      <c r="T275" s="447"/>
      <c r="U275" s="447"/>
      <c r="V275" s="447"/>
      <c r="W275" s="447"/>
      <c r="X275" s="447"/>
      <c r="Y275" s="858" t="s">
        <v>2104</v>
      </c>
    </row>
    <row r="276" spans="1:25" ht="14.45" customHeight="1" x14ac:dyDescent="0.25">
      <c r="A276" s="722" t="s">
        <v>4678</v>
      </c>
      <c r="B276" s="723" t="s">
        <v>2894</v>
      </c>
      <c r="C276" s="723" t="s">
        <v>4753</v>
      </c>
      <c r="D276" s="724" t="s">
        <v>13</v>
      </c>
      <c r="E276" s="724" t="s">
        <v>1696</v>
      </c>
      <c r="F276" s="725">
        <v>45043</v>
      </c>
      <c r="G276" s="725"/>
      <c r="H276" s="724" t="s">
        <v>23</v>
      </c>
      <c r="I276" s="441"/>
      <c r="J276" s="442"/>
      <c r="K276" s="720">
        <v>140</v>
      </c>
      <c r="L276" s="744">
        <v>0</v>
      </c>
      <c r="M276" s="767"/>
      <c r="N276" s="767"/>
      <c r="O276" s="728" t="s">
        <v>537</v>
      </c>
      <c r="P276" s="721">
        <v>840</v>
      </c>
      <c r="Q276" s="729">
        <v>140</v>
      </c>
      <c r="R276" s="721"/>
      <c r="S276" s="721"/>
      <c r="T276" s="721"/>
      <c r="U276" s="721"/>
      <c r="V276" s="721"/>
      <c r="W276" s="721"/>
      <c r="X276" s="721"/>
      <c r="Y276" s="857" t="s">
        <v>4019</v>
      </c>
    </row>
    <row r="277" spans="1:25" ht="14.45" customHeight="1" x14ac:dyDescent="0.25">
      <c r="A277" s="437" t="s">
        <v>4678</v>
      </c>
      <c r="B277" s="438" t="s">
        <v>2894</v>
      </c>
      <c r="C277" s="438" t="s">
        <v>4753</v>
      </c>
      <c r="D277" s="439" t="s">
        <v>13</v>
      </c>
      <c r="E277" s="439" t="s">
        <v>1696</v>
      </c>
      <c r="F277" s="440">
        <v>45043</v>
      </c>
      <c r="G277" s="440"/>
      <c r="H277" s="439" t="s">
        <v>23</v>
      </c>
      <c r="I277" s="449"/>
      <c r="J277" s="450"/>
      <c r="K277" s="443">
        <v>10</v>
      </c>
      <c r="L277" s="444">
        <v>0</v>
      </c>
      <c r="M277" s="463"/>
      <c r="N277" s="463"/>
      <c r="O277" s="445" t="s">
        <v>4018</v>
      </c>
      <c r="P277" s="447">
        <v>60</v>
      </c>
      <c r="Q277" s="451">
        <v>10</v>
      </c>
      <c r="R277" s="447"/>
      <c r="S277" s="447"/>
      <c r="T277" s="447"/>
      <c r="U277" s="447"/>
      <c r="V277" s="447"/>
      <c r="W277" s="447"/>
      <c r="X277" s="447"/>
      <c r="Y277" s="858" t="s">
        <v>4020</v>
      </c>
    </row>
    <row r="278" spans="1:25" ht="14.45" customHeight="1" x14ac:dyDescent="0.25">
      <c r="A278" s="722" t="s">
        <v>4678</v>
      </c>
      <c r="B278" s="723">
        <v>168</v>
      </c>
      <c r="C278" s="723"/>
      <c r="D278" s="724" t="s">
        <v>13</v>
      </c>
      <c r="E278" s="724" t="s">
        <v>625</v>
      </c>
      <c r="F278" s="725">
        <v>45044</v>
      </c>
      <c r="G278" s="725"/>
      <c r="H278" s="724" t="s">
        <v>23</v>
      </c>
      <c r="I278" s="441"/>
      <c r="J278" s="442"/>
      <c r="K278" s="720">
        <v>134</v>
      </c>
      <c r="L278" s="744">
        <v>7.8252642857142858</v>
      </c>
      <c r="M278" s="767" t="s">
        <v>4105</v>
      </c>
      <c r="N278" s="767"/>
      <c r="O278" s="728" t="s">
        <v>4004</v>
      </c>
      <c r="P278" s="721">
        <v>629.79999999999995</v>
      </c>
      <c r="Q278" s="729">
        <v>134</v>
      </c>
      <c r="R278" s="721">
        <v>0.34789999999999999</v>
      </c>
      <c r="S278" s="721">
        <v>1.643</v>
      </c>
      <c r="T278" s="721">
        <v>219.10740000000001</v>
      </c>
      <c r="U278" s="721">
        <v>1034.7614000000001</v>
      </c>
      <c r="V278" s="721">
        <v>28.48</v>
      </c>
      <c r="W278" s="721">
        <v>108.89</v>
      </c>
      <c r="X278" s="721">
        <v>313</v>
      </c>
      <c r="Y278" s="857">
        <v>68580.62</v>
      </c>
    </row>
    <row r="279" spans="1:25" ht="14.45" customHeight="1" x14ac:dyDescent="0.25">
      <c r="A279" s="437" t="s">
        <v>4678</v>
      </c>
      <c r="B279" s="438">
        <v>171</v>
      </c>
      <c r="C279" s="438"/>
      <c r="D279" s="439" t="s">
        <v>13</v>
      </c>
      <c r="E279" s="439" t="s">
        <v>28</v>
      </c>
      <c r="F279" s="440">
        <v>45044</v>
      </c>
      <c r="G279" s="440"/>
      <c r="H279" s="439" t="s">
        <v>23</v>
      </c>
      <c r="I279" s="449"/>
      <c r="J279" s="450"/>
      <c r="K279" s="443">
        <v>12</v>
      </c>
      <c r="L279" s="444">
        <v>1.1306571428571428</v>
      </c>
      <c r="M279" s="463"/>
      <c r="N279" s="463"/>
      <c r="O279" s="445" t="s">
        <v>3231</v>
      </c>
      <c r="P279" s="447">
        <v>72</v>
      </c>
      <c r="Q279" s="451">
        <v>12</v>
      </c>
      <c r="R279" s="447">
        <v>0.43969999999999998</v>
      </c>
      <c r="S279" s="447">
        <v>1.1279999999999999</v>
      </c>
      <c r="T279" s="447">
        <v>31.6584</v>
      </c>
      <c r="U279" s="447">
        <v>81.215999999999994</v>
      </c>
      <c r="V279" s="447">
        <v>4.12</v>
      </c>
      <c r="W279" s="447">
        <v>150.82</v>
      </c>
      <c r="X279" s="447">
        <v>343</v>
      </c>
      <c r="Y279" s="858">
        <v>10858.83</v>
      </c>
    </row>
    <row r="280" spans="1:25" ht="14.45" customHeight="1" x14ac:dyDescent="0.25">
      <c r="A280" s="722" t="s">
        <v>4678</v>
      </c>
      <c r="B280" s="723">
        <v>164</v>
      </c>
      <c r="C280" s="723"/>
      <c r="D280" s="724" t="s">
        <v>13</v>
      </c>
      <c r="E280" s="724" t="s">
        <v>45</v>
      </c>
      <c r="F280" s="725">
        <v>45044</v>
      </c>
      <c r="G280" s="725"/>
      <c r="H280" s="724" t="s">
        <v>23</v>
      </c>
      <c r="I280" s="465"/>
      <c r="J280" s="466"/>
      <c r="K280" s="720">
        <v>19</v>
      </c>
      <c r="L280" s="744">
        <v>2.0886357142857142</v>
      </c>
      <c r="M280" s="767"/>
      <c r="N280" s="767"/>
      <c r="O280" s="724" t="s">
        <v>2840</v>
      </c>
      <c r="P280" s="845">
        <v>58.9</v>
      </c>
      <c r="Q280" s="846">
        <v>19</v>
      </c>
      <c r="R280" s="721">
        <v>0.9929</v>
      </c>
      <c r="S280" s="721">
        <v>4.5880000000000001</v>
      </c>
      <c r="T280" s="721">
        <v>58.4818</v>
      </c>
      <c r="U280" s="721">
        <v>270.23320000000001</v>
      </c>
      <c r="V280" s="721">
        <v>7.6</v>
      </c>
      <c r="W280" s="721">
        <v>312.76</v>
      </c>
      <c r="X280" s="721">
        <v>315</v>
      </c>
      <c r="Y280" s="857">
        <v>18421.77</v>
      </c>
    </row>
    <row r="281" spans="1:25" ht="14.45" customHeight="1" x14ac:dyDescent="0.25">
      <c r="A281" s="437" t="s">
        <v>4678</v>
      </c>
      <c r="B281" s="438">
        <v>167</v>
      </c>
      <c r="C281" s="438"/>
      <c r="D281" s="439" t="s">
        <v>34</v>
      </c>
      <c r="E281" s="439" t="s">
        <v>201</v>
      </c>
      <c r="F281" s="440">
        <v>45044</v>
      </c>
      <c r="G281" s="440"/>
      <c r="H281" s="439" t="s">
        <v>23</v>
      </c>
      <c r="I281" s="449"/>
      <c r="J281" s="450"/>
      <c r="K281" s="443">
        <v>5</v>
      </c>
      <c r="L281" s="444">
        <v>0.73735714285714293</v>
      </c>
      <c r="M281" s="463"/>
      <c r="N281" s="463"/>
      <c r="O281" s="445" t="s">
        <v>4214</v>
      </c>
      <c r="P281" s="447">
        <v>30</v>
      </c>
      <c r="Q281" s="451">
        <v>5</v>
      </c>
      <c r="R281" s="447">
        <v>0.68820000000000003</v>
      </c>
      <c r="S281" s="447">
        <v>3.2480000000000002</v>
      </c>
      <c r="T281" s="447">
        <v>20.646000000000001</v>
      </c>
      <c r="U281" s="447">
        <v>97.44</v>
      </c>
      <c r="V281" s="447">
        <v>2.68</v>
      </c>
      <c r="W281" s="447">
        <v>236.05</v>
      </c>
      <c r="X281" s="447">
        <v>343</v>
      </c>
      <c r="Y281" s="858">
        <v>7081.58</v>
      </c>
    </row>
    <row r="282" spans="1:25" ht="14.45" customHeight="1" x14ac:dyDescent="0.25">
      <c r="A282" s="722" t="s">
        <v>4678</v>
      </c>
      <c r="B282" s="723" t="s">
        <v>4015</v>
      </c>
      <c r="C282" s="723"/>
      <c r="D282" s="724" t="s">
        <v>34</v>
      </c>
      <c r="E282" s="724" t="s">
        <v>16</v>
      </c>
      <c r="F282" s="725">
        <v>45044</v>
      </c>
      <c r="G282" s="725"/>
      <c r="H282" s="724" t="s">
        <v>23</v>
      </c>
      <c r="I282" s="441"/>
      <c r="J282" s="442"/>
      <c r="K282" s="720">
        <v>165</v>
      </c>
      <c r="L282" s="744">
        <v>12.367928571428573</v>
      </c>
      <c r="M282" s="767"/>
      <c r="N282" s="767"/>
      <c r="O282" s="728" t="s">
        <v>4213</v>
      </c>
      <c r="P282" s="721">
        <v>990</v>
      </c>
      <c r="Q282" s="729">
        <v>165</v>
      </c>
      <c r="R282" s="721">
        <v>0.3498</v>
      </c>
      <c r="S282" s="721">
        <v>1.425</v>
      </c>
      <c r="T282" s="721">
        <v>346.30200000000002</v>
      </c>
      <c r="U282" s="721">
        <v>1410.75</v>
      </c>
      <c r="V282" s="721">
        <v>45.02</v>
      </c>
      <c r="W282" s="721">
        <v>119.98</v>
      </c>
      <c r="X282" s="721">
        <v>343</v>
      </c>
      <c r="Y282" s="857">
        <v>118781.59</v>
      </c>
    </row>
    <row r="283" spans="1:25" ht="14.45" customHeight="1" x14ac:dyDescent="0.25">
      <c r="A283" s="437" t="s">
        <v>4678</v>
      </c>
      <c r="B283" s="438" t="s">
        <v>4016</v>
      </c>
      <c r="C283" s="438"/>
      <c r="D283" s="439" t="s">
        <v>34</v>
      </c>
      <c r="E283" s="439" t="s">
        <v>16</v>
      </c>
      <c r="F283" s="440">
        <v>45044</v>
      </c>
      <c r="G283" s="440"/>
      <c r="H283" s="439" t="s">
        <v>23</v>
      </c>
      <c r="I283" s="449"/>
      <c r="J283" s="450">
        <v>117</v>
      </c>
      <c r="K283" s="443">
        <v>3</v>
      </c>
      <c r="L283" s="444">
        <v>7.0097142857142858</v>
      </c>
      <c r="M283" s="463" t="s">
        <v>4814</v>
      </c>
      <c r="N283" s="463"/>
      <c r="O283" s="445" t="s">
        <v>4212</v>
      </c>
      <c r="P283" s="447">
        <v>720</v>
      </c>
      <c r="Q283" s="451">
        <v>120</v>
      </c>
      <c r="R283" s="447">
        <v>0.27260000000000001</v>
      </c>
      <c r="S283" s="447">
        <v>0.72899999999999998</v>
      </c>
      <c r="T283" s="447">
        <v>196.27199999999999</v>
      </c>
      <c r="U283" s="447">
        <v>524.88</v>
      </c>
      <c r="V283" s="447">
        <v>25.52</v>
      </c>
      <c r="W283" s="447">
        <v>93.5</v>
      </c>
      <c r="X283" s="447">
        <v>343</v>
      </c>
      <c r="Y283" s="858">
        <v>67321.3</v>
      </c>
    </row>
    <row r="284" spans="1:25" ht="14.45" customHeight="1" x14ac:dyDescent="0.25">
      <c r="A284" s="722" t="s">
        <v>4678</v>
      </c>
      <c r="B284" s="723">
        <v>165</v>
      </c>
      <c r="C284" s="723"/>
      <c r="D284" s="724" t="s">
        <v>13</v>
      </c>
      <c r="E284" s="724" t="s">
        <v>80</v>
      </c>
      <c r="F284" s="725">
        <v>45044</v>
      </c>
      <c r="G284" s="725"/>
      <c r="H284" s="724" t="s">
        <v>23</v>
      </c>
      <c r="I284" s="441"/>
      <c r="J284" s="442"/>
      <c r="K284" s="720">
        <v>360</v>
      </c>
      <c r="L284" s="744">
        <v>24.182292857142858</v>
      </c>
      <c r="M284" s="767"/>
      <c r="N284" s="767"/>
      <c r="O284" s="728" t="s">
        <v>271</v>
      </c>
      <c r="P284" s="721">
        <v>1314</v>
      </c>
      <c r="Q284" s="729">
        <v>360</v>
      </c>
      <c r="R284" s="721">
        <v>0.51529999999999998</v>
      </c>
      <c r="S284" s="721">
        <v>1.3759999999999999</v>
      </c>
      <c r="T284" s="721">
        <v>677.10419999999999</v>
      </c>
      <c r="U284" s="721">
        <v>1808.0640000000001</v>
      </c>
      <c r="V284" s="721">
        <v>88.02</v>
      </c>
      <c r="W284" s="721">
        <v>162.32</v>
      </c>
      <c r="X284" s="721">
        <v>315</v>
      </c>
      <c r="Y284" s="857">
        <v>213287.82</v>
      </c>
    </row>
    <row r="285" spans="1:25" ht="14.45" customHeight="1" x14ac:dyDescent="0.25">
      <c r="A285" s="437" t="s">
        <v>4678</v>
      </c>
      <c r="B285" s="438">
        <v>166</v>
      </c>
      <c r="C285" s="438"/>
      <c r="D285" s="439" t="s">
        <v>13</v>
      </c>
      <c r="E285" s="439" t="s">
        <v>657</v>
      </c>
      <c r="F285" s="440">
        <v>45044</v>
      </c>
      <c r="G285" s="440"/>
      <c r="H285" s="439" t="s">
        <v>23</v>
      </c>
      <c r="I285" s="449"/>
      <c r="J285" s="450"/>
      <c r="K285" s="443">
        <v>175</v>
      </c>
      <c r="L285" s="444">
        <v>6.2494999999999994</v>
      </c>
      <c r="M285" s="463"/>
      <c r="N285" s="463"/>
      <c r="O285" s="445" t="s">
        <v>2963</v>
      </c>
      <c r="P285" s="447">
        <v>1015</v>
      </c>
      <c r="Q285" s="451">
        <v>175</v>
      </c>
      <c r="R285" s="447">
        <v>0.1724</v>
      </c>
      <c r="S285" s="447">
        <v>0.41499999999999998</v>
      </c>
      <c r="T285" s="447">
        <v>174.98599999999999</v>
      </c>
      <c r="U285" s="447">
        <v>421.22500000000002</v>
      </c>
      <c r="V285" s="447">
        <v>22.75</v>
      </c>
      <c r="W285" s="447">
        <v>56.72</v>
      </c>
      <c r="X285" s="447">
        <v>329</v>
      </c>
      <c r="Y285" s="858">
        <v>57570.39</v>
      </c>
    </row>
    <row r="286" spans="1:25" ht="14.45" customHeight="1" x14ac:dyDescent="0.25">
      <c r="A286" s="722" t="s">
        <v>4678</v>
      </c>
      <c r="B286" s="723">
        <v>169</v>
      </c>
      <c r="C286" s="723"/>
      <c r="D286" s="724" t="s">
        <v>34</v>
      </c>
      <c r="E286" s="724" t="s">
        <v>19</v>
      </c>
      <c r="F286" s="725">
        <v>45044</v>
      </c>
      <c r="G286" s="725"/>
      <c r="H286" s="724" t="s">
        <v>23</v>
      </c>
      <c r="I286" s="441"/>
      <c r="J286" s="442"/>
      <c r="K286" s="720">
        <v>342</v>
      </c>
      <c r="L286" s="744">
        <v>12.274378571428571</v>
      </c>
      <c r="M286" s="767" t="s">
        <v>4072</v>
      </c>
      <c r="N286" s="767"/>
      <c r="O286" s="728" t="s">
        <v>3094</v>
      </c>
      <c r="P286" s="721">
        <v>1265.4000000000001</v>
      </c>
      <c r="Q286" s="729">
        <v>342</v>
      </c>
      <c r="R286" s="721">
        <v>0.27160000000000001</v>
      </c>
      <c r="S286" s="721">
        <v>0.72799999999999998</v>
      </c>
      <c r="T286" s="721">
        <v>343.68259999999998</v>
      </c>
      <c r="U286" s="721">
        <v>921.21119999999996</v>
      </c>
      <c r="V286" s="721">
        <v>44.68</v>
      </c>
      <c r="W286" s="721">
        <v>93.16</v>
      </c>
      <c r="X286" s="721">
        <v>343</v>
      </c>
      <c r="Y286" s="857">
        <v>117883.15</v>
      </c>
    </row>
    <row r="287" spans="1:25" ht="14.45" customHeight="1" x14ac:dyDescent="0.25">
      <c r="A287" s="437" t="s">
        <v>4678</v>
      </c>
      <c r="B287" s="438" t="s">
        <v>4017</v>
      </c>
      <c r="C287" s="438"/>
      <c r="D287" s="439" t="s">
        <v>34</v>
      </c>
      <c r="E287" s="439" t="s">
        <v>16</v>
      </c>
      <c r="F287" s="440">
        <v>45044</v>
      </c>
      <c r="G287" s="440"/>
      <c r="H287" s="439" t="s">
        <v>23</v>
      </c>
      <c r="I287" s="449"/>
      <c r="J287" s="450"/>
      <c r="K287" s="443">
        <v>176</v>
      </c>
      <c r="L287" s="444">
        <v>6.000342857142857</v>
      </c>
      <c r="M287" s="463"/>
      <c r="N287" s="463"/>
      <c r="O287" s="445" t="s">
        <v>2845</v>
      </c>
      <c r="P287" s="447">
        <v>1056</v>
      </c>
      <c r="Q287" s="451">
        <v>176</v>
      </c>
      <c r="R287" s="447">
        <v>0.15909999999999999</v>
      </c>
      <c r="S287" s="447">
        <v>0.26</v>
      </c>
      <c r="T287" s="447">
        <v>168.00960000000001</v>
      </c>
      <c r="U287" s="447">
        <v>274.56</v>
      </c>
      <c r="V287" s="447">
        <v>21.84</v>
      </c>
      <c r="W287" s="447">
        <v>54.57</v>
      </c>
      <c r="X287" s="447">
        <v>343</v>
      </c>
      <c r="Y287" s="858">
        <v>57627.29</v>
      </c>
    </row>
    <row r="288" spans="1:25" ht="14.45" customHeight="1" x14ac:dyDescent="0.25">
      <c r="A288" s="722" t="s">
        <v>4678</v>
      </c>
      <c r="B288" s="723" t="s">
        <v>2908</v>
      </c>
      <c r="C288" s="723" t="s">
        <v>4753</v>
      </c>
      <c r="D288" s="724" t="s">
        <v>13</v>
      </c>
      <c r="E288" s="724" t="s">
        <v>589</v>
      </c>
      <c r="F288" s="725">
        <v>45044</v>
      </c>
      <c r="G288" s="725"/>
      <c r="H288" s="724" t="s">
        <v>23</v>
      </c>
      <c r="I288" s="441"/>
      <c r="J288" s="442"/>
      <c r="K288" s="720">
        <v>2433</v>
      </c>
      <c r="L288" s="744">
        <v>0</v>
      </c>
      <c r="M288" s="767" t="s">
        <v>4139</v>
      </c>
      <c r="N288" s="767"/>
      <c r="O288" s="784" t="s">
        <v>676</v>
      </c>
      <c r="P288" s="721" t="s">
        <v>4024</v>
      </c>
      <c r="Q288" s="729">
        <v>2433</v>
      </c>
      <c r="R288" s="721"/>
      <c r="S288" s="721"/>
      <c r="T288" s="721"/>
      <c r="U288" s="721"/>
      <c r="V288" s="721"/>
      <c r="W288" s="721"/>
      <c r="X288" s="721"/>
      <c r="Y288" s="857" t="s">
        <v>4025</v>
      </c>
    </row>
    <row r="289" spans="1:25" ht="14.45" customHeight="1" x14ac:dyDescent="0.25">
      <c r="A289" s="437" t="s">
        <v>4678</v>
      </c>
      <c r="B289" s="438" t="s">
        <v>4023</v>
      </c>
      <c r="C289" s="438" t="s">
        <v>4753</v>
      </c>
      <c r="D289" s="439" t="s">
        <v>13</v>
      </c>
      <c r="E289" s="439" t="s">
        <v>4021</v>
      </c>
      <c r="F289" s="440">
        <v>45044</v>
      </c>
      <c r="G289" s="440"/>
      <c r="H289" s="439" t="s">
        <v>23</v>
      </c>
      <c r="I289" s="449"/>
      <c r="J289" s="450"/>
      <c r="K289" s="443">
        <v>0</v>
      </c>
      <c r="L289" s="444">
        <v>0</v>
      </c>
      <c r="M289" s="463"/>
      <c r="N289" s="463"/>
      <c r="O289" s="445" t="s">
        <v>3705</v>
      </c>
      <c r="P289" s="447">
        <v>180</v>
      </c>
      <c r="Q289" s="451"/>
      <c r="R289" s="447"/>
      <c r="S289" s="447"/>
      <c r="T289" s="447"/>
      <c r="U289" s="447"/>
      <c r="V289" s="447"/>
      <c r="W289" s="447"/>
      <c r="X289" s="447"/>
      <c r="Y289" s="858" t="s">
        <v>4022</v>
      </c>
    </row>
    <row r="290" spans="1:25" ht="14.45" customHeight="1" x14ac:dyDescent="0.25">
      <c r="A290" s="722" t="s">
        <v>4678</v>
      </c>
      <c r="B290" s="723" t="s">
        <v>2902</v>
      </c>
      <c r="C290" s="723" t="s">
        <v>4753</v>
      </c>
      <c r="D290" s="724" t="s">
        <v>13</v>
      </c>
      <c r="E290" s="724" t="s">
        <v>3765</v>
      </c>
      <c r="F290" s="725">
        <v>45044</v>
      </c>
      <c r="G290" s="725"/>
      <c r="H290" s="724" t="s">
        <v>23</v>
      </c>
      <c r="I290" s="441"/>
      <c r="J290" s="442"/>
      <c r="K290" s="720">
        <v>0</v>
      </c>
      <c r="L290" s="744">
        <v>0</v>
      </c>
      <c r="M290" s="767"/>
      <c r="N290" s="767"/>
      <c r="O290" s="784" t="s">
        <v>4026</v>
      </c>
      <c r="P290" s="721">
        <v>54</v>
      </c>
      <c r="Q290" s="729"/>
      <c r="R290" s="721"/>
      <c r="S290" s="721"/>
      <c r="T290" s="721"/>
      <c r="U290" s="721"/>
      <c r="V290" s="721"/>
      <c r="W290" s="721"/>
      <c r="X290" s="721"/>
      <c r="Y290" s="857" t="s">
        <v>1341</v>
      </c>
    </row>
    <row r="291" spans="1:25" ht="14.45" customHeight="1" x14ac:dyDescent="0.25">
      <c r="A291" s="437" t="s">
        <v>4678</v>
      </c>
      <c r="B291" s="438">
        <v>170</v>
      </c>
      <c r="C291" s="438"/>
      <c r="D291" s="439" t="s">
        <v>13</v>
      </c>
      <c r="E291" s="439" t="s">
        <v>3764</v>
      </c>
      <c r="F291" s="440">
        <v>45044</v>
      </c>
      <c r="G291" s="440"/>
      <c r="H291" s="439" t="s">
        <v>23</v>
      </c>
      <c r="I291" s="449"/>
      <c r="J291" s="450"/>
      <c r="K291" s="443">
        <v>258</v>
      </c>
      <c r="L291" s="444">
        <v>10.870046428571429</v>
      </c>
      <c r="M291" s="463" t="s">
        <v>4040</v>
      </c>
      <c r="N291" s="463"/>
      <c r="O291" s="445" t="s">
        <v>3301</v>
      </c>
      <c r="P291" s="447">
        <v>1148.0999999999999</v>
      </c>
      <c r="Q291" s="451">
        <v>258</v>
      </c>
      <c r="R291" s="447">
        <v>0.2651</v>
      </c>
      <c r="S291" s="447">
        <v>0.82099999999999995</v>
      </c>
      <c r="T291" s="447">
        <v>304.36130000000003</v>
      </c>
      <c r="U291" s="447">
        <v>942.59010000000001</v>
      </c>
      <c r="V291" s="447">
        <v>39.57</v>
      </c>
      <c r="W291" s="447">
        <v>81.92</v>
      </c>
      <c r="X291" s="447">
        <v>309</v>
      </c>
      <c r="Y291" s="858">
        <v>94047.64</v>
      </c>
    </row>
    <row r="292" spans="1:25" ht="14.45" customHeight="1" x14ac:dyDescent="0.25">
      <c r="A292" s="722" t="s">
        <v>4678</v>
      </c>
      <c r="B292" s="723">
        <v>170</v>
      </c>
      <c r="C292" s="723"/>
      <c r="D292" s="724" t="s">
        <v>13</v>
      </c>
      <c r="E292" s="724" t="s">
        <v>3764</v>
      </c>
      <c r="F292" s="725">
        <v>45044</v>
      </c>
      <c r="G292" s="725"/>
      <c r="H292" s="724" t="s">
        <v>23</v>
      </c>
      <c r="I292" s="441"/>
      <c r="J292" s="442"/>
      <c r="K292" s="720">
        <v>135</v>
      </c>
      <c r="L292" s="744">
        <v>6.4547107142857145</v>
      </c>
      <c r="M292" s="767" t="s">
        <v>4041</v>
      </c>
      <c r="N292" s="767"/>
      <c r="O292" s="728" t="s">
        <v>3303</v>
      </c>
      <c r="P292" s="721">
        <v>681.75</v>
      </c>
      <c r="Q292" s="729">
        <v>135</v>
      </c>
      <c r="R292" s="721">
        <v>0.2651</v>
      </c>
      <c r="S292" s="721">
        <v>0.82099999999999995</v>
      </c>
      <c r="T292" s="721">
        <v>180.7319</v>
      </c>
      <c r="U292" s="721">
        <v>559.71680000000003</v>
      </c>
      <c r="V292" s="721">
        <v>23.5</v>
      </c>
      <c r="W292" s="721">
        <v>81.92</v>
      </c>
      <c r="X292" s="721">
        <v>309</v>
      </c>
      <c r="Y292" s="857">
        <v>55846.16</v>
      </c>
    </row>
    <row r="293" spans="1:25" ht="14.45" customHeight="1" x14ac:dyDescent="0.25">
      <c r="A293" s="437" t="s">
        <v>4678</v>
      </c>
      <c r="B293" s="438" t="s">
        <v>4034</v>
      </c>
      <c r="C293" s="438" t="s">
        <v>4753</v>
      </c>
      <c r="D293" s="439" t="s">
        <v>13</v>
      </c>
      <c r="E293" s="439" t="s">
        <v>516</v>
      </c>
      <c r="F293" s="440">
        <v>45048</v>
      </c>
      <c r="G293" s="440"/>
      <c r="H293" s="439" t="s">
        <v>23</v>
      </c>
      <c r="I293" s="449"/>
      <c r="J293" s="450"/>
      <c r="K293" s="443">
        <v>0</v>
      </c>
      <c r="L293" s="444">
        <v>0</v>
      </c>
      <c r="M293" s="463"/>
      <c r="N293" s="463"/>
      <c r="O293" s="445" t="s">
        <v>4035</v>
      </c>
      <c r="P293" s="447">
        <v>96</v>
      </c>
      <c r="Q293" s="451"/>
      <c r="R293" s="447"/>
      <c r="S293" s="447"/>
      <c r="T293" s="447"/>
      <c r="U293" s="447"/>
      <c r="V293" s="447"/>
      <c r="W293" s="447"/>
      <c r="X293" s="447"/>
      <c r="Y293" s="858">
        <v>13000</v>
      </c>
    </row>
    <row r="294" spans="1:25" ht="14.45" customHeight="1" x14ac:dyDescent="0.25">
      <c r="A294" s="722" t="s">
        <v>4678</v>
      </c>
      <c r="B294" s="723" t="s">
        <v>4032</v>
      </c>
      <c r="C294" s="723" t="s">
        <v>4753</v>
      </c>
      <c r="D294" s="724" t="s">
        <v>13</v>
      </c>
      <c r="E294" s="724" t="s">
        <v>799</v>
      </c>
      <c r="F294" s="725">
        <v>45048</v>
      </c>
      <c r="G294" s="725"/>
      <c r="H294" s="724" t="s">
        <v>23</v>
      </c>
      <c r="I294" s="441"/>
      <c r="J294" s="442"/>
      <c r="K294" s="720">
        <v>0</v>
      </c>
      <c r="L294" s="744">
        <v>0</v>
      </c>
      <c r="M294" s="767"/>
      <c r="N294" s="767"/>
      <c r="O294" s="728" t="s">
        <v>2165</v>
      </c>
      <c r="P294" s="721" t="s">
        <v>4030</v>
      </c>
      <c r="Q294" s="729"/>
      <c r="R294" s="721"/>
      <c r="S294" s="721"/>
      <c r="T294" s="721"/>
      <c r="U294" s="721"/>
      <c r="V294" s="721"/>
      <c r="W294" s="721"/>
      <c r="X294" s="721"/>
      <c r="Y294" s="857" t="s">
        <v>4031</v>
      </c>
    </row>
    <row r="295" spans="1:25" ht="14.45" customHeight="1" x14ac:dyDescent="0.25">
      <c r="A295" s="437" t="s">
        <v>4678</v>
      </c>
      <c r="B295" s="438" t="s">
        <v>4029</v>
      </c>
      <c r="C295" s="438" t="s">
        <v>4753</v>
      </c>
      <c r="D295" s="439" t="s">
        <v>13</v>
      </c>
      <c r="E295" s="439" t="s">
        <v>799</v>
      </c>
      <c r="F295" s="440">
        <v>45048</v>
      </c>
      <c r="G295" s="440"/>
      <c r="H295" s="439" t="s">
        <v>23</v>
      </c>
      <c r="I295" s="449"/>
      <c r="J295" s="450"/>
      <c r="K295" s="443">
        <v>0</v>
      </c>
      <c r="L295" s="444">
        <v>0</v>
      </c>
      <c r="M295" s="463" t="s">
        <v>4033</v>
      </c>
      <c r="N295" s="463"/>
      <c r="O295" s="445" t="s">
        <v>2165</v>
      </c>
      <c r="P295" s="447" t="s">
        <v>2780</v>
      </c>
      <c r="Q295" s="451"/>
      <c r="R295" s="447"/>
      <c r="S295" s="447"/>
      <c r="T295" s="447"/>
      <c r="U295" s="447"/>
      <c r="V295" s="447"/>
      <c r="W295" s="447"/>
      <c r="X295" s="447"/>
      <c r="Y295" s="858" t="s">
        <v>4028</v>
      </c>
    </row>
    <row r="296" spans="1:25" ht="14.45" customHeight="1" x14ac:dyDescent="0.25">
      <c r="A296" s="722" t="s">
        <v>4678</v>
      </c>
      <c r="B296" s="723" t="s">
        <v>4066</v>
      </c>
      <c r="C296" s="723" t="s">
        <v>4753</v>
      </c>
      <c r="D296" s="724" t="s">
        <v>34</v>
      </c>
      <c r="E296" s="724" t="s">
        <v>576</v>
      </c>
      <c r="F296" s="725">
        <v>45048</v>
      </c>
      <c r="G296" s="725"/>
      <c r="H296" s="724" t="s">
        <v>23</v>
      </c>
      <c r="I296" s="441"/>
      <c r="J296" s="442"/>
      <c r="K296" s="720">
        <v>0</v>
      </c>
      <c r="L296" s="744">
        <v>0</v>
      </c>
      <c r="M296" s="767"/>
      <c r="N296" s="767"/>
      <c r="O296" s="728" t="s">
        <v>859</v>
      </c>
      <c r="P296" s="721" t="s">
        <v>4067</v>
      </c>
      <c r="Q296" s="729"/>
      <c r="R296" s="721"/>
      <c r="S296" s="721"/>
      <c r="T296" s="721"/>
      <c r="U296" s="721"/>
      <c r="V296" s="721"/>
      <c r="W296" s="721"/>
      <c r="X296" s="721"/>
      <c r="Y296" s="857" t="s">
        <v>4068</v>
      </c>
    </row>
    <row r="297" spans="1:25" ht="14.45" customHeight="1" x14ac:dyDescent="0.25">
      <c r="A297" s="437" t="s">
        <v>4678</v>
      </c>
      <c r="B297" s="438" t="s">
        <v>4027</v>
      </c>
      <c r="C297" s="438" t="s">
        <v>4753</v>
      </c>
      <c r="D297" s="439" t="s">
        <v>13</v>
      </c>
      <c r="E297" s="439" t="s">
        <v>3791</v>
      </c>
      <c r="F297" s="440">
        <v>45049</v>
      </c>
      <c r="G297" s="440"/>
      <c r="H297" s="439" t="s">
        <v>23</v>
      </c>
      <c r="I297" s="449"/>
      <c r="J297" s="450"/>
      <c r="K297" s="443">
        <v>200</v>
      </c>
      <c r="L297" s="444">
        <v>0</v>
      </c>
      <c r="M297" s="463"/>
      <c r="N297" s="463"/>
      <c r="O297" s="445" t="s">
        <v>3790</v>
      </c>
      <c r="P297" s="447">
        <v>1000</v>
      </c>
      <c r="Q297" s="451">
        <v>200</v>
      </c>
      <c r="R297" s="447"/>
      <c r="S297" s="447"/>
      <c r="T297" s="447"/>
      <c r="U297" s="447"/>
      <c r="V297" s="447"/>
      <c r="W297" s="447"/>
      <c r="X297" s="447"/>
      <c r="Y297" s="858" t="s">
        <v>2432</v>
      </c>
    </row>
    <row r="298" spans="1:25" ht="14.45" customHeight="1" x14ac:dyDescent="0.25">
      <c r="A298" s="722" t="s">
        <v>4678</v>
      </c>
      <c r="B298" s="723" t="s">
        <v>4044</v>
      </c>
      <c r="C298" s="723" t="s">
        <v>4753</v>
      </c>
      <c r="D298" s="724" t="s">
        <v>13</v>
      </c>
      <c r="E298" s="723" t="s">
        <v>585</v>
      </c>
      <c r="F298" s="725">
        <v>45049</v>
      </c>
      <c r="G298" s="725"/>
      <c r="H298" s="724" t="s">
        <v>23</v>
      </c>
      <c r="I298" s="441"/>
      <c r="J298" s="442"/>
      <c r="K298" s="720">
        <v>18</v>
      </c>
      <c r="L298" s="744">
        <v>0</v>
      </c>
      <c r="M298" s="767"/>
      <c r="N298" s="767"/>
      <c r="O298" s="728" t="s">
        <v>710</v>
      </c>
      <c r="P298" s="721"/>
      <c r="Q298" s="729">
        <v>18</v>
      </c>
      <c r="R298" s="721"/>
      <c r="S298" s="721"/>
      <c r="T298" s="721"/>
      <c r="U298" s="721"/>
      <c r="V298" s="721"/>
      <c r="W298" s="721"/>
      <c r="X298" s="721"/>
      <c r="Y298" s="857" t="s">
        <v>4045</v>
      </c>
    </row>
    <row r="299" spans="1:25" ht="14.45" customHeight="1" x14ac:dyDescent="0.25">
      <c r="A299" s="437" t="s">
        <v>4678</v>
      </c>
      <c r="B299" s="438" t="s">
        <v>4044</v>
      </c>
      <c r="C299" s="438" t="s">
        <v>4753</v>
      </c>
      <c r="D299" s="439" t="s">
        <v>13</v>
      </c>
      <c r="E299" s="438" t="s">
        <v>585</v>
      </c>
      <c r="F299" s="440">
        <v>45049</v>
      </c>
      <c r="G299" s="440"/>
      <c r="H299" s="439" t="s">
        <v>23</v>
      </c>
      <c r="I299" s="449"/>
      <c r="J299" s="450"/>
      <c r="K299" s="443">
        <v>18</v>
      </c>
      <c r="L299" s="444">
        <v>0</v>
      </c>
      <c r="M299" s="463"/>
      <c r="N299" s="463"/>
      <c r="O299" s="445" t="s">
        <v>711</v>
      </c>
      <c r="P299" s="447"/>
      <c r="Q299" s="451">
        <v>18</v>
      </c>
      <c r="R299" s="447"/>
      <c r="S299" s="447"/>
      <c r="T299" s="447"/>
      <c r="U299" s="447"/>
      <c r="V299" s="447"/>
      <c r="W299" s="447"/>
      <c r="X299" s="447"/>
      <c r="Y299" s="858" t="s">
        <v>4045</v>
      </c>
    </row>
    <row r="300" spans="1:25" ht="14.45" customHeight="1" x14ac:dyDescent="0.25">
      <c r="A300" s="722" t="s">
        <v>4678</v>
      </c>
      <c r="B300" s="723" t="s">
        <v>4044</v>
      </c>
      <c r="C300" s="723" t="s">
        <v>4753</v>
      </c>
      <c r="D300" s="724" t="s">
        <v>13</v>
      </c>
      <c r="E300" s="723" t="s">
        <v>585</v>
      </c>
      <c r="F300" s="725">
        <v>45049</v>
      </c>
      <c r="G300" s="725"/>
      <c r="H300" s="724" t="s">
        <v>23</v>
      </c>
      <c r="I300" s="441"/>
      <c r="J300" s="442"/>
      <c r="K300" s="720">
        <v>29</v>
      </c>
      <c r="L300" s="744">
        <v>0</v>
      </c>
      <c r="M300" s="767"/>
      <c r="N300" s="767"/>
      <c r="O300" s="728" t="s">
        <v>712</v>
      </c>
      <c r="P300" s="721"/>
      <c r="Q300" s="729">
        <v>29</v>
      </c>
      <c r="R300" s="721"/>
      <c r="S300" s="721"/>
      <c r="T300" s="721"/>
      <c r="U300" s="721"/>
      <c r="V300" s="721"/>
      <c r="W300" s="721"/>
      <c r="X300" s="721"/>
      <c r="Y300" s="857" t="s">
        <v>4046</v>
      </c>
    </row>
    <row r="301" spans="1:25" ht="14.45" customHeight="1" x14ac:dyDescent="0.25">
      <c r="A301" s="437" t="s">
        <v>4678</v>
      </c>
      <c r="B301" s="438" t="s">
        <v>4044</v>
      </c>
      <c r="C301" s="438" t="s">
        <v>4753</v>
      </c>
      <c r="D301" s="439" t="s">
        <v>13</v>
      </c>
      <c r="E301" s="438" t="s">
        <v>585</v>
      </c>
      <c r="F301" s="440">
        <v>45049</v>
      </c>
      <c r="G301" s="440"/>
      <c r="H301" s="439" t="s">
        <v>23</v>
      </c>
      <c r="I301" s="449"/>
      <c r="J301" s="450"/>
      <c r="K301" s="443">
        <v>43</v>
      </c>
      <c r="L301" s="444">
        <v>0</v>
      </c>
      <c r="M301" s="463"/>
      <c r="N301" s="463"/>
      <c r="O301" s="445" t="s">
        <v>713</v>
      </c>
      <c r="P301" s="447"/>
      <c r="Q301" s="451">
        <v>43</v>
      </c>
      <c r="R301" s="447"/>
      <c r="S301" s="447"/>
      <c r="T301" s="447"/>
      <c r="U301" s="447"/>
      <c r="V301" s="447"/>
      <c r="W301" s="447"/>
      <c r="X301" s="447"/>
      <c r="Y301" s="858" t="s">
        <v>4047</v>
      </c>
    </row>
    <row r="302" spans="1:25" ht="14.45" customHeight="1" x14ac:dyDescent="0.25">
      <c r="A302" s="722" t="s">
        <v>4678</v>
      </c>
      <c r="B302" s="723" t="s">
        <v>4044</v>
      </c>
      <c r="C302" s="723" t="s">
        <v>4753</v>
      </c>
      <c r="D302" s="724" t="s">
        <v>13</v>
      </c>
      <c r="E302" s="723" t="s">
        <v>585</v>
      </c>
      <c r="F302" s="725">
        <v>45049</v>
      </c>
      <c r="G302" s="725"/>
      <c r="H302" s="724" t="s">
        <v>23</v>
      </c>
      <c r="I302" s="441"/>
      <c r="J302" s="442"/>
      <c r="K302" s="720">
        <v>26</v>
      </c>
      <c r="L302" s="744">
        <v>0</v>
      </c>
      <c r="M302" s="767"/>
      <c r="N302" s="767"/>
      <c r="O302" s="728" t="s">
        <v>714</v>
      </c>
      <c r="P302" s="721"/>
      <c r="Q302" s="729">
        <v>26</v>
      </c>
      <c r="R302" s="721"/>
      <c r="S302" s="721"/>
      <c r="T302" s="721"/>
      <c r="U302" s="721"/>
      <c r="V302" s="721"/>
      <c r="W302" s="721"/>
      <c r="X302" s="721"/>
      <c r="Y302" s="857" t="s">
        <v>4048</v>
      </c>
    </row>
    <row r="303" spans="1:25" ht="14.45" customHeight="1" x14ac:dyDescent="0.25">
      <c r="A303" s="437" t="s">
        <v>4678</v>
      </c>
      <c r="B303" s="438" t="s">
        <v>4044</v>
      </c>
      <c r="C303" s="438" t="s">
        <v>4753</v>
      </c>
      <c r="D303" s="439" t="s">
        <v>13</v>
      </c>
      <c r="E303" s="438" t="s">
        <v>585</v>
      </c>
      <c r="F303" s="440">
        <v>45049</v>
      </c>
      <c r="G303" s="440"/>
      <c r="H303" s="439" t="s">
        <v>23</v>
      </c>
      <c r="I303" s="449"/>
      <c r="J303" s="450"/>
      <c r="K303" s="443">
        <v>17</v>
      </c>
      <c r="L303" s="444">
        <v>0</v>
      </c>
      <c r="M303" s="463"/>
      <c r="N303" s="463"/>
      <c r="O303" s="445" t="s">
        <v>715</v>
      </c>
      <c r="P303" s="447"/>
      <c r="Q303" s="451">
        <v>17</v>
      </c>
      <c r="R303" s="447"/>
      <c r="S303" s="447"/>
      <c r="T303" s="447"/>
      <c r="U303" s="447"/>
      <c r="V303" s="447"/>
      <c r="W303" s="447"/>
      <c r="X303" s="447"/>
      <c r="Y303" s="858" t="s">
        <v>4049</v>
      </c>
    </row>
    <row r="304" spans="1:25" ht="14.45" customHeight="1" x14ac:dyDescent="0.25">
      <c r="A304" s="722" t="s">
        <v>4678</v>
      </c>
      <c r="B304" s="723" t="s">
        <v>4044</v>
      </c>
      <c r="C304" s="723" t="s">
        <v>4753</v>
      </c>
      <c r="D304" s="724" t="s">
        <v>13</v>
      </c>
      <c r="E304" s="723" t="s">
        <v>585</v>
      </c>
      <c r="F304" s="725">
        <v>45049</v>
      </c>
      <c r="G304" s="725"/>
      <c r="H304" s="724" t="s">
        <v>23</v>
      </c>
      <c r="I304" s="441"/>
      <c r="J304" s="442"/>
      <c r="K304" s="720">
        <v>6</v>
      </c>
      <c r="L304" s="744">
        <v>0</v>
      </c>
      <c r="M304" s="767"/>
      <c r="N304" s="767"/>
      <c r="O304" s="728" t="s">
        <v>716</v>
      </c>
      <c r="P304" s="721"/>
      <c r="Q304" s="729">
        <v>6</v>
      </c>
      <c r="R304" s="721"/>
      <c r="S304" s="721"/>
      <c r="T304" s="721"/>
      <c r="U304" s="721"/>
      <c r="V304" s="721"/>
      <c r="W304" s="721"/>
      <c r="X304" s="721"/>
      <c r="Y304" s="857" t="s">
        <v>358</v>
      </c>
    </row>
    <row r="305" spans="1:25" ht="14.45" customHeight="1" x14ac:dyDescent="0.25">
      <c r="A305" s="437" t="s">
        <v>4678</v>
      </c>
      <c r="B305" s="438" t="s">
        <v>4044</v>
      </c>
      <c r="C305" s="438" t="s">
        <v>4753</v>
      </c>
      <c r="D305" s="439" t="s">
        <v>13</v>
      </c>
      <c r="E305" s="438" t="s">
        <v>585</v>
      </c>
      <c r="F305" s="440">
        <v>45049</v>
      </c>
      <c r="G305" s="440"/>
      <c r="H305" s="439" t="s">
        <v>23</v>
      </c>
      <c r="I305" s="449"/>
      <c r="J305" s="450"/>
      <c r="K305" s="443">
        <v>6</v>
      </c>
      <c r="L305" s="444">
        <v>0</v>
      </c>
      <c r="M305" s="463"/>
      <c r="N305" s="463"/>
      <c r="O305" s="445" t="s">
        <v>717</v>
      </c>
      <c r="P305" s="447"/>
      <c r="Q305" s="451">
        <v>6</v>
      </c>
      <c r="R305" s="447"/>
      <c r="S305" s="447"/>
      <c r="T305" s="447"/>
      <c r="U305" s="447"/>
      <c r="V305" s="447"/>
      <c r="W305" s="447"/>
      <c r="X305" s="447"/>
      <c r="Y305" s="858" t="s">
        <v>358</v>
      </c>
    </row>
    <row r="306" spans="1:25" ht="14.45" customHeight="1" x14ac:dyDescent="0.25">
      <c r="A306" s="722" t="s">
        <v>4678</v>
      </c>
      <c r="B306" s="723" t="s">
        <v>4044</v>
      </c>
      <c r="C306" s="723" t="s">
        <v>4753</v>
      </c>
      <c r="D306" s="724" t="s">
        <v>13</v>
      </c>
      <c r="E306" s="723" t="s">
        <v>585</v>
      </c>
      <c r="F306" s="725">
        <v>45049</v>
      </c>
      <c r="G306" s="725"/>
      <c r="H306" s="724" t="s">
        <v>23</v>
      </c>
      <c r="I306" s="441"/>
      <c r="J306" s="442"/>
      <c r="K306" s="720">
        <v>18</v>
      </c>
      <c r="L306" s="744">
        <v>0</v>
      </c>
      <c r="M306" s="767"/>
      <c r="N306" s="767"/>
      <c r="O306" s="728" t="s">
        <v>718</v>
      </c>
      <c r="P306" s="721"/>
      <c r="Q306" s="729">
        <v>18</v>
      </c>
      <c r="R306" s="721"/>
      <c r="S306" s="721"/>
      <c r="T306" s="721"/>
      <c r="U306" s="721"/>
      <c r="V306" s="721"/>
      <c r="W306" s="721"/>
      <c r="X306" s="721"/>
      <c r="Y306" s="857" t="s">
        <v>435</v>
      </c>
    </row>
    <row r="307" spans="1:25" ht="14.45" customHeight="1" x14ac:dyDescent="0.25">
      <c r="A307" s="437" t="s">
        <v>4678</v>
      </c>
      <c r="B307" s="438" t="s">
        <v>4044</v>
      </c>
      <c r="C307" s="438" t="s">
        <v>4753</v>
      </c>
      <c r="D307" s="439" t="s">
        <v>13</v>
      </c>
      <c r="E307" s="438" t="s">
        <v>585</v>
      </c>
      <c r="F307" s="440">
        <v>45049</v>
      </c>
      <c r="G307" s="440"/>
      <c r="H307" s="439" t="s">
        <v>23</v>
      </c>
      <c r="I307" s="449"/>
      <c r="J307" s="450"/>
      <c r="K307" s="443">
        <v>11</v>
      </c>
      <c r="L307" s="444">
        <v>0</v>
      </c>
      <c r="M307" s="463"/>
      <c r="N307" s="463"/>
      <c r="O307" s="445" t="s">
        <v>719</v>
      </c>
      <c r="P307" s="447"/>
      <c r="Q307" s="451">
        <v>11</v>
      </c>
      <c r="R307" s="447"/>
      <c r="S307" s="447"/>
      <c r="T307" s="447"/>
      <c r="U307" s="447"/>
      <c r="V307" s="447"/>
      <c r="W307" s="447"/>
      <c r="X307" s="447"/>
      <c r="Y307" s="858" t="s">
        <v>4050</v>
      </c>
    </row>
    <row r="308" spans="1:25" ht="14.45" customHeight="1" x14ac:dyDescent="0.25">
      <c r="A308" s="722" t="s">
        <v>4678</v>
      </c>
      <c r="B308" s="723">
        <v>180</v>
      </c>
      <c r="C308" s="723"/>
      <c r="D308" s="724" t="s">
        <v>13</v>
      </c>
      <c r="E308" s="724" t="s">
        <v>28</v>
      </c>
      <c r="F308" s="725">
        <v>45051</v>
      </c>
      <c r="G308" s="725"/>
      <c r="H308" s="724" t="s">
        <v>23</v>
      </c>
      <c r="I308" s="441"/>
      <c r="J308" s="442"/>
      <c r="K308" s="720">
        <v>52</v>
      </c>
      <c r="L308" s="744">
        <v>4.899514285714285</v>
      </c>
      <c r="M308" s="767">
        <v>51</v>
      </c>
      <c r="N308" s="767"/>
      <c r="O308" s="728" t="s">
        <v>3231</v>
      </c>
      <c r="P308" s="721">
        <v>312</v>
      </c>
      <c r="Q308" s="729">
        <v>52</v>
      </c>
      <c r="R308" s="721">
        <v>0.43969999999999998</v>
      </c>
      <c r="S308" s="721">
        <v>1.1279999999999999</v>
      </c>
      <c r="T308" s="721">
        <v>137.18639999999999</v>
      </c>
      <c r="U308" s="721">
        <v>351.93599999999998</v>
      </c>
      <c r="V308" s="721">
        <v>17.829999999999998</v>
      </c>
      <c r="W308" s="721">
        <v>150.82</v>
      </c>
      <c r="X308" s="721">
        <v>343</v>
      </c>
      <c r="Y308" s="857">
        <v>47054.94</v>
      </c>
    </row>
    <row r="309" spans="1:25" ht="14.45" customHeight="1" x14ac:dyDescent="0.25">
      <c r="A309" s="437" t="s">
        <v>4678</v>
      </c>
      <c r="B309" s="438">
        <v>175</v>
      </c>
      <c r="C309" s="438"/>
      <c r="D309" s="439" t="s">
        <v>13</v>
      </c>
      <c r="E309" s="439" t="s">
        <v>45</v>
      </c>
      <c r="F309" s="440">
        <v>45051</v>
      </c>
      <c r="G309" s="440"/>
      <c r="H309" s="439" t="s">
        <v>23</v>
      </c>
      <c r="I309" s="449"/>
      <c r="J309" s="450"/>
      <c r="K309" s="443">
        <v>16</v>
      </c>
      <c r="L309" s="444">
        <v>1.75885</v>
      </c>
      <c r="M309" s="463"/>
      <c r="N309" s="463"/>
      <c r="O309" s="445" t="s">
        <v>2840</v>
      </c>
      <c r="P309" s="447">
        <v>49.6</v>
      </c>
      <c r="Q309" s="455">
        <v>16</v>
      </c>
      <c r="R309" s="447">
        <v>0.9929</v>
      </c>
      <c r="S309" s="447">
        <v>4.5880000000000001</v>
      </c>
      <c r="T309" s="447">
        <v>49.247799999999998</v>
      </c>
      <c r="U309" s="447">
        <v>227.56479999999999</v>
      </c>
      <c r="V309" s="447">
        <v>6.4</v>
      </c>
      <c r="W309" s="447">
        <v>312.76</v>
      </c>
      <c r="X309" s="447">
        <v>315</v>
      </c>
      <c r="Y309" s="858">
        <v>15513.07</v>
      </c>
    </row>
    <row r="310" spans="1:25" ht="14.45" customHeight="1" x14ac:dyDescent="0.25">
      <c r="A310" s="722" t="s">
        <v>4678</v>
      </c>
      <c r="B310" s="723">
        <v>177</v>
      </c>
      <c r="C310" s="723"/>
      <c r="D310" s="724" t="s">
        <v>13</v>
      </c>
      <c r="E310" s="724" t="s">
        <v>80</v>
      </c>
      <c r="F310" s="725">
        <v>45051</v>
      </c>
      <c r="G310" s="725"/>
      <c r="H310" s="724" t="s">
        <v>23</v>
      </c>
      <c r="I310" s="441"/>
      <c r="J310" s="442"/>
      <c r="K310" s="720">
        <v>244</v>
      </c>
      <c r="L310" s="744">
        <v>16.390221428571429</v>
      </c>
      <c r="M310" s="767"/>
      <c r="N310" s="767"/>
      <c r="O310" s="728" t="s">
        <v>271</v>
      </c>
      <c r="P310" s="721">
        <v>890.6</v>
      </c>
      <c r="Q310" s="729">
        <v>244</v>
      </c>
      <c r="R310" s="721">
        <v>0.51529999999999998</v>
      </c>
      <c r="S310" s="721">
        <v>1.3759999999999999</v>
      </c>
      <c r="T310" s="721">
        <v>458.92619999999999</v>
      </c>
      <c r="U310" s="721">
        <v>1225.4656</v>
      </c>
      <c r="V310" s="721">
        <v>59.66</v>
      </c>
      <c r="W310" s="721">
        <v>162.32</v>
      </c>
      <c r="X310" s="721">
        <v>315</v>
      </c>
      <c r="Y310" s="857">
        <v>144561.75</v>
      </c>
    </row>
    <row r="311" spans="1:25" ht="14.45" customHeight="1" x14ac:dyDescent="0.25">
      <c r="A311" s="437" t="s">
        <v>4678</v>
      </c>
      <c r="B311" s="438">
        <v>178</v>
      </c>
      <c r="C311" s="438"/>
      <c r="D311" s="439" t="s">
        <v>13</v>
      </c>
      <c r="E311" s="439" t="s">
        <v>657</v>
      </c>
      <c r="F311" s="440">
        <v>45051</v>
      </c>
      <c r="G311" s="440"/>
      <c r="H311" s="439" t="s">
        <v>23</v>
      </c>
      <c r="I311" s="449"/>
      <c r="J311" s="450"/>
      <c r="K311" s="443">
        <v>67</v>
      </c>
      <c r="L311" s="444">
        <v>2.3926642857142859</v>
      </c>
      <c r="M311" s="463" t="s">
        <v>4079</v>
      </c>
      <c r="N311" s="463"/>
      <c r="O311" s="445" t="s">
        <v>2963</v>
      </c>
      <c r="P311" s="447">
        <v>388.6</v>
      </c>
      <c r="Q311" s="451">
        <v>67</v>
      </c>
      <c r="R311" s="447">
        <v>0.1724</v>
      </c>
      <c r="S311" s="447">
        <v>0.41499999999999998</v>
      </c>
      <c r="T311" s="447">
        <v>66.994600000000005</v>
      </c>
      <c r="U311" s="447">
        <v>161.26900000000001</v>
      </c>
      <c r="V311" s="447">
        <v>8.7100000000000009</v>
      </c>
      <c r="W311" s="447">
        <v>56.72</v>
      </c>
      <c r="X311" s="447">
        <v>329</v>
      </c>
      <c r="Y311" s="858">
        <v>22041.24</v>
      </c>
    </row>
    <row r="312" spans="1:25" ht="14.45" customHeight="1" x14ac:dyDescent="0.25">
      <c r="A312" s="722" t="s">
        <v>4678</v>
      </c>
      <c r="B312" s="723">
        <v>176</v>
      </c>
      <c r="C312" s="723"/>
      <c r="D312" s="724" t="s">
        <v>13</v>
      </c>
      <c r="E312" s="724" t="s">
        <v>3819</v>
      </c>
      <c r="F312" s="725">
        <v>45051</v>
      </c>
      <c r="G312" s="725"/>
      <c r="H312" s="724" t="s">
        <v>23</v>
      </c>
      <c r="I312" s="441"/>
      <c r="J312" s="442"/>
      <c r="K312" s="720">
        <v>86</v>
      </c>
      <c r="L312" s="744">
        <v>12.335932142857143</v>
      </c>
      <c r="M312" s="767"/>
      <c r="N312" s="767"/>
      <c r="O312" s="728" t="s">
        <v>3848</v>
      </c>
      <c r="P312" s="721">
        <v>559</v>
      </c>
      <c r="Q312" s="729">
        <v>86</v>
      </c>
      <c r="R312" s="721">
        <v>0.6179</v>
      </c>
      <c r="S312" s="721">
        <v>2.117</v>
      </c>
      <c r="T312" s="721">
        <v>345.40609999999998</v>
      </c>
      <c r="U312" s="721">
        <v>1183.403</v>
      </c>
      <c r="V312" s="721">
        <v>44.9</v>
      </c>
      <c r="W312" s="721">
        <v>211.94</v>
      </c>
      <c r="X312" s="721">
        <v>343</v>
      </c>
      <c r="Y312" s="857">
        <v>118474.29</v>
      </c>
    </row>
    <row r="313" spans="1:25" ht="14.45" customHeight="1" x14ac:dyDescent="0.25">
      <c r="A313" s="437" t="s">
        <v>4678</v>
      </c>
      <c r="B313" s="438">
        <v>179</v>
      </c>
      <c r="C313" s="438"/>
      <c r="D313" s="439" t="s">
        <v>34</v>
      </c>
      <c r="E313" s="439" t="s">
        <v>861</v>
      </c>
      <c r="F313" s="440">
        <v>45051</v>
      </c>
      <c r="G313" s="440"/>
      <c r="H313" s="439" t="s">
        <v>23</v>
      </c>
      <c r="I313" s="449"/>
      <c r="J313" s="450"/>
      <c r="K313" s="443">
        <v>396</v>
      </c>
      <c r="L313" s="444">
        <v>40.213799999999999</v>
      </c>
      <c r="M313" s="463"/>
      <c r="N313" s="463"/>
      <c r="O313" s="445" t="s">
        <v>3243</v>
      </c>
      <c r="P313" s="447">
        <v>2376</v>
      </c>
      <c r="Q313" s="451">
        <v>396</v>
      </c>
      <c r="R313" s="447">
        <v>0.47389999999999999</v>
      </c>
      <c r="S313" s="447">
        <v>1.355</v>
      </c>
      <c r="T313" s="447">
        <v>1125.9864</v>
      </c>
      <c r="U313" s="447">
        <v>3219.48</v>
      </c>
      <c r="V313" s="447">
        <v>146.38</v>
      </c>
      <c r="W313" s="447">
        <v>149.28</v>
      </c>
      <c r="X313" s="447">
        <v>315</v>
      </c>
      <c r="Y313" s="858">
        <v>354685.72</v>
      </c>
    </row>
    <row r="314" spans="1:25" ht="14.45" customHeight="1" x14ac:dyDescent="0.25">
      <c r="A314" s="722" t="s">
        <v>4678</v>
      </c>
      <c r="B314" s="723" t="s">
        <v>4042</v>
      </c>
      <c r="C314" s="723"/>
      <c r="D314" s="724" t="s">
        <v>34</v>
      </c>
      <c r="E314" s="724" t="s">
        <v>16</v>
      </c>
      <c r="F314" s="725">
        <v>45051</v>
      </c>
      <c r="G314" s="725"/>
      <c r="H314" s="724" t="s">
        <v>23</v>
      </c>
      <c r="I314" s="441"/>
      <c r="J314" s="442"/>
      <c r="K314" s="720">
        <v>37</v>
      </c>
      <c r="L314" s="744">
        <v>4.5184928571428573</v>
      </c>
      <c r="M314" s="767"/>
      <c r="N314" s="767"/>
      <c r="O314" s="728" t="s">
        <v>2581</v>
      </c>
      <c r="P314" s="721">
        <v>222</v>
      </c>
      <c r="Q314" s="729">
        <v>37</v>
      </c>
      <c r="R314" s="721">
        <v>0.56989999999999996</v>
      </c>
      <c r="S314" s="721">
        <v>1.304</v>
      </c>
      <c r="T314" s="721">
        <v>126.51779999999999</v>
      </c>
      <c r="U314" s="721">
        <v>289.488</v>
      </c>
      <c r="V314" s="721">
        <v>16.45</v>
      </c>
      <c r="W314" s="721">
        <v>249.62</v>
      </c>
      <c r="X314" s="721">
        <v>438</v>
      </c>
      <c r="Y314" s="857">
        <v>55414.8</v>
      </c>
    </row>
    <row r="315" spans="1:25" ht="14.45" customHeight="1" x14ac:dyDescent="0.25">
      <c r="A315" s="437" t="s">
        <v>4678</v>
      </c>
      <c r="B315" s="438" t="s">
        <v>4043</v>
      </c>
      <c r="C315" s="438"/>
      <c r="D315" s="439" t="s">
        <v>34</v>
      </c>
      <c r="E315" s="439" t="s">
        <v>16</v>
      </c>
      <c r="F315" s="440">
        <v>45051</v>
      </c>
      <c r="G315" s="440"/>
      <c r="H315" s="439" t="s">
        <v>23</v>
      </c>
      <c r="I315" s="449"/>
      <c r="J315" s="450"/>
      <c r="K315" s="443">
        <v>259</v>
      </c>
      <c r="L315" s="444">
        <v>16.63335</v>
      </c>
      <c r="M315" s="463" t="s">
        <v>4106</v>
      </c>
      <c r="N315" s="463"/>
      <c r="O315" s="445" t="s">
        <v>2423</v>
      </c>
      <c r="P315" s="447">
        <v>1554</v>
      </c>
      <c r="Q315" s="451">
        <v>259</v>
      </c>
      <c r="R315" s="447">
        <v>0.29970000000000002</v>
      </c>
      <c r="S315" s="447">
        <v>1.6739999999999999</v>
      </c>
      <c r="T315" s="447">
        <v>465.73379999999997</v>
      </c>
      <c r="U315" s="447">
        <v>2601.3960000000002</v>
      </c>
      <c r="V315" s="447">
        <v>60.55</v>
      </c>
      <c r="W315" s="447">
        <v>102.8</v>
      </c>
      <c r="X315" s="447">
        <v>343</v>
      </c>
      <c r="Y315" s="858">
        <v>159746.69</v>
      </c>
    </row>
    <row r="316" spans="1:25" ht="14.45" customHeight="1" x14ac:dyDescent="0.25">
      <c r="A316" s="722" t="s">
        <v>4678</v>
      </c>
      <c r="B316" s="723" t="s">
        <v>2917</v>
      </c>
      <c r="C316" s="723" t="s">
        <v>4753</v>
      </c>
      <c r="D316" s="724" t="s">
        <v>34</v>
      </c>
      <c r="E316" s="724" t="s">
        <v>284</v>
      </c>
      <c r="F316" s="725">
        <v>45051</v>
      </c>
      <c r="G316" s="725"/>
      <c r="H316" s="724" t="s">
        <v>23</v>
      </c>
      <c r="I316" s="441"/>
      <c r="J316" s="442"/>
      <c r="K316" s="720">
        <v>0</v>
      </c>
      <c r="L316" s="744">
        <v>0</v>
      </c>
      <c r="M316" s="767"/>
      <c r="N316" s="767"/>
      <c r="O316" s="728" t="s">
        <v>4051</v>
      </c>
      <c r="P316" s="721" t="s">
        <v>4054</v>
      </c>
      <c r="Q316" s="729"/>
      <c r="R316" s="721"/>
      <c r="S316" s="721"/>
      <c r="T316" s="721"/>
      <c r="U316" s="721"/>
      <c r="V316" s="721"/>
      <c r="W316" s="721"/>
      <c r="X316" s="721"/>
      <c r="Y316" s="857" t="s">
        <v>4059</v>
      </c>
    </row>
    <row r="317" spans="1:25" ht="14.45" customHeight="1" x14ac:dyDescent="0.25">
      <c r="A317" s="437" t="s">
        <v>4678</v>
      </c>
      <c r="B317" s="438" t="s">
        <v>2917</v>
      </c>
      <c r="C317" s="438" t="s">
        <v>4753</v>
      </c>
      <c r="D317" s="439" t="s">
        <v>34</v>
      </c>
      <c r="E317" s="439" t="s">
        <v>284</v>
      </c>
      <c r="F317" s="440">
        <v>45051</v>
      </c>
      <c r="G317" s="440"/>
      <c r="H317" s="439" t="s">
        <v>23</v>
      </c>
      <c r="I317" s="449"/>
      <c r="J317" s="450"/>
      <c r="K317" s="443">
        <v>0</v>
      </c>
      <c r="L317" s="444">
        <v>0</v>
      </c>
      <c r="M317" s="463"/>
      <c r="N317" s="463"/>
      <c r="O317" s="445" t="s">
        <v>4052</v>
      </c>
      <c r="P317" s="447" t="s">
        <v>4055</v>
      </c>
      <c r="Q317" s="451"/>
      <c r="R317" s="447"/>
      <c r="S317" s="447"/>
      <c r="T317" s="447"/>
      <c r="U317" s="447"/>
      <c r="V317" s="447"/>
      <c r="W317" s="447"/>
      <c r="X317" s="447"/>
      <c r="Y317" s="858" t="s">
        <v>4060</v>
      </c>
    </row>
    <row r="318" spans="1:25" ht="14.45" customHeight="1" x14ac:dyDescent="0.25">
      <c r="A318" s="722" t="s">
        <v>4678</v>
      </c>
      <c r="B318" s="723" t="s">
        <v>2917</v>
      </c>
      <c r="C318" s="723" t="s">
        <v>4753</v>
      </c>
      <c r="D318" s="724" t="s">
        <v>34</v>
      </c>
      <c r="E318" s="724" t="s">
        <v>284</v>
      </c>
      <c r="F318" s="725">
        <v>45051</v>
      </c>
      <c r="G318" s="725"/>
      <c r="H318" s="724" t="s">
        <v>23</v>
      </c>
      <c r="I318" s="441"/>
      <c r="J318" s="442"/>
      <c r="K318" s="720">
        <v>0</v>
      </c>
      <c r="L318" s="744">
        <v>0</v>
      </c>
      <c r="M318" s="767"/>
      <c r="N318" s="767"/>
      <c r="O318" s="728" t="s">
        <v>3929</v>
      </c>
      <c r="P318" s="721" t="s">
        <v>4056</v>
      </c>
      <c r="Q318" s="729"/>
      <c r="R318" s="721"/>
      <c r="S318" s="721"/>
      <c r="T318" s="721"/>
      <c r="U318" s="721"/>
      <c r="V318" s="721"/>
      <c r="W318" s="721"/>
      <c r="X318" s="721"/>
      <c r="Y318" s="857" t="s">
        <v>4061</v>
      </c>
    </row>
    <row r="319" spans="1:25" ht="14.45" customHeight="1" x14ac:dyDescent="0.25">
      <c r="A319" s="437" t="s">
        <v>4678</v>
      </c>
      <c r="B319" s="438" t="s">
        <v>2917</v>
      </c>
      <c r="C319" s="438" t="s">
        <v>4753</v>
      </c>
      <c r="D319" s="439" t="s">
        <v>34</v>
      </c>
      <c r="E319" s="439" t="s">
        <v>284</v>
      </c>
      <c r="F319" s="440">
        <v>45051</v>
      </c>
      <c r="G319" s="440"/>
      <c r="H319" s="439" t="s">
        <v>23</v>
      </c>
      <c r="I319" s="449"/>
      <c r="J319" s="450"/>
      <c r="K319" s="443">
        <v>0</v>
      </c>
      <c r="L319" s="444">
        <v>0</v>
      </c>
      <c r="M319" s="463"/>
      <c r="N319" s="463"/>
      <c r="O319" s="445" t="s">
        <v>4053</v>
      </c>
      <c r="P319" s="447" t="s">
        <v>4057</v>
      </c>
      <c r="Q319" s="451"/>
      <c r="R319" s="447"/>
      <c r="S319" s="447"/>
      <c r="T319" s="447"/>
      <c r="U319" s="447"/>
      <c r="V319" s="447"/>
      <c r="W319" s="447"/>
      <c r="X319" s="447"/>
      <c r="Y319" s="858" t="s">
        <v>4062</v>
      </c>
    </row>
    <row r="320" spans="1:25" ht="14.45" customHeight="1" x14ac:dyDescent="0.25">
      <c r="A320" s="722" t="s">
        <v>4678</v>
      </c>
      <c r="B320" s="723" t="s">
        <v>2917</v>
      </c>
      <c r="C320" s="723" t="s">
        <v>4753</v>
      </c>
      <c r="D320" s="724" t="s">
        <v>34</v>
      </c>
      <c r="E320" s="724" t="s">
        <v>284</v>
      </c>
      <c r="F320" s="725">
        <v>45051</v>
      </c>
      <c r="G320" s="725"/>
      <c r="H320" s="724" t="s">
        <v>23</v>
      </c>
      <c r="I320" s="441"/>
      <c r="J320" s="442"/>
      <c r="K320" s="720">
        <v>0</v>
      </c>
      <c r="L320" s="744">
        <v>0</v>
      </c>
      <c r="M320" s="767"/>
      <c r="N320" s="767"/>
      <c r="O320" s="728" t="s">
        <v>3868</v>
      </c>
      <c r="P320" s="721" t="s">
        <v>3873</v>
      </c>
      <c r="Q320" s="729"/>
      <c r="R320" s="721"/>
      <c r="S320" s="721"/>
      <c r="T320" s="721"/>
      <c r="U320" s="721"/>
      <c r="V320" s="721"/>
      <c r="W320" s="721"/>
      <c r="X320" s="721"/>
      <c r="Y320" s="857" t="s">
        <v>4063</v>
      </c>
    </row>
    <row r="321" spans="1:25" ht="14.45" customHeight="1" x14ac:dyDescent="0.25">
      <c r="A321" s="437" t="s">
        <v>4678</v>
      </c>
      <c r="B321" s="438" t="s">
        <v>2917</v>
      </c>
      <c r="C321" s="438" t="s">
        <v>4753</v>
      </c>
      <c r="D321" s="439" t="s">
        <v>34</v>
      </c>
      <c r="E321" s="439" t="s">
        <v>284</v>
      </c>
      <c r="F321" s="440">
        <v>45051</v>
      </c>
      <c r="G321" s="440"/>
      <c r="H321" s="439" t="s">
        <v>23</v>
      </c>
      <c r="I321" s="449"/>
      <c r="J321" s="450"/>
      <c r="K321" s="443">
        <v>0</v>
      </c>
      <c r="L321" s="444">
        <v>0</v>
      </c>
      <c r="M321" s="463"/>
      <c r="N321" s="463"/>
      <c r="O321" s="445" t="s">
        <v>3866</v>
      </c>
      <c r="P321" s="447" t="s">
        <v>3871</v>
      </c>
      <c r="Q321" s="451"/>
      <c r="R321" s="447"/>
      <c r="S321" s="447"/>
      <c r="T321" s="447"/>
      <c r="U321" s="447"/>
      <c r="V321" s="447"/>
      <c r="W321" s="447"/>
      <c r="X321" s="447"/>
      <c r="Y321" s="858" t="s">
        <v>4064</v>
      </c>
    </row>
    <row r="322" spans="1:25" ht="14.45" customHeight="1" x14ac:dyDescent="0.25">
      <c r="A322" s="722" t="s">
        <v>4678</v>
      </c>
      <c r="B322" s="723" t="s">
        <v>2917</v>
      </c>
      <c r="C322" s="723" t="s">
        <v>4753</v>
      </c>
      <c r="D322" s="724" t="s">
        <v>34</v>
      </c>
      <c r="E322" s="724" t="s">
        <v>284</v>
      </c>
      <c r="F322" s="725">
        <v>45051</v>
      </c>
      <c r="G322" s="725"/>
      <c r="H322" s="724" t="s">
        <v>23</v>
      </c>
      <c r="I322" s="441"/>
      <c r="J322" s="442"/>
      <c r="K322" s="720">
        <v>0</v>
      </c>
      <c r="L322" s="744">
        <v>0</v>
      </c>
      <c r="M322" s="767"/>
      <c r="N322" s="767"/>
      <c r="O322" s="728" t="s">
        <v>3864</v>
      </c>
      <c r="P322" s="721" t="s">
        <v>4058</v>
      </c>
      <c r="Q322" s="729"/>
      <c r="R322" s="721"/>
      <c r="S322" s="721"/>
      <c r="T322" s="721"/>
      <c r="U322" s="721"/>
      <c r="V322" s="721"/>
      <c r="W322" s="721"/>
      <c r="X322" s="721"/>
      <c r="Y322" s="857" t="s">
        <v>4065</v>
      </c>
    </row>
    <row r="323" spans="1:25" ht="14.45" customHeight="1" x14ac:dyDescent="0.25">
      <c r="A323" s="437" t="s">
        <v>4678</v>
      </c>
      <c r="B323" s="438">
        <v>181</v>
      </c>
      <c r="C323" s="438"/>
      <c r="D323" s="439" t="s">
        <v>13</v>
      </c>
      <c r="E323" s="439" t="s">
        <v>3765</v>
      </c>
      <c r="F323" s="440">
        <v>45051</v>
      </c>
      <c r="G323" s="440"/>
      <c r="H323" s="439" t="s">
        <v>23</v>
      </c>
      <c r="I323" s="449"/>
      <c r="J323" s="450"/>
      <c r="K323" s="443">
        <v>187</v>
      </c>
      <c r="L323" s="444">
        <v>1.8633214285714286</v>
      </c>
      <c r="M323" s="463"/>
      <c r="N323" s="463"/>
      <c r="O323" s="445" t="s">
        <v>4039</v>
      </c>
      <c r="P323" s="447">
        <v>561</v>
      </c>
      <c r="Q323" s="451">
        <v>187</v>
      </c>
      <c r="R323" s="447">
        <v>9.2999999999999999E-2</v>
      </c>
      <c r="S323" s="447">
        <v>0.29099999999999998</v>
      </c>
      <c r="T323" s="447">
        <v>52.173000000000002</v>
      </c>
      <c r="U323" s="447">
        <v>163.251</v>
      </c>
      <c r="V323" s="447">
        <v>6.78</v>
      </c>
      <c r="W323" s="447">
        <v>30.69</v>
      </c>
      <c r="X323" s="447">
        <v>330</v>
      </c>
      <c r="Y323" s="858">
        <v>17217.09</v>
      </c>
    </row>
    <row r="324" spans="1:25" ht="14.45" customHeight="1" x14ac:dyDescent="0.25">
      <c r="A324" s="722" t="s">
        <v>4678</v>
      </c>
      <c r="B324" s="723" t="s">
        <v>4071</v>
      </c>
      <c r="C324" s="723" t="s">
        <v>4753</v>
      </c>
      <c r="D324" s="724" t="s">
        <v>34</v>
      </c>
      <c r="E324" s="724" t="s">
        <v>4070</v>
      </c>
      <c r="F324" s="725">
        <v>45056</v>
      </c>
      <c r="G324" s="725"/>
      <c r="H324" s="724" t="s">
        <v>23</v>
      </c>
      <c r="I324" s="441"/>
      <c r="J324" s="442"/>
      <c r="K324" s="720">
        <v>40</v>
      </c>
      <c r="L324" s="744">
        <v>0</v>
      </c>
      <c r="M324" s="767"/>
      <c r="N324" s="767"/>
      <c r="O324" s="784" t="s">
        <v>4069</v>
      </c>
      <c r="P324" s="721"/>
      <c r="Q324" s="729">
        <v>40</v>
      </c>
      <c r="R324" s="721"/>
      <c r="S324" s="721"/>
      <c r="T324" s="721"/>
      <c r="U324" s="721"/>
      <c r="V324" s="721"/>
      <c r="W324" s="721"/>
      <c r="X324" s="721"/>
      <c r="Y324" s="857" t="s">
        <v>2928</v>
      </c>
    </row>
    <row r="325" spans="1:25" ht="14.45" customHeight="1" x14ac:dyDescent="0.25">
      <c r="A325" s="437" t="s">
        <v>4678</v>
      </c>
      <c r="B325" s="438">
        <v>183</v>
      </c>
      <c r="C325" s="438"/>
      <c r="D325" s="439" t="s">
        <v>13</v>
      </c>
      <c r="E325" s="439" t="s">
        <v>4074</v>
      </c>
      <c r="F325" s="440">
        <v>45057</v>
      </c>
      <c r="G325" s="440"/>
      <c r="H325" s="439" t="s">
        <v>23</v>
      </c>
      <c r="I325" s="449"/>
      <c r="J325" s="450"/>
      <c r="K325" s="443">
        <v>18</v>
      </c>
      <c r="L325" s="444">
        <v>0.60171428571428565</v>
      </c>
      <c r="M325" s="463"/>
      <c r="N325" s="463"/>
      <c r="O325" s="445" t="s">
        <v>4073</v>
      </c>
      <c r="P325" s="447">
        <v>108</v>
      </c>
      <c r="Q325" s="451">
        <v>18</v>
      </c>
      <c r="R325" s="447">
        <v>0.156</v>
      </c>
      <c r="S325" s="447">
        <v>0.41</v>
      </c>
      <c r="T325" s="447">
        <v>16.847999999999999</v>
      </c>
      <c r="U325" s="447">
        <v>44.28</v>
      </c>
      <c r="V325" s="447">
        <v>2.19</v>
      </c>
      <c r="W325" s="447">
        <v>53.51</v>
      </c>
      <c r="X325" s="447">
        <v>343</v>
      </c>
      <c r="Y325" s="858">
        <v>5778.86</v>
      </c>
    </row>
    <row r="326" spans="1:25" ht="14.45" customHeight="1" x14ac:dyDescent="0.25">
      <c r="A326" s="722" t="s">
        <v>4678</v>
      </c>
      <c r="B326" s="723">
        <v>192</v>
      </c>
      <c r="C326" s="723"/>
      <c r="D326" s="724" t="s">
        <v>13</v>
      </c>
      <c r="E326" s="724" t="s">
        <v>625</v>
      </c>
      <c r="F326" s="725">
        <v>45061</v>
      </c>
      <c r="G326" s="725"/>
      <c r="H326" s="724" t="s">
        <v>23</v>
      </c>
      <c r="I326" s="441"/>
      <c r="J326" s="442"/>
      <c r="K326" s="720">
        <v>366</v>
      </c>
      <c r="L326" s="744">
        <v>21.373485714285714</v>
      </c>
      <c r="M326" s="767" t="s">
        <v>4103</v>
      </c>
      <c r="N326" s="767"/>
      <c r="O326" s="728" t="s">
        <v>681</v>
      </c>
      <c r="P326" s="721">
        <v>1720.2</v>
      </c>
      <c r="Q326" s="729">
        <v>366</v>
      </c>
      <c r="R326" s="721">
        <v>0.34789999999999999</v>
      </c>
      <c r="S326" s="721">
        <v>1.643</v>
      </c>
      <c r="T326" s="721">
        <v>598.45759999999996</v>
      </c>
      <c r="U326" s="721">
        <v>2826.2885999999999</v>
      </c>
      <c r="V326" s="721">
        <v>77.8</v>
      </c>
      <c r="W326" s="721">
        <v>108.89</v>
      </c>
      <c r="X326" s="721">
        <v>313</v>
      </c>
      <c r="Y326" s="857">
        <v>187317.22</v>
      </c>
    </row>
    <row r="327" spans="1:25" ht="14.45" customHeight="1" x14ac:dyDescent="0.25">
      <c r="A327" s="437" t="s">
        <v>4678</v>
      </c>
      <c r="B327" s="438">
        <v>193</v>
      </c>
      <c r="C327" s="438"/>
      <c r="D327" s="439" t="s">
        <v>13</v>
      </c>
      <c r="E327" s="439" t="s">
        <v>625</v>
      </c>
      <c r="F327" s="440">
        <v>45061</v>
      </c>
      <c r="G327" s="440"/>
      <c r="H327" s="439" t="s">
        <v>23</v>
      </c>
      <c r="I327" s="449"/>
      <c r="J327" s="450"/>
      <c r="K327" s="443">
        <v>994</v>
      </c>
      <c r="L327" s="444">
        <v>10.841700000000001</v>
      </c>
      <c r="M327" s="463" t="s">
        <v>4104</v>
      </c>
      <c r="N327" s="463"/>
      <c r="O327" s="445" t="s">
        <v>1686</v>
      </c>
      <c r="P327" s="447">
        <v>2982</v>
      </c>
      <c r="Q327" s="451">
        <v>994</v>
      </c>
      <c r="R327" s="447">
        <v>0.1018</v>
      </c>
      <c r="S327" s="447">
        <v>0.26600000000000001</v>
      </c>
      <c r="T327" s="447">
        <v>303.56760000000003</v>
      </c>
      <c r="U327" s="447">
        <v>793.21199999999999</v>
      </c>
      <c r="V327" s="447">
        <v>39.46</v>
      </c>
      <c r="W327" s="447">
        <v>24.74</v>
      </c>
      <c r="X327" s="447">
        <v>243</v>
      </c>
      <c r="Y327" s="858">
        <v>73766.929999999993</v>
      </c>
    </row>
    <row r="328" spans="1:25" ht="14.45" customHeight="1" x14ac:dyDescent="0.25">
      <c r="A328" s="722" t="s">
        <v>4678</v>
      </c>
      <c r="B328" s="723">
        <v>185</v>
      </c>
      <c r="C328" s="723"/>
      <c r="D328" s="724" t="s">
        <v>13</v>
      </c>
      <c r="E328" s="724" t="s">
        <v>3863</v>
      </c>
      <c r="F328" s="725">
        <v>45061</v>
      </c>
      <c r="G328" s="725"/>
      <c r="H328" s="724" t="s">
        <v>23</v>
      </c>
      <c r="I328" s="441"/>
      <c r="J328" s="442"/>
      <c r="K328" s="720">
        <v>108</v>
      </c>
      <c r="L328" s="744">
        <v>3.3441428571428569</v>
      </c>
      <c r="M328" s="767"/>
      <c r="N328" s="767"/>
      <c r="O328" s="728" t="s">
        <v>117</v>
      </c>
      <c r="P328" s="721">
        <v>540</v>
      </c>
      <c r="Q328" s="729">
        <v>108</v>
      </c>
      <c r="R328" s="721">
        <v>0.1734</v>
      </c>
      <c r="S328" s="721">
        <v>0.35099999999999998</v>
      </c>
      <c r="T328" s="721">
        <v>93.635999999999996</v>
      </c>
      <c r="U328" s="721">
        <v>189.54</v>
      </c>
      <c r="V328" s="721">
        <v>12.17</v>
      </c>
      <c r="W328" s="721">
        <v>59.48</v>
      </c>
      <c r="X328" s="721">
        <v>343</v>
      </c>
      <c r="Y328" s="857">
        <v>32119.200000000001</v>
      </c>
    </row>
    <row r="329" spans="1:25" ht="14.45" customHeight="1" x14ac:dyDescent="0.25">
      <c r="A329" s="437" t="s">
        <v>4678</v>
      </c>
      <c r="B329" s="438">
        <v>188</v>
      </c>
      <c r="C329" s="438"/>
      <c r="D329" s="439" t="s">
        <v>13</v>
      </c>
      <c r="E329" s="439" t="s">
        <v>3819</v>
      </c>
      <c r="F329" s="440">
        <v>45061</v>
      </c>
      <c r="G329" s="440"/>
      <c r="H329" s="439" t="s">
        <v>23</v>
      </c>
      <c r="I329" s="449"/>
      <c r="J329" s="450"/>
      <c r="K329" s="443">
        <v>24</v>
      </c>
      <c r="L329" s="444">
        <v>3.4425857142857139</v>
      </c>
      <c r="M329" s="463"/>
      <c r="N329" s="463"/>
      <c r="O329" s="445" t="s">
        <v>3848</v>
      </c>
      <c r="P329" s="447">
        <v>156</v>
      </c>
      <c r="Q329" s="451">
        <v>24</v>
      </c>
      <c r="R329" s="447">
        <v>0.6179</v>
      </c>
      <c r="S329" s="447">
        <v>2.117</v>
      </c>
      <c r="T329" s="447">
        <v>96.392399999999995</v>
      </c>
      <c r="U329" s="447">
        <v>330.25200000000001</v>
      </c>
      <c r="V329" s="447">
        <v>12.53</v>
      </c>
      <c r="W329" s="447">
        <v>211.94</v>
      </c>
      <c r="X329" s="447">
        <v>343</v>
      </c>
      <c r="Y329" s="858">
        <v>33062.589999999997</v>
      </c>
    </row>
    <row r="330" spans="1:25" ht="14.45" customHeight="1" x14ac:dyDescent="0.25">
      <c r="A330" s="722" t="s">
        <v>4678</v>
      </c>
      <c r="B330" s="723">
        <v>190</v>
      </c>
      <c r="C330" s="723"/>
      <c r="D330" s="724" t="s">
        <v>13</v>
      </c>
      <c r="E330" s="724" t="s">
        <v>3819</v>
      </c>
      <c r="F330" s="725">
        <v>45061</v>
      </c>
      <c r="G330" s="725"/>
      <c r="H330" s="724" t="s">
        <v>23</v>
      </c>
      <c r="I330" s="441"/>
      <c r="J330" s="442"/>
      <c r="K330" s="720">
        <v>73</v>
      </c>
      <c r="L330" s="744">
        <v>4.8492857142857142</v>
      </c>
      <c r="M330" s="767" t="s">
        <v>4078</v>
      </c>
      <c r="N330" s="767"/>
      <c r="O330" s="728" t="s">
        <v>2692</v>
      </c>
      <c r="P330" s="721">
        <v>438</v>
      </c>
      <c r="Q330" s="729">
        <v>73</v>
      </c>
      <c r="R330" s="721">
        <v>0.31</v>
      </c>
      <c r="S330" s="721">
        <v>1.2010000000000001</v>
      </c>
      <c r="T330" s="721">
        <v>135.78</v>
      </c>
      <c r="U330" s="721">
        <v>526.03800000000001</v>
      </c>
      <c r="V330" s="721">
        <v>17.649999999999999</v>
      </c>
      <c r="W330" s="721">
        <v>91.45</v>
      </c>
      <c r="X330" s="721">
        <v>295</v>
      </c>
      <c r="Y330" s="857">
        <v>40055.1</v>
      </c>
    </row>
    <row r="331" spans="1:25" ht="14.45" customHeight="1" x14ac:dyDescent="0.25">
      <c r="A331" s="437" t="s">
        <v>4678</v>
      </c>
      <c r="B331" s="438" t="s">
        <v>4077</v>
      </c>
      <c r="C331" s="438" t="s">
        <v>4753</v>
      </c>
      <c r="D331" s="439" t="s">
        <v>13</v>
      </c>
      <c r="E331" s="439" t="s">
        <v>1696</v>
      </c>
      <c r="F331" s="440">
        <v>45061</v>
      </c>
      <c r="G331" s="440"/>
      <c r="H331" s="439" t="s">
        <v>23</v>
      </c>
      <c r="I331" s="449"/>
      <c r="J331" s="450"/>
      <c r="K331" s="443">
        <v>0</v>
      </c>
      <c r="L331" s="444">
        <v>0</v>
      </c>
      <c r="M331" s="463"/>
      <c r="N331" s="463"/>
      <c r="O331" s="445" t="s">
        <v>1638</v>
      </c>
      <c r="P331" s="447" t="s">
        <v>379</v>
      </c>
      <c r="Q331" s="451"/>
      <c r="R331" s="447"/>
      <c r="S331" s="447"/>
      <c r="T331" s="447"/>
      <c r="U331" s="447"/>
      <c r="V331" s="447"/>
      <c r="W331" s="447"/>
      <c r="X331" s="447"/>
      <c r="Y331" s="858" t="s">
        <v>3897</v>
      </c>
    </row>
    <row r="332" spans="1:25" ht="14.45" customHeight="1" x14ac:dyDescent="0.25">
      <c r="A332" s="722" t="s">
        <v>4678</v>
      </c>
      <c r="B332" s="723" t="s">
        <v>4077</v>
      </c>
      <c r="C332" s="723" t="s">
        <v>4753</v>
      </c>
      <c r="D332" s="724" t="s">
        <v>13</v>
      </c>
      <c r="E332" s="724" t="s">
        <v>1696</v>
      </c>
      <c r="F332" s="725">
        <v>45061</v>
      </c>
      <c r="G332" s="725"/>
      <c r="H332" s="724" t="s">
        <v>23</v>
      </c>
      <c r="I332" s="441"/>
      <c r="J332" s="442"/>
      <c r="K332" s="720">
        <v>0</v>
      </c>
      <c r="L332" s="744">
        <v>0</v>
      </c>
      <c r="M332" s="767"/>
      <c r="N332" s="767"/>
      <c r="O332" s="728" t="s">
        <v>950</v>
      </c>
      <c r="P332" s="721" t="s">
        <v>379</v>
      </c>
      <c r="Q332" s="729"/>
      <c r="R332" s="721"/>
      <c r="S332" s="721"/>
      <c r="T332" s="721"/>
      <c r="U332" s="721"/>
      <c r="V332" s="721"/>
      <c r="W332" s="721"/>
      <c r="X332" s="721"/>
      <c r="Y332" s="857" t="s">
        <v>4075</v>
      </c>
    </row>
    <row r="333" spans="1:25" ht="14.45" customHeight="1" x14ac:dyDescent="0.25">
      <c r="A333" s="437" t="s">
        <v>4678</v>
      </c>
      <c r="B333" s="438" t="s">
        <v>4077</v>
      </c>
      <c r="C333" s="438" t="s">
        <v>4753</v>
      </c>
      <c r="D333" s="439" t="s">
        <v>13</v>
      </c>
      <c r="E333" s="439" t="s">
        <v>1696</v>
      </c>
      <c r="F333" s="440">
        <v>45061</v>
      </c>
      <c r="G333" s="440"/>
      <c r="H333" s="439" t="s">
        <v>23</v>
      </c>
      <c r="I333" s="449"/>
      <c r="J333" s="450"/>
      <c r="K333" s="443">
        <v>0</v>
      </c>
      <c r="L333" s="444">
        <v>0</v>
      </c>
      <c r="M333" s="463"/>
      <c r="N333" s="463"/>
      <c r="O333" s="445" t="s">
        <v>1916</v>
      </c>
      <c r="P333" s="447" t="s">
        <v>348</v>
      </c>
      <c r="Q333" s="451"/>
      <c r="R333" s="447"/>
      <c r="S333" s="447"/>
      <c r="T333" s="447"/>
      <c r="U333" s="447"/>
      <c r="V333" s="447"/>
      <c r="W333" s="447"/>
      <c r="X333" s="447"/>
      <c r="Y333" s="858" t="s">
        <v>3914</v>
      </c>
    </row>
    <row r="334" spans="1:25" ht="14.45" customHeight="1" x14ac:dyDescent="0.25">
      <c r="A334" s="722" t="s">
        <v>4678</v>
      </c>
      <c r="B334" s="723" t="s">
        <v>4077</v>
      </c>
      <c r="C334" s="723" t="s">
        <v>4753</v>
      </c>
      <c r="D334" s="724" t="s">
        <v>13</v>
      </c>
      <c r="E334" s="724" t="s">
        <v>1696</v>
      </c>
      <c r="F334" s="725">
        <v>45061</v>
      </c>
      <c r="G334" s="725"/>
      <c r="H334" s="724" t="s">
        <v>23</v>
      </c>
      <c r="I334" s="441"/>
      <c r="J334" s="442"/>
      <c r="K334" s="720">
        <v>0</v>
      </c>
      <c r="L334" s="744">
        <v>0</v>
      </c>
      <c r="M334" s="767"/>
      <c r="N334" s="767"/>
      <c r="O334" s="728" t="s">
        <v>3292</v>
      </c>
      <c r="P334" s="721" t="s">
        <v>100</v>
      </c>
      <c r="Q334" s="729"/>
      <c r="R334" s="721"/>
      <c r="S334" s="721"/>
      <c r="T334" s="721"/>
      <c r="U334" s="721"/>
      <c r="V334" s="721"/>
      <c r="W334" s="721"/>
      <c r="X334" s="721"/>
      <c r="Y334" s="857" t="s">
        <v>4076</v>
      </c>
    </row>
    <row r="335" spans="1:25" ht="14.45" customHeight="1" x14ac:dyDescent="0.25">
      <c r="A335" s="437" t="s">
        <v>4678</v>
      </c>
      <c r="B335" s="438" t="s">
        <v>4077</v>
      </c>
      <c r="C335" s="438" t="s">
        <v>4753</v>
      </c>
      <c r="D335" s="439" t="s">
        <v>13</v>
      </c>
      <c r="E335" s="439" t="s">
        <v>1696</v>
      </c>
      <c r="F335" s="440">
        <v>45061</v>
      </c>
      <c r="G335" s="440"/>
      <c r="H335" s="439" t="s">
        <v>23</v>
      </c>
      <c r="I335" s="449"/>
      <c r="J335" s="450"/>
      <c r="K335" s="443">
        <v>0</v>
      </c>
      <c r="L335" s="444">
        <v>0</v>
      </c>
      <c r="M335" s="463"/>
      <c r="N335" s="463"/>
      <c r="O335" s="445" t="s">
        <v>4018</v>
      </c>
      <c r="P335" s="447" t="s">
        <v>379</v>
      </c>
      <c r="Q335" s="451"/>
      <c r="R335" s="447"/>
      <c r="S335" s="447"/>
      <c r="T335" s="447"/>
      <c r="U335" s="447"/>
      <c r="V335" s="447"/>
      <c r="W335" s="447"/>
      <c r="X335" s="447"/>
      <c r="Y335" s="858" t="s">
        <v>4075</v>
      </c>
    </row>
    <row r="336" spans="1:25" ht="14.45" customHeight="1" x14ac:dyDescent="0.25">
      <c r="A336" s="722" t="s">
        <v>4678</v>
      </c>
      <c r="B336" s="723">
        <v>191</v>
      </c>
      <c r="C336" s="723"/>
      <c r="D336" s="724" t="s">
        <v>13</v>
      </c>
      <c r="E336" s="724" t="s">
        <v>3925</v>
      </c>
      <c r="F336" s="725">
        <v>45061</v>
      </c>
      <c r="G336" s="725"/>
      <c r="H336" s="724" t="s">
        <v>23</v>
      </c>
      <c r="I336" s="441"/>
      <c r="J336" s="442"/>
      <c r="K336" s="720">
        <v>48</v>
      </c>
      <c r="L336" s="744">
        <v>6.0227142857142857</v>
      </c>
      <c r="M336" s="767"/>
      <c r="N336" s="767"/>
      <c r="O336" s="728" t="s">
        <v>630</v>
      </c>
      <c r="P336" s="721">
        <v>312</v>
      </c>
      <c r="Q336" s="729">
        <v>48</v>
      </c>
      <c r="R336" s="721">
        <v>0.54049999999999998</v>
      </c>
      <c r="S336" s="721">
        <v>2.0979999999999999</v>
      </c>
      <c r="T336" s="721">
        <v>168.636</v>
      </c>
      <c r="U336" s="721">
        <v>654.57600000000002</v>
      </c>
      <c r="V336" s="721">
        <v>21.92</v>
      </c>
      <c r="W336" s="721">
        <v>159.44999999999999</v>
      </c>
      <c r="X336" s="721">
        <v>295</v>
      </c>
      <c r="Y336" s="857">
        <v>49747.62</v>
      </c>
    </row>
    <row r="337" spans="1:25" ht="14.45" customHeight="1" x14ac:dyDescent="0.25">
      <c r="A337" s="437" t="s">
        <v>4678</v>
      </c>
      <c r="B337" s="438">
        <v>187</v>
      </c>
      <c r="C337" s="438"/>
      <c r="D337" s="439" t="s">
        <v>13</v>
      </c>
      <c r="E337" s="439" t="s">
        <v>1825</v>
      </c>
      <c r="F337" s="440">
        <v>45061</v>
      </c>
      <c r="G337" s="440"/>
      <c r="H337" s="439" t="s">
        <v>23</v>
      </c>
      <c r="I337" s="449"/>
      <c r="J337" s="450"/>
      <c r="K337" s="443">
        <v>72</v>
      </c>
      <c r="L337" s="444">
        <v>9.2447999999999997</v>
      </c>
      <c r="M337" s="463"/>
      <c r="N337" s="463"/>
      <c r="O337" s="445" t="s">
        <v>4704</v>
      </c>
      <c r="P337" s="447">
        <v>432</v>
      </c>
      <c r="Q337" s="451">
        <v>72</v>
      </c>
      <c r="R337" s="447">
        <v>0.59919999999999995</v>
      </c>
      <c r="S337" s="447">
        <v>2.5859999999999999</v>
      </c>
      <c r="T337" s="447">
        <v>258.8544</v>
      </c>
      <c r="U337" s="447">
        <v>1117.152</v>
      </c>
      <c r="V337" s="447">
        <v>33.65</v>
      </c>
      <c r="W337" s="447">
        <v>205.53</v>
      </c>
      <c r="X337" s="447">
        <v>343</v>
      </c>
      <c r="Y337" s="858">
        <v>88787.06</v>
      </c>
    </row>
    <row r="338" spans="1:25" ht="14.45" customHeight="1" x14ac:dyDescent="0.25">
      <c r="A338" s="722" t="s">
        <v>4678</v>
      </c>
      <c r="B338" s="723">
        <v>194</v>
      </c>
      <c r="C338" s="723"/>
      <c r="D338" s="724" t="s">
        <v>13</v>
      </c>
      <c r="E338" s="724" t="s">
        <v>3764</v>
      </c>
      <c r="F338" s="725">
        <v>45061</v>
      </c>
      <c r="G338" s="725"/>
      <c r="H338" s="724" t="s">
        <v>23</v>
      </c>
      <c r="I338" s="441"/>
      <c r="J338" s="442"/>
      <c r="K338" s="720">
        <v>291</v>
      </c>
      <c r="L338" s="744">
        <v>12.260400000000001</v>
      </c>
      <c r="M338" s="767"/>
      <c r="N338" s="767"/>
      <c r="O338" s="728" t="s">
        <v>3301</v>
      </c>
      <c r="P338" s="721">
        <v>1294.95</v>
      </c>
      <c r="Q338" s="729">
        <v>291</v>
      </c>
      <c r="R338" s="721">
        <v>0.2651</v>
      </c>
      <c r="S338" s="721">
        <v>0.82099999999999995</v>
      </c>
      <c r="T338" s="721">
        <v>343.2912</v>
      </c>
      <c r="U338" s="721">
        <v>1063.154</v>
      </c>
      <c r="V338" s="721">
        <v>44.63</v>
      </c>
      <c r="W338" s="721">
        <v>81.92</v>
      </c>
      <c r="X338" s="721">
        <v>309</v>
      </c>
      <c r="Y338" s="857">
        <v>106076.99</v>
      </c>
    </row>
    <row r="339" spans="1:25" ht="14.45" customHeight="1" x14ac:dyDescent="0.25">
      <c r="A339" s="437" t="s">
        <v>4678</v>
      </c>
      <c r="B339" s="438">
        <v>194</v>
      </c>
      <c r="C339" s="438"/>
      <c r="D339" s="439" t="s">
        <v>13</v>
      </c>
      <c r="E339" s="439" t="s">
        <v>3764</v>
      </c>
      <c r="F339" s="440">
        <v>45061</v>
      </c>
      <c r="G339" s="440"/>
      <c r="H339" s="439" t="s">
        <v>23</v>
      </c>
      <c r="I339" s="449"/>
      <c r="J339" s="450"/>
      <c r="K339" s="443">
        <v>139</v>
      </c>
      <c r="L339" s="444">
        <v>6.6459607142857147</v>
      </c>
      <c r="M339" s="463"/>
      <c r="N339" s="463"/>
      <c r="O339" s="445" t="s">
        <v>3303</v>
      </c>
      <c r="P339" s="447">
        <v>701.95</v>
      </c>
      <c r="Q339" s="451">
        <v>139</v>
      </c>
      <c r="R339" s="447">
        <v>0.2651</v>
      </c>
      <c r="S339" s="447">
        <v>0.82099999999999995</v>
      </c>
      <c r="T339" s="447">
        <v>186.08690000000001</v>
      </c>
      <c r="U339" s="447">
        <v>576.30100000000004</v>
      </c>
      <c r="V339" s="447">
        <v>24.19</v>
      </c>
      <c r="W339" s="447">
        <v>81.92</v>
      </c>
      <c r="X339" s="447">
        <v>309</v>
      </c>
      <c r="Y339" s="858">
        <v>57500.87</v>
      </c>
    </row>
    <row r="340" spans="1:25" ht="14.45" customHeight="1" x14ac:dyDescent="0.25">
      <c r="A340" s="722" t="s">
        <v>4678</v>
      </c>
      <c r="B340" s="723">
        <v>194</v>
      </c>
      <c r="C340" s="723"/>
      <c r="D340" s="724" t="s">
        <v>13</v>
      </c>
      <c r="E340" s="724" t="s">
        <v>3764</v>
      </c>
      <c r="F340" s="725">
        <v>45061</v>
      </c>
      <c r="G340" s="725"/>
      <c r="H340" s="724" t="s">
        <v>23</v>
      </c>
      <c r="I340" s="441"/>
      <c r="J340" s="442"/>
      <c r="K340" s="720">
        <v>170</v>
      </c>
      <c r="L340" s="744">
        <v>4.9371964285714283</v>
      </c>
      <c r="M340" s="767" t="s">
        <v>4096</v>
      </c>
      <c r="N340" s="767"/>
      <c r="O340" s="728" t="s">
        <v>1975</v>
      </c>
      <c r="P340" s="721">
        <v>875.5</v>
      </c>
      <c r="Q340" s="729">
        <v>170</v>
      </c>
      <c r="R340" s="721">
        <v>0.15790000000000001</v>
      </c>
      <c r="S340" s="721">
        <v>0.309</v>
      </c>
      <c r="T340" s="721">
        <v>138.2415</v>
      </c>
      <c r="U340" s="721">
        <v>270.52949999999998</v>
      </c>
      <c r="V340" s="721">
        <v>17.97</v>
      </c>
      <c r="W340" s="721">
        <v>48.79</v>
      </c>
      <c r="X340" s="721">
        <v>309</v>
      </c>
      <c r="Y340" s="857">
        <v>42716.61</v>
      </c>
    </row>
    <row r="341" spans="1:25" ht="14.45" customHeight="1" x14ac:dyDescent="0.25">
      <c r="A341" s="437" t="s">
        <v>4678</v>
      </c>
      <c r="B341" s="438">
        <v>199</v>
      </c>
      <c r="C341" s="438"/>
      <c r="D341" s="439" t="s">
        <v>13</v>
      </c>
      <c r="E341" s="439" t="s">
        <v>28</v>
      </c>
      <c r="F341" s="440">
        <v>45063</v>
      </c>
      <c r="G341" s="440"/>
      <c r="H341" s="439" t="s">
        <v>23</v>
      </c>
      <c r="I341" s="449"/>
      <c r="J341" s="450"/>
      <c r="K341" s="443">
        <v>389</v>
      </c>
      <c r="L341" s="444">
        <v>36.652135714285713</v>
      </c>
      <c r="M341" s="463"/>
      <c r="N341" s="463"/>
      <c r="O341" s="445" t="s">
        <v>3231</v>
      </c>
      <c r="P341" s="447">
        <v>2334</v>
      </c>
      <c r="Q341" s="451">
        <v>389</v>
      </c>
      <c r="R341" s="447">
        <v>0.43969999999999998</v>
      </c>
      <c r="S341" s="447">
        <v>1.1279999999999999</v>
      </c>
      <c r="T341" s="447">
        <v>1026.2598</v>
      </c>
      <c r="U341" s="447">
        <v>2632.752</v>
      </c>
      <c r="V341" s="447">
        <v>133.41</v>
      </c>
      <c r="W341" s="447">
        <v>150.82</v>
      </c>
      <c r="X341" s="447">
        <v>343</v>
      </c>
      <c r="Y341" s="858">
        <v>352007.11</v>
      </c>
    </row>
    <row r="342" spans="1:25" ht="14.45" customHeight="1" x14ac:dyDescent="0.25">
      <c r="A342" s="722" t="s">
        <v>4678</v>
      </c>
      <c r="B342" s="723">
        <v>197</v>
      </c>
      <c r="C342" s="723"/>
      <c r="D342" s="724" t="s">
        <v>13</v>
      </c>
      <c r="E342" s="724" t="s">
        <v>4705</v>
      </c>
      <c r="F342" s="725">
        <v>45063</v>
      </c>
      <c r="G342" s="725"/>
      <c r="H342" s="724" t="s">
        <v>23</v>
      </c>
      <c r="I342" s="441"/>
      <c r="J342" s="442"/>
      <c r="K342" s="720">
        <v>75</v>
      </c>
      <c r="L342" s="744">
        <v>5.409642857142857</v>
      </c>
      <c r="M342" s="767"/>
      <c r="N342" s="767"/>
      <c r="O342" s="728" t="s">
        <v>2791</v>
      </c>
      <c r="P342" s="721">
        <v>450</v>
      </c>
      <c r="Q342" s="729">
        <v>75</v>
      </c>
      <c r="R342" s="721">
        <v>0.33660000000000001</v>
      </c>
      <c r="S342" s="721">
        <v>1.2350000000000001</v>
      </c>
      <c r="T342" s="721">
        <v>151.47</v>
      </c>
      <c r="U342" s="721">
        <v>555.75</v>
      </c>
      <c r="V342" s="721">
        <v>19.690000000000001</v>
      </c>
      <c r="W342" s="721">
        <v>115.45</v>
      </c>
      <c r="X342" s="721">
        <v>343</v>
      </c>
      <c r="Y342" s="857">
        <v>51954.21</v>
      </c>
    </row>
    <row r="343" spans="1:25" ht="14.45" customHeight="1" x14ac:dyDescent="0.25">
      <c r="A343" s="437" t="s">
        <v>4678</v>
      </c>
      <c r="B343" s="438" t="s">
        <v>4080</v>
      </c>
      <c r="C343" s="438"/>
      <c r="D343" s="439" t="s">
        <v>34</v>
      </c>
      <c r="E343" s="439" t="s">
        <v>16</v>
      </c>
      <c r="F343" s="440">
        <v>45063</v>
      </c>
      <c r="G343" s="440"/>
      <c r="H343" s="439" t="s">
        <v>23</v>
      </c>
      <c r="I343" s="461"/>
      <c r="J343" s="462"/>
      <c r="K343" s="443">
        <v>63</v>
      </c>
      <c r="L343" s="444">
        <v>7.6936499999999999</v>
      </c>
      <c r="M343" s="463"/>
      <c r="N343" s="463"/>
      <c r="O343" s="439" t="s">
        <v>4215</v>
      </c>
      <c r="P343" s="458">
        <v>378</v>
      </c>
      <c r="Q343" s="459">
        <v>63</v>
      </c>
      <c r="R343" s="458">
        <v>0.56989999999999996</v>
      </c>
      <c r="S343" s="458">
        <v>1.304</v>
      </c>
      <c r="T343" s="458">
        <v>215.4222</v>
      </c>
      <c r="U343" s="458">
        <v>492.91199999999998</v>
      </c>
      <c r="V343" s="458">
        <v>28</v>
      </c>
      <c r="W343" s="458">
        <v>249.62</v>
      </c>
      <c r="X343" s="458">
        <v>438</v>
      </c>
      <c r="Y343" s="860">
        <v>94354.92</v>
      </c>
    </row>
    <row r="344" spans="1:25" ht="14.45" customHeight="1" x14ac:dyDescent="0.25">
      <c r="A344" s="722" t="s">
        <v>4678</v>
      </c>
      <c r="B344" s="723" t="s">
        <v>4081</v>
      </c>
      <c r="C344" s="723"/>
      <c r="D344" s="724" t="s">
        <v>34</v>
      </c>
      <c r="E344" s="724" t="s">
        <v>16</v>
      </c>
      <c r="F344" s="725">
        <v>45063</v>
      </c>
      <c r="G344" s="725"/>
      <c r="H344" s="724" t="s">
        <v>23</v>
      </c>
      <c r="I344" s="441"/>
      <c r="J344" s="442"/>
      <c r="K344" s="720">
        <v>56</v>
      </c>
      <c r="L344" s="744">
        <v>3.2711999999999999</v>
      </c>
      <c r="M344" s="767"/>
      <c r="N344" s="767"/>
      <c r="O344" s="728" t="s">
        <v>4212</v>
      </c>
      <c r="P344" s="721">
        <v>336</v>
      </c>
      <c r="Q344" s="729">
        <v>56</v>
      </c>
      <c r="R344" s="721">
        <v>0.27260000000000001</v>
      </c>
      <c r="S344" s="721">
        <v>0.72899999999999998</v>
      </c>
      <c r="T344" s="721">
        <v>91.593599999999995</v>
      </c>
      <c r="U344" s="721">
        <v>244.94399999999999</v>
      </c>
      <c r="V344" s="721">
        <v>11.91</v>
      </c>
      <c r="W344" s="721">
        <v>93.5</v>
      </c>
      <c r="X344" s="721">
        <v>343</v>
      </c>
      <c r="Y344" s="857">
        <v>31416.6</v>
      </c>
    </row>
    <row r="345" spans="1:25" ht="14.45" customHeight="1" x14ac:dyDescent="0.25">
      <c r="A345" s="437" t="s">
        <v>4678</v>
      </c>
      <c r="B345" s="438">
        <v>198</v>
      </c>
      <c r="C345" s="438"/>
      <c r="D345" s="439" t="s">
        <v>34</v>
      </c>
      <c r="E345" s="439" t="s">
        <v>79</v>
      </c>
      <c r="F345" s="440">
        <v>45063</v>
      </c>
      <c r="G345" s="440"/>
      <c r="H345" s="439" t="s">
        <v>23</v>
      </c>
      <c r="I345" s="449"/>
      <c r="J345" s="450"/>
      <c r="K345" s="443">
        <v>55</v>
      </c>
      <c r="L345" s="444">
        <v>5.3683928571428572</v>
      </c>
      <c r="M345" s="463"/>
      <c r="N345" s="463"/>
      <c r="O345" s="445" t="s">
        <v>2625</v>
      </c>
      <c r="P345" s="447">
        <v>330</v>
      </c>
      <c r="Q345" s="451">
        <v>55</v>
      </c>
      <c r="R345" s="447">
        <v>0.45550000000000002</v>
      </c>
      <c r="S345" s="447">
        <v>1.6990000000000001</v>
      </c>
      <c r="T345" s="447">
        <v>150.315</v>
      </c>
      <c r="U345" s="447">
        <v>560.66999999999996</v>
      </c>
      <c r="V345" s="447">
        <v>19.54</v>
      </c>
      <c r="W345" s="447">
        <v>110.69</v>
      </c>
      <c r="X345" s="447">
        <v>243</v>
      </c>
      <c r="Y345" s="858">
        <v>36526.550000000003</v>
      </c>
    </row>
    <row r="346" spans="1:25" ht="14.45" customHeight="1" x14ac:dyDescent="0.25">
      <c r="A346" s="722" t="s">
        <v>4678</v>
      </c>
      <c r="B346" s="723" t="s">
        <v>4082</v>
      </c>
      <c r="C346" s="723"/>
      <c r="D346" s="724" t="s">
        <v>34</v>
      </c>
      <c r="E346" s="724" t="s">
        <v>16</v>
      </c>
      <c r="F346" s="725">
        <v>45063</v>
      </c>
      <c r="G346" s="725"/>
      <c r="H346" s="724" t="s">
        <v>23</v>
      </c>
      <c r="I346" s="441"/>
      <c r="J346" s="442"/>
      <c r="K346" s="720">
        <v>129</v>
      </c>
      <c r="L346" s="744">
        <v>4.3979785714285713</v>
      </c>
      <c r="M346" s="767"/>
      <c r="N346" s="767"/>
      <c r="O346" s="728" t="s">
        <v>2845</v>
      </c>
      <c r="P346" s="721">
        <v>774</v>
      </c>
      <c r="Q346" s="729">
        <v>129</v>
      </c>
      <c r="R346" s="721">
        <v>0.15909999999999999</v>
      </c>
      <c r="S346" s="721">
        <v>0.26</v>
      </c>
      <c r="T346" s="721">
        <v>123.1434</v>
      </c>
      <c r="U346" s="721">
        <v>201.24</v>
      </c>
      <c r="V346" s="721">
        <v>16.010000000000002</v>
      </c>
      <c r="W346" s="721">
        <v>69.69</v>
      </c>
      <c r="X346" s="721">
        <v>438</v>
      </c>
      <c r="Y346" s="857">
        <v>53936.81</v>
      </c>
    </row>
    <row r="347" spans="1:25" ht="14.45" customHeight="1" x14ac:dyDescent="0.25">
      <c r="A347" s="437" t="s">
        <v>4678</v>
      </c>
      <c r="B347" s="438" t="s">
        <v>2830</v>
      </c>
      <c r="C347" s="438" t="s">
        <v>4753</v>
      </c>
      <c r="D347" s="439" t="s">
        <v>34</v>
      </c>
      <c r="E347" s="439" t="s">
        <v>576</v>
      </c>
      <c r="F347" s="440">
        <v>45063</v>
      </c>
      <c r="G347" s="440"/>
      <c r="H347" s="439" t="s">
        <v>23</v>
      </c>
      <c r="I347" s="449"/>
      <c r="J347" s="450"/>
      <c r="K347" s="443">
        <v>760</v>
      </c>
      <c r="L347" s="444">
        <v>0</v>
      </c>
      <c r="M347" s="463"/>
      <c r="N347" s="463"/>
      <c r="O347" s="445" t="s">
        <v>1697</v>
      </c>
      <c r="P347" s="447" t="s">
        <v>3787</v>
      </c>
      <c r="Q347" s="451">
        <v>760</v>
      </c>
      <c r="R347" s="447"/>
      <c r="S347" s="447"/>
      <c r="T347" s="447"/>
      <c r="U347" s="447"/>
      <c r="V347" s="447"/>
      <c r="W347" s="447"/>
      <c r="X347" s="447"/>
      <c r="Y347" s="858" t="s">
        <v>4087</v>
      </c>
    </row>
    <row r="348" spans="1:25" ht="14.45" customHeight="1" x14ac:dyDescent="0.25">
      <c r="A348" s="722" t="s">
        <v>4678</v>
      </c>
      <c r="B348" s="723" t="s">
        <v>2830</v>
      </c>
      <c r="C348" s="723" t="s">
        <v>4753</v>
      </c>
      <c r="D348" s="724" t="s">
        <v>34</v>
      </c>
      <c r="E348" s="724" t="s">
        <v>576</v>
      </c>
      <c r="F348" s="725">
        <v>45063</v>
      </c>
      <c r="G348" s="725"/>
      <c r="H348" s="724" t="s">
        <v>23</v>
      </c>
      <c r="I348" s="441"/>
      <c r="J348" s="442"/>
      <c r="K348" s="720">
        <v>215</v>
      </c>
      <c r="L348" s="744">
        <v>0</v>
      </c>
      <c r="M348" s="767"/>
      <c r="N348" s="767"/>
      <c r="O348" s="728" t="s">
        <v>4084</v>
      </c>
      <c r="P348" s="721" t="s">
        <v>4085</v>
      </c>
      <c r="Q348" s="729">
        <v>215</v>
      </c>
      <c r="R348" s="721"/>
      <c r="S348" s="721"/>
      <c r="T348" s="721"/>
      <c r="U348" s="721"/>
      <c r="V348" s="721"/>
      <c r="W348" s="721"/>
      <c r="X348" s="721"/>
      <c r="Y348" s="857" t="s">
        <v>4088</v>
      </c>
    </row>
    <row r="349" spans="1:25" ht="14.45" customHeight="1" x14ac:dyDescent="0.25">
      <c r="A349" s="437" t="s">
        <v>4678</v>
      </c>
      <c r="B349" s="438" t="s">
        <v>2830</v>
      </c>
      <c r="C349" s="438" t="s">
        <v>4753</v>
      </c>
      <c r="D349" s="439" t="s">
        <v>34</v>
      </c>
      <c r="E349" s="439" t="s">
        <v>576</v>
      </c>
      <c r="F349" s="440">
        <v>45063</v>
      </c>
      <c r="G349" s="440"/>
      <c r="H349" s="439" t="s">
        <v>23</v>
      </c>
      <c r="I349" s="449"/>
      <c r="J349" s="450"/>
      <c r="K349" s="443">
        <v>0</v>
      </c>
      <c r="L349" s="444">
        <v>0</v>
      </c>
      <c r="M349" s="463" t="s">
        <v>4136</v>
      </c>
      <c r="N349" s="463"/>
      <c r="O349" s="445" t="s">
        <v>4706</v>
      </c>
      <c r="P349" s="447" t="s">
        <v>4086</v>
      </c>
      <c r="Q349" s="451"/>
      <c r="R349" s="447"/>
      <c r="S349" s="447"/>
      <c r="T349" s="447"/>
      <c r="U349" s="447"/>
      <c r="V349" s="447"/>
      <c r="W349" s="447"/>
      <c r="X349" s="447"/>
      <c r="Y349" s="858" t="s">
        <v>4089</v>
      </c>
    </row>
    <row r="350" spans="1:25" ht="14.45" customHeight="1" x14ac:dyDescent="0.25">
      <c r="A350" s="722" t="s">
        <v>4678</v>
      </c>
      <c r="B350" s="723">
        <v>197</v>
      </c>
      <c r="C350" s="723"/>
      <c r="D350" s="724" t="s">
        <v>13</v>
      </c>
      <c r="E350" s="724" t="s">
        <v>1825</v>
      </c>
      <c r="F350" s="725">
        <v>45063</v>
      </c>
      <c r="G350" s="725"/>
      <c r="H350" s="724" t="s">
        <v>23</v>
      </c>
      <c r="I350" s="441"/>
      <c r="J350" s="442"/>
      <c r="K350" s="720">
        <v>55</v>
      </c>
      <c r="L350" s="744">
        <v>7.0619999999999994</v>
      </c>
      <c r="M350" s="767" t="s">
        <v>4116</v>
      </c>
      <c r="N350" s="767"/>
      <c r="O350" s="728" t="s">
        <v>4704</v>
      </c>
      <c r="P350" s="721">
        <v>330</v>
      </c>
      <c r="Q350" s="729">
        <v>55</v>
      </c>
      <c r="R350" s="721">
        <v>0.59919999999999995</v>
      </c>
      <c r="S350" s="721">
        <v>2.5859999999999999</v>
      </c>
      <c r="T350" s="721">
        <v>197.73599999999999</v>
      </c>
      <c r="U350" s="721">
        <v>853.38</v>
      </c>
      <c r="V350" s="721">
        <v>25.71</v>
      </c>
      <c r="W350" s="721">
        <v>205.53</v>
      </c>
      <c r="X350" s="721">
        <v>343</v>
      </c>
      <c r="Y350" s="857">
        <v>67823.45</v>
      </c>
    </row>
    <row r="351" spans="1:25" ht="14.45" customHeight="1" x14ac:dyDescent="0.25">
      <c r="A351" s="437" t="s">
        <v>4678</v>
      </c>
      <c r="B351" s="438" t="s">
        <v>4091</v>
      </c>
      <c r="C351" s="438" t="s">
        <v>4753</v>
      </c>
      <c r="D351" s="439" t="s">
        <v>13</v>
      </c>
      <c r="E351" s="439" t="s">
        <v>27</v>
      </c>
      <c r="F351" s="440">
        <v>45063</v>
      </c>
      <c r="G351" s="440"/>
      <c r="H351" s="439" t="s">
        <v>23</v>
      </c>
      <c r="I351" s="449"/>
      <c r="J351" s="450"/>
      <c r="K351" s="443">
        <v>1</v>
      </c>
      <c r="L351" s="444">
        <v>0</v>
      </c>
      <c r="M351" s="463"/>
      <c r="N351" s="463"/>
      <c r="O351" s="445" t="s">
        <v>668</v>
      </c>
      <c r="P351" s="447"/>
      <c r="Q351" s="451">
        <v>1</v>
      </c>
      <c r="R351" s="447"/>
      <c r="S351" s="447"/>
      <c r="T351" s="447"/>
      <c r="U351" s="447"/>
      <c r="V351" s="447"/>
      <c r="W351" s="447"/>
      <c r="X351" s="447"/>
      <c r="Y351" s="858" t="s">
        <v>2909</v>
      </c>
    </row>
    <row r="352" spans="1:25" ht="14.45" customHeight="1" x14ac:dyDescent="0.25">
      <c r="A352" s="722" t="s">
        <v>4678</v>
      </c>
      <c r="B352" s="723" t="s">
        <v>4091</v>
      </c>
      <c r="C352" s="723" t="s">
        <v>4753</v>
      </c>
      <c r="D352" s="724" t="s">
        <v>13</v>
      </c>
      <c r="E352" s="724" t="s">
        <v>27</v>
      </c>
      <c r="F352" s="725">
        <v>45063</v>
      </c>
      <c r="G352" s="725"/>
      <c r="H352" s="724" t="s">
        <v>23</v>
      </c>
      <c r="I352" s="441"/>
      <c r="J352" s="442"/>
      <c r="K352" s="720">
        <v>336</v>
      </c>
      <c r="L352" s="744">
        <v>0</v>
      </c>
      <c r="M352" s="767"/>
      <c r="N352" s="767"/>
      <c r="O352" s="728" t="s">
        <v>1293</v>
      </c>
      <c r="P352" s="721"/>
      <c r="Q352" s="729">
        <v>336</v>
      </c>
      <c r="R352" s="721"/>
      <c r="S352" s="721"/>
      <c r="T352" s="721"/>
      <c r="U352" s="721"/>
      <c r="V352" s="721"/>
      <c r="W352" s="721"/>
      <c r="X352" s="721"/>
      <c r="Y352" s="857" t="s">
        <v>4090</v>
      </c>
    </row>
    <row r="353" spans="1:25" ht="14.45" customHeight="1" x14ac:dyDescent="0.25">
      <c r="A353" s="437" t="s">
        <v>4678</v>
      </c>
      <c r="B353" s="438" t="s">
        <v>4091</v>
      </c>
      <c r="C353" s="438" t="s">
        <v>4753</v>
      </c>
      <c r="D353" s="439" t="s">
        <v>13</v>
      </c>
      <c r="E353" s="439" t="s">
        <v>27</v>
      </c>
      <c r="F353" s="440">
        <v>45063</v>
      </c>
      <c r="G353" s="440"/>
      <c r="H353" s="439" t="s">
        <v>23</v>
      </c>
      <c r="I353" s="449"/>
      <c r="J353" s="450"/>
      <c r="K353" s="443">
        <v>260</v>
      </c>
      <c r="L353" s="444">
        <v>0</v>
      </c>
      <c r="M353" s="463"/>
      <c r="N353" s="463"/>
      <c r="O353" s="445" t="s">
        <v>1663</v>
      </c>
      <c r="P353" s="447"/>
      <c r="Q353" s="451">
        <v>260</v>
      </c>
      <c r="R353" s="447"/>
      <c r="S353" s="447"/>
      <c r="T353" s="447"/>
      <c r="U353" s="447"/>
      <c r="V353" s="447"/>
      <c r="W353" s="447"/>
      <c r="X353" s="447"/>
      <c r="Y353" s="858" t="s">
        <v>3078</v>
      </c>
    </row>
    <row r="354" spans="1:25" ht="14.45" customHeight="1" x14ac:dyDescent="0.25">
      <c r="A354" s="722" t="s">
        <v>4678</v>
      </c>
      <c r="B354" s="723">
        <v>203</v>
      </c>
      <c r="C354" s="723"/>
      <c r="D354" s="724" t="s">
        <v>13</v>
      </c>
      <c r="E354" s="724" t="s">
        <v>1825</v>
      </c>
      <c r="F354" s="725">
        <v>45064</v>
      </c>
      <c r="G354" s="725"/>
      <c r="H354" s="724" t="s">
        <v>23</v>
      </c>
      <c r="I354" s="441"/>
      <c r="J354" s="442"/>
      <c r="K354" s="720">
        <v>132</v>
      </c>
      <c r="L354" s="744">
        <v>5.4817714285714283</v>
      </c>
      <c r="M354" s="767"/>
      <c r="N354" s="767"/>
      <c r="O354" s="728" t="s">
        <v>4699</v>
      </c>
      <c r="P354" s="721">
        <v>792</v>
      </c>
      <c r="Q354" s="729">
        <v>132</v>
      </c>
      <c r="R354" s="721">
        <v>0.1938</v>
      </c>
      <c r="S354" s="721">
        <v>0.63600000000000001</v>
      </c>
      <c r="T354" s="721">
        <v>153.4896</v>
      </c>
      <c r="U354" s="721">
        <v>503.71199999999999</v>
      </c>
      <c r="V354" s="721">
        <v>19.95</v>
      </c>
      <c r="W354" s="721">
        <v>66.47</v>
      </c>
      <c r="X354" s="721">
        <v>343</v>
      </c>
      <c r="Y354" s="857">
        <v>52646.93</v>
      </c>
    </row>
    <row r="355" spans="1:25" ht="14.45" customHeight="1" x14ac:dyDescent="0.25">
      <c r="A355" s="437" t="s">
        <v>4678</v>
      </c>
      <c r="B355" s="438">
        <v>200</v>
      </c>
      <c r="C355" s="438"/>
      <c r="D355" s="439" t="s">
        <v>13</v>
      </c>
      <c r="E355" s="439" t="s">
        <v>3925</v>
      </c>
      <c r="F355" s="440">
        <v>45065</v>
      </c>
      <c r="G355" s="440"/>
      <c r="H355" s="439" t="s">
        <v>23</v>
      </c>
      <c r="I355" s="449"/>
      <c r="J355" s="450"/>
      <c r="K355" s="443">
        <v>55</v>
      </c>
      <c r="L355" s="444">
        <v>3.9670714285714288</v>
      </c>
      <c r="M355" s="463"/>
      <c r="N355" s="463"/>
      <c r="O355" s="445" t="s">
        <v>2791</v>
      </c>
      <c r="P355" s="447">
        <v>330</v>
      </c>
      <c r="Q355" s="451">
        <v>55</v>
      </c>
      <c r="R355" s="447">
        <v>0.33660000000000001</v>
      </c>
      <c r="S355" s="447">
        <v>1.2350000000000001</v>
      </c>
      <c r="T355" s="447">
        <v>111.078</v>
      </c>
      <c r="U355" s="447">
        <v>407.55</v>
      </c>
      <c r="V355" s="447">
        <v>14.44</v>
      </c>
      <c r="W355" s="447">
        <v>115.45</v>
      </c>
      <c r="X355" s="447">
        <v>343</v>
      </c>
      <c r="Y355" s="858">
        <v>38099.75</v>
      </c>
    </row>
    <row r="356" spans="1:25" ht="14.45" customHeight="1" x14ac:dyDescent="0.25">
      <c r="A356" s="722" t="s">
        <v>4678</v>
      </c>
      <c r="B356" s="723" t="s">
        <v>2831</v>
      </c>
      <c r="C356" s="723" t="s">
        <v>4753</v>
      </c>
      <c r="D356" s="724" t="s">
        <v>13</v>
      </c>
      <c r="E356" s="724" t="s">
        <v>4003</v>
      </c>
      <c r="F356" s="725">
        <v>45065</v>
      </c>
      <c r="G356" s="725"/>
      <c r="H356" s="724" t="s">
        <v>23</v>
      </c>
      <c r="I356" s="441"/>
      <c r="J356" s="442"/>
      <c r="K356" s="720">
        <v>0</v>
      </c>
      <c r="L356" s="744">
        <v>0</v>
      </c>
      <c r="M356" s="767"/>
      <c r="N356" s="767"/>
      <c r="O356" s="728" t="s">
        <v>4101</v>
      </c>
      <c r="P356" s="721">
        <v>230</v>
      </c>
      <c r="Q356" s="729"/>
      <c r="R356" s="721"/>
      <c r="S356" s="721"/>
      <c r="T356" s="721"/>
      <c r="U356" s="721"/>
      <c r="V356" s="721"/>
      <c r="W356" s="721"/>
      <c r="X356" s="721"/>
      <c r="Y356" s="857" t="s">
        <v>4102</v>
      </c>
    </row>
    <row r="357" spans="1:25" ht="14.45" customHeight="1" x14ac:dyDescent="0.25">
      <c r="A357" s="437" t="s">
        <v>4678</v>
      </c>
      <c r="B357" s="438" t="s">
        <v>4092</v>
      </c>
      <c r="C357" s="438" t="s">
        <v>4753</v>
      </c>
      <c r="D357" s="439" t="s">
        <v>34</v>
      </c>
      <c r="E357" s="439" t="s">
        <v>284</v>
      </c>
      <c r="F357" s="440">
        <v>45065</v>
      </c>
      <c r="G357" s="440"/>
      <c r="H357" s="439" t="s">
        <v>23</v>
      </c>
      <c r="I357" s="449"/>
      <c r="J357" s="450"/>
      <c r="K357" s="443">
        <v>0</v>
      </c>
      <c r="L357" s="444">
        <v>0</v>
      </c>
      <c r="M357" s="463"/>
      <c r="N357" s="463"/>
      <c r="O357" s="445" t="s">
        <v>3951</v>
      </c>
      <c r="P357" s="447"/>
      <c r="Q357" s="451"/>
      <c r="R357" s="447"/>
      <c r="S357" s="447"/>
      <c r="T357" s="447"/>
      <c r="U357" s="447"/>
      <c r="V357" s="447"/>
      <c r="W357" s="447"/>
      <c r="X357" s="447"/>
      <c r="Y357" s="858"/>
    </row>
    <row r="358" spans="1:25" ht="14.45" customHeight="1" x14ac:dyDescent="0.25">
      <c r="A358" s="722" t="s">
        <v>4678</v>
      </c>
      <c r="B358" s="723" t="s">
        <v>4092</v>
      </c>
      <c r="C358" s="723" t="s">
        <v>4753</v>
      </c>
      <c r="D358" s="724" t="s">
        <v>34</v>
      </c>
      <c r="E358" s="724" t="s">
        <v>284</v>
      </c>
      <c r="F358" s="725">
        <v>45065</v>
      </c>
      <c r="G358" s="725"/>
      <c r="H358" s="724" t="s">
        <v>23</v>
      </c>
      <c r="I358" s="441"/>
      <c r="J358" s="442"/>
      <c r="K358" s="720">
        <v>0</v>
      </c>
      <c r="L358" s="744">
        <v>0</v>
      </c>
      <c r="M358" s="767"/>
      <c r="N358" s="767"/>
      <c r="O358" s="728" t="s">
        <v>3866</v>
      </c>
      <c r="P358" s="721"/>
      <c r="Q358" s="729"/>
      <c r="R358" s="721"/>
      <c r="S358" s="721"/>
      <c r="T358" s="721"/>
      <c r="U358" s="721"/>
      <c r="V358" s="721"/>
      <c r="W358" s="721"/>
      <c r="X358" s="721"/>
      <c r="Y358" s="857"/>
    </row>
    <row r="359" spans="1:25" ht="14.45" customHeight="1" x14ac:dyDescent="0.25">
      <c r="A359" s="437" t="s">
        <v>4678</v>
      </c>
      <c r="B359" s="438" t="s">
        <v>4092</v>
      </c>
      <c r="C359" s="438" t="s">
        <v>4753</v>
      </c>
      <c r="D359" s="439" t="s">
        <v>34</v>
      </c>
      <c r="E359" s="439" t="s">
        <v>284</v>
      </c>
      <c r="F359" s="440">
        <v>45065</v>
      </c>
      <c r="G359" s="440"/>
      <c r="H359" s="439" t="s">
        <v>23</v>
      </c>
      <c r="I359" s="449"/>
      <c r="J359" s="450"/>
      <c r="K359" s="443">
        <v>0</v>
      </c>
      <c r="L359" s="444">
        <v>0</v>
      </c>
      <c r="M359" s="463"/>
      <c r="N359" s="463"/>
      <c r="O359" s="445" t="s">
        <v>4093</v>
      </c>
      <c r="P359" s="447"/>
      <c r="Q359" s="451"/>
      <c r="R359" s="447"/>
      <c r="S359" s="447"/>
      <c r="T359" s="447"/>
      <c r="U359" s="447"/>
      <c r="V359" s="447"/>
      <c r="W359" s="447"/>
      <c r="X359" s="447"/>
      <c r="Y359" s="858"/>
    </row>
    <row r="360" spans="1:25" ht="14.45" customHeight="1" x14ac:dyDescent="0.25">
      <c r="A360" s="722" t="s">
        <v>4678</v>
      </c>
      <c r="B360" s="723" t="s">
        <v>4095</v>
      </c>
      <c r="C360" s="723" t="s">
        <v>4753</v>
      </c>
      <c r="D360" s="724" t="s">
        <v>13</v>
      </c>
      <c r="E360" s="724" t="s">
        <v>289</v>
      </c>
      <c r="F360" s="725">
        <v>45068</v>
      </c>
      <c r="G360" s="725"/>
      <c r="H360" s="724" t="s">
        <v>23</v>
      </c>
      <c r="I360" s="441"/>
      <c r="J360" s="442"/>
      <c r="K360" s="720">
        <v>0</v>
      </c>
      <c r="L360" s="744">
        <v>0</v>
      </c>
      <c r="M360" s="767" t="s">
        <v>4094</v>
      </c>
      <c r="N360" s="767"/>
      <c r="O360" s="728" t="s">
        <v>177</v>
      </c>
      <c r="P360" s="721"/>
      <c r="Q360" s="729"/>
      <c r="R360" s="721"/>
      <c r="S360" s="721"/>
      <c r="T360" s="721"/>
      <c r="U360" s="721"/>
      <c r="V360" s="721"/>
      <c r="W360" s="721"/>
      <c r="X360" s="721"/>
      <c r="Y360" s="857" t="s">
        <v>2003</v>
      </c>
    </row>
    <row r="361" spans="1:25" ht="14.45" customHeight="1" x14ac:dyDescent="0.25">
      <c r="A361" s="437" t="s">
        <v>4678</v>
      </c>
      <c r="B361" s="438" t="s">
        <v>4095</v>
      </c>
      <c r="C361" s="438" t="s">
        <v>4753</v>
      </c>
      <c r="D361" s="439" t="s">
        <v>13</v>
      </c>
      <c r="E361" s="439" t="s">
        <v>289</v>
      </c>
      <c r="F361" s="440">
        <v>45068</v>
      </c>
      <c r="G361" s="440"/>
      <c r="H361" s="439" t="s">
        <v>23</v>
      </c>
      <c r="I361" s="449"/>
      <c r="J361" s="450"/>
      <c r="K361" s="443">
        <v>0</v>
      </c>
      <c r="L361" s="444">
        <v>0</v>
      </c>
      <c r="M361" s="463"/>
      <c r="N361" s="463"/>
      <c r="O361" s="445" t="s">
        <v>290</v>
      </c>
      <c r="P361" s="447"/>
      <c r="Q361" s="451"/>
      <c r="R361" s="447"/>
      <c r="S361" s="447"/>
      <c r="T361" s="447"/>
      <c r="U361" s="447"/>
      <c r="V361" s="447"/>
      <c r="W361" s="447"/>
      <c r="X361" s="447"/>
      <c r="Y361" s="858" t="s">
        <v>269</v>
      </c>
    </row>
    <row r="362" spans="1:25" ht="14.45" customHeight="1" x14ac:dyDescent="0.25">
      <c r="A362" s="722" t="s">
        <v>4678</v>
      </c>
      <c r="B362" s="723" t="s">
        <v>4115</v>
      </c>
      <c r="C362" s="723" t="s">
        <v>4753</v>
      </c>
      <c r="D362" s="724" t="s">
        <v>13</v>
      </c>
      <c r="E362" s="724" t="s">
        <v>799</v>
      </c>
      <c r="F362" s="725">
        <v>45069</v>
      </c>
      <c r="G362" s="725"/>
      <c r="H362" s="724" t="s">
        <v>23</v>
      </c>
      <c r="I362" s="441"/>
      <c r="J362" s="442"/>
      <c r="K362" s="720">
        <v>40</v>
      </c>
      <c r="L362" s="744">
        <v>0</v>
      </c>
      <c r="M362" s="767" t="s">
        <v>4280</v>
      </c>
      <c r="N362" s="767"/>
      <c r="O362" s="728" t="s">
        <v>2165</v>
      </c>
      <c r="P362" s="721"/>
      <c r="Q362" s="729">
        <v>40</v>
      </c>
      <c r="R362" s="721"/>
      <c r="S362" s="721"/>
      <c r="T362" s="721"/>
      <c r="U362" s="721"/>
      <c r="V362" s="721"/>
      <c r="W362" s="721"/>
      <c r="X362" s="721"/>
      <c r="Y362" s="857" t="s">
        <v>3197</v>
      </c>
    </row>
    <row r="363" spans="1:25" ht="14.45" customHeight="1" x14ac:dyDescent="0.25">
      <c r="A363" s="437" t="s">
        <v>4678</v>
      </c>
      <c r="B363" s="438">
        <v>214</v>
      </c>
      <c r="C363" s="438"/>
      <c r="D363" s="439" t="s">
        <v>13</v>
      </c>
      <c r="E363" s="439" t="s">
        <v>625</v>
      </c>
      <c r="F363" s="440">
        <v>45070</v>
      </c>
      <c r="G363" s="440"/>
      <c r="H363" s="439" t="s">
        <v>23</v>
      </c>
      <c r="I363" s="449"/>
      <c r="J363" s="450"/>
      <c r="K363" s="443">
        <v>412</v>
      </c>
      <c r="L363" s="444">
        <v>5.4327357142857142</v>
      </c>
      <c r="M363" s="463"/>
      <c r="N363" s="463"/>
      <c r="O363" s="445" t="s">
        <v>3942</v>
      </c>
      <c r="P363" s="447">
        <v>1009.4</v>
      </c>
      <c r="Q363" s="451">
        <v>412</v>
      </c>
      <c r="R363" s="447">
        <v>0.1507</v>
      </c>
      <c r="S363" s="447">
        <v>0.39300000000000002</v>
      </c>
      <c r="T363" s="447">
        <v>152.11660000000001</v>
      </c>
      <c r="U363" s="447">
        <v>396.69420000000002</v>
      </c>
      <c r="V363" s="447">
        <v>19.78</v>
      </c>
      <c r="W363" s="447">
        <v>35.409999999999997</v>
      </c>
      <c r="X363" s="447">
        <v>235</v>
      </c>
      <c r="Y363" s="858">
        <v>35747.4</v>
      </c>
    </row>
    <row r="364" spans="1:25" ht="14.45" customHeight="1" x14ac:dyDescent="0.25">
      <c r="A364" s="722" t="s">
        <v>4678</v>
      </c>
      <c r="B364" s="723">
        <v>218</v>
      </c>
      <c r="C364" s="723"/>
      <c r="D364" s="724" t="s">
        <v>13</v>
      </c>
      <c r="E364" s="724" t="s">
        <v>3819</v>
      </c>
      <c r="F364" s="725">
        <v>45070</v>
      </c>
      <c r="G364" s="725"/>
      <c r="H364" s="724" t="s">
        <v>23</v>
      </c>
      <c r="I364" s="441"/>
      <c r="J364" s="442"/>
      <c r="K364" s="720">
        <v>14</v>
      </c>
      <c r="L364" s="744">
        <v>1.7566249999999999</v>
      </c>
      <c r="M364" s="767"/>
      <c r="N364" s="767"/>
      <c r="O364" s="728" t="s">
        <v>630</v>
      </c>
      <c r="P364" s="721">
        <v>91</v>
      </c>
      <c r="Q364" s="729">
        <v>14</v>
      </c>
      <c r="R364" s="721">
        <v>0.54049999999999998</v>
      </c>
      <c r="S364" s="721">
        <v>2.0979999999999999</v>
      </c>
      <c r="T364" s="721">
        <v>49.185499999999998</v>
      </c>
      <c r="U364" s="721">
        <v>190.91800000000001</v>
      </c>
      <c r="V364" s="721">
        <v>6.39</v>
      </c>
      <c r="W364" s="721">
        <v>185.39</v>
      </c>
      <c r="X364" s="721">
        <v>343</v>
      </c>
      <c r="Y364" s="857">
        <v>16870.63</v>
      </c>
    </row>
    <row r="365" spans="1:25" ht="14.45" customHeight="1" x14ac:dyDescent="0.25">
      <c r="A365" s="437" t="s">
        <v>4678</v>
      </c>
      <c r="B365" s="438">
        <v>216</v>
      </c>
      <c r="C365" s="438"/>
      <c r="D365" s="439" t="s">
        <v>13</v>
      </c>
      <c r="E365" s="439" t="s">
        <v>1825</v>
      </c>
      <c r="F365" s="440">
        <v>45070</v>
      </c>
      <c r="G365" s="440"/>
      <c r="H365" s="439" t="s">
        <v>23</v>
      </c>
      <c r="I365" s="449"/>
      <c r="J365" s="450"/>
      <c r="K365" s="443">
        <v>32</v>
      </c>
      <c r="L365" s="444">
        <v>4.1088000000000005</v>
      </c>
      <c r="M365" s="463"/>
      <c r="N365" s="463"/>
      <c r="O365" s="445" t="s">
        <v>4704</v>
      </c>
      <c r="P365" s="447">
        <v>192</v>
      </c>
      <c r="Q365" s="451">
        <v>32</v>
      </c>
      <c r="R365" s="447">
        <v>0.59919999999999995</v>
      </c>
      <c r="S365" s="447">
        <v>2.5859999999999999</v>
      </c>
      <c r="T365" s="447">
        <v>115.04640000000001</v>
      </c>
      <c r="U365" s="447">
        <v>496.512</v>
      </c>
      <c r="V365" s="447">
        <v>14.96</v>
      </c>
      <c r="W365" s="447">
        <v>205.53</v>
      </c>
      <c r="X365" s="447">
        <v>343</v>
      </c>
      <c r="Y365" s="858">
        <v>39461.760000000002</v>
      </c>
    </row>
    <row r="366" spans="1:25" ht="14.45" customHeight="1" x14ac:dyDescent="0.25">
      <c r="A366" s="722" t="s">
        <v>4678</v>
      </c>
      <c r="B366" s="723" t="s">
        <v>4098</v>
      </c>
      <c r="C366" s="839" t="s">
        <v>4753</v>
      </c>
      <c r="D366" s="724" t="s">
        <v>13</v>
      </c>
      <c r="E366" s="724" t="s">
        <v>3765</v>
      </c>
      <c r="F366" s="725">
        <v>45071</v>
      </c>
      <c r="G366" s="725"/>
      <c r="H366" s="724" t="s">
        <v>23</v>
      </c>
      <c r="I366" s="441"/>
      <c r="J366" s="442"/>
      <c r="K366" s="720">
        <v>0</v>
      </c>
      <c r="L366" s="744">
        <v>0</v>
      </c>
      <c r="M366" s="767"/>
      <c r="N366" s="767"/>
      <c r="O366" s="784" t="s">
        <v>4097</v>
      </c>
      <c r="P366" s="721" t="s">
        <v>4100</v>
      </c>
      <c r="Q366" s="729"/>
      <c r="R366" s="721"/>
      <c r="S366" s="721"/>
      <c r="T366" s="721"/>
      <c r="U366" s="721"/>
      <c r="V366" s="721"/>
      <c r="W366" s="721"/>
      <c r="X366" s="721"/>
      <c r="Y366" s="857" t="s">
        <v>4099</v>
      </c>
    </row>
    <row r="367" spans="1:25" ht="14.45" customHeight="1" x14ac:dyDescent="0.25">
      <c r="A367" s="437" t="s">
        <v>4678</v>
      </c>
      <c r="B367" s="438" t="s">
        <v>4110</v>
      </c>
      <c r="C367" s="838" t="s">
        <v>4753</v>
      </c>
      <c r="D367" s="439" t="s">
        <v>13</v>
      </c>
      <c r="E367" s="439" t="s">
        <v>3762</v>
      </c>
      <c r="F367" s="440">
        <v>45076</v>
      </c>
      <c r="G367" s="440"/>
      <c r="H367" s="439" t="s">
        <v>23</v>
      </c>
      <c r="I367" s="449"/>
      <c r="J367" s="450"/>
      <c r="K367" s="443">
        <v>350</v>
      </c>
      <c r="L367" s="444">
        <v>0</v>
      </c>
      <c r="M367" s="463" t="s">
        <v>4114</v>
      </c>
      <c r="N367" s="463"/>
      <c r="O367" s="445" t="s">
        <v>4107</v>
      </c>
      <c r="P367" s="447"/>
      <c r="Q367" s="451">
        <v>350</v>
      </c>
      <c r="R367" s="447"/>
      <c r="S367" s="447"/>
      <c r="T367" s="447"/>
      <c r="U367" s="447"/>
      <c r="V367" s="447"/>
      <c r="W367" s="447"/>
      <c r="X367" s="447"/>
      <c r="Y367" s="858" t="s">
        <v>4111</v>
      </c>
    </row>
    <row r="368" spans="1:25" ht="14.45" customHeight="1" x14ac:dyDescent="0.25">
      <c r="A368" s="722" t="s">
        <v>4678</v>
      </c>
      <c r="B368" s="723" t="s">
        <v>4110</v>
      </c>
      <c r="C368" s="839" t="s">
        <v>4753</v>
      </c>
      <c r="D368" s="724" t="s">
        <v>13</v>
      </c>
      <c r="E368" s="724" t="s">
        <v>3762</v>
      </c>
      <c r="F368" s="725">
        <v>45076</v>
      </c>
      <c r="G368" s="725"/>
      <c r="H368" s="724" t="s">
        <v>23</v>
      </c>
      <c r="I368" s="441"/>
      <c r="J368" s="442"/>
      <c r="K368" s="720">
        <v>550</v>
      </c>
      <c r="L368" s="744">
        <v>0</v>
      </c>
      <c r="M368" s="767" t="s">
        <v>4114</v>
      </c>
      <c r="N368" s="767"/>
      <c r="O368" s="728" t="s">
        <v>4108</v>
      </c>
      <c r="P368" s="721"/>
      <c r="Q368" s="729">
        <v>550</v>
      </c>
      <c r="R368" s="721"/>
      <c r="S368" s="721"/>
      <c r="T368" s="721"/>
      <c r="U368" s="721"/>
      <c r="V368" s="721"/>
      <c r="W368" s="721"/>
      <c r="X368" s="721"/>
      <c r="Y368" s="857" t="s">
        <v>4112</v>
      </c>
    </row>
    <row r="369" spans="1:25" ht="14.45" customHeight="1" x14ac:dyDescent="0.25">
      <c r="A369" s="437" t="s">
        <v>4678</v>
      </c>
      <c r="B369" s="438" t="s">
        <v>4110</v>
      </c>
      <c r="C369" s="838" t="s">
        <v>4753</v>
      </c>
      <c r="D369" s="439" t="s">
        <v>13</v>
      </c>
      <c r="E369" s="439" t="s">
        <v>3762</v>
      </c>
      <c r="F369" s="440">
        <v>45076</v>
      </c>
      <c r="G369" s="440"/>
      <c r="H369" s="439" t="s">
        <v>23</v>
      </c>
      <c r="I369" s="449"/>
      <c r="J369" s="450"/>
      <c r="K369" s="443">
        <v>224</v>
      </c>
      <c r="L369" s="444">
        <v>0</v>
      </c>
      <c r="M369" s="463" t="s">
        <v>4114</v>
      </c>
      <c r="N369" s="463"/>
      <c r="O369" s="445" t="s">
        <v>4109</v>
      </c>
      <c r="P369" s="447"/>
      <c r="Q369" s="451">
        <v>224</v>
      </c>
      <c r="R369" s="447"/>
      <c r="S369" s="447"/>
      <c r="T369" s="447"/>
      <c r="U369" s="447"/>
      <c r="V369" s="447"/>
      <c r="W369" s="447"/>
      <c r="X369" s="447"/>
      <c r="Y369" s="858" t="s">
        <v>4113</v>
      </c>
    </row>
    <row r="370" spans="1:25" ht="14.45" customHeight="1" x14ac:dyDescent="0.25">
      <c r="A370" s="722" t="s">
        <v>4678</v>
      </c>
      <c r="B370" s="839" t="s">
        <v>4110</v>
      </c>
      <c r="C370" s="839" t="s">
        <v>4753</v>
      </c>
      <c r="D370" s="724" t="s">
        <v>13</v>
      </c>
      <c r="E370" s="724" t="s">
        <v>3762</v>
      </c>
      <c r="F370" s="725">
        <v>45076</v>
      </c>
      <c r="G370" s="725"/>
      <c r="H370" s="724" t="s">
        <v>23</v>
      </c>
      <c r="I370" s="441"/>
      <c r="J370" s="442"/>
      <c r="K370" s="720">
        <v>350</v>
      </c>
      <c r="L370" s="744">
        <v>0</v>
      </c>
      <c r="M370" s="767"/>
      <c r="N370" s="767"/>
      <c r="O370" s="728" t="s">
        <v>4107</v>
      </c>
      <c r="P370" s="721"/>
      <c r="Q370" s="729">
        <v>350</v>
      </c>
      <c r="R370" s="721"/>
      <c r="S370" s="721"/>
      <c r="T370" s="721"/>
      <c r="U370" s="721"/>
      <c r="V370" s="721"/>
      <c r="W370" s="721"/>
      <c r="X370" s="721"/>
      <c r="Y370" s="857" t="s">
        <v>4111</v>
      </c>
    </row>
    <row r="371" spans="1:25" ht="14.45" customHeight="1" x14ac:dyDescent="0.25">
      <c r="A371" s="437" t="s">
        <v>4678</v>
      </c>
      <c r="B371" s="838" t="s">
        <v>4110</v>
      </c>
      <c r="C371" s="838" t="s">
        <v>4753</v>
      </c>
      <c r="D371" s="439" t="s">
        <v>13</v>
      </c>
      <c r="E371" s="439" t="s">
        <v>3762</v>
      </c>
      <c r="F371" s="440">
        <v>45076</v>
      </c>
      <c r="G371" s="440"/>
      <c r="H371" s="439" t="s">
        <v>23</v>
      </c>
      <c r="I371" s="449"/>
      <c r="J371" s="450"/>
      <c r="K371" s="443">
        <v>550</v>
      </c>
      <c r="L371" s="444">
        <v>0</v>
      </c>
      <c r="M371" s="463"/>
      <c r="N371" s="463"/>
      <c r="O371" s="445" t="s">
        <v>4108</v>
      </c>
      <c r="P371" s="447"/>
      <c r="Q371" s="451">
        <v>550</v>
      </c>
      <c r="R371" s="447"/>
      <c r="S371" s="447"/>
      <c r="T371" s="447"/>
      <c r="U371" s="447"/>
      <c r="V371" s="447"/>
      <c r="W371" s="447"/>
      <c r="X371" s="447"/>
      <c r="Y371" s="858" t="s">
        <v>4112</v>
      </c>
    </row>
    <row r="372" spans="1:25" ht="14.45" customHeight="1" x14ac:dyDescent="0.25">
      <c r="A372" s="722" t="s">
        <v>4678</v>
      </c>
      <c r="B372" s="839" t="s">
        <v>4110</v>
      </c>
      <c r="C372" s="839" t="s">
        <v>4753</v>
      </c>
      <c r="D372" s="724" t="s">
        <v>13</v>
      </c>
      <c r="E372" s="724" t="s">
        <v>3762</v>
      </c>
      <c r="F372" s="725">
        <v>45076</v>
      </c>
      <c r="G372" s="725"/>
      <c r="H372" s="724" t="s">
        <v>23</v>
      </c>
      <c r="I372" s="441"/>
      <c r="J372" s="442"/>
      <c r="K372" s="720">
        <v>224</v>
      </c>
      <c r="L372" s="744">
        <v>0</v>
      </c>
      <c r="M372" s="767"/>
      <c r="N372" s="767"/>
      <c r="O372" s="728" t="s">
        <v>4109</v>
      </c>
      <c r="P372" s="721"/>
      <c r="Q372" s="729">
        <v>224</v>
      </c>
      <c r="R372" s="721"/>
      <c r="S372" s="721"/>
      <c r="T372" s="721"/>
      <c r="U372" s="721"/>
      <c r="V372" s="721"/>
      <c r="W372" s="721"/>
      <c r="X372" s="721"/>
      <c r="Y372" s="857" t="s">
        <v>4113</v>
      </c>
    </row>
    <row r="373" spans="1:25" ht="14.45" customHeight="1" x14ac:dyDescent="0.25">
      <c r="A373" s="437" t="s">
        <v>4678</v>
      </c>
      <c r="B373" s="438">
        <v>224</v>
      </c>
      <c r="C373" s="438"/>
      <c r="D373" s="439" t="s">
        <v>13</v>
      </c>
      <c r="E373" s="439" t="s">
        <v>28</v>
      </c>
      <c r="F373" s="440">
        <v>45077</v>
      </c>
      <c r="G373" s="440"/>
      <c r="H373" s="439" t="s">
        <v>23</v>
      </c>
      <c r="I373" s="449"/>
      <c r="J373" s="450"/>
      <c r="K373" s="443">
        <v>120</v>
      </c>
      <c r="L373" s="444">
        <v>8.1977142857142855</v>
      </c>
      <c r="M373" s="463"/>
      <c r="N373" s="463"/>
      <c r="O373" s="445" t="s">
        <v>2348</v>
      </c>
      <c r="P373" s="447">
        <v>720</v>
      </c>
      <c r="Q373" s="451">
        <v>120</v>
      </c>
      <c r="R373" s="447">
        <v>0.31879999999999997</v>
      </c>
      <c r="S373" s="447">
        <v>0.81100000000000005</v>
      </c>
      <c r="T373" s="447">
        <v>229.536</v>
      </c>
      <c r="U373" s="447">
        <v>583.91999999999996</v>
      </c>
      <c r="V373" s="447">
        <v>29.84</v>
      </c>
      <c r="W373" s="447">
        <v>109.35</v>
      </c>
      <c r="X373" s="447">
        <v>343</v>
      </c>
      <c r="Y373" s="858">
        <v>78730.850000000006</v>
      </c>
    </row>
    <row r="374" spans="1:25" ht="14.45" customHeight="1" x14ac:dyDescent="0.25">
      <c r="A374" s="722" t="s">
        <v>4678</v>
      </c>
      <c r="B374" s="723" t="s">
        <v>2972</v>
      </c>
      <c r="C374" s="723" t="s">
        <v>4753</v>
      </c>
      <c r="D374" s="724" t="s">
        <v>13</v>
      </c>
      <c r="E374" s="723" t="s">
        <v>585</v>
      </c>
      <c r="F374" s="725">
        <v>45077</v>
      </c>
      <c r="G374" s="725"/>
      <c r="H374" s="724" t="s">
        <v>23</v>
      </c>
      <c r="I374" s="441"/>
      <c r="J374" s="442"/>
      <c r="K374" s="720">
        <v>12</v>
      </c>
      <c r="L374" s="744">
        <v>0</v>
      </c>
      <c r="M374" s="767"/>
      <c r="N374" s="767"/>
      <c r="O374" s="728" t="s">
        <v>742</v>
      </c>
      <c r="P374" s="721"/>
      <c r="Q374" s="729">
        <v>12</v>
      </c>
      <c r="R374" s="721"/>
      <c r="S374" s="721"/>
      <c r="T374" s="721"/>
      <c r="U374" s="721"/>
      <c r="V374" s="721"/>
      <c r="W374" s="721"/>
      <c r="X374" s="721"/>
      <c r="Y374" s="857" t="s">
        <v>55</v>
      </c>
    </row>
    <row r="375" spans="1:25" ht="14.45" customHeight="1" x14ac:dyDescent="0.25">
      <c r="A375" s="437" t="s">
        <v>4678</v>
      </c>
      <c r="B375" s="438" t="s">
        <v>2972</v>
      </c>
      <c r="C375" s="438" t="s">
        <v>4753</v>
      </c>
      <c r="D375" s="439" t="s">
        <v>13</v>
      </c>
      <c r="E375" s="438" t="s">
        <v>585</v>
      </c>
      <c r="F375" s="440">
        <v>45077</v>
      </c>
      <c r="G375" s="440"/>
      <c r="H375" s="439" t="s">
        <v>23</v>
      </c>
      <c r="I375" s="449"/>
      <c r="J375" s="450"/>
      <c r="K375" s="443">
        <v>3</v>
      </c>
      <c r="L375" s="444">
        <v>0</v>
      </c>
      <c r="M375" s="463"/>
      <c r="N375" s="463"/>
      <c r="O375" s="445" t="s">
        <v>730</v>
      </c>
      <c r="P375" s="447"/>
      <c r="Q375" s="451">
        <v>3</v>
      </c>
      <c r="R375" s="447"/>
      <c r="S375" s="447"/>
      <c r="T375" s="447"/>
      <c r="U375" s="447"/>
      <c r="V375" s="447"/>
      <c r="W375" s="447"/>
      <c r="X375" s="447"/>
      <c r="Y375" s="858" t="s">
        <v>4120</v>
      </c>
    </row>
    <row r="376" spans="1:25" ht="14.45" customHeight="1" x14ac:dyDescent="0.25">
      <c r="A376" s="722" t="s">
        <v>4678</v>
      </c>
      <c r="B376" s="723" t="s">
        <v>2972</v>
      </c>
      <c r="C376" s="723" t="s">
        <v>4753</v>
      </c>
      <c r="D376" s="724" t="s">
        <v>13</v>
      </c>
      <c r="E376" s="723" t="s">
        <v>585</v>
      </c>
      <c r="F376" s="725">
        <v>45077</v>
      </c>
      <c r="G376" s="725"/>
      <c r="H376" s="724" t="s">
        <v>23</v>
      </c>
      <c r="I376" s="441"/>
      <c r="J376" s="442"/>
      <c r="K376" s="720">
        <v>30</v>
      </c>
      <c r="L376" s="744">
        <v>0</v>
      </c>
      <c r="M376" s="767"/>
      <c r="N376" s="767"/>
      <c r="O376" s="728" t="s">
        <v>731</v>
      </c>
      <c r="P376" s="721"/>
      <c r="Q376" s="729">
        <v>30</v>
      </c>
      <c r="R376" s="721"/>
      <c r="S376" s="721"/>
      <c r="T376" s="721"/>
      <c r="U376" s="721"/>
      <c r="V376" s="721"/>
      <c r="W376" s="721"/>
      <c r="X376" s="721"/>
      <c r="Y376" s="857" t="s">
        <v>1187</v>
      </c>
    </row>
    <row r="377" spans="1:25" ht="14.45" customHeight="1" x14ac:dyDescent="0.25">
      <c r="A377" s="437" t="s">
        <v>4678</v>
      </c>
      <c r="B377" s="438" t="s">
        <v>2972</v>
      </c>
      <c r="C377" s="438" t="s">
        <v>4753</v>
      </c>
      <c r="D377" s="439" t="s">
        <v>13</v>
      </c>
      <c r="E377" s="438" t="s">
        <v>585</v>
      </c>
      <c r="F377" s="440">
        <v>45077</v>
      </c>
      <c r="G377" s="440"/>
      <c r="H377" s="439" t="s">
        <v>23</v>
      </c>
      <c r="I377" s="449"/>
      <c r="J377" s="450"/>
      <c r="K377" s="443">
        <v>126</v>
      </c>
      <c r="L377" s="444">
        <v>0</v>
      </c>
      <c r="M377" s="463"/>
      <c r="N377" s="463"/>
      <c r="O377" s="445" t="s">
        <v>744</v>
      </c>
      <c r="P377" s="447"/>
      <c r="Q377" s="451">
        <v>126</v>
      </c>
      <c r="R377" s="447"/>
      <c r="S377" s="447"/>
      <c r="T377" s="447"/>
      <c r="U377" s="447"/>
      <c r="V377" s="447"/>
      <c r="W377" s="447"/>
      <c r="X377" s="447"/>
      <c r="Y377" s="858" t="s">
        <v>3521</v>
      </c>
    </row>
    <row r="378" spans="1:25" ht="14.45" customHeight="1" x14ac:dyDescent="0.25">
      <c r="A378" s="722" t="s">
        <v>4678</v>
      </c>
      <c r="B378" s="723" t="s">
        <v>2972</v>
      </c>
      <c r="C378" s="723" t="s">
        <v>4753</v>
      </c>
      <c r="D378" s="724" t="s">
        <v>13</v>
      </c>
      <c r="E378" s="723" t="s">
        <v>585</v>
      </c>
      <c r="F378" s="725">
        <v>45077</v>
      </c>
      <c r="G378" s="725"/>
      <c r="H378" s="724" t="s">
        <v>23</v>
      </c>
      <c r="I378" s="441"/>
      <c r="J378" s="442"/>
      <c r="K378" s="720">
        <v>3</v>
      </c>
      <c r="L378" s="744">
        <v>0</v>
      </c>
      <c r="M378" s="767"/>
      <c r="N378" s="767"/>
      <c r="O378" s="728" t="s">
        <v>733</v>
      </c>
      <c r="P378" s="721"/>
      <c r="Q378" s="729">
        <v>3</v>
      </c>
      <c r="R378" s="721"/>
      <c r="S378" s="721"/>
      <c r="T378" s="721"/>
      <c r="U378" s="721"/>
      <c r="V378" s="721"/>
      <c r="W378" s="721"/>
      <c r="X378" s="721"/>
      <c r="Y378" s="857" t="s">
        <v>749</v>
      </c>
    </row>
    <row r="379" spans="1:25" ht="14.45" customHeight="1" x14ac:dyDescent="0.25">
      <c r="A379" s="437" t="s">
        <v>4678</v>
      </c>
      <c r="B379" s="438" t="s">
        <v>2972</v>
      </c>
      <c r="C379" s="438" t="s">
        <v>4753</v>
      </c>
      <c r="D379" s="439" t="s">
        <v>13</v>
      </c>
      <c r="E379" s="438" t="s">
        <v>585</v>
      </c>
      <c r="F379" s="440">
        <v>45077</v>
      </c>
      <c r="G379" s="440"/>
      <c r="H379" s="439" t="s">
        <v>23</v>
      </c>
      <c r="I379" s="449"/>
      <c r="J379" s="450"/>
      <c r="K379" s="443">
        <v>12</v>
      </c>
      <c r="L379" s="444">
        <v>0</v>
      </c>
      <c r="M379" s="463"/>
      <c r="N379" s="463"/>
      <c r="O379" s="445" t="s">
        <v>733</v>
      </c>
      <c r="P379" s="447"/>
      <c r="Q379" s="451">
        <v>12</v>
      </c>
      <c r="R379" s="447"/>
      <c r="S379" s="447"/>
      <c r="T379" s="447"/>
      <c r="U379" s="447"/>
      <c r="V379" s="447"/>
      <c r="W379" s="447"/>
      <c r="X379" s="447"/>
      <c r="Y379" s="858" t="s">
        <v>4121</v>
      </c>
    </row>
    <row r="380" spans="1:25" ht="14.45" customHeight="1" x14ac:dyDescent="0.25">
      <c r="A380" s="722" t="s">
        <v>4678</v>
      </c>
      <c r="B380" s="723" t="s">
        <v>2972</v>
      </c>
      <c r="C380" s="723" t="s">
        <v>4753</v>
      </c>
      <c r="D380" s="724" t="s">
        <v>13</v>
      </c>
      <c r="E380" s="723" t="s">
        <v>585</v>
      </c>
      <c r="F380" s="725">
        <v>45077</v>
      </c>
      <c r="G380" s="725"/>
      <c r="H380" s="724" t="s">
        <v>23</v>
      </c>
      <c r="I380" s="441"/>
      <c r="J380" s="442"/>
      <c r="K380" s="720">
        <v>3</v>
      </c>
      <c r="L380" s="744">
        <v>0</v>
      </c>
      <c r="M380" s="767"/>
      <c r="N380" s="767"/>
      <c r="O380" s="728" t="s">
        <v>3727</v>
      </c>
      <c r="P380" s="721"/>
      <c r="Q380" s="729">
        <v>3</v>
      </c>
      <c r="R380" s="721"/>
      <c r="S380" s="721"/>
      <c r="T380" s="721"/>
      <c r="U380" s="721"/>
      <c r="V380" s="721"/>
      <c r="W380" s="721"/>
      <c r="X380" s="721"/>
      <c r="Y380" s="857" t="s">
        <v>749</v>
      </c>
    </row>
    <row r="381" spans="1:25" ht="14.45" customHeight="1" x14ac:dyDescent="0.25">
      <c r="A381" s="437" t="s">
        <v>4678</v>
      </c>
      <c r="B381" s="438" t="s">
        <v>2972</v>
      </c>
      <c r="C381" s="438" t="s">
        <v>4753</v>
      </c>
      <c r="D381" s="439" t="s">
        <v>13</v>
      </c>
      <c r="E381" s="438" t="s">
        <v>585</v>
      </c>
      <c r="F381" s="440">
        <v>45077</v>
      </c>
      <c r="G381" s="440"/>
      <c r="H381" s="439" t="s">
        <v>23</v>
      </c>
      <c r="I381" s="449"/>
      <c r="J381" s="450"/>
      <c r="K381" s="443">
        <v>3</v>
      </c>
      <c r="L381" s="444">
        <v>0</v>
      </c>
      <c r="M381" s="463"/>
      <c r="N381" s="463"/>
      <c r="O381" s="445" t="s">
        <v>737</v>
      </c>
      <c r="P381" s="447"/>
      <c r="Q381" s="451">
        <v>3</v>
      </c>
      <c r="R381" s="447"/>
      <c r="S381" s="447"/>
      <c r="T381" s="447"/>
      <c r="U381" s="447"/>
      <c r="V381" s="447"/>
      <c r="W381" s="447"/>
      <c r="X381" s="447"/>
      <c r="Y381" s="858" t="s">
        <v>805</v>
      </c>
    </row>
    <row r="382" spans="1:25" ht="14.45" customHeight="1" x14ac:dyDescent="0.25">
      <c r="A382" s="722" t="s">
        <v>4678</v>
      </c>
      <c r="B382" s="723" t="s">
        <v>2972</v>
      </c>
      <c r="C382" s="723" t="s">
        <v>4753</v>
      </c>
      <c r="D382" s="724" t="s">
        <v>13</v>
      </c>
      <c r="E382" s="723" t="s">
        <v>585</v>
      </c>
      <c r="F382" s="725">
        <v>45077</v>
      </c>
      <c r="G382" s="725"/>
      <c r="H382" s="724" t="s">
        <v>23</v>
      </c>
      <c r="I382" s="441"/>
      <c r="J382" s="442"/>
      <c r="K382" s="720">
        <v>6</v>
      </c>
      <c r="L382" s="744">
        <v>0</v>
      </c>
      <c r="M382" s="767"/>
      <c r="N382" s="767"/>
      <c r="O382" s="728" t="s">
        <v>1255</v>
      </c>
      <c r="P382" s="721"/>
      <c r="Q382" s="729">
        <v>6</v>
      </c>
      <c r="R382" s="721"/>
      <c r="S382" s="721"/>
      <c r="T382" s="721"/>
      <c r="U382" s="721"/>
      <c r="V382" s="721"/>
      <c r="W382" s="721"/>
      <c r="X382" s="721"/>
      <c r="Y382" s="857" t="s">
        <v>358</v>
      </c>
    </row>
    <row r="383" spans="1:25" ht="14.45" customHeight="1" x14ac:dyDescent="0.25">
      <c r="A383" s="437" t="s">
        <v>4678</v>
      </c>
      <c r="B383" s="438" t="s">
        <v>2972</v>
      </c>
      <c r="C383" s="438" t="s">
        <v>4753</v>
      </c>
      <c r="D383" s="439" t="s">
        <v>13</v>
      </c>
      <c r="E383" s="438" t="s">
        <v>585</v>
      </c>
      <c r="F383" s="440">
        <v>45077</v>
      </c>
      <c r="G383" s="440"/>
      <c r="H383" s="439" t="s">
        <v>23</v>
      </c>
      <c r="I383" s="449"/>
      <c r="J383" s="450"/>
      <c r="K383" s="443">
        <v>3</v>
      </c>
      <c r="L383" s="444">
        <v>0</v>
      </c>
      <c r="M383" s="463"/>
      <c r="N383" s="463"/>
      <c r="O383" s="445" t="s">
        <v>739</v>
      </c>
      <c r="P383" s="447"/>
      <c r="Q383" s="451">
        <v>3</v>
      </c>
      <c r="R383" s="447"/>
      <c r="S383" s="447"/>
      <c r="T383" s="447"/>
      <c r="U383" s="447"/>
      <c r="V383" s="447"/>
      <c r="W383" s="447"/>
      <c r="X383" s="447"/>
      <c r="Y383" s="858" t="s">
        <v>3778</v>
      </c>
    </row>
    <row r="384" spans="1:25" ht="14.45" customHeight="1" x14ac:dyDescent="0.25">
      <c r="A384" s="722" t="s">
        <v>4678</v>
      </c>
      <c r="B384" s="723" t="s">
        <v>2972</v>
      </c>
      <c r="C384" s="723" t="s">
        <v>4753</v>
      </c>
      <c r="D384" s="724" t="s">
        <v>13</v>
      </c>
      <c r="E384" s="723" t="s">
        <v>585</v>
      </c>
      <c r="F384" s="725">
        <v>45077</v>
      </c>
      <c r="G384" s="725"/>
      <c r="H384" s="724" t="s">
        <v>23</v>
      </c>
      <c r="I384" s="441"/>
      <c r="J384" s="442"/>
      <c r="K384" s="720">
        <v>45</v>
      </c>
      <c r="L384" s="744">
        <v>0</v>
      </c>
      <c r="M384" s="767"/>
      <c r="N384" s="767"/>
      <c r="O384" s="728" t="s">
        <v>740</v>
      </c>
      <c r="P384" s="721"/>
      <c r="Q384" s="729">
        <v>45</v>
      </c>
      <c r="R384" s="721"/>
      <c r="S384" s="721"/>
      <c r="T384" s="721"/>
      <c r="U384" s="721"/>
      <c r="V384" s="721"/>
      <c r="W384" s="721"/>
      <c r="X384" s="721"/>
      <c r="Y384" s="857" t="s">
        <v>3776</v>
      </c>
    </row>
    <row r="385" spans="1:25" ht="14.45" customHeight="1" x14ac:dyDescent="0.25">
      <c r="A385" s="437" t="s">
        <v>4678</v>
      </c>
      <c r="B385" s="438" t="s">
        <v>2972</v>
      </c>
      <c r="C385" s="438" t="s">
        <v>4753</v>
      </c>
      <c r="D385" s="439" t="s">
        <v>13</v>
      </c>
      <c r="E385" s="438" t="s">
        <v>585</v>
      </c>
      <c r="F385" s="440">
        <v>45077</v>
      </c>
      <c r="G385" s="440"/>
      <c r="H385" s="439" t="s">
        <v>23</v>
      </c>
      <c r="I385" s="449"/>
      <c r="J385" s="450"/>
      <c r="K385" s="443">
        <v>3</v>
      </c>
      <c r="L385" s="444">
        <v>0</v>
      </c>
      <c r="M385" s="463"/>
      <c r="N385" s="463"/>
      <c r="O385" s="445" t="s">
        <v>1243</v>
      </c>
      <c r="P385" s="447"/>
      <c r="Q385" s="451">
        <v>3</v>
      </c>
      <c r="R385" s="447"/>
      <c r="S385" s="447"/>
      <c r="T385" s="447"/>
      <c r="U385" s="447"/>
      <c r="V385" s="447"/>
      <c r="W385" s="447"/>
      <c r="X385" s="447"/>
      <c r="Y385" s="858" t="s">
        <v>1793</v>
      </c>
    </row>
    <row r="386" spans="1:25" ht="14.45" customHeight="1" x14ac:dyDescent="0.25">
      <c r="A386" s="722" t="s">
        <v>4678</v>
      </c>
      <c r="B386" s="723" t="s">
        <v>2972</v>
      </c>
      <c r="C386" s="723" t="s">
        <v>4753</v>
      </c>
      <c r="D386" s="724" t="s">
        <v>13</v>
      </c>
      <c r="E386" s="723" t="s">
        <v>585</v>
      </c>
      <c r="F386" s="725">
        <v>45077</v>
      </c>
      <c r="G386" s="725"/>
      <c r="H386" s="724" t="s">
        <v>23</v>
      </c>
      <c r="I386" s="441"/>
      <c r="J386" s="442"/>
      <c r="K386" s="720">
        <v>36</v>
      </c>
      <c r="L386" s="744">
        <v>0</v>
      </c>
      <c r="M386" s="767"/>
      <c r="N386" s="767"/>
      <c r="O386" s="728" t="s">
        <v>741</v>
      </c>
      <c r="P386" s="721"/>
      <c r="Q386" s="729">
        <v>36</v>
      </c>
      <c r="R386" s="721"/>
      <c r="S386" s="721"/>
      <c r="T386" s="721"/>
      <c r="U386" s="721"/>
      <c r="V386" s="721"/>
      <c r="W386" s="721"/>
      <c r="X386" s="721"/>
      <c r="Y386" s="857" t="s">
        <v>3777</v>
      </c>
    </row>
    <row r="387" spans="1:25" ht="14.45" customHeight="1" x14ac:dyDescent="0.25">
      <c r="A387" s="437" t="s">
        <v>4678</v>
      </c>
      <c r="B387" s="438" t="s">
        <v>2972</v>
      </c>
      <c r="C387" s="438" t="s">
        <v>4753</v>
      </c>
      <c r="D387" s="439" t="s">
        <v>13</v>
      </c>
      <c r="E387" s="438" t="s">
        <v>585</v>
      </c>
      <c r="F387" s="440">
        <v>45077</v>
      </c>
      <c r="G387" s="440"/>
      <c r="H387" s="439" t="s">
        <v>23</v>
      </c>
      <c r="I387" s="449"/>
      <c r="J387" s="450"/>
      <c r="K387" s="443">
        <v>15</v>
      </c>
      <c r="L387" s="444">
        <v>0</v>
      </c>
      <c r="M387" s="463"/>
      <c r="N387" s="463"/>
      <c r="O387" s="445" t="s">
        <v>745</v>
      </c>
      <c r="P387" s="447"/>
      <c r="Q387" s="451">
        <v>15</v>
      </c>
      <c r="R387" s="447"/>
      <c r="S387" s="447"/>
      <c r="T387" s="447"/>
      <c r="U387" s="447"/>
      <c r="V387" s="447"/>
      <c r="W387" s="447"/>
      <c r="X387" s="447"/>
      <c r="Y387" s="858" t="s">
        <v>3360</v>
      </c>
    </row>
    <row r="388" spans="1:25" ht="14.45" customHeight="1" x14ac:dyDescent="0.25">
      <c r="A388" s="722" t="s">
        <v>4678</v>
      </c>
      <c r="B388" s="723" t="s">
        <v>2972</v>
      </c>
      <c r="C388" s="723" t="s">
        <v>4753</v>
      </c>
      <c r="D388" s="724" t="s">
        <v>13</v>
      </c>
      <c r="E388" s="723" t="s">
        <v>585</v>
      </c>
      <c r="F388" s="725">
        <v>45077</v>
      </c>
      <c r="G388" s="725"/>
      <c r="H388" s="724" t="s">
        <v>23</v>
      </c>
      <c r="I388" s="441"/>
      <c r="J388" s="442"/>
      <c r="K388" s="720">
        <v>246</v>
      </c>
      <c r="L388" s="744">
        <v>0</v>
      </c>
      <c r="M388" s="767"/>
      <c r="N388" s="767"/>
      <c r="O388" s="728" t="s">
        <v>2728</v>
      </c>
      <c r="P388" s="721"/>
      <c r="Q388" s="729">
        <v>246</v>
      </c>
      <c r="R388" s="721"/>
      <c r="S388" s="721"/>
      <c r="T388" s="721"/>
      <c r="U388" s="721"/>
      <c r="V388" s="721"/>
      <c r="W388" s="721"/>
      <c r="X388" s="721"/>
      <c r="Y388" s="857" t="s">
        <v>3779</v>
      </c>
    </row>
    <row r="389" spans="1:25" ht="14.45" customHeight="1" x14ac:dyDescent="0.25">
      <c r="A389" s="437" t="s">
        <v>4678</v>
      </c>
      <c r="B389" s="438" t="s">
        <v>2972</v>
      </c>
      <c r="C389" s="438" t="s">
        <v>4753</v>
      </c>
      <c r="D389" s="439" t="s">
        <v>13</v>
      </c>
      <c r="E389" s="438" t="s">
        <v>585</v>
      </c>
      <c r="F389" s="440">
        <v>45077</v>
      </c>
      <c r="G389" s="440"/>
      <c r="H389" s="439" t="s">
        <v>23</v>
      </c>
      <c r="I389" s="449"/>
      <c r="J389" s="450"/>
      <c r="K389" s="443">
        <v>18</v>
      </c>
      <c r="L389" s="444">
        <v>0</v>
      </c>
      <c r="M389" s="463"/>
      <c r="N389" s="463"/>
      <c r="O389" s="445" t="s">
        <v>92</v>
      </c>
      <c r="P389" s="447"/>
      <c r="Q389" s="451">
        <v>18</v>
      </c>
      <c r="R389" s="447"/>
      <c r="S389" s="447"/>
      <c r="T389" s="447"/>
      <c r="U389" s="447"/>
      <c r="V389" s="447"/>
      <c r="W389" s="447"/>
      <c r="X389" s="447"/>
      <c r="Y389" s="858" t="s">
        <v>4122</v>
      </c>
    </row>
    <row r="390" spans="1:25" ht="14.45" customHeight="1" x14ac:dyDescent="0.25">
      <c r="A390" s="722" t="s">
        <v>4678</v>
      </c>
      <c r="B390" s="723" t="s">
        <v>2972</v>
      </c>
      <c r="C390" s="723" t="s">
        <v>4753</v>
      </c>
      <c r="D390" s="724" t="s">
        <v>13</v>
      </c>
      <c r="E390" s="723" t="s">
        <v>585</v>
      </c>
      <c r="F390" s="725">
        <v>45077</v>
      </c>
      <c r="G390" s="725"/>
      <c r="H390" s="724" t="s">
        <v>23</v>
      </c>
      <c r="I390" s="441"/>
      <c r="J390" s="442"/>
      <c r="K390" s="720">
        <v>6</v>
      </c>
      <c r="L390" s="744">
        <v>0</v>
      </c>
      <c r="M390" s="767"/>
      <c r="N390" s="767"/>
      <c r="O390" s="728" t="s">
        <v>95</v>
      </c>
      <c r="P390" s="721"/>
      <c r="Q390" s="729">
        <v>6</v>
      </c>
      <c r="R390" s="721"/>
      <c r="S390" s="721"/>
      <c r="T390" s="721"/>
      <c r="U390" s="721"/>
      <c r="V390" s="721"/>
      <c r="W390" s="721"/>
      <c r="X390" s="721"/>
      <c r="Y390" s="857" t="s">
        <v>4123</v>
      </c>
    </row>
    <row r="391" spans="1:25" ht="14.45" customHeight="1" x14ac:dyDescent="0.25">
      <c r="A391" s="437" t="s">
        <v>4678</v>
      </c>
      <c r="B391" s="438" t="s">
        <v>2972</v>
      </c>
      <c r="C391" s="438" t="s">
        <v>4753</v>
      </c>
      <c r="D391" s="439" t="s">
        <v>13</v>
      </c>
      <c r="E391" s="438" t="s">
        <v>585</v>
      </c>
      <c r="F391" s="440">
        <v>45077</v>
      </c>
      <c r="G391" s="440"/>
      <c r="H391" s="439" t="s">
        <v>23</v>
      </c>
      <c r="I391" s="449"/>
      <c r="J391" s="450"/>
      <c r="K391" s="443">
        <v>48</v>
      </c>
      <c r="L391" s="444">
        <v>0</v>
      </c>
      <c r="M391" s="463"/>
      <c r="N391" s="463"/>
      <c r="O391" s="445" t="s">
        <v>99</v>
      </c>
      <c r="P391" s="447"/>
      <c r="Q391" s="451">
        <v>48</v>
      </c>
      <c r="R391" s="447"/>
      <c r="S391" s="447"/>
      <c r="T391" s="447"/>
      <c r="U391" s="447"/>
      <c r="V391" s="447"/>
      <c r="W391" s="447"/>
      <c r="X391" s="447"/>
      <c r="Y391" s="858" t="s">
        <v>4124</v>
      </c>
    </row>
    <row r="392" spans="1:25" ht="14.45" customHeight="1" x14ac:dyDescent="0.25">
      <c r="A392" s="722" t="s">
        <v>4678</v>
      </c>
      <c r="B392" s="723" t="s">
        <v>2972</v>
      </c>
      <c r="C392" s="723" t="s">
        <v>4753</v>
      </c>
      <c r="D392" s="724" t="s">
        <v>13</v>
      </c>
      <c r="E392" s="723" t="s">
        <v>585</v>
      </c>
      <c r="F392" s="725">
        <v>45077</v>
      </c>
      <c r="G392" s="725"/>
      <c r="H392" s="724" t="s">
        <v>23</v>
      </c>
      <c r="I392" s="441"/>
      <c r="J392" s="442"/>
      <c r="K392" s="720">
        <v>18</v>
      </c>
      <c r="L392" s="744">
        <v>0</v>
      </c>
      <c r="M392" s="767"/>
      <c r="N392" s="767"/>
      <c r="O392" s="728" t="s">
        <v>94</v>
      </c>
      <c r="P392" s="721"/>
      <c r="Q392" s="729">
        <v>18</v>
      </c>
      <c r="R392" s="721"/>
      <c r="S392" s="721"/>
      <c r="T392" s="721"/>
      <c r="U392" s="721"/>
      <c r="V392" s="721"/>
      <c r="W392" s="721"/>
      <c r="X392" s="721"/>
      <c r="Y392" s="857" t="s">
        <v>4125</v>
      </c>
    </row>
    <row r="393" spans="1:25" ht="14.45" customHeight="1" x14ac:dyDescent="0.25">
      <c r="A393" s="437" t="s">
        <v>4678</v>
      </c>
      <c r="B393" s="438" t="s">
        <v>2972</v>
      </c>
      <c r="C393" s="438" t="s">
        <v>4753</v>
      </c>
      <c r="D393" s="439" t="s">
        <v>13</v>
      </c>
      <c r="E393" s="438" t="s">
        <v>585</v>
      </c>
      <c r="F393" s="440">
        <v>45077</v>
      </c>
      <c r="G393" s="440"/>
      <c r="H393" s="439" t="s">
        <v>23</v>
      </c>
      <c r="I393" s="449"/>
      <c r="J393" s="450"/>
      <c r="K393" s="443">
        <v>6</v>
      </c>
      <c r="L393" s="444">
        <v>0</v>
      </c>
      <c r="M393" s="463"/>
      <c r="N393" s="463"/>
      <c r="O393" s="445" t="s">
        <v>98</v>
      </c>
      <c r="P393" s="447"/>
      <c r="Q393" s="451">
        <v>6</v>
      </c>
      <c r="R393" s="447"/>
      <c r="S393" s="447"/>
      <c r="T393" s="447"/>
      <c r="U393" s="447"/>
      <c r="V393" s="447"/>
      <c r="W393" s="447"/>
      <c r="X393" s="447"/>
      <c r="Y393" s="858" t="s">
        <v>4126</v>
      </c>
    </row>
    <row r="394" spans="1:25" ht="14.45" customHeight="1" x14ac:dyDescent="0.25">
      <c r="A394" s="722" t="s">
        <v>4678</v>
      </c>
      <c r="B394" s="723" t="s">
        <v>2972</v>
      </c>
      <c r="C394" s="723" t="s">
        <v>4753</v>
      </c>
      <c r="D394" s="724" t="s">
        <v>13</v>
      </c>
      <c r="E394" s="723" t="s">
        <v>585</v>
      </c>
      <c r="F394" s="725">
        <v>45077</v>
      </c>
      <c r="G394" s="725"/>
      <c r="H394" s="724" t="s">
        <v>23</v>
      </c>
      <c r="I394" s="441"/>
      <c r="J394" s="442"/>
      <c r="K394" s="720">
        <v>48</v>
      </c>
      <c r="L394" s="744">
        <v>0</v>
      </c>
      <c r="M394" s="767"/>
      <c r="N394" s="767"/>
      <c r="O394" s="728" t="s">
        <v>102</v>
      </c>
      <c r="P394" s="721"/>
      <c r="Q394" s="729">
        <v>48</v>
      </c>
      <c r="R394" s="721"/>
      <c r="S394" s="721"/>
      <c r="T394" s="721"/>
      <c r="U394" s="721"/>
      <c r="V394" s="721"/>
      <c r="W394" s="721"/>
      <c r="X394" s="721"/>
      <c r="Y394" s="857" t="s">
        <v>4127</v>
      </c>
    </row>
    <row r="395" spans="1:25" ht="14.45" customHeight="1" x14ac:dyDescent="0.25">
      <c r="A395" s="437" t="s">
        <v>4678</v>
      </c>
      <c r="B395" s="438">
        <v>226</v>
      </c>
      <c r="C395" s="438"/>
      <c r="D395" s="439" t="s">
        <v>13</v>
      </c>
      <c r="E395" s="439" t="s">
        <v>657</v>
      </c>
      <c r="F395" s="440">
        <v>45077</v>
      </c>
      <c r="G395" s="440"/>
      <c r="H395" s="439" t="s">
        <v>23</v>
      </c>
      <c r="I395" s="449"/>
      <c r="J395" s="450"/>
      <c r="K395" s="443">
        <v>14</v>
      </c>
      <c r="L395" s="444">
        <v>0.49996071428571431</v>
      </c>
      <c r="M395" s="463"/>
      <c r="N395" s="463"/>
      <c r="O395" s="445" t="s">
        <v>2963</v>
      </c>
      <c r="P395" s="447">
        <v>81.2</v>
      </c>
      <c r="Q395" s="451">
        <v>14</v>
      </c>
      <c r="R395" s="447">
        <v>0.1724</v>
      </c>
      <c r="S395" s="447">
        <v>0.41499999999999998</v>
      </c>
      <c r="T395" s="447">
        <v>13.998900000000001</v>
      </c>
      <c r="U395" s="447">
        <v>33.698</v>
      </c>
      <c r="V395" s="447">
        <v>1.82</v>
      </c>
      <c r="W395" s="447">
        <v>56.72</v>
      </c>
      <c r="X395" s="447">
        <v>329</v>
      </c>
      <c r="Y395" s="858">
        <v>4605.63</v>
      </c>
    </row>
    <row r="396" spans="1:25" ht="14.45" customHeight="1" x14ac:dyDescent="0.25">
      <c r="A396" s="722" t="s">
        <v>4678</v>
      </c>
      <c r="B396" s="723">
        <v>225</v>
      </c>
      <c r="C396" s="723"/>
      <c r="D396" s="724" t="s">
        <v>13</v>
      </c>
      <c r="E396" s="724" t="s">
        <v>3819</v>
      </c>
      <c r="F396" s="725">
        <v>45077</v>
      </c>
      <c r="G396" s="725"/>
      <c r="H396" s="724" t="s">
        <v>23</v>
      </c>
      <c r="I396" s="441"/>
      <c r="J396" s="442"/>
      <c r="K396" s="720">
        <v>16</v>
      </c>
      <c r="L396" s="744">
        <v>2.0075714285714286</v>
      </c>
      <c r="M396" s="767" t="s">
        <v>4186</v>
      </c>
      <c r="N396" s="767"/>
      <c r="O396" s="728" t="s">
        <v>630</v>
      </c>
      <c r="P396" s="721">
        <v>104</v>
      </c>
      <c r="Q396" s="729">
        <v>16</v>
      </c>
      <c r="R396" s="721">
        <v>0.54049999999999998</v>
      </c>
      <c r="S396" s="721">
        <v>2.0979999999999999</v>
      </c>
      <c r="T396" s="721">
        <v>56.212000000000003</v>
      </c>
      <c r="U396" s="721">
        <v>218.19200000000001</v>
      </c>
      <c r="V396" s="721">
        <v>7.31</v>
      </c>
      <c r="W396" s="721">
        <v>185.39</v>
      </c>
      <c r="X396" s="721">
        <v>343</v>
      </c>
      <c r="Y396" s="857">
        <v>19280.560000000001</v>
      </c>
    </row>
    <row r="397" spans="1:25" ht="14.45" customHeight="1" x14ac:dyDescent="0.25">
      <c r="A397" s="437" t="s">
        <v>4678</v>
      </c>
      <c r="B397" s="838" t="s">
        <v>4137</v>
      </c>
      <c r="C397" s="838" t="s">
        <v>4753</v>
      </c>
      <c r="D397" s="439" t="s">
        <v>34</v>
      </c>
      <c r="E397" s="439" t="s">
        <v>576</v>
      </c>
      <c r="F397" s="440">
        <v>45077</v>
      </c>
      <c r="G397" s="440"/>
      <c r="H397" s="439" t="s">
        <v>23</v>
      </c>
      <c r="I397" s="449"/>
      <c r="J397" s="450"/>
      <c r="K397" s="443">
        <v>195</v>
      </c>
      <c r="L397" s="444">
        <v>0</v>
      </c>
      <c r="M397" s="463"/>
      <c r="N397" s="463"/>
      <c r="O397" s="445" t="s">
        <v>4117</v>
      </c>
      <c r="P397" s="447" t="s">
        <v>4119</v>
      </c>
      <c r="Q397" s="451">
        <v>195</v>
      </c>
      <c r="R397" s="447"/>
      <c r="S397" s="447"/>
      <c r="T397" s="447"/>
      <c r="U397" s="447"/>
      <c r="V397" s="447"/>
      <c r="W397" s="447"/>
      <c r="X397" s="447"/>
      <c r="Y397" s="858" t="s">
        <v>4118</v>
      </c>
    </row>
    <row r="398" spans="1:25" ht="14.45" customHeight="1" x14ac:dyDescent="0.25">
      <c r="A398" s="722" t="s">
        <v>4678</v>
      </c>
      <c r="B398" s="723">
        <v>227</v>
      </c>
      <c r="C398" s="723"/>
      <c r="D398" s="724" t="s">
        <v>13</v>
      </c>
      <c r="E398" s="724" t="s">
        <v>3764</v>
      </c>
      <c r="F398" s="725">
        <v>45077</v>
      </c>
      <c r="G398" s="725"/>
      <c r="H398" s="724" t="s">
        <v>23</v>
      </c>
      <c r="I398" s="441"/>
      <c r="J398" s="442"/>
      <c r="K398" s="720">
        <v>189</v>
      </c>
      <c r="L398" s="744">
        <v>5.4889999999999999</v>
      </c>
      <c r="M398" s="767"/>
      <c r="N398" s="767"/>
      <c r="O398" s="728" t="s">
        <v>1975</v>
      </c>
      <c r="P398" s="721">
        <v>973.35</v>
      </c>
      <c r="Q398" s="729">
        <v>189</v>
      </c>
      <c r="R398" s="721">
        <v>0.15790000000000001</v>
      </c>
      <c r="S398" s="721">
        <v>0.309</v>
      </c>
      <c r="T398" s="721">
        <v>153.69200000000001</v>
      </c>
      <c r="U398" s="721">
        <v>300.76519999999999</v>
      </c>
      <c r="V398" s="721">
        <v>19.98</v>
      </c>
      <c r="W398" s="721">
        <v>48.79</v>
      </c>
      <c r="X398" s="721">
        <v>309</v>
      </c>
      <c r="Y398" s="857">
        <v>47490.82</v>
      </c>
    </row>
    <row r="399" spans="1:25" ht="14.45" customHeight="1" x14ac:dyDescent="0.25">
      <c r="A399" s="437" t="s">
        <v>4678</v>
      </c>
      <c r="B399" s="438">
        <v>227</v>
      </c>
      <c r="C399" s="438"/>
      <c r="D399" s="439" t="s">
        <v>13</v>
      </c>
      <c r="E399" s="439" t="s">
        <v>3764</v>
      </c>
      <c r="F399" s="440">
        <v>45077</v>
      </c>
      <c r="G399" s="440"/>
      <c r="H399" s="439" t="s">
        <v>23</v>
      </c>
      <c r="I399" s="449"/>
      <c r="J399" s="450"/>
      <c r="K399" s="443">
        <v>679</v>
      </c>
      <c r="L399" s="444">
        <v>11.243753571428572</v>
      </c>
      <c r="M399" s="463"/>
      <c r="N399" s="463"/>
      <c r="O399" s="445" t="s">
        <v>2841</v>
      </c>
      <c r="P399" s="447">
        <v>3293.15</v>
      </c>
      <c r="Q399" s="451">
        <v>679</v>
      </c>
      <c r="R399" s="447">
        <v>9.5600000000000004E-2</v>
      </c>
      <c r="S399" s="447">
        <v>0.16</v>
      </c>
      <c r="T399" s="447">
        <v>314.82510000000002</v>
      </c>
      <c r="U399" s="447">
        <v>526.904</v>
      </c>
      <c r="V399" s="447">
        <v>40.93</v>
      </c>
      <c r="W399" s="447">
        <v>29.54</v>
      </c>
      <c r="X399" s="447">
        <v>309</v>
      </c>
      <c r="Y399" s="858">
        <v>97280.97</v>
      </c>
    </row>
    <row r="400" spans="1:25" ht="14.45" customHeight="1" x14ac:dyDescent="0.25">
      <c r="A400" s="722" t="s">
        <v>4678</v>
      </c>
      <c r="B400" s="723" t="s">
        <v>4129</v>
      </c>
      <c r="C400" s="723" t="s">
        <v>4753</v>
      </c>
      <c r="D400" s="724" t="s">
        <v>13</v>
      </c>
      <c r="E400" s="724" t="s">
        <v>3260</v>
      </c>
      <c r="F400" s="725">
        <v>45078</v>
      </c>
      <c r="G400" s="725"/>
      <c r="H400" s="724" t="s">
        <v>23</v>
      </c>
      <c r="I400" s="441"/>
      <c r="J400" s="442"/>
      <c r="K400" s="720">
        <v>0</v>
      </c>
      <c r="L400" s="744">
        <v>0</v>
      </c>
      <c r="M400" s="767"/>
      <c r="N400" s="767"/>
      <c r="O400" s="728" t="s">
        <v>4000</v>
      </c>
      <c r="P400" s="721" t="s">
        <v>4128</v>
      </c>
      <c r="Q400" s="729"/>
      <c r="R400" s="721"/>
      <c r="S400" s="721"/>
      <c r="T400" s="721"/>
      <c r="U400" s="721"/>
      <c r="V400" s="721"/>
      <c r="W400" s="721"/>
      <c r="X400" s="721"/>
      <c r="Y400" s="857">
        <v>45000</v>
      </c>
    </row>
    <row r="401" spans="1:25" ht="14.45" customHeight="1" x14ac:dyDescent="0.25">
      <c r="A401" s="437" t="s">
        <v>4678</v>
      </c>
      <c r="B401" s="438" t="s">
        <v>2980</v>
      </c>
      <c r="C401" s="438" t="s">
        <v>4753</v>
      </c>
      <c r="D401" s="439" t="s">
        <v>13</v>
      </c>
      <c r="E401" s="439" t="s">
        <v>1696</v>
      </c>
      <c r="F401" s="440">
        <v>45078</v>
      </c>
      <c r="G401" s="440"/>
      <c r="H401" s="439" t="s">
        <v>23</v>
      </c>
      <c r="I401" s="449"/>
      <c r="J401" s="450"/>
      <c r="K401" s="443">
        <v>0</v>
      </c>
      <c r="L401" s="444">
        <v>0</v>
      </c>
      <c r="M401" s="463"/>
      <c r="N401" s="463"/>
      <c r="O401" s="445" t="s">
        <v>946</v>
      </c>
      <c r="P401" s="447" t="s">
        <v>379</v>
      </c>
      <c r="Q401" s="451"/>
      <c r="R401" s="447"/>
      <c r="S401" s="447"/>
      <c r="T401" s="447"/>
      <c r="U401" s="447"/>
      <c r="V401" s="447"/>
      <c r="W401" s="447"/>
      <c r="X401" s="447"/>
      <c r="Y401" s="858" t="s">
        <v>4130</v>
      </c>
    </row>
    <row r="402" spans="1:25" ht="14.45" customHeight="1" x14ac:dyDescent="0.25">
      <c r="A402" s="722" t="s">
        <v>4678</v>
      </c>
      <c r="B402" s="723" t="s">
        <v>2980</v>
      </c>
      <c r="C402" s="723" t="s">
        <v>4753</v>
      </c>
      <c r="D402" s="724" t="s">
        <v>13</v>
      </c>
      <c r="E402" s="724" t="s">
        <v>1696</v>
      </c>
      <c r="F402" s="725">
        <v>45078</v>
      </c>
      <c r="G402" s="725"/>
      <c r="H402" s="724" t="s">
        <v>23</v>
      </c>
      <c r="I402" s="441"/>
      <c r="J402" s="442"/>
      <c r="K402" s="720">
        <v>0</v>
      </c>
      <c r="L402" s="744">
        <v>0</v>
      </c>
      <c r="M402" s="767"/>
      <c r="N402" s="767"/>
      <c r="O402" s="728" t="s">
        <v>947</v>
      </c>
      <c r="P402" s="721" t="s">
        <v>160</v>
      </c>
      <c r="Q402" s="729"/>
      <c r="R402" s="721"/>
      <c r="S402" s="721"/>
      <c r="T402" s="721"/>
      <c r="U402" s="721"/>
      <c r="V402" s="721"/>
      <c r="W402" s="721"/>
      <c r="X402" s="721"/>
      <c r="Y402" s="857" t="s">
        <v>4131</v>
      </c>
    </row>
    <row r="403" spans="1:25" ht="14.45" customHeight="1" x14ac:dyDescent="0.25">
      <c r="A403" s="437" t="s">
        <v>4678</v>
      </c>
      <c r="B403" s="438" t="s">
        <v>2980</v>
      </c>
      <c r="C403" s="438" t="s">
        <v>4753</v>
      </c>
      <c r="D403" s="439" t="s">
        <v>13</v>
      </c>
      <c r="E403" s="439" t="s">
        <v>1696</v>
      </c>
      <c r="F403" s="440">
        <v>45078</v>
      </c>
      <c r="G403" s="440"/>
      <c r="H403" s="439" t="s">
        <v>23</v>
      </c>
      <c r="I403" s="449"/>
      <c r="J403" s="450"/>
      <c r="K403" s="443">
        <v>0</v>
      </c>
      <c r="L403" s="444">
        <v>0</v>
      </c>
      <c r="M403" s="463"/>
      <c r="N403" s="463"/>
      <c r="O403" s="445" t="s">
        <v>948</v>
      </c>
      <c r="P403" s="447" t="s">
        <v>160</v>
      </c>
      <c r="Q403" s="451"/>
      <c r="R403" s="447"/>
      <c r="S403" s="447"/>
      <c r="T403" s="447"/>
      <c r="U403" s="447"/>
      <c r="V403" s="447"/>
      <c r="W403" s="447"/>
      <c r="X403" s="447"/>
      <c r="Y403" s="858" t="s">
        <v>4132</v>
      </c>
    </row>
    <row r="404" spans="1:25" ht="14.45" customHeight="1" x14ac:dyDescent="0.25">
      <c r="A404" s="722" t="s">
        <v>4678</v>
      </c>
      <c r="B404" s="723" t="s">
        <v>2980</v>
      </c>
      <c r="C404" s="723" t="s">
        <v>4753</v>
      </c>
      <c r="D404" s="724" t="s">
        <v>13</v>
      </c>
      <c r="E404" s="724" t="s">
        <v>1696</v>
      </c>
      <c r="F404" s="725">
        <v>45078</v>
      </c>
      <c r="G404" s="725"/>
      <c r="H404" s="724" t="s">
        <v>23</v>
      </c>
      <c r="I404" s="441"/>
      <c r="J404" s="442"/>
      <c r="K404" s="720">
        <v>0</v>
      </c>
      <c r="L404" s="744">
        <v>0</v>
      </c>
      <c r="M404" s="767"/>
      <c r="N404" s="767"/>
      <c r="O404" s="728" t="s">
        <v>1913</v>
      </c>
      <c r="P404" s="721" t="s">
        <v>66</v>
      </c>
      <c r="Q404" s="729"/>
      <c r="R404" s="721"/>
      <c r="S404" s="721"/>
      <c r="T404" s="721"/>
      <c r="U404" s="721"/>
      <c r="V404" s="721"/>
      <c r="W404" s="721"/>
      <c r="X404" s="721"/>
      <c r="Y404" s="857" t="s">
        <v>4133</v>
      </c>
    </row>
    <row r="405" spans="1:25" ht="14.45" customHeight="1" x14ac:dyDescent="0.25">
      <c r="A405" s="437" t="s">
        <v>4678</v>
      </c>
      <c r="B405" s="438" t="s">
        <v>2980</v>
      </c>
      <c r="C405" s="438" t="s">
        <v>4753</v>
      </c>
      <c r="D405" s="439" t="s">
        <v>13</v>
      </c>
      <c r="E405" s="439" t="s">
        <v>1696</v>
      </c>
      <c r="F405" s="440">
        <v>45078</v>
      </c>
      <c r="G405" s="440"/>
      <c r="H405" s="439" t="s">
        <v>23</v>
      </c>
      <c r="I405" s="449"/>
      <c r="J405" s="450"/>
      <c r="K405" s="443">
        <v>0</v>
      </c>
      <c r="L405" s="444">
        <v>0</v>
      </c>
      <c r="M405" s="463"/>
      <c r="N405" s="463"/>
      <c r="O405" s="445" t="s">
        <v>2982</v>
      </c>
      <c r="P405" s="447" t="s">
        <v>66</v>
      </c>
      <c r="Q405" s="451"/>
      <c r="R405" s="447"/>
      <c r="S405" s="447"/>
      <c r="T405" s="447"/>
      <c r="U405" s="447"/>
      <c r="V405" s="447"/>
      <c r="W405" s="447"/>
      <c r="X405" s="447"/>
      <c r="Y405" s="858" t="s">
        <v>4133</v>
      </c>
    </row>
    <row r="406" spans="1:25" ht="14.45" customHeight="1" x14ac:dyDescent="0.25">
      <c r="A406" s="722" t="s">
        <v>4678</v>
      </c>
      <c r="B406" s="723" t="s">
        <v>2980</v>
      </c>
      <c r="C406" s="723" t="s">
        <v>4753</v>
      </c>
      <c r="D406" s="724" t="s">
        <v>13</v>
      </c>
      <c r="E406" s="724" t="s">
        <v>1696</v>
      </c>
      <c r="F406" s="725">
        <v>45078</v>
      </c>
      <c r="G406" s="725"/>
      <c r="H406" s="724" t="s">
        <v>23</v>
      </c>
      <c r="I406" s="441"/>
      <c r="J406" s="442"/>
      <c r="K406" s="720">
        <v>0</v>
      </c>
      <c r="L406" s="744">
        <v>0</v>
      </c>
      <c r="M406" s="767"/>
      <c r="N406" s="767"/>
      <c r="O406" s="728" t="s">
        <v>1918</v>
      </c>
      <c r="P406" s="721" t="s">
        <v>2534</v>
      </c>
      <c r="Q406" s="729"/>
      <c r="R406" s="721"/>
      <c r="S406" s="721"/>
      <c r="T406" s="721"/>
      <c r="U406" s="721"/>
      <c r="V406" s="721"/>
      <c r="W406" s="721"/>
      <c r="X406" s="721"/>
      <c r="Y406" s="857" t="s">
        <v>4134</v>
      </c>
    </row>
    <row r="407" spans="1:25" ht="14.45" customHeight="1" x14ac:dyDescent="0.25">
      <c r="A407" s="437" t="s">
        <v>4678</v>
      </c>
      <c r="B407" s="438" t="s">
        <v>2980</v>
      </c>
      <c r="C407" s="438" t="s">
        <v>4753</v>
      </c>
      <c r="D407" s="439" t="s">
        <v>13</v>
      </c>
      <c r="E407" s="439" t="s">
        <v>1696</v>
      </c>
      <c r="F407" s="440">
        <v>45078</v>
      </c>
      <c r="G407" s="440"/>
      <c r="H407" s="439" t="s">
        <v>23</v>
      </c>
      <c r="I407" s="449"/>
      <c r="J407" s="450"/>
      <c r="K407" s="443">
        <v>0</v>
      </c>
      <c r="L407" s="444">
        <v>0</v>
      </c>
      <c r="M407" s="463"/>
      <c r="N407" s="463"/>
      <c r="O407" s="445" t="s">
        <v>2572</v>
      </c>
      <c r="P407" s="447" t="s">
        <v>100</v>
      </c>
      <c r="Q407" s="451"/>
      <c r="R407" s="447"/>
      <c r="S407" s="447"/>
      <c r="T407" s="447"/>
      <c r="U407" s="447"/>
      <c r="V407" s="447"/>
      <c r="W407" s="447"/>
      <c r="X407" s="447"/>
      <c r="Y407" s="858" t="s">
        <v>4135</v>
      </c>
    </row>
    <row r="408" spans="1:25" ht="14.45" customHeight="1" x14ac:dyDescent="0.25">
      <c r="A408" s="722" t="s">
        <v>4678</v>
      </c>
      <c r="B408" s="723">
        <v>230</v>
      </c>
      <c r="C408" s="723"/>
      <c r="D408" s="724" t="s">
        <v>13</v>
      </c>
      <c r="E408" s="724" t="s">
        <v>1825</v>
      </c>
      <c r="F408" s="725">
        <v>45079</v>
      </c>
      <c r="G408" s="725"/>
      <c r="H408" s="724" t="s">
        <v>23</v>
      </c>
      <c r="I408" s="441"/>
      <c r="J408" s="442"/>
      <c r="K408" s="720">
        <v>72</v>
      </c>
      <c r="L408" s="744">
        <v>2.9900571428571427</v>
      </c>
      <c r="M408" s="767" t="s">
        <v>3564</v>
      </c>
      <c r="N408" s="767"/>
      <c r="O408" s="728" t="s">
        <v>4699</v>
      </c>
      <c r="P408" s="721">
        <v>432</v>
      </c>
      <c r="Q408" s="729">
        <v>72</v>
      </c>
      <c r="R408" s="721">
        <v>0.1938</v>
      </c>
      <c r="S408" s="721">
        <v>0.63600000000000001</v>
      </c>
      <c r="T408" s="721">
        <v>83.721599999999995</v>
      </c>
      <c r="U408" s="721">
        <v>274.75200000000001</v>
      </c>
      <c r="V408" s="721">
        <v>10.88</v>
      </c>
      <c r="W408" s="721">
        <v>66.47</v>
      </c>
      <c r="X408" s="721">
        <v>343</v>
      </c>
      <c r="Y408" s="857">
        <v>28716.51</v>
      </c>
    </row>
    <row r="409" spans="1:25" ht="14.45" customHeight="1" x14ac:dyDescent="0.25">
      <c r="A409" s="437" t="s">
        <v>4678</v>
      </c>
      <c r="B409" s="438" t="s">
        <v>3012</v>
      </c>
      <c r="C409" s="438" t="s">
        <v>4753</v>
      </c>
      <c r="D409" s="439" t="s">
        <v>13</v>
      </c>
      <c r="E409" s="438" t="s">
        <v>585</v>
      </c>
      <c r="F409" s="440">
        <v>45082</v>
      </c>
      <c r="G409" s="440"/>
      <c r="H409" s="439" t="s">
        <v>23</v>
      </c>
      <c r="I409" s="449"/>
      <c r="J409" s="450"/>
      <c r="K409" s="443">
        <v>96</v>
      </c>
      <c r="L409" s="444">
        <v>0</v>
      </c>
      <c r="M409" s="463" t="s">
        <v>4179</v>
      </c>
      <c r="N409" s="463"/>
      <c r="O409" s="445" t="s">
        <v>871</v>
      </c>
      <c r="P409" s="447"/>
      <c r="Q409" s="451">
        <v>96</v>
      </c>
      <c r="R409" s="447"/>
      <c r="S409" s="447"/>
      <c r="T409" s="447"/>
      <c r="U409" s="447"/>
      <c r="V409" s="447"/>
      <c r="W409" s="447"/>
      <c r="X409" s="447"/>
      <c r="Y409" s="858" t="s">
        <v>40</v>
      </c>
    </row>
    <row r="410" spans="1:25" ht="14.45" customHeight="1" x14ac:dyDescent="0.25">
      <c r="A410" s="722" t="s">
        <v>4678</v>
      </c>
      <c r="B410" s="723" t="s">
        <v>3012</v>
      </c>
      <c r="C410" s="723" t="s">
        <v>4753</v>
      </c>
      <c r="D410" s="724" t="s">
        <v>13</v>
      </c>
      <c r="E410" s="723" t="s">
        <v>585</v>
      </c>
      <c r="F410" s="725">
        <v>45082</v>
      </c>
      <c r="G410" s="725"/>
      <c r="H410" s="724" t="s">
        <v>23</v>
      </c>
      <c r="I410" s="441"/>
      <c r="J410" s="442"/>
      <c r="K410" s="720">
        <v>29</v>
      </c>
      <c r="L410" s="744">
        <v>0</v>
      </c>
      <c r="M410" s="767"/>
      <c r="N410" s="767"/>
      <c r="O410" s="728" t="s">
        <v>872</v>
      </c>
      <c r="P410" s="721"/>
      <c r="Q410" s="729">
        <v>29</v>
      </c>
      <c r="R410" s="721"/>
      <c r="S410" s="721"/>
      <c r="T410" s="721"/>
      <c r="U410" s="721"/>
      <c r="V410" s="721"/>
      <c r="W410" s="721"/>
      <c r="X410" s="721"/>
      <c r="Y410" s="857" t="s">
        <v>4141</v>
      </c>
    </row>
    <row r="411" spans="1:25" ht="14.45" customHeight="1" x14ac:dyDescent="0.25">
      <c r="A411" s="437" t="s">
        <v>4678</v>
      </c>
      <c r="B411" s="438" t="s">
        <v>4159</v>
      </c>
      <c r="C411" s="438" t="s">
        <v>4753</v>
      </c>
      <c r="D411" s="439" t="s">
        <v>13</v>
      </c>
      <c r="E411" s="439" t="s">
        <v>43</v>
      </c>
      <c r="F411" s="440">
        <v>45082</v>
      </c>
      <c r="G411" s="440"/>
      <c r="H411" s="439" t="s">
        <v>23</v>
      </c>
      <c r="I411" s="449"/>
      <c r="J411" s="450"/>
      <c r="K411" s="443">
        <v>0</v>
      </c>
      <c r="L411" s="444">
        <v>0</v>
      </c>
      <c r="M411" s="463"/>
      <c r="N411" s="463"/>
      <c r="O411" s="445" t="s">
        <v>2165</v>
      </c>
      <c r="P411" s="447" t="s">
        <v>4158</v>
      </c>
      <c r="Q411" s="451"/>
      <c r="R411" s="447"/>
      <c r="S411" s="447"/>
      <c r="T411" s="447"/>
      <c r="U411" s="447"/>
      <c r="V411" s="447"/>
      <c r="W411" s="447"/>
      <c r="X411" s="447"/>
      <c r="Y411" s="858" t="s">
        <v>2928</v>
      </c>
    </row>
    <row r="412" spans="1:25" ht="14.45" customHeight="1" x14ac:dyDescent="0.25">
      <c r="A412" s="722" t="s">
        <v>4678</v>
      </c>
      <c r="B412" s="723">
        <v>232</v>
      </c>
      <c r="C412" s="723"/>
      <c r="D412" s="724" t="s">
        <v>34</v>
      </c>
      <c r="E412" s="724" t="s">
        <v>3925</v>
      </c>
      <c r="F412" s="725">
        <v>45082</v>
      </c>
      <c r="G412" s="725"/>
      <c r="H412" s="724" t="s">
        <v>23</v>
      </c>
      <c r="I412" s="441"/>
      <c r="J412" s="442"/>
      <c r="K412" s="720">
        <v>20</v>
      </c>
      <c r="L412" s="744">
        <v>2.0378571428571428</v>
      </c>
      <c r="M412" s="767"/>
      <c r="N412" s="767"/>
      <c r="O412" s="728" t="s">
        <v>4140</v>
      </c>
      <c r="P412" s="721">
        <v>120</v>
      </c>
      <c r="Q412" s="729">
        <v>20</v>
      </c>
      <c r="R412" s="721">
        <v>0.47549999999999998</v>
      </c>
      <c r="S412" s="721">
        <v>1.486</v>
      </c>
      <c r="T412" s="721">
        <v>57.06</v>
      </c>
      <c r="U412" s="721">
        <v>178.32</v>
      </c>
      <c r="V412" s="721">
        <v>7.42</v>
      </c>
      <c r="W412" s="721">
        <v>140.27000000000001</v>
      </c>
      <c r="X412" s="721">
        <v>295</v>
      </c>
      <c r="Y412" s="857">
        <v>16832.7</v>
      </c>
    </row>
    <row r="413" spans="1:25" ht="14.45" customHeight="1" x14ac:dyDescent="0.25">
      <c r="A413" s="437" t="s">
        <v>4678</v>
      </c>
      <c r="B413" s="438" t="s">
        <v>4144</v>
      </c>
      <c r="C413" s="438" t="s">
        <v>4753</v>
      </c>
      <c r="D413" s="439" t="s">
        <v>34</v>
      </c>
      <c r="E413" s="439" t="s">
        <v>284</v>
      </c>
      <c r="F413" s="440">
        <v>45083</v>
      </c>
      <c r="G413" s="440"/>
      <c r="H413" s="439" t="s">
        <v>23</v>
      </c>
      <c r="I413" s="449"/>
      <c r="J413" s="450"/>
      <c r="K413" s="443">
        <v>0</v>
      </c>
      <c r="L413" s="444">
        <v>0</v>
      </c>
      <c r="M413" s="463"/>
      <c r="N413" s="463"/>
      <c r="O413" s="453" t="s">
        <v>4142</v>
      </c>
      <c r="P413" s="447">
        <v>36.299999999999997</v>
      </c>
      <c r="Q413" s="451"/>
      <c r="R413" s="447"/>
      <c r="S413" s="447"/>
      <c r="T413" s="447"/>
      <c r="U413" s="447"/>
      <c r="V413" s="447"/>
      <c r="W413" s="447"/>
      <c r="X413" s="447"/>
      <c r="Y413" s="858" t="s">
        <v>4143</v>
      </c>
    </row>
    <row r="414" spans="1:25" ht="14.45" customHeight="1" x14ac:dyDescent="0.25">
      <c r="A414" s="722" t="s">
        <v>4678</v>
      </c>
      <c r="B414" s="723">
        <v>233</v>
      </c>
      <c r="C414" s="723"/>
      <c r="D414" s="724" t="s">
        <v>34</v>
      </c>
      <c r="E414" s="724" t="s">
        <v>4145</v>
      </c>
      <c r="F414" s="725">
        <v>45083</v>
      </c>
      <c r="G414" s="725"/>
      <c r="H414" s="464" t="s">
        <v>677</v>
      </c>
      <c r="I414" s="441"/>
      <c r="J414" s="442"/>
      <c r="K414" s="720">
        <v>70</v>
      </c>
      <c r="L414" s="744">
        <v>3.8490000000000002</v>
      </c>
      <c r="M414" s="767"/>
      <c r="N414" s="767"/>
      <c r="O414" s="728" t="s">
        <v>3975</v>
      </c>
      <c r="P414" s="721">
        <v>420</v>
      </c>
      <c r="Q414" s="729">
        <v>70</v>
      </c>
      <c r="R414" s="721">
        <v>0.25659999999999999</v>
      </c>
      <c r="S414" s="721">
        <v>0.68899999999999995</v>
      </c>
      <c r="T414" s="721">
        <v>107.77200000000001</v>
      </c>
      <c r="U414" s="721">
        <v>289.38</v>
      </c>
      <c r="V414" s="721">
        <v>14.01</v>
      </c>
      <c r="W414" s="721">
        <v>68</v>
      </c>
      <c r="X414" s="721">
        <v>265</v>
      </c>
      <c r="Y414" s="857">
        <v>28559.58</v>
      </c>
    </row>
    <row r="415" spans="1:25" ht="14.45" customHeight="1" x14ac:dyDescent="0.25">
      <c r="A415" s="437" t="s">
        <v>4678</v>
      </c>
      <c r="B415" s="438" t="s">
        <v>3018</v>
      </c>
      <c r="C415" s="438" t="s">
        <v>4753</v>
      </c>
      <c r="D415" s="439" t="s">
        <v>13</v>
      </c>
      <c r="E415" s="439" t="s">
        <v>4151</v>
      </c>
      <c r="F415" s="440">
        <v>45084</v>
      </c>
      <c r="G415" s="440"/>
      <c r="H415" s="439" t="s">
        <v>23</v>
      </c>
      <c r="I415" s="449"/>
      <c r="J415" s="450"/>
      <c r="K415" s="443">
        <v>244</v>
      </c>
      <c r="L415" s="444">
        <v>0</v>
      </c>
      <c r="M415" s="463" t="s">
        <v>4376</v>
      </c>
      <c r="N415" s="463"/>
      <c r="O415" s="445" t="s">
        <v>4374</v>
      </c>
      <c r="P415" s="447" t="s">
        <v>4150</v>
      </c>
      <c r="Q415" s="451">
        <v>244</v>
      </c>
      <c r="R415" s="447"/>
      <c r="S415" s="447"/>
      <c r="T415" s="447"/>
      <c r="U415" s="447"/>
      <c r="V415" s="447"/>
      <c r="W415" s="447"/>
      <c r="X415" s="447"/>
      <c r="Y415" s="858" t="s">
        <v>4155</v>
      </c>
    </row>
    <row r="416" spans="1:25" ht="14.45" customHeight="1" x14ac:dyDescent="0.25">
      <c r="A416" s="722" t="s">
        <v>4678</v>
      </c>
      <c r="B416" s="723" t="s">
        <v>3018</v>
      </c>
      <c r="C416" s="723" t="s">
        <v>4753</v>
      </c>
      <c r="D416" s="724" t="s">
        <v>13</v>
      </c>
      <c r="E416" s="724" t="s">
        <v>4151</v>
      </c>
      <c r="F416" s="725">
        <v>45084</v>
      </c>
      <c r="G416" s="725"/>
      <c r="H416" s="724" t="s">
        <v>23</v>
      </c>
      <c r="I416" s="441"/>
      <c r="J416" s="442"/>
      <c r="K416" s="720">
        <v>70</v>
      </c>
      <c r="L416" s="744">
        <v>0</v>
      </c>
      <c r="M416" s="767" t="s">
        <v>543</v>
      </c>
      <c r="N416" s="767"/>
      <c r="O416" s="728" t="s">
        <v>4152</v>
      </c>
      <c r="P416" s="721" t="s">
        <v>4153</v>
      </c>
      <c r="Q416" s="729">
        <v>70</v>
      </c>
      <c r="R416" s="721"/>
      <c r="S416" s="721"/>
      <c r="T416" s="721"/>
      <c r="U416" s="721"/>
      <c r="V416" s="721"/>
      <c r="W416" s="721"/>
      <c r="X416" s="721"/>
      <c r="Y416" s="857" t="s">
        <v>4075</v>
      </c>
    </row>
    <row r="417" spans="1:25" ht="14.45" customHeight="1" x14ac:dyDescent="0.25">
      <c r="A417" s="437" t="s">
        <v>4678</v>
      </c>
      <c r="B417" s="438" t="s">
        <v>3018</v>
      </c>
      <c r="C417" s="438" t="s">
        <v>4753</v>
      </c>
      <c r="D417" s="439" t="s">
        <v>13</v>
      </c>
      <c r="E417" s="439" t="s">
        <v>4151</v>
      </c>
      <c r="F417" s="440">
        <v>45084</v>
      </c>
      <c r="G417" s="440"/>
      <c r="H417" s="439" t="s">
        <v>23</v>
      </c>
      <c r="I417" s="449"/>
      <c r="J417" s="450"/>
      <c r="K417" s="443">
        <v>1528</v>
      </c>
      <c r="L417" s="444">
        <v>0</v>
      </c>
      <c r="M417" s="463"/>
      <c r="N417" s="463"/>
      <c r="O417" s="445" t="s">
        <v>4149</v>
      </c>
      <c r="P417" s="447" t="s">
        <v>4154</v>
      </c>
      <c r="Q417" s="451">
        <v>1528</v>
      </c>
      <c r="R417" s="447"/>
      <c r="S417" s="447"/>
      <c r="T417" s="447"/>
      <c r="U417" s="447"/>
      <c r="V417" s="447"/>
      <c r="W417" s="447"/>
      <c r="X417" s="447"/>
      <c r="Y417" s="858" t="s">
        <v>4156</v>
      </c>
    </row>
    <row r="418" spans="1:25" ht="14.45" customHeight="1" x14ac:dyDescent="0.25">
      <c r="A418" s="722" t="s">
        <v>4678</v>
      </c>
      <c r="B418" s="723" t="s">
        <v>4165</v>
      </c>
      <c r="C418" s="723" t="s">
        <v>4753</v>
      </c>
      <c r="D418" s="724" t="s">
        <v>13</v>
      </c>
      <c r="E418" s="724" t="s">
        <v>3765</v>
      </c>
      <c r="F418" s="725">
        <v>45084</v>
      </c>
      <c r="G418" s="725"/>
      <c r="H418" s="724" t="s">
        <v>23</v>
      </c>
      <c r="I418" s="441"/>
      <c r="J418" s="442"/>
      <c r="K418" s="720">
        <v>24</v>
      </c>
      <c r="L418" s="744">
        <v>0</v>
      </c>
      <c r="M418" s="767" t="s">
        <v>4196</v>
      </c>
      <c r="N418" s="767"/>
      <c r="O418" s="728" t="s">
        <v>4164</v>
      </c>
      <c r="P418" s="721"/>
      <c r="Q418" s="729">
        <v>24</v>
      </c>
      <c r="R418" s="721"/>
      <c r="S418" s="721"/>
      <c r="T418" s="721"/>
      <c r="U418" s="721"/>
      <c r="V418" s="721"/>
      <c r="W418" s="721"/>
      <c r="X418" s="721"/>
      <c r="Y418" s="857" t="s">
        <v>2849</v>
      </c>
    </row>
    <row r="419" spans="1:25" ht="14.45" customHeight="1" x14ac:dyDescent="0.25">
      <c r="A419" s="437" t="s">
        <v>4678</v>
      </c>
      <c r="B419" s="438" t="s">
        <v>4147</v>
      </c>
      <c r="C419" s="438" t="s">
        <v>4753</v>
      </c>
      <c r="D419" s="439" t="s">
        <v>34</v>
      </c>
      <c r="E419" s="439" t="s">
        <v>576</v>
      </c>
      <c r="F419" s="440">
        <v>45084</v>
      </c>
      <c r="G419" s="440"/>
      <c r="H419" s="439" t="s">
        <v>23</v>
      </c>
      <c r="I419" s="449"/>
      <c r="J419" s="450"/>
      <c r="K419" s="443">
        <v>56</v>
      </c>
      <c r="L419" s="444">
        <v>0</v>
      </c>
      <c r="M419" s="463" t="s">
        <v>4178</v>
      </c>
      <c r="N419" s="463"/>
      <c r="O419" s="445" t="s">
        <v>4117</v>
      </c>
      <c r="P419" s="447" t="s">
        <v>1378</v>
      </c>
      <c r="Q419" s="451">
        <v>56</v>
      </c>
      <c r="R419" s="447"/>
      <c r="S419" s="447"/>
      <c r="T419" s="447"/>
      <c r="U419" s="447"/>
      <c r="V419" s="447"/>
      <c r="W419" s="447"/>
      <c r="X419" s="447"/>
      <c r="Y419" s="858" t="s">
        <v>4146</v>
      </c>
    </row>
    <row r="420" spans="1:25" ht="14.45" customHeight="1" x14ac:dyDescent="0.25">
      <c r="A420" s="722" t="s">
        <v>4678</v>
      </c>
      <c r="B420" s="723">
        <v>234</v>
      </c>
      <c r="C420" s="723"/>
      <c r="D420" s="724" t="s">
        <v>34</v>
      </c>
      <c r="E420" s="724" t="s">
        <v>328</v>
      </c>
      <c r="F420" s="725">
        <v>45084</v>
      </c>
      <c r="G420" s="725"/>
      <c r="H420" s="724" t="s">
        <v>23</v>
      </c>
      <c r="I420" s="441"/>
      <c r="J420" s="442"/>
      <c r="K420" s="720">
        <v>41</v>
      </c>
      <c r="L420" s="744">
        <v>2.7165428571428571</v>
      </c>
      <c r="M420" s="767" t="s">
        <v>4707</v>
      </c>
      <c r="N420" s="767"/>
      <c r="O420" s="728" t="s">
        <v>4148</v>
      </c>
      <c r="P420" s="721">
        <v>246</v>
      </c>
      <c r="Q420" s="729">
        <v>41</v>
      </c>
      <c r="R420" s="721">
        <v>0.30919999999999997</v>
      </c>
      <c r="S420" s="721">
        <v>1.1000000000000001</v>
      </c>
      <c r="T420" s="721">
        <v>76.063199999999995</v>
      </c>
      <c r="U420" s="721">
        <v>270.60000000000002</v>
      </c>
      <c r="V420" s="721">
        <v>9.89</v>
      </c>
      <c r="W420" s="721">
        <v>126.15</v>
      </c>
      <c r="X420" s="721">
        <v>408</v>
      </c>
      <c r="Y420" s="857">
        <v>31033.79</v>
      </c>
    </row>
    <row r="421" spans="1:25" ht="14.45" customHeight="1" x14ac:dyDescent="0.25">
      <c r="A421" s="437" t="s">
        <v>4678</v>
      </c>
      <c r="B421" s="438">
        <v>235</v>
      </c>
      <c r="C421" s="438"/>
      <c r="D421" s="439" t="s">
        <v>34</v>
      </c>
      <c r="E421" s="439" t="s">
        <v>161</v>
      </c>
      <c r="F421" s="440">
        <v>45084</v>
      </c>
      <c r="G421" s="440"/>
      <c r="H421" s="439" t="s">
        <v>23</v>
      </c>
      <c r="I421" s="449"/>
      <c r="J421" s="450"/>
      <c r="K421" s="443">
        <v>20</v>
      </c>
      <c r="L421" s="444">
        <v>1.0997142857142859</v>
      </c>
      <c r="M421" s="463"/>
      <c r="N421" s="463"/>
      <c r="O421" s="445" t="s">
        <v>4226</v>
      </c>
      <c r="P421" s="447">
        <v>120</v>
      </c>
      <c r="Q421" s="451">
        <v>20</v>
      </c>
      <c r="R421" s="447">
        <v>0.25659999999999999</v>
      </c>
      <c r="S421" s="447">
        <v>0.68899999999999995</v>
      </c>
      <c r="T421" s="447">
        <v>30.792000000000002</v>
      </c>
      <c r="U421" s="447">
        <v>82.68</v>
      </c>
      <c r="V421" s="447">
        <v>4</v>
      </c>
      <c r="W421" s="447">
        <v>68</v>
      </c>
      <c r="X421" s="447">
        <v>265</v>
      </c>
      <c r="Y421" s="858">
        <v>8160</v>
      </c>
    </row>
    <row r="422" spans="1:25" ht="14.45" customHeight="1" x14ac:dyDescent="0.25">
      <c r="A422" s="722" t="s">
        <v>4678</v>
      </c>
      <c r="B422" s="723" t="s">
        <v>4163</v>
      </c>
      <c r="C422" s="723" t="s">
        <v>4753</v>
      </c>
      <c r="D422" s="724" t="s">
        <v>13</v>
      </c>
      <c r="E422" s="724" t="s">
        <v>3918</v>
      </c>
      <c r="F422" s="725">
        <v>45084</v>
      </c>
      <c r="G422" s="725"/>
      <c r="H422" s="724" t="s">
        <v>23</v>
      </c>
      <c r="I422" s="441"/>
      <c r="J422" s="442"/>
      <c r="K422" s="720">
        <v>0</v>
      </c>
      <c r="L422" s="744">
        <v>0</v>
      </c>
      <c r="M422" s="767"/>
      <c r="N422" s="767"/>
      <c r="O422" s="728" t="s">
        <v>4160</v>
      </c>
      <c r="P422" s="721" t="s">
        <v>31</v>
      </c>
      <c r="Q422" s="729"/>
      <c r="R422" s="721"/>
      <c r="S422" s="721"/>
      <c r="T422" s="721"/>
      <c r="U422" s="721"/>
      <c r="V422" s="721"/>
      <c r="W422" s="721"/>
      <c r="X422" s="721"/>
      <c r="Y422" s="857" t="s">
        <v>2928</v>
      </c>
    </row>
    <row r="423" spans="1:25" ht="14.45" customHeight="1" x14ac:dyDescent="0.25">
      <c r="A423" s="437" t="s">
        <v>4678</v>
      </c>
      <c r="B423" s="438" t="s">
        <v>4163</v>
      </c>
      <c r="C423" s="438" t="s">
        <v>4753</v>
      </c>
      <c r="D423" s="439" t="s">
        <v>13</v>
      </c>
      <c r="E423" s="439" t="s">
        <v>3918</v>
      </c>
      <c r="F423" s="440">
        <v>45084</v>
      </c>
      <c r="G423" s="440"/>
      <c r="H423" s="439" t="s">
        <v>23</v>
      </c>
      <c r="I423" s="449"/>
      <c r="J423" s="450"/>
      <c r="K423" s="443">
        <v>0</v>
      </c>
      <c r="L423" s="444">
        <v>0</v>
      </c>
      <c r="M423" s="463"/>
      <c r="N423" s="463"/>
      <c r="O423" s="445" t="s">
        <v>4161</v>
      </c>
      <c r="P423" s="447" t="s">
        <v>31</v>
      </c>
      <c r="Q423" s="451"/>
      <c r="R423" s="447"/>
      <c r="S423" s="447"/>
      <c r="T423" s="447"/>
      <c r="U423" s="447"/>
      <c r="V423" s="447"/>
      <c r="W423" s="447"/>
      <c r="X423" s="447"/>
      <c r="Y423" s="858" t="s">
        <v>2928</v>
      </c>
    </row>
    <row r="424" spans="1:25" ht="14.45" customHeight="1" x14ac:dyDescent="0.25">
      <c r="A424" s="722" t="s">
        <v>4678</v>
      </c>
      <c r="B424" s="723" t="s">
        <v>4163</v>
      </c>
      <c r="C424" s="723" t="s">
        <v>4753</v>
      </c>
      <c r="D424" s="724" t="s">
        <v>13</v>
      </c>
      <c r="E424" s="724" t="s">
        <v>3918</v>
      </c>
      <c r="F424" s="725">
        <v>45084</v>
      </c>
      <c r="G424" s="725"/>
      <c r="H424" s="724" t="s">
        <v>23</v>
      </c>
      <c r="I424" s="441"/>
      <c r="J424" s="442"/>
      <c r="K424" s="720">
        <v>0</v>
      </c>
      <c r="L424" s="744">
        <v>0</v>
      </c>
      <c r="M424" s="767"/>
      <c r="N424" s="767"/>
      <c r="O424" s="728" t="s">
        <v>4162</v>
      </c>
      <c r="P424" s="721" t="s">
        <v>1199</v>
      </c>
      <c r="Q424" s="729"/>
      <c r="R424" s="721"/>
      <c r="S424" s="721"/>
      <c r="T424" s="721"/>
      <c r="U424" s="721"/>
      <c r="V424" s="721"/>
      <c r="W424" s="721"/>
      <c r="X424" s="721"/>
      <c r="Y424" s="857" t="s">
        <v>4075</v>
      </c>
    </row>
    <row r="425" spans="1:25" ht="14.45" customHeight="1" x14ac:dyDescent="0.25">
      <c r="A425" s="437" t="s">
        <v>4678</v>
      </c>
      <c r="B425" s="438">
        <v>238</v>
      </c>
      <c r="C425" s="438"/>
      <c r="D425" s="439" t="s">
        <v>34</v>
      </c>
      <c r="E425" s="439" t="s">
        <v>4166</v>
      </c>
      <c r="F425" s="440">
        <v>45085</v>
      </c>
      <c r="G425" s="440"/>
      <c r="H425" s="439" t="s">
        <v>23</v>
      </c>
      <c r="I425" s="449"/>
      <c r="J425" s="450"/>
      <c r="K425" s="443">
        <v>80</v>
      </c>
      <c r="L425" s="444">
        <v>1.0011428571428571</v>
      </c>
      <c r="M425" s="463" t="s">
        <v>4167</v>
      </c>
      <c r="N425" s="463"/>
      <c r="O425" s="445" t="s">
        <v>4157</v>
      </c>
      <c r="P425" s="447">
        <v>240</v>
      </c>
      <c r="Q425" s="451">
        <v>80</v>
      </c>
      <c r="R425" s="447">
        <v>0.1168</v>
      </c>
      <c r="S425" s="447">
        <v>0.72</v>
      </c>
      <c r="T425" s="447">
        <v>28.032</v>
      </c>
      <c r="U425" s="447">
        <v>172.8</v>
      </c>
      <c r="V425" s="447">
        <v>3.64</v>
      </c>
      <c r="W425" s="447">
        <v>34.46</v>
      </c>
      <c r="X425" s="447">
        <v>295</v>
      </c>
      <c r="Y425" s="858">
        <v>8269.44</v>
      </c>
    </row>
    <row r="426" spans="1:25" ht="14.45" customHeight="1" x14ac:dyDescent="0.25">
      <c r="A426" s="722" t="s">
        <v>4678</v>
      </c>
      <c r="B426" s="723" t="s">
        <v>4175</v>
      </c>
      <c r="C426" s="723"/>
      <c r="D426" s="724" t="s">
        <v>34</v>
      </c>
      <c r="E426" s="724" t="s">
        <v>16</v>
      </c>
      <c r="F426" s="725">
        <v>45086</v>
      </c>
      <c r="G426" s="725"/>
      <c r="H426" s="724" t="s">
        <v>23</v>
      </c>
      <c r="I426" s="441"/>
      <c r="J426" s="442"/>
      <c r="K426" s="720">
        <v>188</v>
      </c>
      <c r="L426" s="744">
        <v>12.073628571428571</v>
      </c>
      <c r="M426" s="767" t="s">
        <v>4176</v>
      </c>
      <c r="N426" s="767"/>
      <c r="O426" s="728" t="s">
        <v>4216</v>
      </c>
      <c r="P426" s="721">
        <v>1128</v>
      </c>
      <c r="Q426" s="729">
        <v>188</v>
      </c>
      <c r="R426" s="721">
        <v>0.29970000000000002</v>
      </c>
      <c r="S426" s="721">
        <v>1.6739999999999999</v>
      </c>
      <c r="T426" s="721">
        <v>338.0616</v>
      </c>
      <c r="U426" s="721">
        <v>1888.2719999999999</v>
      </c>
      <c r="V426" s="721">
        <v>43.95</v>
      </c>
      <c r="W426" s="721">
        <v>102.8</v>
      </c>
      <c r="X426" s="721">
        <v>343</v>
      </c>
      <c r="Y426" s="857">
        <v>115955.13</v>
      </c>
    </row>
    <row r="427" spans="1:25" ht="14.45" customHeight="1" x14ac:dyDescent="0.25">
      <c r="A427" s="437" t="s">
        <v>4678</v>
      </c>
      <c r="B427" s="438" t="s">
        <v>3036</v>
      </c>
      <c r="C427" s="438" t="s">
        <v>4753</v>
      </c>
      <c r="D427" s="439" t="s">
        <v>13</v>
      </c>
      <c r="E427" s="439" t="s">
        <v>43</v>
      </c>
      <c r="F427" s="440">
        <v>45086</v>
      </c>
      <c r="G427" s="440"/>
      <c r="H427" s="439" t="s">
        <v>23</v>
      </c>
      <c r="I427" s="449"/>
      <c r="J427" s="450"/>
      <c r="K427" s="443">
        <v>24</v>
      </c>
      <c r="L427" s="444">
        <v>0</v>
      </c>
      <c r="M427" s="463" t="s">
        <v>4177</v>
      </c>
      <c r="N427" s="463"/>
      <c r="O427" s="445" t="s">
        <v>4168</v>
      </c>
      <c r="P427" s="447"/>
      <c r="Q427" s="451">
        <v>24</v>
      </c>
      <c r="R427" s="447"/>
      <c r="S427" s="447"/>
      <c r="T427" s="447"/>
      <c r="U427" s="447"/>
      <c r="V427" s="447"/>
      <c r="W427" s="447"/>
      <c r="X427" s="447"/>
      <c r="Y427" s="858" t="s">
        <v>2891</v>
      </c>
    </row>
    <row r="428" spans="1:25" ht="14.45" customHeight="1" x14ac:dyDescent="0.25">
      <c r="A428" s="722" t="s">
        <v>4678</v>
      </c>
      <c r="B428" s="723" t="s">
        <v>4169</v>
      </c>
      <c r="C428" s="723" t="s">
        <v>4753</v>
      </c>
      <c r="D428" s="724" t="s">
        <v>34</v>
      </c>
      <c r="E428" s="724" t="s">
        <v>284</v>
      </c>
      <c r="F428" s="725">
        <v>45086</v>
      </c>
      <c r="G428" s="725"/>
      <c r="H428" s="724" t="s">
        <v>23</v>
      </c>
      <c r="I428" s="441"/>
      <c r="J428" s="442"/>
      <c r="K428" s="720">
        <v>14</v>
      </c>
      <c r="L428" s="744">
        <v>0</v>
      </c>
      <c r="M428" s="767" t="s">
        <v>4170</v>
      </c>
      <c r="N428" s="767"/>
      <c r="O428" s="728" t="s">
        <v>4171</v>
      </c>
      <c r="P428" s="721"/>
      <c r="Q428" s="729">
        <v>14</v>
      </c>
      <c r="R428" s="721"/>
      <c r="S428" s="721"/>
      <c r="T428" s="721"/>
      <c r="U428" s="721"/>
      <c r="V428" s="721"/>
      <c r="W428" s="721"/>
      <c r="X428" s="721"/>
      <c r="Y428" s="857" t="s">
        <v>4172</v>
      </c>
    </row>
    <row r="429" spans="1:25" ht="14.45" customHeight="1" x14ac:dyDescent="0.25">
      <c r="A429" s="437" t="s">
        <v>4678</v>
      </c>
      <c r="B429" s="438" t="s">
        <v>4169</v>
      </c>
      <c r="C429" s="438" t="s">
        <v>4753</v>
      </c>
      <c r="D429" s="439" t="s">
        <v>34</v>
      </c>
      <c r="E429" s="439" t="s">
        <v>284</v>
      </c>
      <c r="F429" s="440">
        <v>45086</v>
      </c>
      <c r="G429" s="440"/>
      <c r="H429" s="439" t="s">
        <v>23</v>
      </c>
      <c r="I429" s="449"/>
      <c r="J429" s="450"/>
      <c r="K429" s="443">
        <v>18</v>
      </c>
      <c r="L429" s="444">
        <v>0</v>
      </c>
      <c r="M429" s="463" t="s">
        <v>4170</v>
      </c>
      <c r="N429" s="463"/>
      <c r="O429" s="445" t="s">
        <v>4173</v>
      </c>
      <c r="P429" s="447"/>
      <c r="Q429" s="451">
        <v>18</v>
      </c>
      <c r="R429" s="447"/>
      <c r="S429" s="447"/>
      <c r="T429" s="447"/>
      <c r="U429" s="447"/>
      <c r="V429" s="447"/>
      <c r="W429" s="447"/>
      <c r="X429" s="447"/>
      <c r="Y429" s="858" t="s">
        <v>4174</v>
      </c>
    </row>
    <row r="430" spans="1:25" ht="14.45" customHeight="1" x14ac:dyDescent="0.25">
      <c r="A430" s="722" t="s">
        <v>4678</v>
      </c>
      <c r="B430" s="723" t="s">
        <v>2977</v>
      </c>
      <c r="C430" s="723" t="s">
        <v>4753</v>
      </c>
      <c r="D430" s="724" t="s">
        <v>13</v>
      </c>
      <c r="E430" s="724" t="s">
        <v>3765</v>
      </c>
      <c r="F430" s="725">
        <v>45086</v>
      </c>
      <c r="G430" s="725"/>
      <c r="H430" s="724" t="s">
        <v>23</v>
      </c>
      <c r="I430" s="441"/>
      <c r="J430" s="442"/>
      <c r="K430" s="720">
        <v>0</v>
      </c>
      <c r="L430" s="744">
        <v>0</v>
      </c>
      <c r="M430" s="767" t="s">
        <v>4270</v>
      </c>
      <c r="N430" s="767"/>
      <c r="O430" s="728" t="s">
        <v>4263</v>
      </c>
      <c r="P430" s="721" t="s">
        <v>4265</v>
      </c>
      <c r="Q430" s="729"/>
      <c r="R430" s="721"/>
      <c r="S430" s="721"/>
      <c r="T430" s="721"/>
      <c r="U430" s="721"/>
      <c r="V430" s="721"/>
      <c r="W430" s="721"/>
      <c r="X430" s="721"/>
      <c r="Y430" s="857"/>
    </row>
    <row r="431" spans="1:25" ht="14.45" customHeight="1" x14ac:dyDescent="0.25">
      <c r="A431" s="437" t="s">
        <v>4678</v>
      </c>
      <c r="B431" s="438" t="s">
        <v>2977</v>
      </c>
      <c r="C431" s="438" t="s">
        <v>4753</v>
      </c>
      <c r="D431" s="439" t="s">
        <v>13</v>
      </c>
      <c r="E431" s="439" t="s">
        <v>3765</v>
      </c>
      <c r="F431" s="440">
        <v>45086</v>
      </c>
      <c r="G431" s="440"/>
      <c r="H431" s="439" t="s">
        <v>23</v>
      </c>
      <c r="I431" s="449"/>
      <c r="J431" s="450"/>
      <c r="K431" s="443">
        <v>0</v>
      </c>
      <c r="L431" s="444">
        <v>0</v>
      </c>
      <c r="M431" s="463"/>
      <c r="N431" s="463"/>
      <c r="O431" s="445" t="s">
        <v>4264</v>
      </c>
      <c r="P431" s="447" t="s">
        <v>4266</v>
      </c>
      <c r="Q431" s="451"/>
      <c r="R431" s="447"/>
      <c r="S431" s="447"/>
      <c r="T431" s="447"/>
      <c r="U431" s="447"/>
      <c r="V431" s="447"/>
      <c r="W431" s="447"/>
      <c r="X431" s="447"/>
      <c r="Y431" s="858"/>
    </row>
    <row r="432" spans="1:25" ht="14.45" customHeight="1" x14ac:dyDescent="0.25">
      <c r="A432" s="722" t="s">
        <v>4678</v>
      </c>
      <c r="B432" s="723" t="s">
        <v>3047</v>
      </c>
      <c r="C432" s="723" t="s">
        <v>4753</v>
      </c>
      <c r="D432" s="724" t="s">
        <v>13</v>
      </c>
      <c r="E432" s="724" t="s">
        <v>3561</v>
      </c>
      <c r="F432" s="725">
        <v>45090</v>
      </c>
      <c r="G432" s="725"/>
      <c r="H432" s="724" t="s">
        <v>23</v>
      </c>
      <c r="I432" s="441"/>
      <c r="J432" s="442"/>
      <c r="K432" s="720">
        <v>0</v>
      </c>
      <c r="L432" s="744">
        <v>0</v>
      </c>
      <c r="M432" s="767"/>
      <c r="N432" s="767"/>
      <c r="O432" s="728" t="s">
        <v>4190</v>
      </c>
      <c r="P432" s="721" t="s">
        <v>4192</v>
      </c>
      <c r="Q432" s="729"/>
      <c r="R432" s="721"/>
      <c r="S432" s="721"/>
      <c r="T432" s="721"/>
      <c r="U432" s="721"/>
      <c r="V432" s="721"/>
      <c r="W432" s="721"/>
      <c r="X432" s="721"/>
      <c r="Y432" s="857" t="s">
        <v>4193</v>
      </c>
    </row>
    <row r="433" spans="1:25" ht="14.45" customHeight="1" x14ac:dyDescent="0.25">
      <c r="A433" s="437" t="s">
        <v>4678</v>
      </c>
      <c r="B433" s="438" t="s">
        <v>3047</v>
      </c>
      <c r="C433" s="438" t="s">
        <v>4753</v>
      </c>
      <c r="D433" s="439" t="s">
        <v>13</v>
      </c>
      <c r="E433" s="439" t="s">
        <v>3561</v>
      </c>
      <c r="F433" s="440">
        <v>45090</v>
      </c>
      <c r="G433" s="440"/>
      <c r="H433" s="439" t="s">
        <v>23</v>
      </c>
      <c r="I433" s="449"/>
      <c r="J433" s="450"/>
      <c r="K433" s="443">
        <v>0</v>
      </c>
      <c r="L433" s="444">
        <v>0</v>
      </c>
      <c r="M433" s="463"/>
      <c r="N433" s="463"/>
      <c r="O433" s="445" t="s">
        <v>4191</v>
      </c>
      <c r="P433" s="447" t="s">
        <v>552</v>
      </c>
      <c r="Q433" s="451"/>
      <c r="R433" s="447"/>
      <c r="S433" s="447"/>
      <c r="T433" s="447"/>
      <c r="U433" s="447"/>
      <c r="V433" s="447"/>
      <c r="W433" s="447"/>
      <c r="X433" s="447"/>
      <c r="Y433" s="858" t="s">
        <v>4194</v>
      </c>
    </row>
    <row r="434" spans="1:25" ht="14.45" customHeight="1" x14ac:dyDescent="0.25">
      <c r="A434" s="722" t="s">
        <v>4678</v>
      </c>
      <c r="B434" s="723">
        <v>239</v>
      </c>
      <c r="C434" s="723"/>
      <c r="D434" s="724" t="s">
        <v>13</v>
      </c>
      <c r="E434" s="724" t="s">
        <v>4180</v>
      </c>
      <c r="F434" s="725">
        <v>45090</v>
      </c>
      <c r="G434" s="725"/>
      <c r="H434" s="724" t="s">
        <v>23</v>
      </c>
      <c r="I434" s="441"/>
      <c r="J434" s="442"/>
      <c r="K434" s="720">
        <v>159</v>
      </c>
      <c r="L434" s="744">
        <v>2.608167857142857</v>
      </c>
      <c r="M434" s="767"/>
      <c r="N434" s="767"/>
      <c r="O434" s="728" t="s">
        <v>783</v>
      </c>
      <c r="P434" s="721">
        <v>477</v>
      </c>
      <c r="Q434" s="729">
        <v>159</v>
      </c>
      <c r="R434" s="721">
        <v>0.15310000000000001</v>
      </c>
      <c r="S434" s="721">
        <v>1.1000000000000001</v>
      </c>
      <c r="T434" s="721">
        <v>73.028700000000001</v>
      </c>
      <c r="U434" s="721">
        <v>524.70000000000005</v>
      </c>
      <c r="V434" s="721">
        <v>9.49</v>
      </c>
      <c r="W434" s="721">
        <v>47.92</v>
      </c>
      <c r="X434" s="721">
        <v>313</v>
      </c>
      <c r="Y434" s="857">
        <v>22857.98</v>
      </c>
    </row>
    <row r="435" spans="1:25" ht="14.45" customHeight="1" x14ac:dyDescent="0.25">
      <c r="A435" s="437" t="s">
        <v>4678</v>
      </c>
      <c r="B435" s="438" t="s">
        <v>3046</v>
      </c>
      <c r="C435" s="438" t="s">
        <v>4753</v>
      </c>
      <c r="D435" s="439" t="s">
        <v>13</v>
      </c>
      <c r="E435" s="439" t="s">
        <v>43</v>
      </c>
      <c r="F435" s="440">
        <v>45090</v>
      </c>
      <c r="G435" s="440"/>
      <c r="H435" s="439" t="s">
        <v>23</v>
      </c>
      <c r="I435" s="449"/>
      <c r="J435" s="450"/>
      <c r="K435" s="443">
        <v>0</v>
      </c>
      <c r="L435" s="444">
        <v>0</v>
      </c>
      <c r="M435" s="463"/>
      <c r="N435" s="463"/>
      <c r="O435" s="445" t="s">
        <v>1677</v>
      </c>
      <c r="P435" s="447" t="s">
        <v>348</v>
      </c>
      <c r="Q435" s="451"/>
      <c r="R435" s="447"/>
      <c r="S435" s="447"/>
      <c r="T435" s="447"/>
      <c r="U435" s="447"/>
      <c r="V435" s="447"/>
      <c r="W435" s="447"/>
      <c r="X435" s="447"/>
      <c r="Y435" s="858" t="s">
        <v>4184</v>
      </c>
    </row>
    <row r="436" spans="1:25" ht="14.45" customHeight="1" x14ac:dyDescent="0.25">
      <c r="A436" s="722" t="s">
        <v>4678</v>
      </c>
      <c r="B436" s="723" t="s">
        <v>3046</v>
      </c>
      <c r="C436" s="723" t="s">
        <v>4753</v>
      </c>
      <c r="D436" s="724" t="s">
        <v>13</v>
      </c>
      <c r="E436" s="724" t="s">
        <v>43</v>
      </c>
      <c r="F436" s="725">
        <v>45090</v>
      </c>
      <c r="G436" s="725"/>
      <c r="H436" s="724" t="s">
        <v>23</v>
      </c>
      <c r="I436" s="441"/>
      <c r="J436" s="442"/>
      <c r="K436" s="720">
        <v>0</v>
      </c>
      <c r="L436" s="744">
        <v>0</v>
      </c>
      <c r="M436" s="767"/>
      <c r="N436" s="767"/>
      <c r="O436" s="728" t="s">
        <v>4183</v>
      </c>
      <c r="P436" s="721" t="s">
        <v>348</v>
      </c>
      <c r="Q436" s="729"/>
      <c r="R436" s="721"/>
      <c r="S436" s="721"/>
      <c r="T436" s="721"/>
      <c r="U436" s="721"/>
      <c r="V436" s="721"/>
      <c r="W436" s="721"/>
      <c r="X436" s="721"/>
      <c r="Y436" s="857" t="s">
        <v>3037</v>
      </c>
    </row>
    <row r="437" spans="1:25" ht="14.45" customHeight="1" x14ac:dyDescent="0.25">
      <c r="A437" s="437" t="s">
        <v>4678</v>
      </c>
      <c r="B437" s="438" t="s">
        <v>3046</v>
      </c>
      <c r="C437" s="438" t="s">
        <v>4753</v>
      </c>
      <c r="D437" s="439" t="s">
        <v>13</v>
      </c>
      <c r="E437" s="439" t="s">
        <v>43</v>
      </c>
      <c r="F437" s="440">
        <v>45090</v>
      </c>
      <c r="G437" s="440"/>
      <c r="H437" s="439" t="s">
        <v>23</v>
      </c>
      <c r="I437" s="449"/>
      <c r="J437" s="450"/>
      <c r="K437" s="443">
        <v>0</v>
      </c>
      <c r="L437" s="444">
        <v>0</v>
      </c>
      <c r="M437" s="463"/>
      <c r="N437" s="463"/>
      <c r="O437" s="445" t="s">
        <v>2584</v>
      </c>
      <c r="P437" s="447" t="s">
        <v>362</v>
      </c>
      <c r="Q437" s="451"/>
      <c r="R437" s="447"/>
      <c r="S437" s="447"/>
      <c r="T437" s="447"/>
      <c r="U437" s="447"/>
      <c r="V437" s="447"/>
      <c r="W437" s="447"/>
      <c r="X437" s="447"/>
      <c r="Y437" s="858" t="s">
        <v>2928</v>
      </c>
    </row>
    <row r="438" spans="1:25" ht="14.45" customHeight="1" x14ac:dyDescent="0.25">
      <c r="A438" s="722" t="s">
        <v>4678</v>
      </c>
      <c r="B438" s="723" t="s">
        <v>3045</v>
      </c>
      <c r="C438" s="723" t="s">
        <v>4753</v>
      </c>
      <c r="D438" s="724" t="s">
        <v>13</v>
      </c>
      <c r="E438" s="724" t="s">
        <v>43</v>
      </c>
      <c r="F438" s="725">
        <v>45090</v>
      </c>
      <c r="G438" s="725"/>
      <c r="H438" s="724" t="s">
        <v>23</v>
      </c>
      <c r="I438" s="441"/>
      <c r="J438" s="442"/>
      <c r="K438" s="720">
        <v>0</v>
      </c>
      <c r="L438" s="744">
        <v>0</v>
      </c>
      <c r="M438" s="767"/>
      <c r="N438" s="767"/>
      <c r="O438" s="728" t="s">
        <v>4211</v>
      </c>
      <c r="P438" s="721" t="s">
        <v>538</v>
      </c>
      <c r="Q438" s="729"/>
      <c r="R438" s="721"/>
      <c r="S438" s="721"/>
      <c r="T438" s="721"/>
      <c r="U438" s="721"/>
      <c r="V438" s="721"/>
      <c r="W438" s="721"/>
      <c r="X438" s="721"/>
      <c r="Y438" s="857" t="s">
        <v>4185</v>
      </c>
    </row>
    <row r="439" spans="1:25" ht="14.45" customHeight="1" x14ac:dyDescent="0.25">
      <c r="A439" s="437" t="s">
        <v>4678</v>
      </c>
      <c r="B439" s="467">
        <v>241</v>
      </c>
      <c r="C439" s="467"/>
      <c r="D439" s="468" t="s">
        <v>13</v>
      </c>
      <c r="E439" s="468" t="s">
        <v>3765</v>
      </c>
      <c r="F439" s="469">
        <v>45090</v>
      </c>
      <c r="G439" s="469"/>
      <c r="H439" s="468" t="s">
        <v>23</v>
      </c>
      <c r="I439" s="449"/>
      <c r="J439" s="450"/>
      <c r="K439" s="443">
        <v>1233</v>
      </c>
      <c r="L439" s="444">
        <v>7.8603749999999994</v>
      </c>
      <c r="M439" s="463"/>
      <c r="N439" s="463"/>
      <c r="O439" s="237" t="s">
        <v>2723</v>
      </c>
      <c r="P439" s="470">
        <v>3699</v>
      </c>
      <c r="Q439" s="471">
        <v>1233</v>
      </c>
      <c r="R439" s="470">
        <v>5.9499999999999997E-2</v>
      </c>
      <c r="S439" s="470">
        <v>0.14899999999999999</v>
      </c>
      <c r="T439" s="470">
        <v>220.09049999999999</v>
      </c>
      <c r="U439" s="470">
        <v>551.15099999999995</v>
      </c>
      <c r="V439" s="470">
        <v>28.61</v>
      </c>
      <c r="W439" s="470" t="s">
        <v>17</v>
      </c>
      <c r="X439" s="470" t="s">
        <v>17</v>
      </c>
      <c r="Y439" s="861" t="s">
        <v>17</v>
      </c>
    </row>
    <row r="440" spans="1:25" ht="14.45" customHeight="1" x14ac:dyDescent="0.25">
      <c r="A440" s="722" t="s">
        <v>4678</v>
      </c>
      <c r="B440" s="723">
        <v>244</v>
      </c>
      <c r="C440" s="723"/>
      <c r="D440" s="724" t="s">
        <v>13</v>
      </c>
      <c r="E440" s="724" t="s">
        <v>4182</v>
      </c>
      <c r="F440" s="725">
        <v>45090</v>
      </c>
      <c r="G440" s="725"/>
      <c r="H440" s="724" t="s">
        <v>23</v>
      </c>
      <c r="I440" s="441"/>
      <c r="J440" s="442"/>
      <c r="K440" s="720">
        <v>128</v>
      </c>
      <c r="L440" s="744">
        <v>6.4731428571428564</v>
      </c>
      <c r="M440" s="767"/>
      <c r="N440" s="767"/>
      <c r="O440" s="728" t="s">
        <v>4181</v>
      </c>
      <c r="P440" s="721">
        <v>768</v>
      </c>
      <c r="Q440" s="729">
        <v>128</v>
      </c>
      <c r="R440" s="721">
        <v>0.23599999999999999</v>
      </c>
      <c r="S440" s="721">
        <v>0.70499999999999996</v>
      </c>
      <c r="T440" s="721">
        <v>181.24799999999999</v>
      </c>
      <c r="U440" s="721">
        <v>541.44000000000005</v>
      </c>
      <c r="V440" s="721">
        <v>23.56</v>
      </c>
      <c r="W440" s="721">
        <v>70.8</v>
      </c>
      <c r="X440" s="721">
        <v>300</v>
      </c>
      <c r="Y440" s="857">
        <v>54374.400000000001</v>
      </c>
    </row>
    <row r="441" spans="1:25" ht="14.45" customHeight="1" x14ac:dyDescent="0.25">
      <c r="A441" s="437" t="s">
        <v>4678</v>
      </c>
      <c r="B441" s="438">
        <v>242</v>
      </c>
      <c r="C441" s="438"/>
      <c r="D441" s="439" t="s">
        <v>34</v>
      </c>
      <c r="E441" s="439" t="s">
        <v>328</v>
      </c>
      <c r="F441" s="440">
        <v>45090</v>
      </c>
      <c r="G441" s="440"/>
      <c r="H441" s="439" t="s">
        <v>23</v>
      </c>
      <c r="I441" s="449"/>
      <c r="J441" s="450"/>
      <c r="K441" s="443">
        <v>220</v>
      </c>
      <c r="L441" s="444">
        <v>14.576571428571429</v>
      </c>
      <c r="M441" s="463" t="s">
        <v>4274</v>
      </c>
      <c r="N441" s="463"/>
      <c r="O441" s="445" t="s">
        <v>4217</v>
      </c>
      <c r="P441" s="447">
        <v>1320</v>
      </c>
      <c r="Q441" s="451">
        <v>220</v>
      </c>
      <c r="R441" s="447">
        <v>0.30919999999999997</v>
      </c>
      <c r="S441" s="447">
        <v>1.1000000000000001</v>
      </c>
      <c r="T441" s="447">
        <v>408.14400000000001</v>
      </c>
      <c r="U441" s="447">
        <v>1452</v>
      </c>
      <c r="V441" s="447">
        <v>53.06</v>
      </c>
      <c r="W441" s="447">
        <v>110.69</v>
      </c>
      <c r="X441" s="447">
        <v>358</v>
      </c>
      <c r="Y441" s="858">
        <v>146115.54999999999</v>
      </c>
    </row>
    <row r="442" spans="1:25" ht="14.45" customHeight="1" x14ac:dyDescent="0.25">
      <c r="A442" s="722" t="s">
        <v>4678</v>
      </c>
      <c r="B442" s="723">
        <v>243</v>
      </c>
      <c r="C442" s="723"/>
      <c r="D442" s="724" t="s">
        <v>34</v>
      </c>
      <c r="E442" s="724" t="s">
        <v>19</v>
      </c>
      <c r="F442" s="725">
        <v>45090</v>
      </c>
      <c r="G442" s="725"/>
      <c r="H442" s="724" t="s">
        <v>23</v>
      </c>
      <c r="I442" s="441"/>
      <c r="J442" s="442"/>
      <c r="K442" s="720">
        <v>417</v>
      </c>
      <c r="L442" s="744">
        <v>18.746235714285714</v>
      </c>
      <c r="M442" s="767"/>
      <c r="N442" s="767"/>
      <c r="O442" s="728" t="s">
        <v>2594</v>
      </c>
      <c r="P442" s="721">
        <v>1542.9</v>
      </c>
      <c r="Q442" s="729">
        <v>417</v>
      </c>
      <c r="R442" s="721">
        <v>0.3402</v>
      </c>
      <c r="S442" s="721">
        <v>1.4530000000000001</v>
      </c>
      <c r="T442" s="721">
        <v>524.89459999999997</v>
      </c>
      <c r="U442" s="721">
        <v>2241.8337000000001</v>
      </c>
      <c r="V442" s="721">
        <v>68.239999999999995</v>
      </c>
      <c r="W442" s="721">
        <v>72.459999999999994</v>
      </c>
      <c r="X442" s="721">
        <v>213</v>
      </c>
      <c r="Y442" s="857">
        <v>111802.55</v>
      </c>
    </row>
    <row r="443" spans="1:25" ht="14.45" customHeight="1" x14ac:dyDescent="0.25">
      <c r="A443" s="437" t="s">
        <v>4678</v>
      </c>
      <c r="B443" s="438">
        <v>243</v>
      </c>
      <c r="C443" s="438"/>
      <c r="D443" s="439" t="s">
        <v>34</v>
      </c>
      <c r="E443" s="439" t="s">
        <v>19</v>
      </c>
      <c r="F443" s="440">
        <v>45090</v>
      </c>
      <c r="G443" s="440"/>
      <c r="H443" s="439" t="s">
        <v>23</v>
      </c>
      <c r="I443" s="449"/>
      <c r="J443" s="450"/>
      <c r="K443" s="443">
        <v>629</v>
      </c>
      <c r="L443" s="444">
        <v>9.6416714285714278</v>
      </c>
      <c r="M443" s="463"/>
      <c r="N443" s="463"/>
      <c r="O443" s="445" t="s">
        <v>2596</v>
      </c>
      <c r="P443" s="447">
        <v>2327.3000000000002</v>
      </c>
      <c r="Q443" s="451">
        <v>629</v>
      </c>
      <c r="R443" s="447">
        <v>0.11600000000000001</v>
      </c>
      <c r="S443" s="447">
        <v>0.29399999999999998</v>
      </c>
      <c r="T443" s="447">
        <v>269.96679999999998</v>
      </c>
      <c r="U443" s="447">
        <v>684.22619999999995</v>
      </c>
      <c r="V443" s="447">
        <v>35.1</v>
      </c>
      <c r="W443" s="447">
        <v>24.71</v>
      </c>
      <c r="X443" s="447">
        <v>213</v>
      </c>
      <c r="Y443" s="858">
        <v>57502.93</v>
      </c>
    </row>
    <row r="444" spans="1:25" ht="14.45" customHeight="1" x14ac:dyDescent="0.25">
      <c r="A444" s="722" t="s">
        <v>4678</v>
      </c>
      <c r="B444" s="723">
        <v>240</v>
      </c>
      <c r="C444" s="723"/>
      <c r="D444" s="724" t="s">
        <v>13</v>
      </c>
      <c r="E444" s="724" t="s">
        <v>657</v>
      </c>
      <c r="F444" s="725">
        <v>45090</v>
      </c>
      <c r="G444" s="725"/>
      <c r="H444" s="724" t="s">
        <v>23</v>
      </c>
      <c r="I444" s="441"/>
      <c r="J444" s="442"/>
      <c r="K444" s="720">
        <v>227</v>
      </c>
      <c r="L444" s="744">
        <v>8.1064928571428574</v>
      </c>
      <c r="M444" s="767" t="s">
        <v>4188</v>
      </c>
      <c r="N444" s="767"/>
      <c r="O444" s="728" t="s">
        <v>2963</v>
      </c>
      <c r="P444" s="721">
        <v>1316.6</v>
      </c>
      <c r="Q444" s="729">
        <v>227</v>
      </c>
      <c r="R444" s="721">
        <v>0.1724</v>
      </c>
      <c r="S444" s="721">
        <v>0.41499999999999998</v>
      </c>
      <c r="T444" s="721">
        <v>226.98179999999999</v>
      </c>
      <c r="U444" s="721">
        <v>546.38900000000001</v>
      </c>
      <c r="V444" s="721">
        <v>29.51</v>
      </c>
      <c r="W444" s="721">
        <v>56.72</v>
      </c>
      <c r="X444" s="721">
        <v>329</v>
      </c>
      <c r="Y444" s="857">
        <v>74677.03</v>
      </c>
    </row>
    <row r="445" spans="1:25" ht="14.45" customHeight="1" x14ac:dyDescent="0.25">
      <c r="A445" s="437" t="s">
        <v>4678</v>
      </c>
      <c r="B445" s="438">
        <v>249</v>
      </c>
      <c r="C445" s="438"/>
      <c r="D445" s="439" t="s">
        <v>13</v>
      </c>
      <c r="E445" s="439" t="s">
        <v>3764</v>
      </c>
      <c r="F445" s="440">
        <v>45091</v>
      </c>
      <c r="G445" s="440"/>
      <c r="H445" s="439" t="s">
        <v>23</v>
      </c>
      <c r="I445" s="449"/>
      <c r="J445" s="450"/>
      <c r="K445" s="443">
        <v>813</v>
      </c>
      <c r="L445" s="444">
        <v>13.4627</v>
      </c>
      <c r="M445" s="463"/>
      <c r="N445" s="463"/>
      <c r="O445" s="445" t="s">
        <v>2841</v>
      </c>
      <c r="P445" s="447">
        <v>3943.05</v>
      </c>
      <c r="Q445" s="451">
        <v>813</v>
      </c>
      <c r="R445" s="447">
        <v>9.5600000000000004E-2</v>
      </c>
      <c r="S445" s="447">
        <v>0.16</v>
      </c>
      <c r="T445" s="447">
        <v>376.9556</v>
      </c>
      <c r="U445" s="447">
        <v>630.88800000000003</v>
      </c>
      <c r="V445" s="447">
        <v>49</v>
      </c>
      <c r="W445" s="447">
        <v>29.54</v>
      </c>
      <c r="X445" s="447">
        <v>309</v>
      </c>
      <c r="Y445" s="858">
        <v>116479.27</v>
      </c>
    </row>
    <row r="446" spans="1:25" ht="14.45" customHeight="1" x14ac:dyDescent="0.25">
      <c r="A446" s="722" t="s">
        <v>4678</v>
      </c>
      <c r="B446" s="723">
        <v>245</v>
      </c>
      <c r="C446" s="723"/>
      <c r="D446" s="724" t="s">
        <v>34</v>
      </c>
      <c r="E446" s="724" t="s">
        <v>79</v>
      </c>
      <c r="F446" s="725">
        <v>45091</v>
      </c>
      <c r="G446" s="725"/>
      <c r="H446" s="724" t="s">
        <v>23</v>
      </c>
      <c r="I446" s="441"/>
      <c r="J446" s="442"/>
      <c r="K446" s="720">
        <v>55</v>
      </c>
      <c r="L446" s="744">
        <v>5.3683928571428572</v>
      </c>
      <c r="M446" s="767"/>
      <c r="N446" s="767"/>
      <c r="O446" s="728" t="s">
        <v>2625</v>
      </c>
      <c r="P446" s="721">
        <v>330</v>
      </c>
      <c r="Q446" s="729">
        <v>55</v>
      </c>
      <c r="R446" s="721">
        <v>0.45550000000000002</v>
      </c>
      <c r="S446" s="721">
        <v>1.6990000000000001</v>
      </c>
      <c r="T446" s="721">
        <v>150.315</v>
      </c>
      <c r="U446" s="721">
        <v>560.66999999999996</v>
      </c>
      <c r="V446" s="721">
        <v>19.54</v>
      </c>
      <c r="W446" s="721">
        <v>110.69</v>
      </c>
      <c r="X446" s="721">
        <v>243</v>
      </c>
      <c r="Y446" s="857">
        <v>36526.550000000003</v>
      </c>
    </row>
    <row r="447" spans="1:25" ht="14.45" customHeight="1" x14ac:dyDescent="0.25">
      <c r="A447" s="437" t="s">
        <v>4678</v>
      </c>
      <c r="B447" s="438">
        <v>246</v>
      </c>
      <c r="C447" s="438"/>
      <c r="D447" s="439" t="s">
        <v>34</v>
      </c>
      <c r="E447" s="439" t="s">
        <v>4187</v>
      </c>
      <c r="F447" s="440">
        <v>45091</v>
      </c>
      <c r="G447" s="440"/>
      <c r="H447" s="464" t="s">
        <v>677</v>
      </c>
      <c r="I447" s="449"/>
      <c r="J447" s="450"/>
      <c r="K447" s="443">
        <v>25</v>
      </c>
      <c r="L447" s="444">
        <v>1.3746428571428573</v>
      </c>
      <c r="M447" s="463"/>
      <c r="N447" s="463"/>
      <c r="O447" s="445" t="s">
        <v>3975</v>
      </c>
      <c r="P447" s="447">
        <v>150</v>
      </c>
      <c r="Q447" s="451">
        <v>25</v>
      </c>
      <c r="R447" s="447">
        <v>0.25659999999999999</v>
      </c>
      <c r="S447" s="447">
        <v>0.68899999999999995</v>
      </c>
      <c r="T447" s="447">
        <v>38.49</v>
      </c>
      <c r="U447" s="447">
        <v>103.35</v>
      </c>
      <c r="V447" s="447">
        <v>5</v>
      </c>
      <c r="W447" s="447">
        <v>68</v>
      </c>
      <c r="X447" s="447">
        <v>265</v>
      </c>
      <c r="Y447" s="858">
        <v>10199.85</v>
      </c>
    </row>
    <row r="448" spans="1:25" ht="14.45" customHeight="1" x14ac:dyDescent="0.25">
      <c r="A448" s="722" t="s">
        <v>4678</v>
      </c>
      <c r="B448" s="723">
        <v>249</v>
      </c>
      <c r="C448" s="723"/>
      <c r="D448" s="724" t="s">
        <v>13</v>
      </c>
      <c r="E448" s="724" t="s">
        <v>3764</v>
      </c>
      <c r="F448" s="725">
        <v>45091</v>
      </c>
      <c r="G448" s="725"/>
      <c r="H448" s="724" t="s">
        <v>23</v>
      </c>
      <c r="I448" s="441"/>
      <c r="J448" s="442"/>
      <c r="K448" s="720">
        <v>160</v>
      </c>
      <c r="L448" s="744">
        <v>7.650028571428571</v>
      </c>
      <c r="M448" s="767" t="s">
        <v>4011</v>
      </c>
      <c r="N448" s="767"/>
      <c r="O448" s="728" t="s">
        <v>3303</v>
      </c>
      <c r="P448" s="721">
        <v>808</v>
      </c>
      <c r="Q448" s="729">
        <v>160</v>
      </c>
      <c r="R448" s="721">
        <v>0.2651</v>
      </c>
      <c r="S448" s="721">
        <v>0.82099999999999995</v>
      </c>
      <c r="T448" s="721">
        <v>214.20079999999999</v>
      </c>
      <c r="U448" s="721">
        <v>663.36800000000005</v>
      </c>
      <c r="V448" s="721">
        <v>27.85</v>
      </c>
      <c r="W448" s="721">
        <v>81.92</v>
      </c>
      <c r="X448" s="721">
        <v>309</v>
      </c>
      <c r="Y448" s="857">
        <v>66188.05</v>
      </c>
    </row>
    <row r="449" spans="1:25" ht="14.45" customHeight="1" x14ac:dyDescent="0.25">
      <c r="A449" s="437" t="s">
        <v>4678</v>
      </c>
      <c r="B449" s="438" t="s">
        <v>4189</v>
      </c>
      <c r="C449" s="438"/>
      <c r="D449" s="439" t="s">
        <v>34</v>
      </c>
      <c r="E449" s="439" t="s">
        <v>16</v>
      </c>
      <c r="F449" s="440">
        <v>45092</v>
      </c>
      <c r="G449" s="440"/>
      <c r="H449" s="439" t="s">
        <v>23</v>
      </c>
      <c r="I449" s="449"/>
      <c r="J449" s="450"/>
      <c r="K449" s="443">
        <v>174</v>
      </c>
      <c r="L449" s="444">
        <v>11.174528571428571</v>
      </c>
      <c r="M449" s="463" t="s">
        <v>4259</v>
      </c>
      <c r="N449" s="463"/>
      <c r="O449" s="445" t="s">
        <v>4216</v>
      </c>
      <c r="P449" s="447">
        <v>1044</v>
      </c>
      <c r="Q449" s="451">
        <v>174</v>
      </c>
      <c r="R449" s="447">
        <v>0.29970000000000002</v>
      </c>
      <c r="S449" s="447">
        <v>1.6739999999999999</v>
      </c>
      <c r="T449" s="447">
        <v>312.88679999999999</v>
      </c>
      <c r="U449" s="447">
        <v>1747.6559999999999</v>
      </c>
      <c r="V449" s="447">
        <v>40.68</v>
      </c>
      <c r="W449" s="447">
        <v>102.8</v>
      </c>
      <c r="X449" s="447">
        <v>343</v>
      </c>
      <c r="Y449" s="858">
        <v>107320.17</v>
      </c>
    </row>
    <row r="450" spans="1:25" ht="14.45" customHeight="1" x14ac:dyDescent="0.25">
      <c r="A450" s="722" t="s">
        <v>4678</v>
      </c>
      <c r="B450" s="723">
        <v>256</v>
      </c>
      <c r="C450" s="723"/>
      <c r="D450" s="724" t="s">
        <v>13</v>
      </c>
      <c r="E450" s="724" t="s">
        <v>4195</v>
      </c>
      <c r="F450" s="725">
        <v>45093</v>
      </c>
      <c r="G450" s="725"/>
      <c r="H450" s="724" t="s">
        <v>23</v>
      </c>
      <c r="I450" s="441"/>
      <c r="J450" s="442"/>
      <c r="K450" s="720">
        <v>325</v>
      </c>
      <c r="L450" s="744">
        <v>4.5221428571428577</v>
      </c>
      <c r="M450" s="767" t="s">
        <v>3080</v>
      </c>
      <c r="N450" s="767"/>
      <c r="O450" s="728" t="s">
        <v>1767</v>
      </c>
      <c r="P450" s="721">
        <v>1300</v>
      </c>
      <c r="Q450" s="729">
        <v>325</v>
      </c>
      <c r="R450" s="721">
        <v>9.74E-2</v>
      </c>
      <c r="S450" s="721">
        <v>0.37</v>
      </c>
      <c r="T450" s="721">
        <v>126.62</v>
      </c>
      <c r="U450" s="721">
        <v>481</v>
      </c>
      <c r="V450" s="721">
        <v>16.46</v>
      </c>
      <c r="W450" s="721">
        <v>30.68</v>
      </c>
      <c r="X450" s="721">
        <v>315</v>
      </c>
      <c r="Y450" s="857">
        <v>39885.300000000003</v>
      </c>
    </row>
    <row r="451" spans="1:25" ht="14.45" customHeight="1" x14ac:dyDescent="0.25">
      <c r="A451" s="437" t="s">
        <v>4678</v>
      </c>
      <c r="B451" s="438">
        <v>254</v>
      </c>
      <c r="C451" s="438"/>
      <c r="D451" s="439" t="s">
        <v>34</v>
      </c>
      <c r="E451" s="439" t="s">
        <v>19</v>
      </c>
      <c r="F451" s="440">
        <v>45093</v>
      </c>
      <c r="G451" s="440"/>
      <c r="H451" s="439" t="s">
        <v>23</v>
      </c>
      <c r="I451" s="449"/>
      <c r="J451" s="450"/>
      <c r="K451" s="443">
        <v>635</v>
      </c>
      <c r="L451" s="444">
        <v>14.961282142857144</v>
      </c>
      <c r="M451" s="463" t="s">
        <v>4287</v>
      </c>
      <c r="N451" s="463"/>
      <c r="O451" s="445" t="s">
        <v>4218</v>
      </c>
      <c r="P451" s="447">
        <v>2349.5</v>
      </c>
      <c r="Q451" s="451">
        <v>635</v>
      </c>
      <c r="R451" s="447">
        <v>0.17829999999999999</v>
      </c>
      <c r="S451" s="447">
        <v>0.47499999999999998</v>
      </c>
      <c r="T451" s="447">
        <v>418.91590000000002</v>
      </c>
      <c r="U451" s="447">
        <v>1116.0125</v>
      </c>
      <c r="V451" s="447">
        <v>54.46</v>
      </c>
      <c r="W451" s="447">
        <v>61.16</v>
      </c>
      <c r="X451" s="447">
        <v>343</v>
      </c>
      <c r="Y451" s="858">
        <v>143688.14000000001</v>
      </c>
    </row>
    <row r="452" spans="1:25" ht="14.45" customHeight="1" x14ac:dyDescent="0.25">
      <c r="A452" s="722" t="s">
        <v>4678</v>
      </c>
      <c r="B452" s="723">
        <v>258</v>
      </c>
      <c r="C452" s="723"/>
      <c r="D452" s="724" t="s">
        <v>34</v>
      </c>
      <c r="E452" s="724" t="s">
        <v>46</v>
      </c>
      <c r="F452" s="725">
        <v>45093</v>
      </c>
      <c r="G452" s="725"/>
      <c r="H452" s="724" t="s">
        <v>23</v>
      </c>
      <c r="I452" s="441"/>
      <c r="J452" s="442"/>
      <c r="K452" s="720">
        <v>69</v>
      </c>
      <c r="L452" s="744">
        <v>5.3021571428571423</v>
      </c>
      <c r="M452" s="767"/>
      <c r="N452" s="767"/>
      <c r="O452" s="728" t="s">
        <v>4224</v>
      </c>
      <c r="P452" s="721">
        <v>414</v>
      </c>
      <c r="Q452" s="729">
        <v>69</v>
      </c>
      <c r="R452" s="721">
        <v>0.35859999999999997</v>
      </c>
      <c r="S452" s="721">
        <v>1.518</v>
      </c>
      <c r="T452" s="721">
        <v>148.46039999999999</v>
      </c>
      <c r="U452" s="721">
        <v>628.452</v>
      </c>
      <c r="V452" s="721">
        <v>19.3</v>
      </c>
      <c r="W452" s="721">
        <v>112.96</v>
      </c>
      <c r="X452" s="721">
        <v>315</v>
      </c>
      <c r="Y452" s="857">
        <v>46765.03</v>
      </c>
    </row>
    <row r="453" spans="1:25" ht="14.45" customHeight="1" x14ac:dyDescent="0.25">
      <c r="A453" s="437" t="s">
        <v>4678</v>
      </c>
      <c r="B453" s="438" t="s">
        <v>3070</v>
      </c>
      <c r="C453" s="438" t="s">
        <v>4753</v>
      </c>
      <c r="D453" s="439" t="s">
        <v>13</v>
      </c>
      <c r="E453" s="438" t="s">
        <v>585</v>
      </c>
      <c r="F453" s="440">
        <v>45096</v>
      </c>
      <c r="G453" s="440"/>
      <c r="H453" s="439" t="s">
        <v>23</v>
      </c>
      <c r="I453" s="449"/>
      <c r="J453" s="450"/>
      <c r="K453" s="443">
        <v>241</v>
      </c>
      <c r="L453" s="444">
        <v>0</v>
      </c>
      <c r="M453" s="463"/>
      <c r="N453" s="463"/>
      <c r="O453" s="445" t="s">
        <v>2728</v>
      </c>
      <c r="P453" s="447"/>
      <c r="Q453" s="451">
        <v>241</v>
      </c>
      <c r="R453" s="447"/>
      <c r="S453" s="447"/>
      <c r="T453" s="447"/>
      <c r="U453" s="447"/>
      <c r="V453" s="447"/>
      <c r="W453" s="447"/>
      <c r="X453" s="447"/>
      <c r="Y453" s="858"/>
    </row>
    <row r="454" spans="1:25" ht="14.45" customHeight="1" x14ac:dyDescent="0.25">
      <c r="A454" s="722" t="s">
        <v>4678</v>
      </c>
      <c r="B454" s="723" t="s">
        <v>4197</v>
      </c>
      <c r="C454" s="723" t="s">
        <v>4753</v>
      </c>
      <c r="D454" s="724" t="s">
        <v>13</v>
      </c>
      <c r="E454" s="723" t="s">
        <v>585</v>
      </c>
      <c r="F454" s="725">
        <v>45096</v>
      </c>
      <c r="G454" s="725"/>
      <c r="H454" s="724" t="s">
        <v>23</v>
      </c>
      <c r="I454" s="441"/>
      <c r="J454" s="442"/>
      <c r="K454" s="720">
        <v>12</v>
      </c>
      <c r="L454" s="744">
        <v>0</v>
      </c>
      <c r="M454" s="767"/>
      <c r="N454" s="767"/>
      <c r="O454" s="728" t="s">
        <v>214</v>
      </c>
      <c r="P454" s="721"/>
      <c r="Q454" s="729">
        <v>12</v>
      </c>
      <c r="R454" s="721"/>
      <c r="S454" s="721"/>
      <c r="T454" s="721"/>
      <c r="U454" s="721"/>
      <c r="V454" s="721"/>
      <c r="W454" s="721"/>
      <c r="X454" s="721"/>
      <c r="Y454" s="857"/>
    </row>
    <row r="455" spans="1:25" ht="14.45" customHeight="1" x14ac:dyDescent="0.25">
      <c r="A455" s="437" t="s">
        <v>4678</v>
      </c>
      <c r="B455" s="438" t="s">
        <v>4197</v>
      </c>
      <c r="C455" s="438" t="s">
        <v>4753</v>
      </c>
      <c r="D455" s="439" t="s">
        <v>13</v>
      </c>
      <c r="E455" s="438" t="s">
        <v>585</v>
      </c>
      <c r="F455" s="440">
        <v>45096</v>
      </c>
      <c r="G455" s="440"/>
      <c r="H455" s="439" t="s">
        <v>23</v>
      </c>
      <c r="I455" s="449"/>
      <c r="J455" s="450"/>
      <c r="K455" s="443">
        <v>12</v>
      </c>
      <c r="L455" s="444">
        <v>0</v>
      </c>
      <c r="M455" s="463"/>
      <c r="N455" s="463"/>
      <c r="O455" s="445" t="s">
        <v>215</v>
      </c>
      <c r="P455" s="447"/>
      <c r="Q455" s="451">
        <v>12</v>
      </c>
      <c r="R455" s="447"/>
      <c r="S455" s="447"/>
      <c r="T455" s="447"/>
      <c r="U455" s="447"/>
      <c r="V455" s="447"/>
      <c r="W455" s="447"/>
      <c r="X455" s="447"/>
      <c r="Y455" s="858"/>
    </row>
    <row r="456" spans="1:25" ht="14.45" customHeight="1" x14ac:dyDescent="0.25">
      <c r="A456" s="722" t="s">
        <v>4678</v>
      </c>
      <c r="B456" s="723" t="s">
        <v>4197</v>
      </c>
      <c r="C456" s="723" t="s">
        <v>4753</v>
      </c>
      <c r="D456" s="724" t="s">
        <v>13</v>
      </c>
      <c r="E456" s="723" t="s">
        <v>585</v>
      </c>
      <c r="F456" s="725">
        <v>45096</v>
      </c>
      <c r="G456" s="725"/>
      <c r="H456" s="724" t="s">
        <v>23</v>
      </c>
      <c r="I456" s="441"/>
      <c r="J456" s="442"/>
      <c r="K456" s="720">
        <v>12</v>
      </c>
      <c r="L456" s="744">
        <v>0</v>
      </c>
      <c r="M456" s="767"/>
      <c r="N456" s="767"/>
      <c r="O456" s="728" t="s">
        <v>216</v>
      </c>
      <c r="P456" s="721"/>
      <c r="Q456" s="729">
        <v>12</v>
      </c>
      <c r="R456" s="721"/>
      <c r="S456" s="721"/>
      <c r="T456" s="721"/>
      <c r="U456" s="721"/>
      <c r="V456" s="721"/>
      <c r="W456" s="721"/>
      <c r="X456" s="721"/>
      <c r="Y456" s="857"/>
    </row>
    <row r="457" spans="1:25" ht="14.45" customHeight="1" x14ac:dyDescent="0.25">
      <c r="A457" s="437" t="s">
        <v>4678</v>
      </c>
      <c r="B457" s="438" t="s">
        <v>4197</v>
      </c>
      <c r="C457" s="438" t="s">
        <v>4753</v>
      </c>
      <c r="D457" s="439" t="s">
        <v>13</v>
      </c>
      <c r="E457" s="438" t="s">
        <v>585</v>
      </c>
      <c r="F457" s="440">
        <v>45096</v>
      </c>
      <c r="G457" s="440"/>
      <c r="H457" s="439" t="s">
        <v>23</v>
      </c>
      <c r="I457" s="449"/>
      <c r="J457" s="450"/>
      <c r="K457" s="443">
        <v>12</v>
      </c>
      <c r="L457" s="444">
        <v>0</v>
      </c>
      <c r="M457" s="463"/>
      <c r="N457" s="463"/>
      <c r="O457" s="445" t="s">
        <v>219</v>
      </c>
      <c r="P457" s="447"/>
      <c r="Q457" s="451">
        <v>12</v>
      </c>
      <c r="R457" s="447"/>
      <c r="S457" s="447"/>
      <c r="T457" s="447"/>
      <c r="U457" s="447"/>
      <c r="V457" s="447"/>
      <c r="W457" s="447"/>
      <c r="X457" s="447"/>
      <c r="Y457" s="858"/>
    </row>
    <row r="458" spans="1:25" ht="14.45" customHeight="1" x14ac:dyDescent="0.25">
      <c r="A458" s="722" t="s">
        <v>4678</v>
      </c>
      <c r="B458" s="723" t="s">
        <v>4197</v>
      </c>
      <c r="C458" s="723" t="s">
        <v>4753</v>
      </c>
      <c r="D458" s="724" t="s">
        <v>13</v>
      </c>
      <c r="E458" s="723" t="s">
        <v>585</v>
      </c>
      <c r="F458" s="725">
        <v>45096</v>
      </c>
      <c r="G458" s="725"/>
      <c r="H458" s="724" t="s">
        <v>23</v>
      </c>
      <c r="I458" s="441"/>
      <c r="J458" s="442"/>
      <c r="K458" s="720">
        <v>12</v>
      </c>
      <c r="L458" s="744">
        <v>0</v>
      </c>
      <c r="M458" s="767"/>
      <c r="N458" s="767"/>
      <c r="O458" s="728" t="s">
        <v>219</v>
      </c>
      <c r="P458" s="721"/>
      <c r="Q458" s="729">
        <v>12</v>
      </c>
      <c r="R458" s="721"/>
      <c r="S458" s="721"/>
      <c r="T458" s="721"/>
      <c r="U458" s="721"/>
      <c r="V458" s="721"/>
      <c r="W458" s="721"/>
      <c r="X458" s="721"/>
      <c r="Y458" s="857"/>
    </row>
    <row r="459" spans="1:25" ht="14.45" customHeight="1" x14ac:dyDescent="0.25">
      <c r="A459" s="437" t="s">
        <v>4678</v>
      </c>
      <c r="B459" s="438" t="s">
        <v>4197</v>
      </c>
      <c r="C459" s="438" t="s">
        <v>4753</v>
      </c>
      <c r="D459" s="439" t="s">
        <v>13</v>
      </c>
      <c r="E459" s="438" t="s">
        <v>585</v>
      </c>
      <c r="F459" s="440">
        <v>45096</v>
      </c>
      <c r="G459" s="440"/>
      <c r="H459" s="439" t="s">
        <v>23</v>
      </c>
      <c r="I459" s="449"/>
      <c r="J459" s="450"/>
      <c r="K459" s="443">
        <v>12</v>
      </c>
      <c r="L459" s="444">
        <v>0</v>
      </c>
      <c r="M459" s="463"/>
      <c r="N459" s="463"/>
      <c r="O459" s="445" t="s">
        <v>220</v>
      </c>
      <c r="P459" s="447"/>
      <c r="Q459" s="451">
        <v>12</v>
      </c>
      <c r="R459" s="447"/>
      <c r="S459" s="447"/>
      <c r="T459" s="447"/>
      <c r="U459" s="447"/>
      <c r="V459" s="447"/>
      <c r="W459" s="447"/>
      <c r="X459" s="447"/>
      <c r="Y459" s="858"/>
    </row>
    <row r="460" spans="1:25" ht="14.45" customHeight="1" x14ac:dyDescent="0.25">
      <c r="A460" s="722" t="s">
        <v>4678</v>
      </c>
      <c r="B460" s="723" t="s">
        <v>3089</v>
      </c>
      <c r="C460" s="723" t="s">
        <v>4753</v>
      </c>
      <c r="D460" s="724" t="s">
        <v>13</v>
      </c>
      <c r="E460" s="723" t="s">
        <v>585</v>
      </c>
      <c r="F460" s="725">
        <v>45096</v>
      </c>
      <c r="G460" s="725"/>
      <c r="H460" s="724" t="s">
        <v>23</v>
      </c>
      <c r="I460" s="441"/>
      <c r="J460" s="442"/>
      <c r="K460" s="720">
        <v>12</v>
      </c>
      <c r="L460" s="744">
        <v>0</v>
      </c>
      <c r="M460" s="767"/>
      <c r="N460" s="767"/>
      <c r="O460" s="728" t="s">
        <v>742</v>
      </c>
      <c r="P460" s="721"/>
      <c r="Q460" s="729">
        <v>12</v>
      </c>
      <c r="R460" s="721"/>
      <c r="S460" s="721"/>
      <c r="T460" s="721"/>
      <c r="U460" s="721"/>
      <c r="V460" s="721"/>
      <c r="W460" s="721"/>
      <c r="X460" s="721"/>
      <c r="Y460" s="857"/>
    </row>
    <row r="461" spans="1:25" ht="14.45" customHeight="1" x14ac:dyDescent="0.25">
      <c r="A461" s="437" t="s">
        <v>4678</v>
      </c>
      <c r="B461" s="438" t="s">
        <v>3089</v>
      </c>
      <c r="C461" s="438" t="s">
        <v>4753</v>
      </c>
      <c r="D461" s="439" t="s">
        <v>13</v>
      </c>
      <c r="E461" s="438" t="s">
        <v>585</v>
      </c>
      <c r="F461" s="440">
        <v>45096</v>
      </c>
      <c r="G461" s="440"/>
      <c r="H461" s="439" t="s">
        <v>23</v>
      </c>
      <c r="I461" s="449"/>
      <c r="J461" s="450"/>
      <c r="K461" s="443">
        <v>12</v>
      </c>
      <c r="L461" s="444">
        <v>0</v>
      </c>
      <c r="M461" s="463"/>
      <c r="N461" s="463"/>
      <c r="O461" s="445" t="s">
        <v>730</v>
      </c>
      <c r="P461" s="447"/>
      <c r="Q461" s="451">
        <v>12</v>
      </c>
      <c r="R461" s="447"/>
      <c r="S461" s="447"/>
      <c r="T461" s="447"/>
      <c r="U461" s="447"/>
      <c r="V461" s="447"/>
      <c r="W461" s="447"/>
      <c r="X461" s="447"/>
      <c r="Y461" s="858"/>
    </row>
    <row r="462" spans="1:25" ht="14.45" customHeight="1" x14ac:dyDescent="0.25">
      <c r="A462" s="722" t="s">
        <v>4678</v>
      </c>
      <c r="B462" s="723" t="s">
        <v>3089</v>
      </c>
      <c r="C462" s="723" t="s">
        <v>4753</v>
      </c>
      <c r="D462" s="724" t="s">
        <v>13</v>
      </c>
      <c r="E462" s="723" t="s">
        <v>585</v>
      </c>
      <c r="F462" s="725">
        <v>45096</v>
      </c>
      <c r="G462" s="725"/>
      <c r="H462" s="724" t="s">
        <v>23</v>
      </c>
      <c r="I462" s="441"/>
      <c r="J462" s="442"/>
      <c r="K462" s="720">
        <v>28</v>
      </c>
      <c r="L462" s="744">
        <v>0</v>
      </c>
      <c r="M462" s="767"/>
      <c r="N462" s="767"/>
      <c r="O462" s="728" t="s">
        <v>731</v>
      </c>
      <c r="P462" s="721"/>
      <c r="Q462" s="729">
        <v>28</v>
      </c>
      <c r="R462" s="721"/>
      <c r="S462" s="721"/>
      <c r="T462" s="721"/>
      <c r="U462" s="721"/>
      <c r="V462" s="721"/>
      <c r="W462" s="721"/>
      <c r="X462" s="721"/>
      <c r="Y462" s="857"/>
    </row>
    <row r="463" spans="1:25" ht="14.45" customHeight="1" x14ac:dyDescent="0.25">
      <c r="A463" s="437" t="s">
        <v>4678</v>
      </c>
      <c r="B463" s="438" t="s">
        <v>3089</v>
      </c>
      <c r="C463" s="438" t="s">
        <v>4753</v>
      </c>
      <c r="D463" s="439" t="s">
        <v>13</v>
      </c>
      <c r="E463" s="438" t="s">
        <v>585</v>
      </c>
      <c r="F463" s="440">
        <v>45096</v>
      </c>
      <c r="G463" s="440"/>
      <c r="H463" s="439" t="s">
        <v>23</v>
      </c>
      <c r="I463" s="449"/>
      <c r="J463" s="450"/>
      <c r="K463" s="443">
        <v>119</v>
      </c>
      <c r="L463" s="444">
        <v>0</v>
      </c>
      <c r="M463" s="463"/>
      <c r="N463" s="463"/>
      <c r="O463" s="445" t="s">
        <v>744</v>
      </c>
      <c r="P463" s="447"/>
      <c r="Q463" s="451">
        <v>119</v>
      </c>
      <c r="R463" s="447"/>
      <c r="S463" s="447"/>
      <c r="T463" s="447"/>
      <c r="U463" s="447"/>
      <c r="V463" s="447"/>
      <c r="W463" s="447"/>
      <c r="X463" s="447"/>
      <c r="Y463" s="858"/>
    </row>
    <row r="464" spans="1:25" ht="14.45" customHeight="1" x14ac:dyDescent="0.25">
      <c r="A464" s="722" t="s">
        <v>4678</v>
      </c>
      <c r="B464" s="723" t="s">
        <v>3089</v>
      </c>
      <c r="C464" s="723" t="s">
        <v>4753</v>
      </c>
      <c r="D464" s="724" t="s">
        <v>13</v>
      </c>
      <c r="E464" s="723" t="s">
        <v>585</v>
      </c>
      <c r="F464" s="725">
        <v>45096</v>
      </c>
      <c r="G464" s="725"/>
      <c r="H464" s="724" t="s">
        <v>23</v>
      </c>
      <c r="I464" s="441"/>
      <c r="J464" s="442"/>
      <c r="K464" s="720">
        <v>15</v>
      </c>
      <c r="L464" s="744">
        <v>0</v>
      </c>
      <c r="M464" s="767"/>
      <c r="N464" s="767"/>
      <c r="O464" s="728" t="s">
        <v>733</v>
      </c>
      <c r="P464" s="721"/>
      <c r="Q464" s="729">
        <v>15</v>
      </c>
      <c r="R464" s="721"/>
      <c r="S464" s="721"/>
      <c r="T464" s="721"/>
      <c r="U464" s="721"/>
      <c r="V464" s="721"/>
      <c r="W464" s="721"/>
      <c r="X464" s="721"/>
      <c r="Y464" s="857"/>
    </row>
    <row r="465" spans="1:25" ht="14.45" customHeight="1" x14ac:dyDescent="0.25">
      <c r="A465" s="437" t="s">
        <v>4678</v>
      </c>
      <c r="B465" s="438" t="s">
        <v>3089</v>
      </c>
      <c r="C465" s="438" t="s">
        <v>4753</v>
      </c>
      <c r="D465" s="439" t="s">
        <v>13</v>
      </c>
      <c r="E465" s="438" t="s">
        <v>585</v>
      </c>
      <c r="F465" s="440">
        <v>45096</v>
      </c>
      <c r="G465" s="440"/>
      <c r="H465" s="439" t="s">
        <v>23</v>
      </c>
      <c r="I465" s="449"/>
      <c r="J465" s="450"/>
      <c r="K465" s="443">
        <v>3</v>
      </c>
      <c r="L465" s="444">
        <v>0</v>
      </c>
      <c r="M465" s="463"/>
      <c r="N465" s="463"/>
      <c r="O465" s="445" t="s">
        <v>3727</v>
      </c>
      <c r="P465" s="447"/>
      <c r="Q465" s="451">
        <v>3</v>
      </c>
      <c r="R465" s="447"/>
      <c r="S465" s="447"/>
      <c r="T465" s="447"/>
      <c r="U465" s="447"/>
      <c r="V465" s="447"/>
      <c r="W465" s="447"/>
      <c r="X465" s="447"/>
      <c r="Y465" s="858"/>
    </row>
    <row r="466" spans="1:25" ht="14.45" customHeight="1" x14ac:dyDescent="0.25">
      <c r="A466" s="722" t="s">
        <v>4678</v>
      </c>
      <c r="B466" s="723" t="s">
        <v>3089</v>
      </c>
      <c r="C466" s="723" t="s">
        <v>4753</v>
      </c>
      <c r="D466" s="724" t="s">
        <v>13</v>
      </c>
      <c r="E466" s="723" t="s">
        <v>585</v>
      </c>
      <c r="F466" s="725">
        <v>45096</v>
      </c>
      <c r="G466" s="725"/>
      <c r="H466" s="724" t="s">
        <v>23</v>
      </c>
      <c r="I466" s="441"/>
      <c r="J466" s="442"/>
      <c r="K466" s="720">
        <v>3</v>
      </c>
      <c r="L466" s="744">
        <v>0</v>
      </c>
      <c r="M466" s="767"/>
      <c r="N466" s="767"/>
      <c r="O466" s="728" t="s">
        <v>737</v>
      </c>
      <c r="P466" s="721"/>
      <c r="Q466" s="729">
        <v>3</v>
      </c>
      <c r="R466" s="721"/>
      <c r="S466" s="721"/>
      <c r="T466" s="721"/>
      <c r="U466" s="721"/>
      <c r="V466" s="721"/>
      <c r="W466" s="721"/>
      <c r="X466" s="721"/>
      <c r="Y466" s="857"/>
    </row>
    <row r="467" spans="1:25" ht="14.45" customHeight="1" x14ac:dyDescent="0.25">
      <c r="A467" s="437" t="s">
        <v>4678</v>
      </c>
      <c r="B467" s="438" t="s">
        <v>3089</v>
      </c>
      <c r="C467" s="438" t="s">
        <v>4753</v>
      </c>
      <c r="D467" s="439" t="s">
        <v>13</v>
      </c>
      <c r="E467" s="438" t="s">
        <v>585</v>
      </c>
      <c r="F467" s="440">
        <v>45096</v>
      </c>
      <c r="G467" s="440"/>
      <c r="H467" s="439" t="s">
        <v>23</v>
      </c>
      <c r="I467" s="449"/>
      <c r="J467" s="450"/>
      <c r="K467" s="443">
        <v>6</v>
      </c>
      <c r="L467" s="444">
        <v>0</v>
      </c>
      <c r="M467" s="463"/>
      <c r="N467" s="463"/>
      <c r="O467" s="445" t="s">
        <v>1255</v>
      </c>
      <c r="P467" s="447"/>
      <c r="Q467" s="451">
        <v>6</v>
      </c>
      <c r="R467" s="447"/>
      <c r="S467" s="447"/>
      <c r="T467" s="447"/>
      <c r="U467" s="447"/>
      <c r="V467" s="447"/>
      <c r="W467" s="447"/>
      <c r="X467" s="447"/>
      <c r="Y467" s="858"/>
    </row>
    <row r="468" spans="1:25" ht="14.45" customHeight="1" x14ac:dyDescent="0.25">
      <c r="A468" s="722" t="s">
        <v>4678</v>
      </c>
      <c r="B468" s="723" t="s">
        <v>3089</v>
      </c>
      <c r="C468" s="723" t="s">
        <v>4753</v>
      </c>
      <c r="D468" s="724" t="s">
        <v>13</v>
      </c>
      <c r="E468" s="723" t="s">
        <v>585</v>
      </c>
      <c r="F468" s="725">
        <v>45096</v>
      </c>
      <c r="G468" s="725"/>
      <c r="H468" s="724" t="s">
        <v>23</v>
      </c>
      <c r="I468" s="441"/>
      <c r="J468" s="442"/>
      <c r="K468" s="720">
        <v>3</v>
      </c>
      <c r="L468" s="744">
        <v>0</v>
      </c>
      <c r="M468" s="767"/>
      <c r="N468" s="767"/>
      <c r="O468" s="728" t="s">
        <v>739</v>
      </c>
      <c r="P468" s="721"/>
      <c r="Q468" s="729">
        <v>3</v>
      </c>
      <c r="R468" s="721"/>
      <c r="S468" s="721"/>
      <c r="T468" s="721"/>
      <c r="U468" s="721"/>
      <c r="V468" s="721"/>
      <c r="W468" s="721"/>
      <c r="X468" s="721"/>
      <c r="Y468" s="857"/>
    </row>
    <row r="469" spans="1:25" ht="14.45" customHeight="1" x14ac:dyDescent="0.25">
      <c r="A469" s="437" t="s">
        <v>4678</v>
      </c>
      <c r="B469" s="438" t="s">
        <v>3089</v>
      </c>
      <c r="C469" s="438" t="s">
        <v>4753</v>
      </c>
      <c r="D469" s="439" t="s">
        <v>13</v>
      </c>
      <c r="E469" s="438" t="s">
        <v>585</v>
      </c>
      <c r="F469" s="440">
        <v>45096</v>
      </c>
      <c r="G469" s="440"/>
      <c r="H469" s="439" t="s">
        <v>23</v>
      </c>
      <c r="I469" s="449"/>
      <c r="J469" s="450"/>
      <c r="K469" s="443">
        <v>41</v>
      </c>
      <c r="L469" s="444">
        <v>0</v>
      </c>
      <c r="M469" s="463"/>
      <c r="N469" s="463"/>
      <c r="O469" s="445" t="s">
        <v>740</v>
      </c>
      <c r="P469" s="447"/>
      <c r="Q469" s="451">
        <v>41</v>
      </c>
      <c r="R469" s="447"/>
      <c r="S469" s="447"/>
      <c r="T469" s="447"/>
      <c r="U469" s="447"/>
      <c r="V469" s="447"/>
      <c r="W469" s="447"/>
      <c r="X469" s="447"/>
      <c r="Y469" s="858"/>
    </row>
    <row r="470" spans="1:25" ht="14.45" customHeight="1" x14ac:dyDescent="0.25">
      <c r="A470" s="722" t="s">
        <v>4678</v>
      </c>
      <c r="B470" s="723" t="s">
        <v>3089</v>
      </c>
      <c r="C470" s="723" t="s">
        <v>4753</v>
      </c>
      <c r="D470" s="724" t="s">
        <v>13</v>
      </c>
      <c r="E470" s="723" t="s">
        <v>585</v>
      </c>
      <c r="F470" s="725">
        <v>45096</v>
      </c>
      <c r="G470" s="725"/>
      <c r="H470" s="724" t="s">
        <v>23</v>
      </c>
      <c r="I470" s="441"/>
      <c r="J470" s="442"/>
      <c r="K470" s="720">
        <v>3</v>
      </c>
      <c r="L470" s="744">
        <v>0</v>
      </c>
      <c r="M470" s="767"/>
      <c r="N470" s="767"/>
      <c r="O470" s="728" t="s">
        <v>1243</v>
      </c>
      <c r="P470" s="721"/>
      <c r="Q470" s="729">
        <v>3</v>
      </c>
      <c r="R470" s="721"/>
      <c r="S470" s="721"/>
      <c r="T470" s="721"/>
      <c r="U470" s="721"/>
      <c r="V470" s="721"/>
      <c r="W470" s="721"/>
      <c r="X470" s="721"/>
      <c r="Y470" s="857"/>
    </row>
    <row r="471" spans="1:25" ht="14.45" customHeight="1" x14ac:dyDescent="0.25">
      <c r="A471" s="437" t="s">
        <v>4678</v>
      </c>
      <c r="B471" s="438" t="s">
        <v>3089</v>
      </c>
      <c r="C471" s="438" t="s">
        <v>4753</v>
      </c>
      <c r="D471" s="439" t="s">
        <v>13</v>
      </c>
      <c r="E471" s="438" t="s">
        <v>585</v>
      </c>
      <c r="F471" s="440">
        <v>45096</v>
      </c>
      <c r="G471" s="440"/>
      <c r="H471" s="439" t="s">
        <v>23</v>
      </c>
      <c r="I471" s="449"/>
      <c r="J471" s="450"/>
      <c r="K471" s="443">
        <v>32</v>
      </c>
      <c r="L471" s="444">
        <v>0</v>
      </c>
      <c r="M471" s="463"/>
      <c r="N471" s="463"/>
      <c r="O471" s="445" t="s">
        <v>741</v>
      </c>
      <c r="P471" s="447"/>
      <c r="Q471" s="451">
        <v>32</v>
      </c>
      <c r="R471" s="447"/>
      <c r="S471" s="447"/>
      <c r="T471" s="447"/>
      <c r="U471" s="447"/>
      <c r="V471" s="447"/>
      <c r="W471" s="447"/>
      <c r="X471" s="447"/>
      <c r="Y471" s="858"/>
    </row>
    <row r="472" spans="1:25" ht="14.45" customHeight="1" x14ac:dyDescent="0.25">
      <c r="A472" s="722" t="s">
        <v>4678</v>
      </c>
      <c r="B472" s="723" t="s">
        <v>3089</v>
      </c>
      <c r="C472" s="723" t="s">
        <v>4753</v>
      </c>
      <c r="D472" s="724" t="s">
        <v>13</v>
      </c>
      <c r="E472" s="723" t="s">
        <v>585</v>
      </c>
      <c r="F472" s="725">
        <v>45096</v>
      </c>
      <c r="G472" s="725"/>
      <c r="H472" s="724" t="s">
        <v>23</v>
      </c>
      <c r="I472" s="441"/>
      <c r="J472" s="442"/>
      <c r="K472" s="720">
        <v>14</v>
      </c>
      <c r="L472" s="744">
        <v>0</v>
      </c>
      <c r="M472" s="767"/>
      <c r="N472" s="767"/>
      <c r="O472" s="728" t="s">
        <v>745</v>
      </c>
      <c r="P472" s="721"/>
      <c r="Q472" s="729">
        <v>14</v>
      </c>
      <c r="R472" s="721"/>
      <c r="S472" s="721"/>
      <c r="T472" s="721"/>
      <c r="U472" s="721"/>
      <c r="V472" s="721"/>
      <c r="W472" s="721"/>
      <c r="X472" s="721"/>
      <c r="Y472" s="857"/>
    </row>
    <row r="473" spans="1:25" ht="14.45" customHeight="1" x14ac:dyDescent="0.25">
      <c r="A473" s="437" t="s">
        <v>4678</v>
      </c>
      <c r="B473" s="438">
        <v>259</v>
      </c>
      <c r="C473" s="438"/>
      <c r="D473" s="439" t="s">
        <v>13</v>
      </c>
      <c r="E473" s="439" t="s">
        <v>3764</v>
      </c>
      <c r="F473" s="440">
        <v>45096</v>
      </c>
      <c r="G473" s="440"/>
      <c r="H473" s="439" t="s">
        <v>23</v>
      </c>
      <c r="I473" s="449"/>
      <c r="J473" s="450"/>
      <c r="K473" s="443">
        <v>400</v>
      </c>
      <c r="L473" s="444">
        <v>16.852785714285712</v>
      </c>
      <c r="M473" s="463" t="s">
        <v>4256</v>
      </c>
      <c r="N473" s="463"/>
      <c r="O473" s="445" t="s">
        <v>3301</v>
      </c>
      <c r="P473" s="447">
        <v>1780</v>
      </c>
      <c r="Q473" s="451">
        <v>400</v>
      </c>
      <c r="R473" s="447">
        <v>0.2651</v>
      </c>
      <c r="S473" s="447">
        <v>0.82099999999999995</v>
      </c>
      <c r="T473" s="447">
        <v>471.87799999999999</v>
      </c>
      <c r="U473" s="447">
        <v>1461.38</v>
      </c>
      <c r="V473" s="447">
        <v>61.34</v>
      </c>
      <c r="W473" s="447">
        <v>81.92</v>
      </c>
      <c r="X473" s="447">
        <v>309</v>
      </c>
      <c r="Y473" s="858">
        <v>145810.29999999999</v>
      </c>
    </row>
    <row r="474" spans="1:25" ht="14.45" customHeight="1" x14ac:dyDescent="0.25">
      <c r="A474" s="722" t="s">
        <v>4678</v>
      </c>
      <c r="B474" s="723">
        <v>259</v>
      </c>
      <c r="C474" s="723"/>
      <c r="D474" s="724" t="s">
        <v>13</v>
      </c>
      <c r="E474" s="724" t="s">
        <v>3764</v>
      </c>
      <c r="F474" s="725">
        <v>45096</v>
      </c>
      <c r="G474" s="725"/>
      <c r="H474" s="724" t="s">
        <v>23</v>
      </c>
      <c r="I474" s="441"/>
      <c r="J474" s="442"/>
      <c r="K474" s="720">
        <v>955</v>
      </c>
      <c r="L474" s="744">
        <v>15.814117857142858</v>
      </c>
      <c r="M474" s="767" t="s">
        <v>4267</v>
      </c>
      <c r="N474" s="767"/>
      <c r="O474" s="728" t="s">
        <v>2841</v>
      </c>
      <c r="P474" s="721">
        <v>4631.75</v>
      </c>
      <c r="Q474" s="729">
        <v>955</v>
      </c>
      <c r="R474" s="721">
        <v>9.5600000000000004E-2</v>
      </c>
      <c r="S474" s="721">
        <v>0.16</v>
      </c>
      <c r="T474" s="721">
        <v>442.7953</v>
      </c>
      <c r="U474" s="721">
        <v>741.08</v>
      </c>
      <c r="V474" s="721">
        <v>57.56</v>
      </c>
      <c r="W474" s="721">
        <v>29.54</v>
      </c>
      <c r="X474" s="721">
        <v>309</v>
      </c>
      <c r="Y474" s="857">
        <v>136821.9</v>
      </c>
    </row>
    <row r="475" spans="1:25" ht="14.45" customHeight="1" x14ac:dyDescent="0.25">
      <c r="A475" s="437" t="s">
        <v>4678</v>
      </c>
      <c r="B475" s="438">
        <v>261</v>
      </c>
      <c r="C475" s="438"/>
      <c r="D475" s="439" t="s">
        <v>34</v>
      </c>
      <c r="E475" s="439" t="s">
        <v>19</v>
      </c>
      <c r="F475" s="440">
        <v>45096</v>
      </c>
      <c r="G475" s="440"/>
      <c r="H475" s="439" t="s">
        <v>23</v>
      </c>
      <c r="I475" s="449"/>
      <c r="J475" s="450"/>
      <c r="K475" s="443">
        <v>390</v>
      </c>
      <c r="L475" s="444">
        <v>17.532450000000001</v>
      </c>
      <c r="M475" s="463" t="s">
        <v>3565</v>
      </c>
      <c r="N475" s="463"/>
      <c r="O475" s="445" t="s">
        <v>4225</v>
      </c>
      <c r="P475" s="447">
        <v>1443</v>
      </c>
      <c r="Q475" s="451">
        <v>390</v>
      </c>
      <c r="R475" s="447">
        <v>0.3402</v>
      </c>
      <c r="S475" s="447">
        <v>1.4530000000000001</v>
      </c>
      <c r="T475" s="447">
        <v>490.90859999999998</v>
      </c>
      <c r="U475" s="447">
        <v>2096.6790000000001</v>
      </c>
      <c r="V475" s="447">
        <v>63.82</v>
      </c>
      <c r="W475" s="447">
        <v>72.459999999999994</v>
      </c>
      <c r="X475" s="447">
        <v>213</v>
      </c>
      <c r="Y475" s="858">
        <v>104563.53</v>
      </c>
    </row>
    <row r="476" spans="1:25" ht="14.45" customHeight="1" x14ac:dyDescent="0.25">
      <c r="A476" s="722" t="s">
        <v>4678</v>
      </c>
      <c r="B476" s="723">
        <v>263</v>
      </c>
      <c r="C476" s="723"/>
      <c r="D476" s="724" t="s">
        <v>13</v>
      </c>
      <c r="E476" s="724" t="s">
        <v>3819</v>
      </c>
      <c r="F476" s="725">
        <v>45098</v>
      </c>
      <c r="G476" s="725"/>
      <c r="H476" s="724" t="s">
        <v>23</v>
      </c>
      <c r="I476" s="441"/>
      <c r="J476" s="442"/>
      <c r="K476" s="720">
        <v>52</v>
      </c>
      <c r="L476" s="744">
        <v>7.4589357142857144</v>
      </c>
      <c r="M476" s="767"/>
      <c r="N476" s="767"/>
      <c r="O476" s="728" t="s">
        <v>3848</v>
      </c>
      <c r="P476" s="721">
        <v>338</v>
      </c>
      <c r="Q476" s="729">
        <v>52</v>
      </c>
      <c r="R476" s="721">
        <v>0.6179</v>
      </c>
      <c r="S476" s="721">
        <v>2.117</v>
      </c>
      <c r="T476" s="721">
        <v>208.8502</v>
      </c>
      <c r="U476" s="721">
        <v>715.54600000000005</v>
      </c>
      <c r="V476" s="721">
        <v>27.15</v>
      </c>
      <c r="W476" s="721">
        <v>211.94</v>
      </c>
      <c r="X476" s="721">
        <v>343</v>
      </c>
      <c r="Y476" s="857">
        <v>71635.62</v>
      </c>
    </row>
    <row r="477" spans="1:25" ht="14.45" customHeight="1" x14ac:dyDescent="0.25">
      <c r="A477" s="437" t="s">
        <v>4678</v>
      </c>
      <c r="B477" s="438" t="s">
        <v>4200</v>
      </c>
      <c r="C477" s="438" t="s">
        <v>4753</v>
      </c>
      <c r="D477" s="439" t="s">
        <v>13</v>
      </c>
      <c r="E477" s="439" t="s">
        <v>2654</v>
      </c>
      <c r="F477" s="440">
        <v>45098</v>
      </c>
      <c r="G477" s="440"/>
      <c r="H477" s="464" t="s">
        <v>677</v>
      </c>
      <c r="I477" s="449"/>
      <c r="J477" s="450"/>
      <c r="K477" s="443">
        <v>0</v>
      </c>
      <c r="L477" s="444">
        <v>0</v>
      </c>
      <c r="M477" s="463" t="s">
        <v>4262</v>
      </c>
      <c r="N477" s="463"/>
      <c r="O477" s="445" t="s">
        <v>4199</v>
      </c>
      <c r="P477" s="447"/>
      <c r="Q477" s="451"/>
      <c r="R477" s="447"/>
      <c r="S477" s="447"/>
      <c r="T477" s="447"/>
      <c r="U477" s="447"/>
      <c r="V477" s="447"/>
      <c r="W477" s="447"/>
      <c r="X477" s="447"/>
      <c r="Y477" s="858"/>
    </row>
    <row r="478" spans="1:25" ht="14.45" customHeight="1" x14ac:dyDescent="0.25">
      <c r="A478" s="722" t="s">
        <v>4678</v>
      </c>
      <c r="B478" s="723">
        <v>264</v>
      </c>
      <c r="C478" s="723"/>
      <c r="D478" s="724" t="s">
        <v>13</v>
      </c>
      <c r="E478" s="724" t="s">
        <v>3764</v>
      </c>
      <c r="F478" s="725">
        <v>45098</v>
      </c>
      <c r="G478" s="725"/>
      <c r="H478" s="724" t="s">
        <v>23</v>
      </c>
      <c r="I478" s="441"/>
      <c r="J478" s="442"/>
      <c r="K478" s="720">
        <v>154</v>
      </c>
      <c r="L478" s="744">
        <v>4.472517857142857</v>
      </c>
      <c r="M478" s="767" t="s">
        <v>4257</v>
      </c>
      <c r="N478" s="767"/>
      <c r="O478" s="728" t="s">
        <v>1975</v>
      </c>
      <c r="P478" s="721">
        <v>793.1</v>
      </c>
      <c r="Q478" s="729">
        <v>154</v>
      </c>
      <c r="R478" s="721">
        <v>0.15790000000000001</v>
      </c>
      <c r="S478" s="721">
        <v>0.309</v>
      </c>
      <c r="T478" s="721">
        <v>125.23050000000001</v>
      </c>
      <c r="U478" s="721">
        <v>245.06790000000001</v>
      </c>
      <c r="V478" s="721">
        <v>16.28</v>
      </c>
      <c r="W478" s="721">
        <v>48.79</v>
      </c>
      <c r="X478" s="721">
        <v>309</v>
      </c>
      <c r="Y478" s="862">
        <v>38696.22</v>
      </c>
    </row>
    <row r="479" spans="1:25" ht="14.45" customHeight="1" x14ac:dyDescent="0.25">
      <c r="A479" s="437" t="s">
        <v>4678</v>
      </c>
      <c r="B479" s="438" t="s">
        <v>4201</v>
      </c>
      <c r="C479" s="438" t="s">
        <v>4753</v>
      </c>
      <c r="D479" s="439" t="s">
        <v>13</v>
      </c>
      <c r="E479" s="439" t="s">
        <v>4151</v>
      </c>
      <c r="F479" s="440">
        <v>45099</v>
      </c>
      <c r="G479" s="440"/>
      <c r="H479" s="439" t="s">
        <v>23</v>
      </c>
      <c r="I479" s="449"/>
      <c r="J479" s="450"/>
      <c r="K479" s="443">
        <v>5</v>
      </c>
      <c r="L479" s="444">
        <v>0</v>
      </c>
      <c r="M479" s="463"/>
      <c r="N479" s="463"/>
      <c r="O479" s="445" t="s">
        <v>4202</v>
      </c>
      <c r="P479" s="447"/>
      <c r="Q479" s="451">
        <v>5</v>
      </c>
      <c r="R479" s="447"/>
      <c r="S479" s="447"/>
      <c r="T479" s="447"/>
      <c r="U479" s="447"/>
      <c r="V479" s="447"/>
      <c r="W479" s="447"/>
      <c r="X479" s="447"/>
      <c r="Y479" s="863"/>
    </row>
    <row r="480" spans="1:25" ht="14.45" customHeight="1" x14ac:dyDescent="0.25">
      <c r="A480" s="722" t="s">
        <v>4678</v>
      </c>
      <c r="B480" s="723" t="s">
        <v>4207</v>
      </c>
      <c r="C480" s="723" t="s">
        <v>4753</v>
      </c>
      <c r="D480" s="724" t="s">
        <v>13</v>
      </c>
      <c r="E480" s="724" t="s">
        <v>1596</v>
      </c>
      <c r="F480" s="725">
        <v>45099</v>
      </c>
      <c r="G480" s="725"/>
      <c r="H480" s="724" t="s">
        <v>23</v>
      </c>
      <c r="I480" s="441"/>
      <c r="J480" s="442"/>
      <c r="K480" s="720">
        <v>0</v>
      </c>
      <c r="L480" s="744">
        <v>0</v>
      </c>
      <c r="M480" s="767" t="s">
        <v>4245</v>
      </c>
      <c r="N480" s="767"/>
      <c r="O480" s="728" t="s">
        <v>4206</v>
      </c>
      <c r="P480" s="721"/>
      <c r="Q480" s="729"/>
      <c r="R480" s="721"/>
      <c r="S480" s="721"/>
      <c r="T480" s="721"/>
      <c r="U480" s="721"/>
      <c r="V480" s="721"/>
      <c r="W480" s="721"/>
      <c r="X480" s="721"/>
      <c r="Y480" s="862" t="s">
        <v>4244</v>
      </c>
    </row>
    <row r="481" spans="1:25" ht="14.45" customHeight="1" x14ac:dyDescent="0.25">
      <c r="A481" s="437" t="s">
        <v>4678</v>
      </c>
      <c r="B481" s="438">
        <v>269</v>
      </c>
      <c r="C481" s="438"/>
      <c r="D481" s="439" t="s">
        <v>13</v>
      </c>
      <c r="E481" s="439" t="s">
        <v>4203</v>
      </c>
      <c r="F481" s="440">
        <v>45099</v>
      </c>
      <c r="G481" s="440"/>
      <c r="H481" s="439" t="s">
        <v>23</v>
      </c>
      <c r="I481" s="449"/>
      <c r="J481" s="450"/>
      <c r="K481" s="443">
        <v>136</v>
      </c>
      <c r="L481" s="444">
        <v>3.2044999999999999</v>
      </c>
      <c r="M481" s="463" t="s">
        <v>4268</v>
      </c>
      <c r="N481" s="463"/>
      <c r="O481" s="445" t="s">
        <v>4204</v>
      </c>
      <c r="P481" s="447">
        <v>476</v>
      </c>
      <c r="Q481" s="451">
        <v>136</v>
      </c>
      <c r="R481" s="447">
        <v>0.1885</v>
      </c>
      <c r="S481" s="447">
        <v>0.98799999999999999</v>
      </c>
      <c r="T481" s="447">
        <v>89.725999999999999</v>
      </c>
      <c r="U481" s="447">
        <v>470.28800000000001</v>
      </c>
      <c r="V481" s="447">
        <v>11.66</v>
      </c>
      <c r="W481" s="447">
        <v>62.21</v>
      </c>
      <c r="X481" s="447">
        <v>330</v>
      </c>
      <c r="Y481" s="863">
        <v>29609.58</v>
      </c>
    </row>
    <row r="482" spans="1:25" ht="14.45" customHeight="1" x14ac:dyDescent="0.25">
      <c r="A482" s="722" t="s">
        <v>4678</v>
      </c>
      <c r="B482" s="723">
        <v>269</v>
      </c>
      <c r="C482" s="723"/>
      <c r="D482" s="724" t="s">
        <v>13</v>
      </c>
      <c r="E482" s="724" t="s">
        <v>4203</v>
      </c>
      <c r="F482" s="725">
        <v>45099</v>
      </c>
      <c r="G482" s="725"/>
      <c r="H482" s="724" t="s">
        <v>23</v>
      </c>
      <c r="I482" s="441"/>
      <c r="J482" s="442"/>
      <c r="K482" s="720">
        <v>83</v>
      </c>
      <c r="L482" s="744">
        <v>2.2321071428571431</v>
      </c>
      <c r="M482" s="767" t="s">
        <v>4269</v>
      </c>
      <c r="N482" s="767"/>
      <c r="O482" s="728" t="s">
        <v>4205</v>
      </c>
      <c r="P482" s="721">
        <v>249</v>
      </c>
      <c r="Q482" s="729">
        <v>83</v>
      </c>
      <c r="R482" s="721">
        <v>0.251</v>
      </c>
      <c r="S482" s="721">
        <v>1.9670000000000001</v>
      </c>
      <c r="T482" s="721">
        <v>62.499000000000002</v>
      </c>
      <c r="U482" s="721">
        <v>489.78300000000002</v>
      </c>
      <c r="V482" s="721">
        <v>8.1199999999999992</v>
      </c>
      <c r="W482" s="721">
        <v>82.83</v>
      </c>
      <c r="X482" s="721">
        <v>330</v>
      </c>
      <c r="Y482" s="862">
        <v>20624.669999999998</v>
      </c>
    </row>
    <row r="483" spans="1:25" ht="14.45" customHeight="1" x14ac:dyDescent="0.25">
      <c r="A483" s="437" t="s">
        <v>4678</v>
      </c>
      <c r="B483" s="438">
        <v>266</v>
      </c>
      <c r="C483" s="438"/>
      <c r="D483" s="439" t="s">
        <v>34</v>
      </c>
      <c r="E483" s="439" t="s">
        <v>201</v>
      </c>
      <c r="F483" s="440">
        <v>45099</v>
      </c>
      <c r="G483" s="440"/>
      <c r="H483" s="439" t="s">
        <v>23</v>
      </c>
      <c r="I483" s="449"/>
      <c r="J483" s="450"/>
      <c r="K483" s="443">
        <v>24</v>
      </c>
      <c r="L483" s="444">
        <v>3.5393142857142861</v>
      </c>
      <c r="M483" s="463"/>
      <c r="N483" s="463"/>
      <c r="O483" s="445" t="s">
        <v>4214</v>
      </c>
      <c r="P483" s="447">
        <v>144</v>
      </c>
      <c r="Q483" s="451">
        <v>24</v>
      </c>
      <c r="R483" s="447">
        <v>0.68820000000000003</v>
      </c>
      <c r="S483" s="447">
        <v>3.2480000000000002</v>
      </c>
      <c r="T483" s="447">
        <v>99.100800000000007</v>
      </c>
      <c r="U483" s="447">
        <v>467.71199999999999</v>
      </c>
      <c r="V483" s="447">
        <v>12.88</v>
      </c>
      <c r="W483" s="447">
        <v>236.05</v>
      </c>
      <c r="X483" s="447">
        <v>343</v>
      </c>
      <c r="Y483" s="863">
        <v>33991.57</v>
      </c>
    </row>
    <row r="484" spans="1:25" ht="14.45" customHeight="1" x14ac:dyDescent="0.25">
      <c r="A484" s="722" t="s">
        <v>4678</v>
      </c>
      <c r="B484" s="723">
        <v>267</v>
      </c>
      <c r="C484" s="723"/>
      <c r="D484" s="724" t="s">
        <v>34</v>
      </c>
      <c r="E484" s="724" t="s">
        <v>79</v>
      </c>
      <c r="F484" s="725">
        <v>45099</v>
      </c>
      <c r="G484" s="725"/>
      <c r="H484" s="724" t="s">
        <v>23</v>
      </c>
      <c r="I484" s="441"/>
      <c r="J484" s="442"/>
      <c r="K484" s="720">
        <v>52</v>
      </c>
      <c r="L484" s="744">
        <v>5.0755714285714291</v>
      </c>
      <c r="M484" s="767"/>
      <c r="N484" s="767"/>
      <c r="O484" s="728" t="s">
        <v>4223</v>
      </c>
      <c r="P484" s="721">
        <v>312</v>
      </c>
      <c r="Q484" s="729">
        <v>52</v>
      </c>
      <c r="R484" s="721">
        <v>0.45550000000000002</v>
      </c>
      <c r="S484" s="721">
        <v>1.6990000000000001</v>
      </c>
      <c r="T484" s="721">
        <v>142.11600000000001</v>
      </c>
      <c r="U484" s="721">
        <v>530.08799999999997</v>
      </c>
      <c r="V484" s="721">
        <v>18.48</v>
      </c>
      <c r="W484" s="721">
        <v>110.69</v>
      </c>
      <c r="X484" s="721">
        <v>243</v>
      </c>
      <c r="Y484" s="862">
        <v>34534.19</v>
      </c>
    </row>
    <row r="485" spans="1:25" ht="14.45" customHeight="1" x14ac:dyDescent="0.25">
      <c r="A485" s="437" t="s">
        <v>4678</v>
      </c>
      <c r="B485" s="438">
        <v>268</v>
      </c>
      <c r="C485" s="438"/>
      <c r="D485" s="439" t="s">
        <v>34</v>
      </c>
      <c r="E485" s="439" t="s">
        <v>46</v>
      </c>
      <c r="F485" s="440">
        <v>45099</v>
      </c>
      <c r="G485" s="440"/>
      <c r="H485" s="439" t="s">
        <v>23</v>
      </c>
      <c r="I485" s="449"/>
      <c r="J485" s="450"/>
      <c r="K485" s="443">
        <v>13</v>
      </c>
      <c r="L485" s="444">
        <v>1.2140142857142859</v>
      </c>
      <c r="M485" s="463"/>
      <c r="N485" s="463"/>
      <c r="O485" s="445" t="s">
        <v>4220</v>
      </c>
      <c r="P485" s="447">
        <v>78</v>
      </c>
      <c r="Q485" s="451">
        <v>13</v>
      </c>
      <c r="R485" s="447">
        <v>0.43580000000000002</v>
      </c>
      <c r="S485" s="447">
        <v>2.3410000000000002</v>
      </c>
      <c r="T485" s="447">
        <v>33.992400000000004</v>
      </c>
      <c r="U485" s="447">
        <v>182.59800000000001</v>
      </c>
      <c r="V485" s="447">
        <v>4.42</v>
      </c>
      <c r="W485" s="447">
        <v>137.28</v>
      </c>
      <c r="X485" s="447">
        <v>315</v>
      </c>
      <c r="Y485" s="863">
        <v>10707.61</v>
      </c>
    </row>
    <row r="486" spans="1:25" ht="14.45" customHeight="1" x14ac:dyDescent="0.25">
      <c r="A486" s="722" t="s">
        <v>4678</v>
      </c>
      <c r="B486" s="723">
        <v>268</v>
      </c>
      <c r="C486" s="723"/>
      <c r="D486" s="724" t="s">
        <v>34</v>
      </c>
      <c r="E486" s="724" t="s">
        <v>46</v>
      </c>
      <c r="F486" s="725">
        <v>45099</v>
      </c>
      <c r="G486" s="725"/>
      <c r="H486" s="724" t="s">
        <v>23</v>
      </c>
      <c r="I486" s="441"/>
      <c r="J486" s="442"/>
      <c r="K486" s="720">
        <v>36</v>
      </c>
      <c r="L486" s="744">
        <v>4.1063142857142854</v>
      </c>
      <c r="M486" s="767"/>
      <c r="N486" s="767"/>
      <c r="O486" s="728" t="s">
        <v>4222</v>
      </c>
      <c r="P486" s="721">
        <v>216</v>
      </c>
      <c r="Q486" s="729">
        <v>36</v>
      </c>
      <c r="R486" s="721">
        <v>0.5323</v>
      </c>
      <c r="S486" s="721">
        <v>2.5880000000000001</v>
      </c>
      <c r="T486" s="721">
        <v>114.9768</v>
      </c>
      <c r="U486" s="721">
        <v>559.00800000000004</v>
      </c>
      <c r="V486" s="721">
        <v>14.95</v>
      </c>
      <c r="W486" s="721">
        <v>167.67</v>
      </c>
      <c r="X486" s="721">
        <v>315</v>
      </c>
      <c r="Y486" s="862">
        <v>36217.69</v>
      </c>
    </row>
    <row r="487" spans="1:25" ht="14.45" customHeight="1" x14ac:dyDescent="0.25">
      <c r="A487" s="437" t="s">
        <v>4678</v>
      </c>
      <c r="B487" s="438">
        <v>272</v>
      </c>
      <c r="C487" s="438"/>
      <c r="D487" s="439" t="s">
        <v>34</v>
      </c>
      <c r="E487" s="439" t="s">
        <v>79</v>
      </c>
      <c r="F487" s="440">
        <v>45103</v>
      </c>
      <c r="G487" s="440"/>
      <c r="H487" s="439" t="s">
        <v>23</v>
      </c>
      <c r="I487" s="449"/>
      <c r="J487" s="450"/>
      <c r="K487" s="443">
        <v>496</v>
      </c>
      <c r="L487" s="444">
        <v>21.5016</v>
      </c>
      <c r="M487" s="463"/>
      <c r="N487" s="463"/>
      <c r="O487" s="445" t="s">
        <v>4221</v>
      </c>
      <c r="P487" s="447">
        <v>2976</v>
      </c>
      <c r="Q487" s="451">
        <v>496</v>
      </c>
      <c r="R487" s="447">
        <v>0.20230000000000001</v>
      </c>
      <c r="S487" s="447">
        <v>0.499</v>
      </c>
      <c r="T487" s="447">
        <v>602.04480000000001</v>
      </c>
      <c r="U487" s="447">
        <v>1485.0239999999999</v>
      </c>
      <c r="V487" s="447">
        <v>78.27</v>
      </c>
      <c r="W487" s="447">
        <v>49.16</v>
      </c>
      <c r="X487" s="447">
        <v>243</v>
      </c>
      <c r="Y487" s="863">
        <v>146296.89000000001</v>
      </c>
    </row>
    <row r="488" spans="1:25" ht="14.45" customHeight="1" x14ac:dyDescent="0.25">
      <c r="A488" s="722" t="s">
        <v>4678</v>
      </c>
      <c r="B488" s="723">
        <v>274</v>
      </c>
      <c r="C488" s="723"/>
      <c r="D488" s="724" t="s">
        <v>13</v>
      </c>
      <c r="E488" s="724" t="s">
        <v>80</v>
      </c>
      <c r="F488" s="725">
        <v>45104</v>
      </c>
      <c r="G488" s="725"/>
      <c r="H488" s="724" t="s">
        <v>23</v>
      </c>
      <c r="I488" s="441"/>
      <c r="J488" s="442"/>
      <c r="K488" s="720">
        <v>53</v>
      </c>
      <c r="L488" s="744">
        <v>2.5962428571428573</v>
      </c>
      <c r="M488" s="767"/>
      <c r="N488" s="767"/>
      <c r="O488" s="728" t="s">
        <v>85</v>
      </c>
      <c r="P488" s="721">
        <v>238.5</v>
      </c>
      <c r="Q488" s="729">
        <v>53</v>
      </c>
      <c r="R488" s="721">
        <v>0.30480000000000002</v>
      </c>
      <c r="S488" s="721">
        <v>1.4590000000000001</v>
      </c>
      <c r="T488" s="721">
        <v>72.694800000000001</v>
      </c>
      <c r="U488" s="721">
        <v>347.97149999999999</v>
      </c>
      <c r="V488" s="721">
        <v>9.4499999999999993</v>
      </c>
      <c r="W488" s="721">
        <v>115.21</v>
      </c>
      <c r="X488" s="721">
        <v>378</v>
      </c>
      <c r="Y488" s="862">
        <v>27478.63</v>
      </c>
    </row>
    <row r="489" spans="1:25" ht="14.45" customHeight="1" x14ac:dyDescent="0.25">
      <c r="A489" s="437" t="s">
        <v>4678</v>
      </c>
      <c r="B489" s="438">
        <v>274</v>
      </c>
      <c r="C489" s="438"/>
      <c r="D489" s="439" t="s">
        <v>13</v>
      </c>
      <c r="E489" s="439" t="s">
        <v>80</v>
      </c>
      <c r="F489" s="440">
        <v>45104</v>
      </c>
      <c r="G489" s="440"/>
      <c r="H489" s="439" t="s">
        <v>23</v>
      </c>
      <c r="I489" s="449"/>
      <c r="J489" s="450"/>
      <c r="K489" s="443">
        <v>455</v>
      </c>
      <c r="L489" s="444">
        <v>18.07845</v>
      </c>
      <c r="M489" s="463"/>
      <c r="N489" s="463"/>
      <c r="O489" s="445" t="s">
        <v>3121</v>
      </c>
      <c r="P489" s="447">
        <v>1660.75</v>
      </c>
      <c r="Q489" s="451">
        <v>455</v>
      </c>
      <c r="R489" s="447">
        <v>0.30480000000000002</v>
      </c>
      <c r="S489" s="447">
        <v>1.4590000000000001</v>
      </c>
      <c r="T489" s="447">
        <v>506.19659999999999</v>
      </c>
      <c r="U489" s="447">
        <v>2423.0342999999998</v>
      </c>
      <c r="V489" s="447">
        <v>65.81</v>
      </c>
      <c r="W489" s="447">
        <v>115.21</v>
      </c>
      <c r="X489" s="447">
        <v>378</v>
      </c>
      <c r="Y489" s="863">
        <v>191342.31</v>
      </c>
    </row>
    <row r="490" spans="1:25" ht="14.45" customHeight="1" x14ac:dyDescent="0.25">
      <c r="A490" s="722" t="s">
        <v>4678</v>
      </c>
      <c r="B490" s="723">
        <v>278</v>
      </c>
      <c r="C490" s="723"/>
      <c r="D490" s="724" t="s">
        <v>13</v>
      </c>
      <c r="E490" s="724" t="s">
        <v>3819</v>
      </c>
      <c r="F490" s="725">
        <v>45105</v>
      </c>
      <c r="G490" s="725"/>
      <c r="H490" s="724" t="s">
        <v>23</v>
      </c>
      <c r="I490" s="441"/>
      <c r="J490" s="442"/>
      <c r="K490" s="720">
        <v>110</v>
      </c>
      <c r="L490" s="744">
        <v>15.778517857142857</v>
      </c>
      <c r="M490" s="767"/>
      <c r="N490" s="767"/>
      <c r="O490" s="728" t="s">
        <v>3848</v>
      </c>
      <c r="P490" s="721">
        <v>715</v>
      </c>
      <c r="Q490" s="729">
        <v>110</v>
      </c>
      <c r="R490" s="721">
        <v>0.6179</v>
      </c>
      <c r="S490" s="721">
        <v>2.117</v>
      </c>
      <c r="T490" s="721">
        <v>441.79849999999999</v>
      </c>
      <c r="U490" s="721">
        <v>1513.655</v>
      </c>
      <c r="V490" s="721">
        <v>57.43</v>
      </c>
      <c r="W490" s="721">
        <v>211.94</v>
      </c>
      <c r="X490" s="721">
        <v>343</v>
      </c>
      <c r="Y490" s="862">
        <v>151537.1</v>
      </c>
    </row>
    <row r="491" spans="1:25" ht="14.45" customHeight="1" x14ac:dyDescent="0.25">
      <c r="A491" s="437" t="s">
        <v>4678</v>
      </c>
      <c r="B491" s="438">
        <v>278</v>
      </c>
      <c r="C491" s="438"/>
      <c r="D491" s="439" t="s">
        <v>13</v>
      </c>
      <c r="E491" s="439" t="s">
        <v>3819</v>
      </c>
      <c r="F491" s="440">
        <v>45105</v>
      </c>
      <c r="G491" s="440"/>
      <c r="H491" s="439" t="s">
        <v>23</v>
      </c>
      <c r="I491" s="449"/>
      <c r="J491" s="450"/>
      <c r="K491" s="443">
        <v>60</v>
      </c>
      <c r="L491" s="444">
        <v>3.9857142857142853</v>
      </c>
      <c r="M491" s="463"/>
      <c r="N491" s="463"/>
      <c r="O491" s="445" t="s">
        <v>4208</v>
      </c>
      <c r="P491" s="447">
        <v>360</v>
      </c>
      <c r="Q491" s="451">
        <v>60</v>
      </c>
      <c r="R491" s="447">
        <v>0.31</v>
      </c>
      <c r="S491" s="447">
        <v>1.2010000000000001</v>
      </c>
      <c r="T491" s="447">
        <v>111.6</v>
      </c>
      <c r="U491" s="447">
        <v>432.36</v>
      </c>
      <c r="V491" s="447">
        <v>14.51</v>
      </c>
      <c r="W491" s="447">
        <v>91.45</v>
      </c>
      <c r="X491" s="447">
        <v>295</v>
      </c>
      <c r="Y491" s="863">
        <v>32922</v>
      </c>
    </row>
    <row r="492" spans="1:25" ht="14.45" customHeight="1" x14ac:dyDescent="0.25">
      <c r="A492" s="722" t="s">
        <v>4678</v>
      </c>
      <c r="B492" s="723">
        <v>276</v>
      </c>
      <c r="C492" s="723"/>
      <c r="D492" s="724" t="s">
        <v>34</v>
      </c>
      <c r="E492" s="724" t="s">
        <v>46</v>
      </c>
      <c r="F492" s="725">
        <v>45105</v>
      </c>
      <c r="G492" s="725"/>
      <c r="H492" s="724" t="s">
        <v>23</v>
      </c>
      <c r="I492" s="441"/>
      <c r="J492" s="442"/>
      <c r="K492" s="720">
        <v>37</v>
      </c>
      <c r="L492" s="744">
        <v>3.4552714285714288</v>
      </c>
      <c r="M492" s="767"/>
      <c r="N492" s="767"/>
      <c r="O492" s="728" t="s">
        <v>4220</v>
      </c>
      <c r="P492" s="721">
        <v>222</v>
      </c>
      <c r="Q492" s="729">
        <v>37</v>
      </c>
      <c r="R492" s="721">
        <v>0.43580000000000002</v>
      </c>
      <c r="S492" s="721">
        <v>2.3410000000000002</v>
      </c>
      <c r="T492" s="721">
        <v>96.747600000000006</v>
      </c>
      <c r="U492" s="721">
        <v>519.702</v>
      </c>
      <c r="V492" s="721">
        <v>12.58</v>
      </c>
      <c r="W492" s="721">
        <v>137.28</v>
      </c>
      <c r="X492" s="721">
        <v>315</v>
      </c>
      <c r="Y492" s="862">
        <v>30475.49</v>
      </c>
    </row>
    <row r="493" spans="1:25" ht="14.45" customHeight="1" x14ac:dyDescent="0.25">
      <c r="A493" s="437" t="s">
        <v>4678</v>
      </c>
      <c r="B493" s="438">
        <v>277</v>
      </c>
      <c r="C493" s="438"/>
      <c r="D493" s="439" t="s">
        <v>34</v>
      </c>
      <c r="E493" s="439" t="s">
        <v>861</v>
      </c>
      <c r="F493" s="440">
        <v>45105</v>
      </c>
      <c r="G493" s="440"/>
      <c r="H493" s="439" t="s">
        <v>23</v>
      </c>
      <c r="I493" s="449"/>
      <c r="J493" s="450"/>
      <c r="K493" s="443">
        <v>126</v>
      </c>
      <c r="L493" s="444">
        <v>12.795299999999999</v>
      </c>
      <c r="M493" s="463"/>
      <c r="N493" s="463"/>
      <c r="O493" s="445" t="s">
        <v>4219</v>
      </c>
      <c r="P493" s="447">
        <v>756</v>
      </c>
      <c r="Q493" s="451">
        <v>126</v>
      </c>
      <c r="R493" s="447">
        <v>0.47389999999999999</v>
      </c>
      <c r="S493" s="447">
        <v>1.355</v>
      </c>
      <c r="T493" s="447">
        <v>358.26839999999999</v>
      </c>
      <c r="U493" s="447">
        <v>1024.3800000000001</v>
      </c>
      <c r="V493" s="447">
        <v>46.57</v>
      </c>
      <c r="W493" s="447">
        <v>149.28</v>
      </c>
      <c r="X493" s="447">
        <v>315</v>
      </c>
      <c r="Y493" s="863">
        <v>112854.55</v>
      </c>
    </row>
    <row r="494" spans="1:25" ht="14.45" customHeight="1" x14ac:dyDescent="0.25">
      <c r="A494" s="722" t="s">
        <v>4678</v>
      </c>
      <c r="B494" s="723" t="s">
        <v>4209</v>
      </c>
      <c r="C494" s="723"/>
      <c r="D494" s="724" t="s">
        <v>34</v>
      </c>
      <c r="E494" s="724" t="s">
        <v>16</v>
      </c>
      <c r="F494" s="725">
        <v>45105</v>
      </c>
      <c r="G494" s="725"/>
      <c r="H494" s="724" t="s">
        <v>23</v>
      </c>
      <c r="I494" s="441"/>
      <c r="J494" s="442"/>
      <c r="K494" s="720">
        <v>173</v>
      </c>
      <c r="L494" s="744">
        <v>10.105671428571428</v>
      </c>
      <c r="M494" s="767"/>
      <c r="N494" s="767"/>
      <c r="O494" s="728" t="s">
        <v>2859</v>
      </c>
      <c r="P494" s="721">
        <v>1038</v>
      </c>
      <c r="Q494" s="729">
        <v>173</v>
      </c>
      <c r="R494" s="721">
        <v>0.27260000000000001</v>
      </c>
      <c r="S494" s="721">
        <v>0.72899999999999998</v>
      </c>
      <c r="T494" s="721">
        <v>282.9588</v>
      </c>
      <c r="U494" s="721">
        <v>756.702</v>
      </c>
      <c r="V494" s="721">
        <v>36.78</v>
      </c>
      <c r="W494" s="721">
        <v>93.5</v>
      </c>
      <c r="X494" s="721">
        <v>343</v>
      </c>
      <c r="Y494" s="862">
        <v>97053</v>
      </c>
    </row>
    <row r="495" spans="1:25" ht="14.45" customHeight="1" x14ac:dyDescent="0.25">
      <c r="A495" s="437" t="s">
        <v>4678</v>
      </c>
      <c r="B495" s="438">
        <v>279</v>
      </c>
      <c r="C495" s="438"/>
      <c r="D495" s="439" t="s">
        <v>13</v>
      </c>
      <c r="E495" s="439" t="s">
        <v>672</v>
      </c>
      <c r="F495" s="440">
        <v>45105</v>
      </c>
      <c r="G495" s="440"/>
      <c r="H495" s="439" t="s">
        <v>23</v>
      </c>
      <c r="I495" s="449"/>
      <c r="J495" s="450"/>
      <c r="K495" s="443">
        <v>27</v>
      </c>
      <c r="L495" s="444">
        <v>0.95657142857142852</v>
      </c>
      <c r="M495" s="463"/>
      <c r="N495" s="463"/>
      <c r="O495" s="445" t="s">
        <v>4210</v>
      </c>
      <c r="P495" s="447">
        <v>86.4</v>
      </c>
      <c r="Q495" s="451">
        <v>27</v>
      </c>
      <c r="R495" s="447">
        <v>0.31</v>
      </c>
      <c r="S495" s="447">
        <v>1.2010000000000001</v>
      </c>
      <c r="T495" s="447">
        <v>26.783999999999999</v>
      </c>
      <c r="U495" s="447">
        <v>103.7664</v>
      </c>
      <c r="V495" s="447">
        <v>3.48</v>
      </c>
      <c r="W495" s="447">
        <v>91.45</v>
      </c>
      <c r="X495" s="447">
        <v>295</v>
      </c>
      <c r="Y495" s="863">
        <v>7901.28</v>
      </c>
    </row>
    <row r="496" spans="1:25" ht="14.45" customHeight="1" x14ac:dyDescent="0.25">
      <c r="A496" s="722" t="s">
        <v>4678</v>
      </c>
      <c r="B496" s="723">
        <v>280</v>
      </c>
      <c r="C496" s="723"/>
      <c r="D496" s="724" t="s">
        <v>13</v>
      </c>
      <c r="E496" s="724" t="s">
        <v>3764</v>
      </c>
      <c r="F496" s="725">
        <v>45105</v>
      </c>
      <c r="G496" s="725"/>
      <c r="H496" s="724" t="s">
        <v>23</v>
      </c>
      <c r="I496" s="441"/>
      <c r="J496" s="442"/>
      <c r="K496" s="720">
        <v>70</v>
      </c>
      <c r="L496" s="744">
        <v>2.9492392857142855</v>
      </c>
      <c r="M496" s="767"/>
      <c r="N496" s="767"/>
      <c r="O496" s="728" t="s">
        <v>3301</v>
      </c>
      <c r="P496" s="721">
        <v>311.5</v>
      </c>
      <c r="Q496" s="729">
        <v>70</v>
      </c>
      <c r="R496" s="721">
        <v>0.2651</v>
      </c>
      <c r="S496" s="721">
        <v>0.82099999999999995</v>
      </c>
      <c r="T496" s="721">
        <v>82.578699999999998</v>
      </c>
      <c r="U496" s="721">
        <v>255.7415</v>
      </c>
      <c r="V496" s="721">
        <v>10.74</v>
      </c>
      <c r="W496" s="721">
        <v>81.92</v>
      </c>
      <c r="X496" s="721">
        <v>309</v>
      </c>
      <c r="Y496" s="862">
        <v>25516.799999999999</v>
      </c>
    </row>
    <row r="497" spans="1:25" ht="14.45" customHeight="1" x14ac:dyDescent="0.25">
      <c r="A497" s="437" t="s">
        <v>4678</v>
      </c>
      <c r="B497" s="438">
        <v>280</v>
      </c>
      <c r="C497" s="438"/>
      <c r="D497" s="439" t="s">
        <v>13</v>
      </c>
      <c r="E497" s="439" t="s">
        <v>3764</v>
      </c>
      <c r="F497" s="440">
        <v>45105</v>
      </c>
      <c r="G497" s="440"/>
      <c r="H497" s="439" t="s">
        <v>23</v>
      </c>
      <c r="I497" s="449"/>
      <c r="J497" s="450"/>
      <c r="K497" s="443">
        <v>250</v>
      </c>
      <c r="L497" s="444">
        <v>11.953171428571428</v>
      </c>
      <c r="M497" s="463" t="s">
        <v>4258</v>
      </c>
      <c r="N497" s="463"/>
      <c r="O497" s="445" t="s">
        <v>3303</v>
      </c>
      <c r="P497" s="447">
        <v>1262.5</v>
      </c>
      <c r="Q497" s="451">
        <v>250</v>
      </c>
      <c r="R497" s="447">
        <v>0.2651</v>
      </c>
      <c r="S497" s="447">
        <v>0.82099999999999995</v>
      </c>
      <c r="T497" s="447">
        <v>334.68880000000001</v>
      </c>
      <c r="U497" s="447">
        <v>1036.5125</v>
      </c>
      <c r="V497" s="447">
        <v>43.51</v>
      </c>
      <c r="W497" s="447">
        <v>81.92</v>
      </c>
      <c r="X497" s="447">
        <v>309.02</v>
      </c>
      <c r="Y497" s="863">
        <v>103425.52</v>
      </c>
    </row>
    <row r="498" spans="1:25" ht="14.45" customHeight="1" x14ac:dyDescent="0.25">
      <c r="A498" s="722" t="s">
        <v>4678</v>
      </c>
      <c r="B498" s="723" t="s">
        <v>4227</v>
      </c>
      <c r="C498" s="723" t="s">
        <v>4753</v>
      </c>
      <c r="D498" s="724" t="s">
        <v>34</v>
      </c>
      <c r="E498" s="724" t="s">
        <v>576</v>
      </c>
      <c r="F498" s="725">
        <v>45105</v>
      </c>
      <c r="G498" s="725"/>
      <c r="H498" s="724" t="s">
        <v>23</v>
      </c>
      <c r="I498" s="441"/>
      <c r="J498" s="442"/>
      <c r="K498" s="720">
        <v>800</v>
      </c>
      <c r="L498" s="744">
        <v>0</v>
      </c>
      <c r="M498" s="767" t="s">
        <v>4273</v>
      </c>
      <c r="N498" s="767"/>
      <c r="O498" s="728" t="s">
        <v>4228</v>
      </c>
      <c r="P498" s="721">
        <v>2400</v>
      </c>
      <c r="Q498" s="729">
        <v>800</v>
      </c>
      <c r="R498" s="721"/>
      <c r="S498" s="721"/>
      <c r="T498" s="721"/>
      <c r="U498" s="721"/>
      <c r="V498" s="721"/>
      <c r="W498" s="721"/>
      <c r="X498" s="721"/>
      <c r="Y498" s="862">
        <v>315096</v>
      </c>
    </row>
    <row r="499" spans="1:25" ht="14.45" customHeight="1" x14ac:dyDescent="0.25">
      <c r="A499" s="437" t="s">
        <v>4678</v>
      </c>
      <c r="B499" s="438" t="s">
        <v>4238</v>
      </c>
      <c r="C499" s="438" t="s">
        <v>4753</v>
      </c>
      <c r="D499" s="439" t="s">
        <v>13</v>
      </c>
      <c r="E499" s="439" t="s">
        <v>1696</v>
      </c>
      <c r="F499" s="440">
        <v>45106</v>
      </c>
      <c r="G499" s="440"/>
      <c r="H499" s="439" t="s">
        <v>23</v>
      </c>
      <c r="I499" s="449"/>
      <c r="J499" s="450"/>
      <c r="K499" s="443">
        <v>0</v>
      </c>
      <c r="L499" s="444">
        <v>0</v>
      </c>
      <c r="M499" s="463"/>
      <c r="N499" s="463"/>
      <c r="O499" s="445" t="s">
        <v>4229</v>
      </c>
      <c r="P499" s="447">
        <v>420</v>
      </c>
      <c r="Q499" s="451"/>
      <c r="R499" s="447"/>
      <c r="S499" s="447"/>
      <c r="T499" s="447"/>
      <c r="U499" s="447"/>
      <c r="V499" s="447"/>
      <c r="W499" s="447"/>
      <c r="X499" s="447"/>
      <c r="Y499" s="863" t="s">
        <v>4234</v>
      </c>
    </row>
    <row r="500" spans="1:25" ht="14.45" customHeight="1" x14ac:dyDescent="0.25">
      <c r="A500" s="722" t="s">
        <v>4678</v>
      </c>
      <c r="B500" s="723" t="s">
        <v>4238</v>
      </c>
      <c r="C500" s="723" t="s">
        <v>4753</v>
      </c>
      <c r="D500" s="724" t="s">
        <v>13</v>
      </c>
      <c r="E500" s="724" t="s">
        <v>1696</v>
      </c>
      <c r="F500" s="725">
        <v>45106</v>
      </c>
      <c r="G500" s="725"/>
      <c r="H500" s="724" t="s">
        <v>23</v>
      </c>
      <c r="I500" s="441"/>
      <c r="J500" s="442"/>
      <c r="K500" s="720">
        <v>0</v>
      </c>
      <c r="L500" s="744">
        <v>0</v>
      </c>
      <c r="M500" s="767"/>
      <c r="N500" s="767"/>
      <c r="O500" s="728" t="s">
        <v>4230</v>
      </c>
      <c r="P500" s="721">
        <v>600</v>
      </c>
      <c r="Q500" s="729"/>
      <c r="R500" s="721"/>
      <c r="S500" s="721"/>
      <c r="T500" s="721"/>
      <c r="U500" s="721"/>
      <c r="V500" s="721"/>
      <c r="W500" s="721"/>
      <c r="X500" s="721"/>
      <c r="Y500" s="862" t="s">
        <v>4235</v>
      </c>
    </row>
    <row r="501" spans="1:25" ht="14.45" customHeight="1" x14ac:dyDescent="0.25">
      <c r="A501" s="437" t="s">
        <v>4678</v>
      </c>
      <c r="B501" s="438" t="s">
        <v>4238</v>
      </c>
      <c r="C501" s="438" t="s">
        <v>4753</v>
      </c>
      <c r="D501" s="439" t="s">
        <v>13</v>
      </c>
      <c r="E501" s="439" t="s">
        <v>1696</v>
      </c>
      <c r="F501" s="440">
        <v>45106</v>
      </c>
      <c r="G501" s="440"/>
      <c r="H501" s="439" t="s">
        <v>23</v>
      </c>
      <c r="I501" s="449"/>
      <c r="J501" s="450"/>
      <c r="K501" s="443">
        <v>0</v>
      </c>
      <c r="L501" s="444">
        <v>0</v>
      </c>
      <c r="M501" s="463"/>
      <c r="N501" s="463"/>
      <c r="O501" s="445" t="s">
        <v>4231</v>
      </c>
      <c r="P501" s="447">
        <v>420</v>
      </c>
      <c r="Q501" s="451"/>
      <c r="R501" s="447"/>
      <c r="S501" s="447"/>
      <c r="T501" s="447"/>
      <c r="U501" s="447"/>
      <c r="V501" s="447"/>
      <c r="W501" s="447"/>
      <c r="X501" s="447"/>
      <c r="Y501" s="863" t="s">
        <v>4236</v>
      </c>
    </row>
    <row r="502" spans="1:25" ht="14.45" customHeight="1" x14ac:dyDescent="0.25">
      <c r="A502" s="722" t="s">
        <v>4678</v>
      </c>
      <c r="B502" s="723" t="s">
        <v>4238</v>
      </c>
      <c r="C502" s="723" t="s">
        <v>4753</v>
      </c>
      <c r="D502" s="724" t="s">
        <v>13</v>
      </c>
      <c r="E502" s="724" t="s">
        <v>1696</v>
      </c>
      <c r="F502" s="725">
        <v>45106</v>
      </c>
      <c r="G502" s="725"/>
      <c r="H502" s="724" t="s">
        <v>23</v>
      </c>
      <c r="I502" s="441"/>
      <c r="J502" s="442"/>
      <c r="K502" s="720">
        <v>0</v>
      </c>
      <c r="L502" s="744">
        <v>0</v>
      </c>
      <c r="M502" s="767"/>
      <c r="N502" s="767"/>
      <c r="O502" s="728" t="s">
        <v>4232</v>
      </c>
      <c r="P502" s="721">
        <v>180</v>
      </c>
      <c r="Q502" s="729"/>
      <c r="R502" s="721"/>
      <c r="S502" s="721"/>
      <c r="T502" s="721"/>
      <c r="U502" s="721"/>
      <c r="V502" s="721"/>
      <c r="W502" s="721"/>
      <c r="X502" s="721"/>
      <c r="Y502" s="862" t="s">
        <v>4237</v>
      </c>
    </row>
    <row r="503" spans="1:25" ht="14.45" customHeight="1" x14ac:dyDescent="0.25">
      <c r="A503" s="437" t="s">
        <v>4678</v>
      </c>
      <c r="B503" s="438" t="s">
        <v>4238</v>
      </c>
      <c r="C503" s="438" t="s">
        <v>4753</v>
      </c>
      <c r="D503" s="439" t="s">
        <v>13</v>
      </c>
      <c r="E503" s="439" t="s">
        <v>1696</v>
      </c>
      <c r="F503" s="440">
        <v>45106</v>
      </c>
      <c r="G503" s="440"/>
      <c r="H503" s="439" t="s">
        <v>23</v>
      </c>
      <c r="I503" s="449"/>
      <c r="J503" s="450"/>
      <c r="K503" s="443">
        <v>0</v>
      </c>
      <c r="L503" s="444">
        <v>0</v>
      </c>
      <c r="M503" s="463"/>
      <c r="N503" s="463"/>
      <c r="O503" s="445" t="s">
        <v>4233</v>
      </c>
      <c r="P503" s="447">
        <v>180</v>
      </c>
      <c r="Q503" s="451"/>
      <c r="R503" s="447"/>
      <c r="S503" s="447"/>
      <c r="T503" s="447"/>
      <c r="U503" s="447"/>
      <c r="V503" s="447"/>
      <c r="W503" s="447"/>
      <c r="X503" s="447"/>
      <c r="Y503" s="863" t="s">
        <v>4237</v>
      </c>
    </row>
    <row r="504" spans="1:25" ht="14.45" customHeight="1" x14ac:dyDescent="0.25">
      <c r="A504" s="722" t="s">
        <v>4678</v>
      </c>
      <c r="B504" s="723" t="s">
        <v>4239</v>
      </c>
      <c r="C504" s="723" t="s">
        <v>4753</v>
      </c>
      <c r="D504" s="724" t="s">
        <v>13</v>
      </c>
      <c r="E504" s="724" t="s">
        <v>1696</v>
      </c>
      <c r="F504" s="725">
        <v>45106</v>
      </c>
      <c r="G504" s="725"/>
      <c r="H504" s="724" t="s">
        <v>23</v>
      </c>
      <c r="I504" s="441"/>
      <c r="J504" s="442"/>
      <c r="K504" s="720">
        <v>0</v>
      </c>
      <c r="L504" s="744">
        <v>0</v>
      </c>
      <c r="M504" s="767"/>
      <c r="N504" s="767"/>
      <c r="O504" s="728" t="s">
        <v>4240</v>
      </c>
      <c r="P504" s="721">
        <v>150</v>
      </c>
      <c r="Q504" s="729"/>
      <c r="R504" s="721"/>
      <c r="S504" s="721"/>
      <c r="T504" s="721"/>
      <c r="U504" s="721"/>
      <c r="V504" s="721"/>
      <c r="W504" s="721"/>
      <c r="X504" s="721"/>
      <c r="Y504" s="862">
        <v>10905</v>
      </c>
    </row>
    <row r="505" spans="1:25" ht="14.45" customHeight="1" x14ac:dyDescent="0.25">
      <c r="A505" s="437" t="s">
        <v>4678</v>
      </c>
      <c r="B505" s="438">
        <v>273</v>
      </c>
      <c r="C505" s="438"/>
      <c r="D505" s="439" t="s">
        <v>13</v>
      </c>
      <c r="E505" s="439" t="s">
        <v>672</v>
      </c>
      <c r="F505" s="440">
        <v>45106</v>
      </c>
      <c r="G505" s="440"/>
      <c r="H505" s="439" t="s">
        <v>23</v>
      </c>
      <c r="I505" s="449"/>
      <c r="J505" s="450"/>
      <c r="K505" s="443">
        <v>152</v>
      </c>
      <c r="L505" s="444">
        <v>10.097142857142858</v>
      </c>
      <c r="M505" s="463"/>
      <c r="N505" s="463"/>
      <c r="O505" s="445" t="s">
        <v>4208</v>
      </c>
      <c r="P505" s="447">
        <v>912</v>
      </c>
      <c r="Q505" s="451">
        <v>152</v>
      </c>
      <c r="R505" s="447">
        <v>0.31</v>
      </c>
      <c r="S505" s="447">
        <v>1.2010000000000001</v>
      </c>
      <c r="T505" s="447">
        <v>282.72000000000003</v>
      </c>
      <c r="U505" s="447">
        <v>1095.3119999999999</v>
      </c>
      <c r="V505" s="447">
        <v>36.75</v>
      </c>
      <c r="W505" s="447">
        <v>91.45</v>
      </c>
      <c r="X505" s="447">
        <v>295</v>
      </c>
      <c r="Y505" s="863">
        <v>83402.399999999994</v>
      </c>
    </row>
    <row r="506" spans="1:25" ht="14.45" customHeight="1" x14ac:dyDescent="0.25">
      <c r="A506" s="722" t="s">
        <v>4678</v>
      </c>
      <c r="B506" s="723" t="s">
        <v>4241</v>
      </c>
      <c r="C506" s="723" t="s">
        <v>4753</v>
      </c>
      <c r="D506" s="724" t="s">
        <v>34</v>
      </c>
      <c r="E506" s="724" t="s">
        <v>284</v>
      </c>
      <c r="F506" s="725">
        <v>45106</v>
      </c>
      <c r="G506" s="725"/>
      <c r="H506" s="724" t="s">
        <v>23</v>
      </c>
      <c r="I506" s="441"/>
      <c r="J506" s="442"/>
      <c r="K506" s="720">
        <v>12</v>
      </c>
      <c r="L506" s="744">
        <v>0</v>
      </c>
      <c r="M506" s="767" t="s">
        <v>4242</v>
      </c>
      <c r="N506" s="767"/>
      <c r="O506" s="728" t="s">
        <v>3866</v>
      </c>
      <c r="P506" s="721">
        <v>72.599999999999994</v>
      </c>
      <c r="Q506" s="729">
        <v>12</v>
      </c>
      <c r="R506" s="721"/>
      <c r="S506" s="721"/>
      <c r="T506" s="721"/>
      <c r="U506" s="721"/>
      <c r="V506" s="721"/>
      <c r="W506" s="721"/>
      <c r="X506" s="721"/>
      <c r="Y506" s="862">
        <v>14326.16</v>
      </c>
    </row>
    <row r="507" spans="1:25" ht="14.45" customHeight="1" x14ac:dyDescent="0.25">
      <c r="A507" s="437" t="s">
        <v>4678</v>
      </c>
      <c r="B507" s="438" t="s">
        <v>4241</v>
      </c>
      <c r="C507" s="438" t="s">
        <v>4753</v>
      </c>
      <c r="D507" s="439" t="s">
        <v>34</v>
      </c>
      <c r="E507" s="439" t="s">
        <v>284</v>
      </c>
      <c r="F507" s="440">
        <v>45106</v>
      </c>
      <c r="G507" s="440"/>
      <c r="H507" s="439" t="s">
        <v>23</v>
      </c>
      <c r="I507" s="449"/>
      <c r="J507" s="450"/>
      <c r="K507" s="443">
        <v>10</v>
      </c>
      <c r="L507" s="444">
        <v>0</v>
      </c>
      <c r="M507" s="463" t="s">
        <v>4242</v>
      </c>
      <c r="N507" s="463"/>
      <c r="O507" s="445" t="s">
        <v>3864</v>
      </c>
      <c r="P507" s="447">
        <v>60.5</v>
      </c>
      <c r="Q507" s="451">
        <v>10</v>
      </c>
      <c r="R507" s="447"/>
      <c r="S507" s="447"/>
      <c r="T507" s="447"/>
      <c r="U507" s="447"/>
      <c r="V507" s="447"/>
      <c r="W507" s="447"/>
      <c r="X507" s="447"/>
      <c r="Y507" s="863">
        <v>11938.47</v>
      </c>
    </row>
    <row r="508" spans="1:25" ht="14.45" customHeight="1" x14ac:dyDescent="0.25">
      <c r="A508" s="722" t="s">
        <v>4678</v>
      </c>
      <c r="B508" s="723" t="s">
        <v>4241</v>
      </c>
      <c r="C508" s="723" t="s">
        <v>4753</v>
      </c>
      <c r="D508" s="724" t="s">
        <v>34</v>
      </c>
      <c r="E508" s="724" t="s">
        <v>284</v>
      </c>
      <c r="F508" s="725">
        <v>45106</v>
      </c>
      <c r="G508" s="725"/>
      <c r="H508" s="724" t="s">
        <v>23</v>
      </c>
      <c r="I508" s="441"/>
      <c r="J508" s="442"/>
      <c r="K508" s="720">
        <v>14</v>
      </c>
      <c r="L508" s="744">
        <v>0</v>
      </c>
      <c r="M508" s="767" t="s">
        <v>4242</v>
      </c>
      <c r="N508" s="767"/>
      <c r="O508" s="728" t="s">
        <v>3867</v>
      </c>
      <c r="P508" s="721">
        <v>84.7</v>
      </c>
      <c r="Q508" s="729">
        <v>14</v>
      </c>
      <c r="R508" s="721"/>
      <c r="S508" s="721"/>
      <c r="T508" s="721"/>
      <c r="U508" s="721"/>
      <c r="V508" s="721"/>
      <c r="W508" s="721"/>
      <c r="X508" s="721"/>
      <c r="Y508" s="862">
        <v>16713.849999999999</v>
      </c>
    </row>
    <row r="509" spans="1:25" ht="14.45" customHeight="1" x14ac:dyDescent="0.25">
      <c r="A509" s="437" t="s">
        <v>4678</v>
      </c>
      <c r="B509" s="438" t="s">
        <v>4241</v>
      </c>
      <c r="C509" s="438" t="s">
        <v>4753</v>
      </c>
      <c r="D509" s="439" t="s">
        <v>34</v>
      </c>
      <c r="E509" s="439" t="s">
        <v>284</v>
      </c>
      <c r="F509" s="440">
        <v>45106</v>
      </c>
      <c r="G509" s="440"/>
      <c r="H509" s="439" t="s">
        <v>23</v>
      </c>
      <c r="I509" s="449"/>
      <c r="J509" s="450"/>
      <c r="K509" s="443">
        <v>6</v>
      </c>
      <c r="L509" s="444">
        <v>0</v>
      </c>
      <c r="M509" s="463" t="s">
        <v>4242</v>
      </c>
      <c r="N509" s="463"/>
      <c r="O509" s="445" t="s">
        <v>3951</v>
      </c>
      <c r="P509" s="447">
        <v>36.299999999999997</v>
      </c>
      <c r="Q509" s="451">
        <v>6</v>
      </c>
      <c r="R509" s="447"/>
      <c r="S509" s="447"/>
      <c r="T509" s="447"/>
      <c r="U509" s="447"/>
      <c r="V509" s="847" t="s">
        <v>4319</v>
      </c>
      <c r="W509" s="447"/>
      <c r="X509" s="447"/>
      <c r="Y509" s="863">
        <v>7161.08</v>
      </c>
    </row>
    <row r="510" spans="1:25" ht="14.45" customHeight="1" x14ac:dyDescent="0.25">
      <c r="A510" s="722" t="s">
        <v>4678</v>
      </c>
      <c r="B510" s="723">
        <v>281</v>
      </c>
      <c r="C510" s="723"/>
      <c r="D510" s="724" t="s">
        <v>34</v>
      </c>
      <c r="E510" s="724" t="s">
        <v>3404</v>
      </c>
      <c r="F510" s="725">
        <v>45106</v>
      </c>
      <c r="G510" s="725"/>
      <c r="H510" s="724" t="s">
        <v>23</v>
      </c>
      <c r="I510" s="441"/>
      <c r="J510" s="442"/>
      <c r="K510" s="720">
        <v>355</v>
      </c>
      <c r="L510" s="744">
        <v>6.4026785714285719</v>
      </c>
      <c r="M510" s="767" t="s">
        <v>4243</v>
      </c>
      <c r="N510" s="767"/>
      <c r="O510" s="728" t="s">
        <v>3405</v>
      </c>
      <c r="P510" s="726">
        <v>1775</v>
      </c>
      <c r="Q510" s="727">
        <v>355</v>
      </c>
      <c r="R510" s="721">
        <v>0.10100000000000001</v>
      </c>
      <c r="S510" s="721">
        <v>0.30599999999999999</v>
      </c>
      <c r="T510" s="721">
        <v>179.27500000000001</v>
      </c>
      <c r="U510" s="721">
        <v>543.15</v>
      </c>
      <c r="V510" s="721">
        <v>23.31</v>
      </c>
      <c r="W510" s="721">
        <v>24.54</v>
      </c>
      <c r="X510" s="721">
        <v>243</v>
      </c>
      <c r="Y510" s="862">
        <v>43558.5</v>
      </c>
    </row>
    <row r="511" spans="1:25" ht="14.45" customHeight="1" x14ac:dyDescent="0.25">
      <c r="A511" s="437" t="s">
        <v>4678</v>
      </c>
      <c r="B511" s="438">
        <v>281</v>
      </c>
      <c r="C511" s="438"/>
      <c r="D511" s="439" t="s">
        <v>34</v>
      </c>
      <c r="E511" s="439" t="s">
        <v>3404</v>
      </c>
      <c r="F511" s="440">
        <v>45106</v>
      </c>
      <c r="G511" s="440"/>
      <c r="H511" s="439" t="s">
        <v>23</v>
      </c>
      <c r="I511" s="449"/>
      <c r="J511" s="450"/>
      <c r="K511" s="443">
        <v>302</v>
      </c>
      <c r="L511" s="444">
        <v>11.842714285714285</v>
      </c>
      <c r="M511" s="463" t="s">
        <v>4243</v>
      </c>
      <c r="N511" s="463"/>
      <c r="O511" s="445" t="s">
        <v>3406</v>
      </c>
      <c r="P511" s="458">
        <v>1510</v>
      </c>
      <c r="Q511" s="459">
        <v>302</v>
      </c>
      <c r="R511" s="447">
        <v>0.21959999999999999</v>
      </c>
      <c r="S511" s="447">
        <v>0.35</v>
      </c>
      <c r="T511" s="447">
        <v>331.596</v>
      </c>
      <c r="U511" s="447">
        <v>528.5</v>
      </c>
      <c r="V511" s="447">
        <v>43.11</v>
      </c>
      <c r="W511" s="447">
        <v>53.36</v>
      </c>
      <c r="X511" s="447">
        <v>243</v>
      </c>
      <c r="Y511" s="863">
        <v>80573.600000000006</v>
      </c>
    </row>
    <row r="512" spans="1:25" ht="14.45" customHeight="1" x14ac:dyDescent="0.25">
      <c r="A512" s="722" t="s">
        <v>4678</v>
      </c>
      <c r="B512" s="723">
        <v>281</v>
      </c>
      <c r="C512" s="723"/>
      <c r="D512" s="724" t="s">
        <v>34</v>
      </c>
      <c r="E512" s="724" t="s">
        <v>3404</v>
      </c>
      <c r="F512" s="725">
        <v>45106</v>
      </c>
      <c r="G512" s="725"/>
      <c r="H512" s="724" t="s">
        <v>23</v>
      </c>
      <c r="I512" s="441"/>
      <c r="J512" s="442"/>
      <c r="K512" s="720">
        <v>189</v>
      </c>
      <c r="L512" s="744">
        <v>8.4948750000000004</v>
      </c>
      <c r="M512" s="767" t="s">
        <v>4243</v>
      </c>
      <c r="N512" s="767"/>
      <c r="O512" s="728" t="s">
        <v>3407</v>
      </c>
      <c r="P512" s="726">
        <v>945</v>
      </c>
      <c r="Q512" s="727">
        <v>189</v>
      </c>
      <c r="R512" s="721">
        <v>0.25169999999999998</v>
      </c>
      <c r="S512" s="721">
        <v>0.56699999999999995</v>
      </c>
      <c r="T512" s="721">
        <v>237.85650000000001</v>
      </c>
      <c r="U512" s="721">
        <v>535.81500000000005</v>
      </c>
      <c r="V512" s="721">
        <v>30.92</v>
      </c>
      <c r="W512" s="721">
        <v>61.16</v>
      </c>
      <c r="X512" s="721">
        <v>243</v>
      </c>
      <c r="Y512" s="862">
        <v>57796.2</v>
      </c>
    </row>
    <row r="513" spans="1:25" ht="14.45" customHeight="1" x14ac:dyDescent="0.25">
      <c r="A513" s="437" t="s">
        <v>4678</v>
      </c>
      <c r="B513" s="438">
        <v>284</v>
      </c>
      <c r="C513" s="438"/>
      <c r="D513" s="439" t="s">
        <v>13</v>
      </c>
      <c r="E513" s="439" t="s">
        <v>4247</v>
      </c>
      <c r="F513" s="440">
        <v>45111</v>
      </c>
      <c r="G513" s="440"/>
      <c r="H513" s="439" t="s">
        <v>23</v>
      </c>
      <c r="I513" s="449"/>
      <c r="J513" s="450"/>
      <c r="K513" s="443">
        <v>108</v>
      </c>
      <c r="L513" s="444">
        <v>7.6556571428571427</v>
      </c>
      <c r="M513" s="463" t="s">
        <v>4271</v>
      </c>
      <c r="N513" s="463"/>
      <c r="O513" s="445" t="s">
        <v>4246</v>
      </c>
      <c r="P513" s="447">
        <v>648</v>
      </c>
      <c r="Q513" s="451">
        <v>108</v>
      </c>
      <c r="R513" s="447">
        <v>0.33079999999999998</v>
      </c>
      <c r="S513" s="447">
        <v>1.4950000000000001</v>
      </c>
      <c r="T513" s="447">
        <v>214.35839999999999</v>
      </c>
      <c r="U513" s="447">
        <v>968.76</v>
      </c>
      <c r="V513" s="447">
        <v>27.87</v>
      </c>
      <c r="W513" s="447">
        <v>94.28</v>
      </c>
      <c r="X513" s="447">
        <v>285</v>
      </c>
      <c r="Y513" s="863">
        <v>61093.440000000002</v>
      </c>
    </row>
    <row r="514" spans="1:25" ht="14.45" customHeight="1" x14ac:dyDescent="0.25">
      <c r="A514" s="722" t="s">
        <v>4678</v>
      </c>
      <c r="B514" s="723" t="s">
        <v>3134</v>
      </c>
      <c r="C514" s="723" t="s">
        <v>4753</v>
      </c>
      <c r="D514" s="724" t="s">
        <v>13</v>
      </c>
      <c r="E514" s="724" t="s">
        <v>43</v>
      </c>
      <c r="F514" s="725">
        <v>45111</v>
      </c>
      <c r="G514" s="725"/>
      <c r="H514" s="724" t="s">
        <v>23</v>
      </c>
      <c r="I514" s="441"/>
      <c r="J514" s="442"/>
      <c r="K514" s="720">
        <v>0</v>
      </c>
      <c r="L514" s="744">
        <v>0</v>
      </c>
      <c r="M514" s="767" t="s">
        <v>3080</v>
      </c>
      <c r="N514" s="767"/>
      <c r="O514" s="728" t="s">
        <v>2165</v>
      </c>
      <c r="P514" s="721">
        <v>132.6</v>
      </c>
      <c r="Q514" s="729"/>
      <c r="R514" s="721"/>
      <c r="S514" s="721"/>
      <c r="T514" s="721"/>
      <c r="U514" s="721"/>
      <c r="V514" s="721"/>
      <c r="W514" s="721"/>
      <c r="X514" s="721"/>
      <c r="Y514" s="862" t="s">
        <v>2928</v>
      </c>
    </row>
    <row r="515" spans="1:25" ht="14.45" customHeight="1" x14ac:dyDescent="0.25">
      <c r="A515" s="437" t="s">
        <v>4678</v>
      </c>
      <c r="B515" s="438" t="s">
        <v>3130</v>
      </c>
      <c r="C515" s="438" t="s">
        <v>4753</v>
      </c>
      <c r="D515" s="439" t="s">
        <v>13</v>
      </c>
      <c r="E515" s="438" t="s">
        <v>585</v>
      </c>
      <c r="F515" s="440">
        <v>45112</v>
      </c>
      <c r="G515" s="440"/>
      <c r="H515" s="439" t="s">
        <v>23</v>
      </c>
      <c r="I515" s="449"/>
      <c r="J515" s="450"/>
      <c r="K515" s="443">
        <v>40</v>
      </c>
      <c r="L515" s="444">
        <v>0</v>
      </c>
      <c r="M515" s="463"/>
      <c r="N515" s="463"/>
      <c r="O515" s="445" t="s">
        <v>214</v>
      </c>
      <c r="P515" s="447"/>
      <c r="Q515" s="451">
        <v>40</v>
      </c>
      <c r="R515" s="447"/>
      <c r="S515" s="447"/>
      <c r="T515" s="447"/>
      <c r="U515" s="447"/>
      <c r="V515" s="447"/>
      <c r="W515" s="447"/>
      <c r="X515" s="447"/>
      <c r="Y515" s="863" t="s">
        <v>4248</v>
      </c>
    </row>
    <row r="516" spans="1:25" ht="14.45" customHeight="1" x14ac:dyDescent="0.25">
      <c r="A516" s="722" t="s">
        <v>4678</v>
      </c>
      <c r="B516" s="723" t="s">
        <v>3130</v>
      </c>
      <c r="C516" s="723" t="s">
        <v>4753</v>
      </c>
      <c r="D516" s="724" t="s">
        <v>13</v>
      </c>
      <c r="E516" s="723" t="s">
        <v>585</v>
      </c>
      <c r="F516" s="725">
        <v>45112</v>
      </c>
      <c r="G516" s="725"/>
      <c r="H516" s="724" t="s">
        <v>23</v>
      </c>
      <c r="I516" s="441"/>
      <c r="J516" s="442"/>
      <c r="K516" s="720">
        <v>40</v>
      </c>
      <c r="L516" s="744">
        <v>0</v>
      </c>
      <c r="M516" s="767"/>
      <c r="N516" s="767"/>
      <c r="O516" s="728" t="s">
        <v>216</v>
      </c>
      <c r="P516" s="721"/>
      <c r="Q516" s="729">
        <v>40</v>
      </c>
      <c r="R516" s="721"/>
      <c r="S516" s="721"/>
      <c r="T516" s="721"/>
      <c r="U516" s="721"/>
      <c r="V516" s="721"/>
      <c r="W516" s="721"/>
      <c r="X516" s="721"/>
      <c r="Y516" s="862" t="s">
        <v>4249</v>
      </c>
    </row>
    <row r="517" spans="1:25" ht="14.45" customHeight="1" x14ac:dyDescent="0.25">
      <c r="A517" s="437" t="s">
        <v>4678</v>
      </c>
      <c r="B517" s="438" t="s">
        <v>3130</v>
      </c>
      <c r="C517" s="438" t="s">
        <v>4753</v>
      </c>
      <c r="D517" s="439" t="s">
        <v>13</v>
      </c>
      <c r="E517" s="438" t="s">
        <v>585</v>
      </c>
      <c r="F517" s="440">
        <v>45112</v>
      </c>
      <c r="G517" s="440"/>
      <c r="H517" s="439" t="s">
        <v>23</v>
      </c>
      <c r="I517" s="449"/>
      <c r="J517" s="450"/>
      <c r="K517" s="443">
        <v>40</v>
      </c>
      <c r="L517" s="444">
        <v>0</v>
      </c>
      <c r="M517" s="463"/>
      <c r="N517" s="463"/>
      <c r="O517" s="445" t="s">
        <v>219</v>
      </c>
      <c r="P517" s="447"/>
      <c r="Q517" s="451">
        <v>40</v>
      </c>
      <c r="R517" s="447"/>
      <c r="S517" s="447"/>
      <c r="T517" s="447"/>
      <c r="U517" s="447"/>
      <c r="V517" s="447"/>
      <c r="W517" s="447"/>
      <c r="X517" s="447"/>
      <c r="Y517" s="863" t="s">
        <v>4250</v>
      </c>
    </row>
    <row r="518" spans="1:25" ht="14.45" customHeight="1" x14ac:dyDescent="0.25">
      <c r="A518" s="722" t="s">
        <v>4678</v>
      </c>
      <c r="B518" s="723" t="s">
        <v>3130</v>
      </c>
      <c r="C518" s="723" t="s">
        <v>4753</v>
      </c>
      <c r="D518" s="724" t="s">
        <v>13</v>
      </c>
      <c r="E518" s="723" t="s">
        <v>585</v>
      </c>
      <c r="F518" s="725">
        <v>45112</v>
      </c>
      <c r="G518" s="725"/>
      <c r="H518" s="724" t="s">
        <v>23</v>
      </c>
      <c r="I518" s="441"/>
      <c r="J518" s="442"/>
      <c r="K518" s="720">
        <v>18</v>
      </c>
      <c r="L518" s="744">
        <v>0</v>
      </c>
      <c r="M518" s="767"/>
      <c r="N518" s="767"/>
      <c r="O518" s="728" t="s">
        <v>710</v>
      </c>
      <c r="P518" s="721"/>
      <c r="Q518" s="729">
        <v>18</v>
      </c>
      <c r="R518" s="721"/>
      <c r="S518" s="721"/>
      <c r="T518" s="721"/>
      <c r="U518" s="721"/>
      <c r="V518" s="721"/>
      <c r="W518" s="721"/>
      <c r="X518" s="721"/>
      <c r="Y518" s="862" t="s">
        <v>4251</v>
      </c>
    </row>
    <row r="519" spans="1:25" ht="14.45" customHeight="1" x14ac:dyDescent="0.25">
      <c r="A519" s="437" t="s">
        <v>4678</v>
      </c>
      <c r="B519" s="438" t="s">
        <v>3130</v>
      </c>
      <c r="C519" s="438" t="s">
        <v>4753</v>
      </c>
      <c r="D519" s="439" t="s">
        <v>13</v>
      </c>
      <c r="E519" s="438" t="s">
        <v>585</v>
      </c>
      <c r="F519" s="440">
        <v>45112</v>
      </c>
      <c r="G519" s="440"/>
      <c r="H519" s="439" t="s">
        <v>23</v>
      </c>
      <c r="I519" s="449"/>
      <c r="J519" s="450"/>
      <c r="K519" s="443">
        <v>18</v>
      </c>
      <c r="L519" s="444">
        <v>0</v>
      </c>
      <c r="M519" s="463"/>
      <c r="N519" s="463"/>
      <c r="O519" s="445" t="s">
        <v>711</v>
      </c>
      <c r="P519" s="447"/>
      <c r="Q519" s="451">
        <v>18</v>
      </c>
      <c r="R519" s="447"/>
      <c r="S519" s="447"/>
      <c r="T519" s="447"/>
      <c r="U519" s="447"/>
      <c r="V519" s="447"/>
      <c r="W519" s="447"/>
      <c r="X519" s="447"/>
      <c r="Y519" s="863" t="s">
        <v>4251</v>
      </c>
    </row>
    <row r="520" spans="1:25" ht="14.45" customHeight="1" x14ac:dyDescent="0.25">
      <c r="A520" s="722" t="s">
        <v>4678</v>
      </c>
      <c r="B520" s="723" t="s">
        <v>3130</v>
      </c>
      <c r="C520" s="723" t="s">
        <v>4753</v>
      </c>
      <c r="D520" s="724" t="s">
        <v>13</v>
      </c>
      <c r="E520" s="723" t="s">
        <v>585</v>
      </c>
      <c r="F520" s="725">
        <v>45112</v>
      </c>
      <c r="G520" s="725"/>
      <c r="H520" s="724" t="s">
        <v>23</v>
      </c>
      <c r="I520" s="441"/>
      <c r="J520" s="442"/>
      <c r="K520" s="720">
        <v>18</v>
      </c>
      <c r="L520" s="744">
        <v>0</v>
      </c>
      <c r="M520" s="767"/>
      <c r="N520" s="767"/>
      <c r="O520" s="728" t="s">
        <v>712</v>
      </c>
      <c r="P520" s="721"/>
      <c r="Q520" s="729">
        <v>18</v>
      </c>
      <c r="R520" s="721"/>
      <c r="S520" s="721"/>
      <c r="T520" s="721"/>
      <c r="U520" s="721"/>
      <c r="V520" s="721"/>
      <c r="W520" s="721"/>
      <c r="X520" s="721"/>
      <c r="Y520" s="862" t="s">
        <v>470</v>
      </c>
    </row>
    <row r="521" spans="1:25" ht="14.45" customHeight="1" x14ac:dyDescent="0.25">
      <c r="A521" s="437" t="s">
        <v>4678</v>
      </c>
      <c r="B521" s="438" t="s">
        <v>3130</v>
      </c>
      <c r="C521" s="438" t="s">
        <v>4753</v>
      </c>
      <c r="D521" s="439" t="s">
        <v>13</v>
      </c>
      <c r="E521" s="438" t="s">
        <v>585</v>
      </c>
      <c r="F521" s="440">
        <v>45112</v>
      </c>
      <c r="G521" s="440"/>
      <c r="H521" s="439" t="s">
        <v>23</v>
      </c>
      <c r="I521" s="449"/>
      <c r="J521" s="450"/>
      <c r="K521" s="443">
        <v>36</v>
      </c>
      <c r="L521" s="444">
        <v>0</v>
      </c>
      <c r="M521" s="463"/>
      <c r="N521" s="463"/>
      <c r="O521" s="445" t="s">
        <v>713</v>
      </c>
      <c r="P521" s="447"/>
      <c r="Q521" s="451">
        <v>36</v>
      </c>
      <c r="R521" s="447"/>
      <c r="S521" s="447"/>
      <c r="T521" s="447"/>
      <c r="U521" s="447"/>
      <c r="V521" s="447"/>
      <c r="W521" s="447"/>
      <c r="X521" s="447"/>
      <c r="Y521" s="863" t="s">
        <v>4252</v>
      </c>
    </row>
    <row r="522" spans="1:25" ht="14.45" customHeight="1" x14ac:dyDescent="0.25">
      <c r="A522" s="722" t="s">
        <v>4678</v>
      </c>
      <c r="B522" s="723" t="s">
        <v>3130</v>
      </c>
      <c r="C522" s="723" t="s">
        <v>4753</v>
      </c>
      <c r="D522" s="724" t="s">
        <v>13</v>
      </c>
      <c r="E522" s="723" t="s">
        <v>585</v>
      </c>
      <c r="F522" s="725">
        <v>45112</v>
      </c>
      <c r="G522" s="725"/>
      <c r="H522" s="724" t="s">
        <v>23</v>
      </c>
      <c r="I522" s="441"/>
      <c r="J522" s="442"/>
      <c r="K522" s="720">
        <v>30</v>
      </c>
      <c r="L522" s="744">
        <v>0</v>
      </c>
      <c r="M522" s="767"/>
      <c r="N522" s="767"/>
      <c r="O522" s="728" t="s">
        <v>714</v>
      </c>
      <c r="P522" s="721"/>
      <c r="Q522" s="729">
        <v>30</v>
      </c>
      <c r="R522" s="721"/>
      <c r="S522" s="721"/>
      <c r="T522" s="721"/>
      <c r="U522" s="721"/>
      <c r="V522" s="721"/>
      <c r="W522" s="721"/>
      <c r="X522" s="721"/>
      <c r="Y522" s="862" t="s">
        <v>1557</v>
      </c>
    </row>
    <row r="523" spans="1:25" ht="14.45" customHeight="1" x14ac:dyDescent="0.25">
      <c r="A523" s="437" t="s">
        <v>4678</v>
      </c>
      <c r="B523" s="438" t="s">
        <v>3130</v>
      </c>
      <c r="C523" s="438" t="s">
        <v>4753</v>
      </c>
      <c r="D523" s="439" t="s">
        <v>13</v>
      </c>
      <c r="E523" s="438" t="s">
        <v>585</v>
      </c>
      <c r="F523" s="440">
        <v>45112</v>
      </c>
      <c r="G523" s="440"/>
      <c r="H523" s="439" t="s">
        <v>23</v>
      </c>
      <c r="I523" s="449"/>
      <c r="J523" s="450"/>
      <c r="K523" s="443">
        <v>6</v>
      </c>
      <c r="L523" s="444">
        <v>0</v>
      </c>
      <c r="M523" s="463"/>
      <c r="N523" s="463"/>
      <c r="O523" s="445" t="s">
        <v>715</v>
      </c>
      <c r="P523" s="447"/>
      <c r="Q523" s="451">
        <v>6</v>
      </c>
      <c r="R523" s="447"/>
      <c r="S523" s="447"/>
      <c r="T523" s="447"/>
      <c r="U523" s="447"/>
      <c r="V523" s="447"/>
      <c r="W523" s="447"/>
      <c r="X523" s="447"/>
      <c r="Y523" s="863" t="s">
        <v>4253</v>
      </c>
    </row>
    <row r="524" spans="1:25" ht="14.45" customHeight="1" x14ac:dyDescent="0.25">
      <c r="A524" s="722" t="s">
        <v>4678</v>
      </c>
      <c r="B524" s="723" t="s">
        <v>3130</v>
      </c>
      <c r="C524" s="723" t="s">
        <v>4753</v>
      </c>
      <c r="D524" s="724" t="s">
        <v>13</v>
      </c>
      <c r="E524" s="723" t="s">
        <v>585</v>
      </c>
      <c r="F524" s="725">
        <v>45112</v>
      </c>
      <c r="G524" s="725"/>
      <c r="H524" s="724" t="s">
        <v>23</v>
      </c>
      <c r="I524" s="441"/>
      <c r="J524" s="442"/>
      <c r="K524" s="720">
        <v>12</v>
      </c>
      <c r="L524" s="744">
        <v>0</v>
      </c>
      <c r="M524" s="767"/>
      <c r="N524" s="767"/>
      <c r="O524" s="728" t="s">
        <v>718</v>
      </c>
      <c r="P524" s="721"/>
      <c r="Q524" s="729">
        <v>12</v>
      </c>
      <c r="R524" s="721"/>
      <c r="S524" s="721"/>
      <c r="T524" s="721"/>
      <c r="U524" s="721"/>
      <c r="V524" s="721"/>
      <c r="W524" s="721"/>
      <c r="X524" s="721"/>
      <c r="Y524" s="862" t="s">
        <v>419</v>
      </c>
    </row>
    <row r="525" spans="1:25" ht="14.45" customHeight="1" x14ac:dyDescent="0.25">
      <c r="A525" s="437" t="s">
        <v>4678</v>
      </c>
      <c r="B525" s="438" t="s">
        <v>3130</v>
      </c>
      <c r="C525" s="438" t="s">
        <v>4753</v>
      </c>
      <c r="D525" s="439" t="s">
        <v>13</v>
      </c>
      <c r="E525" s="438" t="s">
        <v>585</v>
      </c>
      <c r="F525" s="440">
        <v>45112</v>
      </c>
      <c r="G525" s="440"/>
      <c r="H525" s="439" t="s">
        <v>23</v>
      </c>
      <c r="I525" s="449"/>
      <c r="J525" s="450"/>
      <c r="K525" s="443">
        <v>6</v>
      </c>
      <c r="L525" s="444">
        <v>0</v>
      </c>
      <c r="M525" s="463"/>
      <c r="N525" s="463"/>
      <c r="O525" s="445" t="s">
        <v>719</v>
      </c>
      <c r="P525" s="447"/>
      <c r="Q525" s="451">
        <v>6</v>
      </c>
      <c r="R525" s="447"/>
      <c r="S525" s="447"/>
      <c r="T525" s="447"/>
      <c r="U525" s="447"/>
      <c r="V525" s="447"/>
      <c r="W525" s="447"/>
      <c r="X525" s="447"/>
      <c r="Y525" s="863" t="s">
        <v>371</v>
      </c>
    </row>
    <row r="526" spans="1:25" ht="14.45" customHeight="1" x14ac:dyDescent="0.25">
      <c r="A526" s="722" t="s">
        <v>4678</v>
      </c>
      <c r="B526" s="723" t="s">
        <v>3130</v>
      </c>
      <c r="C526" s="723" t="s">
        <v>4753</v>
      </c>
      <c r="D526" s="724" t="s">
        <v>13</v>
      </c>
      <c r="E526" s="723" t="s">
        <v>585</v>
      </c>
      <c r="F526" s="725">
        <v>45112</v>
      </c>
      <c r="G526" s="725"/>
      <c r="H526" s="464" t="s">
        <v>677</v>
      </c>
      <c r="I526" s="441"/>
      <c r="J526" s="442"/>
      <c r="K526" s="720">
        <v>78</v>
      </c>
      <c r="L526" s="744">
        <v>0</v>
      </c>
      <c r="M526" s="767" t="s">
        <v>4320</v>
      </c>
      <c r="N526" s="767"/>
      <c r="O526" s="728" t="s">
        <v>871</v>
      </c>
      <c r="P526" s="721"/>
      <c r="Q526" s="729">
        <v>78</v>
      </c>
      <c r="R526" s="721"/>
      <c r="S526" s="721"/>
      <c r="T526" s="721"/>
      <c r="U526" s="721"/>
      <c r="V526" s="721"/>
      <c r="W526" s="721"/>
      <c r="X526" s="721"/>
      <c r="Y526" s="862" t="s">
        <v>1341</v>
      </c>
    </row>
    <row r="527" spans="1:25" ht="14.45" customHeight="1" x14ac:dyDescent="0.25">
      <c r="A527" s="437" t="s">
        <v>4678</v>
      </c>
      <c r="B527" s="438" t="s">
        <v>3130</v>
      </c>
      <c r="C527" s="438" t="s">
        <v>4753</v>
      </c>
      <c r="D527" s="439" t="s">
        <v>13</v>
      </c>
      <c r="E527" s="438" t="s">
        <v>585</v>
      </c>
      <c r="F527" s="440">
        <v>45112</v>
      </c>
      <c r="G527" s="440"/>
      <c r="H527" s="464" t="s">
        <v>677</v>
      </c>
      <c r="I527" s="449"/>
      <c r="J527" s="450"/>
      <c r="K527" s="443">
        <v>18</v>
      </c>
      <c r="L527" s="444">
        <v>0</v>
      </c>
      <c r="M527" s="463" t="s">
        <v>4320</v>
      </c>
      <c r="N527" s="463"/>
      <c r="O527" s="445" t="s">
        <v>872</v>
      </c>
      <c r="P527" s="447"/>
      <c r="Q527" s="451">
        <v>18</v>
      </c>
      <c r="R527" s="447"/>
      <c r="S527" s="447"/>
      <c r="T527" s="447"/>
      <c r="U527" s="447"/>
      <c r="V527" s="447"/>
      <c r="W527" s="447"/>
      <c r="X527" s="447"/>
      <c r="Y527" s="863" t="s">
        <v>965</v>
      </c>
    </row>
    <row r="528" spans="1:25" ht="14.45" customHeight="1" x14ac:dyDescent="0.25">
      <c r="A528" s="722" t="s">
        <v>4678</v>
      </c>
      <c r="B528" s="723">
        <v>289</v>
      </c>
      <c r="C528" s="723"/>
      <c r="D528" s="724" t="s">
        <v>13</v>
      </c>
      <c r="E528" s="724" t="s">
        <v>672</v>
      </c>
      <c r="F528" s="725">
        <v>45113</v>
      </c>
      <c r="G528" s="725"/>
      <c r="H528" s="724" t="s">
        <v>23</v>
      </c>
      <c r="I528" s="441"/>
      <c r="J528" s="442"/>
      <c r="K528" s="720">
        <v>254</v>
      </c>
      <c r="L528" s="744">
        <v>8.9988571428571422</v>
      </c>
      <c r="M528" s="767"/>
      <c r="N528" s="767"/>
      <c r="O528" s="728" t="s">
        <v>4210</v>
      </c>
      <c r="P528" s="721">
        <v>812.8</v>
      </c>
      <c r="Q528" s="729">
        <v>254</v>
      </c>
      <c r="R528" s="721">
        <v>0.31</v>
      </c>
      <c r="S528" s="721">
        <v>1.2010000000000001</v>
      </c>
      <c r="T528" s="721">
        <v>251.96799999999999</v>
      </c>
      <c r="U528" s="721">
        <v>976.17280000000005</v>
      </c>
      <c r="V528" s="721">
        <v>32.76</v>
      </c>
      <c r="W528" s="721">
        <v>91.45</v>
      </c>
      <c r="X528" s="721">
        <v>295</v>
      </c>
      <c r="Y528" s="862">
        <v>74330.559999999998</v>
      </c>
    </row>
    <row r="529" spans="1:25" ht="14.45" customHeight="1" x14ac:dyDescent="0.25">
      <c r="A529" s="437" t="s">
        <v>4678</v>
      </c>
      <c r="B529" s="438">
        <v>289</v>
      </c>
      <c r="C529" s="438"/>
      <c r="D529" s="439" t="s">
        <v>13</v>
      </c>
      <c r="E529" s="439" t="s">
        <v>672</v>
      </c>
      <c r="F529" s="440">
        <v>45113</v>
      </c>
      <c r="G529" s="440"/>
      <c r="H529" s="439" t="s">
        <v>23</v>
      </c>
      <c r="I529" s="449"/>
      <c r="J529" s="450"/>
      <c r="K529" s="443">
        <v>294</v>
      </c>
      <c r="L529" s="444">
        <v>13.02</v>
      </c>
      <c r="M529" s="463"/>
      <c r="N529" s="463"/>
      <c r="O529" s="445" t="s">
        <v>4254</v>
      </c>
      <c r="P529" s="447">
        <v>1176</v>
      </c>
      <c r="Q529" s="451">
        <v>294</v>
      </c>
      <c r="R529" s="447">
        <v>0.31</v>
      </c>
      <c r="S529" s="447">
        <v>1.2010000000000001</v>
      </c>
      <c r="T529" s="447">
        <v>364.56</v>
      </c>
      <c r="U529" s="447">
        <v>1412.376</v>
      </c>
      <c r="V529" s="447">
        <v>47.39</v>
      </c>
      <c r="W529" s="447">
        <v>91.45</v>
      </c>
      <c r="X529" s="447">
        <v>295</v>
      </c>
      <c r="Y529" s="863">
        <v>107545.2</v>
      </c>
    </row>
    <row r="530" spans="1:25" ht="14.45" customHeight="1" x14ac:dyDescent="0.25">
      <c r="A530" s="722" t="s">
        <v>4678</v>
      </c>
      <c r="B530" s="723">
        <v>289</v>
      </c>
      <c r="C530" s="723"/>
      <c r="D530" s="724" t="s">
        <v>13</v>
      </c>
      <c r="E530" s="724" t="s">
        <v>672</v>
      </c>
      <c r="F530" s="725">
        <v>45113</v>
      </c>
      <c r="G530" s="725"/>
      <c r="H530" s="724" t="s">
        <v>23</v>
      </c>
      <c r="I530" s="441"/>
      <c r="J530" s="442"/>
      <c r="K530" s="720">
        <v>88</v>
      </c>
      <c r="L530" s="744">
        <v>5.8457142857142861</v>
      </c>
      <c r="M530" s="767"/>
      <c r="N530" s="767"/>
      <c r="O530" s="728" t="s">
        <v>4208</v>
      </c>
      <c r="P530" s="721">
        <v>528</v>
      </c>
      <c r="Q530" s="729">
        <v>88</v>
      </c>
      <c r="R530" s="721">
        <v>0.31</v>
      </c>
      <c r="S530" s="721">
        <v>1.2010000000000001</v>
      </c>
      <c r="T530" s="721">
        <v>163.68</v>
      </c>
      <c r="U530" s="721">
        <v>634.12800000000004</v>
      </c>
      <c r="V530" s="721">
        <v>21.28</v>
      </c>
      <c r="W530" s="721">
        <v>91.45</v>
      </c>
      <c r="X530" s="721">
        <v>295</v>
      </c>
      <c r="Y530" s="862">
        <v>48285.599999999999</v>
      </c>
    </row>
    <row r="531" spans="1:25" ht="14.45" customHeight="1" x14ac:dyDescent="0.25">
      <c r="A531" s="437" t="s">
        <v>4678</v>
      </c>
      <c r="B531" s="438">
        <v>287</v>
      </c>
      <c r="C531" s="438"/>
      <c r="D531" s="439" t="s">
        <v>13</v>
      </c>
      <c r="E531" s="439" t="s">
        <v>3819</v>
      </c>
      <c r="F531" s="440">
        <v>45113</v>
      </c>
      <c r="G531" s="440"/>
      <c r="H531" s="439" t="s">
        <v>23</v>
      </c>
      <c r="I531" s="449"/>
      <c r="J531" s="450"/>
      <c r="K531" s="443">
        <v>65</v>
      </c>
      <c r="L531" s="444">
        <v>4.3178571428571431</v>
      </c>
      <c r="M531" s="463"/>
      <c r="N531" s="463"/>
      <c r="O531" s="445" t="s">
        <v>4208</v>
      </c>
      <c r="P531" s="447">
        <v>390</v>
      </c>
      <c r="Q531" s="451">
        <v>65</v>
      </c>
      <c r="R531" s="447">
        <v>0.31</v>
      </c>
      <c r="S531" s="447">
        <v>1.2010000000000001</v>
      </c>
      <c r="T531" s="447">
        <v>120.9</v>
      </c>
      <c r="U531" s="447">
        <v>468.39</v>
      </c>
      <c r="V531" s="447">
        <v>15.72</v>
      </c>
      <c r="W531" s="447">
        <v>91.45</v>
      </c>
      <c r="X531" s="447">
        <v>295</v>
      </c>
      <c r="Y531" s="863">
        <v>35665.5</v>
      </c>
    </row>
    <row r="532" spans="1:25" ht="14.45" customHeight="1" x14ac:dyDescent="0.25">
      <c r="A532" s="722" t="s">
        <v>4678</v>
      </c>
      <c r="B532" s="723">
        <v>288</v>
      </c>
      <c r="C532" s="723"/>
      <c r="D532" s="724" t="s">
        <v>13</v>
      </c>
      <c r="E532" s="724" t="s">
        <v>3925</v>
      </c>
      <c r="F532" s="725">
        <v>45113</v>
      </c>
      <c r="G532" s="725"/>
      <c r="H532" s="724" t="s">
        <v>23</v>
      </c>
      <c r="I532" s="441"/>
      <c r="J532" s="442"/>
      <c r="K532" s="720">
        <v>60</v>
      </c>
      <c r="L532" s="744">
        <v>3.9857142857142853</v>
      </c>
      <c r="M532" s="767" t="s">
        <v>595</v>
      </c>
      <c r="N532" s="767"/>
      <c r="O532" s="728" t="s">
        <v>4208</v>
      </c>
      <c r="P532" s="721">
        <v>360</v>
      </c>
      <c r="Q532" s="729">
        <v>60</v>
      </c>
      <c r="R532" s="721">
        <v>0.31</v>
      </c>
      <c r="S532" s="721">
        <v>1.2010000000000001</v>
      </c>
      <c r="T532" s="721">
        <v>111.6</v>
      </c>
      <c r="U532" s="721">
        <v>432.36</v>
      </c>
      <c r="V532" s="721">
        <v>14.51</v>
      </c>
      <c r="W532" s="721">
        <v>91.45</v>
      </c>
      <c r="X532" s="721">
        <v>295</v>
      </c>
      <c r="Y532" s="862">
        <v>32922</v>
      </c>
    </row>
    <row r="533" spans="1:25" ht="14.45" customHeight="1" x14ac:dyDescent="0.25">
      <c r="A533" s="437" t="s">
        <v>4678</v>
      </c>
      <c r="B533" s="438" t="s">
        <v>4255</v>
      </c>
      <c r="C533" s="438"/>
      <c r="D533" s="439" t="s">
        <v>34</v>
      </c>
      <c r="E533" s="439" t="s">
        <v>16</v>
      </c>
      <c r="F533" s="440">
        <v>45113</v>
      </c>
      <c r="G533" s="440"/>
      <c r="H533" s="439" t="s">
        <v>23</v>
      </c>
      <c r="I533" s="449"/>
      <c r="J533" s="450"/>
      <c r="K533" s="443">
        <v>142</v>
      </c>
      <c r="L533" s="444">
        <v>9.1194428571428574</v>
      </c>
      <c r="M533" s="463" t="s">
        <v>4607</v>
      </c>
      <c r="N533" s="463"/>
      <c r="O533" s="445" t="s">
        <v>2423</v>
      </c>
      <c r="P533" s="447">
        <v>852</v>
      </c>
      <c r="Q533" s="451">
        <v>142</v>
      </c>
      <c r="R533" s="447">
        <v>0.29970000000000002</v>
      </c>
      <c r="S533" s="447">
        <v>1.6739999999999999</v>
      </c>
      <c r="T533" s="447">
        <v>255.34440000000001</v>
      </c>
      <c r="U533" s="447">
        <v>1426.248</v>
      </c>
      <c r="V533" s="447">
        <v>33.19</v>
      </c>
      <c r="W533" s="447">
        <v>102.8</v>
      </c>
      <c r="X533" s="447">
        <v>343</v>
      </c>
      <c r="Y533" s="863">
        <v>87583.13</v>
      </c>
    </row>
    <row r="534" spans="1:25" ht="14.45" customHeight="1" x14ac:dyDescent="0.25">
      <c r="A534" s="722" t="s">
        <v>4678</v>
      </c>
      <c r="B534" s="723" t="s">
        <v>1664</v>
      </c>
      <c r="C534" s="723"/>
      <c r="D534" s="724" t="s">
        <v>34</v>
      </c>
      <c r="E534" s="724" t="s">
        <v>16</v>
      </c>
      <c r="F534" s="725">
        <v>45113</v>
      </c>
      <c r="G534" s="725"/>
      <c r="H534" s="724" t="s">
        <v>23</v>
      </c>
      <c r="I534" s="441"/>
      <c r="J534" s="442"/>
      <c r="K534" s="720">
        <v>29</v>
      </c>
      <c r="L534" s="744">
        <v>4.400957142857143</v>
      </c>
      <c r="M534" s="767"/>
      <c r="N534" s="767"/>
      <c r="O534" s="728" t="s">
        <v>2469</v>
      </c>
      <c r="P534" s="721">
        <v>174</v>
      </c>
      <c r="Q534" s="729">
        <v>29</v>
      </c>
      <c r="R534" s="721">
        <v>0.70820000000000005</v>
      </c>
      <c r="S534" s="721">
        <v>3.4609999999999999</v>
      </c>
      <c r="T534" s="721">
        <v>123.2268</v>
      </c>
      <c r="U534" s="721">
        <v>602.21400000000006</v>
      </c>
      <c r="V534" s="721">
        <v>16.02</v>
      </c>
      <c r="W534" s="721">
        <v>242.91</v>
      </c>
      <c r="X534" s="721">
        <v>343</v>
      </c>
      <c r="Y534" s="862">
        <v>42266.79</v>
      </c>
    </row>
    <row r="535" spans="1:25" ht="14.45" customHeight="1" x14ac:dyDescent="0.25">
      <c r="A535" s="437" t="s">
        <v>4678</v>
      </c>
      <c r="B535" s="438" t="s">
        <v>3134</v>
      </c>
      <c r="C535" s="438" t="s">
        <v>4753</v>
      </c>
      <c r="D535" s="439" t="s">
        <v>13</v>
      </c>
      <c r="E535" s="439" t="s">
        <v>43</v>
      </c>
      <c r="F535" s="440">
        <v>45119</v>
      </c>
      <c r="G535" s="440"/>
      <c r="H535" s="439" t="s">
        <v>23</v>
      </c>
      <c r="I535" s="449"/>
      <c r="J535" s="450"/>
      <c r="K535" s="443">
        <v>0</v>
      </c>
      <c r="L535" s="444">
        <v>0</v>
      </c>
      <c r="M535" s="463" t="s">
        <v>4292</v>
      </c>
      <c r="N535" s="463"/>
      <c r="O535" s="445" t="s">
        <v>4260</v>
      </c>
      <c r="P535" s="447" t="s">
        <v>4261</v>
      </c>
      <c r="Q535" s="451"/>
      <c r="R535" s="447"/>
      <c r="S535" s="447"/>
      <c r="T535" s="447"/>
      <c r="U535" s="447"/>
      <c r="V535" s="447"/>
      <c r="W535" s="447"/>
      <c r="X535" s="447"/>
      <c r="Y535" s="863" t="s">
        <v>3531</v>
      </c>
    </row>
    <row r="536" spans="1:25" ht="14.45" customHeight="1" x14ac:dyDescent="0.25">
      <c r="A536" s="722" t="s">
        <v>4678</v>
      </c>
      <c r="B536" s="723">
        <v>293</v>
      </c>
      <c r="C536" s="723"/>
      <c r="D536" s="724" t="s">
        <v>34</v>
      </c>
      <c r="E536" s="724" t="s">
        <v>328</v>
      </c>
      <c r="F536" s="725">
        <v>45120</v>
      </c>
      <c r="G536" s="725"/>
      <c r="H536" s="724" t="s">
        <v>23</v>
      </c>
      <c r="I536" s="441"/>
      <c r="J536" s="442"/>
      <c r="K536" s="720">
        <v>15</v>
      </c>
      <c r="L536" s="744">
        <v>0.99385714285714288</v>
      </c>
      <c r="M536" s="767"/>
      <c r="N536" s="767"/>
      <c r="O536" s="728" t="s">
        <v>650</v>
      </c>
      <c r="P536" s="721">
        <v>90</v>
      </c>
      <c r="Q536" s="729">
        <v>15</v>
      </c>
      <c r="R536" s="721">
        <v>0.30919999999999997</v>
      </c>
      <c r="S536" s="721">
        <v>1.1000000000000001</v>
      </c>
      <c r="T536" s="721">
        <v>27.827999999999999</v>
      </c>
      <c r="U536" s="721">
        <v>99</v>
      </c>
      <c r="V536" s="721">
        <v>3.62</v>
      </c>
      <c r="W536" s="721">
        <v>135.43</v>
      </c>
      <c r="X536" s="721">
        <v>438</v>
      </c>
      <c r="Y536" s="862">
        <v>12188.66</v>
      </c>
    </row>
    <row r="537" spans="1:25" ht="14.45" customHeight="1" x14ac:dyDescent="0.25">
      <c r="A537" s="437" t="s">
        <v>4678</v>
      </c>
      <c r="B537" s="438">
        <v>293</v>
      </c>
      <c r="C537" s="438"/>
      <c r="D537" s="439" t="s">
        <v>34</v>
      </c>
      <c r="E537" s="439" t="s">
        <v>328</v>
      </c>
      <c r="F537" s="440">
        <v>45120</v>
      </c>
      <c r="G537" s="440"/>
      <c r="H537" s="439" t="s">
        <v>23</v>
      </c>
      <c r="I537" s="449"/>
      <c r="J537" s="450"/>
      <c r="K537" s="443">
        <v>36</v>
      </c>
      <c r="L537" s="444">
        <v>2.3852571428571427</v>
      </c>
      <c r="M537" s="463"/>
      <c r="N537" s="463"/>
      <c r="O537" s="445" t="s">
        <v>4148</v>
      </c>
      <c r="P537" s="447">
        <v>216</v>
      </c>
      <c r="Q537" s="451">
        <v>36</v>
      </c>
      <c r="R537" s="447">
        <v>0.30919999999999997</v>
      </c>
      <c r="S537" s="447">
        <v>1.1000000000000001</v>
      </c>
      <c r="T537" s="447">
        <v>66.787199999999999</v>
      </c>
      <c r="U537" s="447">
        <v>237.6</v>
      </c>
      <c r="V537" s="447">
        <v>8.68</v>
      </c>
      <c r="W537" s="447">
        <v>96.78</v>
      </c>
      <c r="X537" s="447">
        <v>313</v>
      </c>
      <c r="Y537" s="863">
        <v>20904.39</v>
      </c>
    </row>
    <row r="538" spans="1:25" ht="14.45" customHeight="1" x14ac:dyDescent="0.25">
      <c r="A538" s="722" t="s">
        <v>4678</v>
      </c>
      <c r="B538" s="723" t="s">
        <v>3022</v>
      </c>
      <c r="C538" s="723" t="s">
        <v>4753</v>
      </c>
      <c r="D538" s="724" t="s">
        <v>13</v>
      </c>
      <c r="E538" s="724" t="s">
        <v>43</v>
      </c>
      <c r="F538" s="725">
        <v>45120</v>
      </c>
      <c r="G538" s="725"/>
      <c r="H538" s="724" t="s">
        <v>23</v>
      </c>
      <c r="I538" s="441"/>
      <c r="J538" s="442"/>
      <c r="K538" s="720">
        <v>0</v>
      </c>
      <c r="L538" s="744">
        <v>0</v>
      </c>
      <c r="M538" s="767" t="s">
        <v>4303</v>
      </c>
      <c r="N538" s="767"/>
      <c r="O538" s="728" t="s">
        <v>3394</v>
      </c>
      <c r="P538" s="721">
        <v>174</v>
      </c>
      <c r="Q538" s="729"/>
      <c r="R538" s="721"/>
      <c r="S538" s="721"/>
      <c r="T538" s="721"/>
      <c r="U538" s="721"/>
      <c r="V538" s="721"/>
      <c r="W538" s="721"/>
      <c r="X538" s="721"/>
      <c r="Y538" s="862" t="s">
        <v>4272</v>
      </c>
    </row>
    <row r="539" spans="1:25" ht="14.45" customHeight="1" x14ac:dyDescent="0.25">
      <c r="A539" s="437" t="s">
        <v>4678</v>
      </c>
      <c r="B539" s="438">
        <v>295</v>
      </c>
      <c r="C539" s="438"/>
      <c r="D539" s="439" t="s">
        <v>13</v>
      </c>
      <c r="E539" s="439" t="s">
        <v>3764</v>
      </c>
      <c r="F539" s="440">
        <v>45121</v>
      </c>
      <c r="G539" s="440"/>
      <c r="H539" s="439" t="s">
        <v>23</v>
      </c>
      <c r="I539" s="449"/>
      <c r="J539" s="450"/>
      <c r="K539" s="443">
        <v>247</v>
      </c>
      <c r="L539" s="444">
        <v>7.1734535714285714</v>
      </c>
      <c r="M539" s="463"/>
      <c r="N539" s="463"/>
      <c r="O539" s="445" t="s">
        <v>1975</v>
      </c>
      <c r="P539" s="447">
        <v>1272.05</v>
      </c>
      <c r="Q539" s="451">
        <v>247</v>
      </c>
      <c r="R539" s="447">
        <v>0.15790000000000001</v>
      </c>
      <c r="S539" s="447">
        <v>0.309</v>
      </c>
      <c r="T539" s="447">
        <v>200.85669999999999</v>
      </c>
      <c r="U539" s="447">
        <v>393.06349999999998</v>
      </c>
      <c r="V539" s="447">
        <v>26.11</v>
      </c>
      <c r="W539" s="447">
        <v>48.79</v>
      </c>
      <c r="X539" s="447">
        <v>309</v>
      </c>
      <c r="Y539" s="863">
        <v>62063.32</v>
      </c>
    </row>
    <row r="540" spans="1:25" ht="14.45" customHeight="1" x14ac:dyDescent="0.25">
      <c r="A540" s="722" t="s">
        <v>4678</v>
      </c>
      <c r="B540" s="723">
        <v>297</v>
      </c>
      <c r="C540" s="723"/>
      <c r="D540" s="724" t="s">
        <v>34</v>
      </c>
      <c r="E540" s="724" t="s">
        <v>861</v>
      </c>
      <c r="F540" s="725">
        <v>45121</v>
      </c>
      <c r="G540" s="725"/>
      <c r="H540" s="724" t="s">
        <v>23</v>
      </c>
      <c r="I540" s="441"/>
      <c r="J540" s="442"/>
      <c r="K540" s="720">
        <v>93</v>
      </c>
      <c r="L540" s="744">
        <v>9.4441499999999987</v>
      </c>
      <c r="M540" s="767"/>
      <c r="N540" s="767"/>
      <c r="O540" s="728" t="s">
        <v>3243</v>
      </c>
      <c r="P540" s="721">
        <v>558</v>
      </c>
      <c r="Q540" s="729">
        <v>93</v>
      </c>
      <c r="R540" s="721">
        <v>0.47389999999999999</v>
      </c>
      <c r="S540" s="721">
        <v>1.355</v>
      </c>
      <c r="T540" s="721">
        <v>264.43619999999999</v>
      </c>
      <c r="U540" s="721">
        <v>756.09</v>
      </c>
      <c r="V540" s="721">
        <v>34.380000000000003</v>
      </c>
      <c r="W540" s="721">
        <v>149.28</v>
      </c>
      <c r="X540" s="721">
        <v>315</v>
      </c>
      <c r="Y540" s="862">
        <v>83297.399999999994</v>
      </c>
    </row>
    <row r="541" spans="1:25" ht="14.45" customHeight="1" x14ac:dyDescent="0.25">
      <c r="A541" s="437" t="s">
        <v>4678</v>
      </c>
      <c r="B541" s="438">
        <v>294</v>
      </c>
      <c r="C541" s="438"/>
      <c r="D541" s="439" t="s">
        <v>13</v>
      </c>
      <c r="E541" s="439" t="s">
        <v>4247</v>
      </c>
      <c r="F541" s="440">
        <v>45120</v>
      </c>
      <c r="G541" s="440"/>
      <c r="H541" s="439" t="s">
        <v>23</v>
      </c>
      <c r="I541" s="441"/>
      <c r="J541" s="442"/>
      <c r="K541" s="443">
        <v>6</v>
      </c>
      <c r="L541" s="444">
        <v>0.22422857142857144</v>
      </c>
      <c r="M541" s="463"/>
      <c r="N541" s="463"/>
      <c r="O541" s="445" t="s">
        <v>4279</v>
      </c>
      <c r="P541" s="447">
        <v>36</v>
      </c>
      <c r="Q541" s="451">
        <v>6</v>
      </c>
      <c r="R541" s="447">
        <v>0.1744</v>
      </c>
      <c r="S541" s="447">
        <v>1.9750000000000001</v>
      </c>
      <c r="T541" s="447">
        <v>6.2784000000000004</v>
      </c>
      <c r="U541" s="447">
        <v>71.099999999999994</v>
      </c>
      <c r="V541" s="447">
        <v>0.82</v>
      </c>
      <c r="W541" s="447">
        <v>49.7</v>
      </c>
      <c r="X541" s="447">
        <v>285</v>
      </c>
      <c r="Y541" s="863">
        <v>1789.34</v>
      </c>
    </row>
    <row r="542" spans="1:25" ht="14.45" customHeight="1" x14ac:dyDescent="0.25">
      <c r="A542" s="722" t="s">
        <v>4678</v>
      </c>
      <c r="B542" s="723">
        <v>298</v>
      </c>
      <c r="C542" s="723"/>
      <c r="D542" s="724" t="s">
        <v>13</v>
      </c>
      <c r="E542" s="724" t="s">
        <v>4038</v>
      </c>
      <c r="F542" s="725">
        <v>45121</v>
      </c>
      <c r="G542" s="725"/>
      <c r="H542" s="724" t="s">
        <v>23</v>
      </c>
      <c r="I542" s="441"/>
      <c r="J542" s="442"/>
      <c r="K542" s="720">
        <v>12</v>
      </c>
      <c r="L542" s="744">
        <v>0.30857142857142861</v>
      </c>
      <c r="M542" s="767"/>
      <c r="N542" s="767"/>
      <c r="O542" s="728" t="s">
        <v>4277</v>
      </c>
      <c r="P542" s="721">
        <v>36</v>
      </c>
      <c r="Q542" s="729">
        <v>12</v>
      </c>
      <c r="R542" s="721">
        <v>0.24</v>
      </c>
      <c r="S542" s="721">
        <v>1.395</v>
      </c>
      <c r="T542" s="721">
        <v>8.64</v>
      </c>
      <c r="U542" s="721">
        <v>50.22</v>
      </c>
      <c r="V542" s="721">
        <v>1.1200000000000001</v>
      </c>
      <c r="W542" s="721">
        <v>75.12</v>
      </c>
      <c r="X542" s="721">
        <v>313</v>
      </c>
      <c r="Y542" s="862">
        <v>2704.32</v>
      </c>
    </row>
    <row r="543" spans="1:25" ht="14.45" customHeight="1" x14ac:dyDescent="0.25">
      <c r="A543" s="437" t="s">
        <v>4678</v>
      </c>
      <c r="B543" s="438">
        <v>307</v>
      </c>
      <c r="C543" s="438"/>
      <c r="D543" s="439" t="s">
        <v>34</v>
      </c>
      <c r="E543" s="439" t="s">
        <v>79</v>
      </c>
      <c r="F543" s="440">
        <v>45125</v>
      </c>
      <c r="G543" s="440"/>
      <c r="H543" s="439" t="s">
        <v>23</v>
      </c>
      <c r="I543" s="441"/>
      <c r="J543" s="442"/>
      <c r="K543" s="443">
        <v>47</v>
      </c>
      <c r="L543" s="444">
        <v>4.5875357142857141</v>
      </c>
      <c r="M543" s="463"/>
      <c r="N543" s="463"/>
      <c r="O543" s="445" t="s">
        <v>2625</v>
      </c>
      <c r="P543" s="447">
        <v>282</v>
      </c>
      <c r="Q543" s="451">
        <v>47</v>
      </c>
      <c r="R543" s="447">
        <v>0.45550000000000002</v>
      </c>
      <c r="S543" s="447">
        <v>1.6990000000000001</v>
      </c>
      <c r="T543" s="447">
        <v>128.45099999999999</v>
      </c>
      <c r="U543" s="447">
        <v>479.11799999999999</v>
      </c>
      <c r="V543" s="447">
        <v>16.7</v>
      </c>
      <c r="W543" s="447">
        <v>110.69</v>
      </c>
      <c r="X543" s="447">
        <v>243</v>
      </c>
      <c r="Y543" s="863">
        <v>31213.59</v>
      </c>
    </row>
    <row r="544" spans="1:25" ht="14.45" customHeight="1" x14ac:dyDescent="0.25">
      <c r="A544" s="722" t="s">
        <v>4678</v>
      </c>
      <c r="B544" s="723">
        <v>300</v>
      </c>
      <c r="C544" s="723"/>
      <c r="D544" s="724" t="s">
        <v>13</v>
      </c>
      <c r="E544" s="724" t="s">
        <v>3764</v>
      </c>
      <c r="F544" s="725">
        <v>45121</v>
      </c>
      <c r="G544" s="725"/>
      <c r="H544" s="724" t="s">
        <v>23</v>
      </c>
      <c r="I544" s="441"/>
      <c r="J544" s="442"/>
      <c r="K544" s="720">
        <v>160</v>
      </c>
      <c r="L544" s="744">
        <v>7.650028571428571</v>
      </c>
      <c r="M544" s="767" t="s">
        <v>4304</v>
      </c>
      <c r="N544" s="767"/>
      <c r="O544" s="728" t="s">
        <v>4275</v>
      </c>
      <c r="P544" s="721">
        <v>808</v>
      </c>
      <c r="Q544" s="729">
        <v>160</v>
      </c>
      <c r="R544" s="721">
        <v>0.2651</v>
      </c>
      <c r="S544" s="721">
        <v>0.82099999999999995</v>
      </c>
      <c r="T544" s="721">
        <v>214.20079999999999</v>
      </c>
      <c r="U544" s="721">
        <v>663.36800000000005</v>
      </c>
      <c r="V544" s="721">
        <v>27.85</v>
      </c>
      <c r="W544" s="721">
        <v>81.92</v>
      </c>
      <c r="X544" s="721">
        <v>309</v>
      </c>
      <c r="Y544" s="862">
        <v>66188.05</v>
      </c>
    </row>
    <row r="545" spans="1:25" ht="14.45" customHeight="1" x14ac:dyDescent="0.25">
      <c r="A545" s="437" t="s">
        <v>4678</v>
      </c>
      <c r="B545" s="438">
        <v>300</v>
      </c>
      <c r="C545" s="438"/>
      <c r="D545" s="439" t="s">
        <v>13</v>
      </c>
      <c r="E545" s="439" t="s">
        <v>3764</v>
      </c>
      <c r="F545" s="440">
        <v>45121</v>
      </c>
      <c r="G545" s="440"/>
      <c r="H545" s="439" t="s">
        <v>23</v>
      </c>
      <c r="I545" s="441"/>
      <c r="J545" s="442"/>
      <c r="K545" s="443">
        <v>260</v>
      </c>
      <c r="L545" s="444">
        <v>10.954310714285715</v>
      </c>
      <c r="M545" s="463"/>
      <c r="N545" s="463"/>
      <c r="O545" s="445" t="s">
        <v>4276</v>
      </c>
      <c r="P545" s="447">
        <v>1157</v>
      </c>
      <c r="Q545" s="451">
        <v>260</v>
      </c>
      <c r="R545" s="447">
        <v>0.2651</v>
      </c>
      <c r="S545" s="447">
        <v>0.82099999999999995</v>
      </c>
      <c r="T545" s="447">
        <v>306.72070000000002</v>
      </c>
      <c r="U545" s="447">
        <v>949.89700000000005</v>
      </c>
      <c r="V545" s="447">
        <v>39.869999999999997</v>
      </c>
      <c r="W545" s="447">
        <v>81.92</v>
      </c>
      <c r="X545" s="447">
        <v>309</v>
      </c>
      <c r="Y545" s="863">
        <v>94781.440000000002</v>
      </c>
    </row>
    <row r="546" spans="1:25" ht="14.45" customHeight="1" x14ac:dyDescent="0.25">
      <c r="A546" s="722" t="s">
        <v>4678</v>
      </c>
      <c r="B546" s="723">
        <v>301</v>
      </c>
      <c r="C546" s="723"/>
      <c r="D546" s="724" t="s">
        <v>13</v>
      </c>
      <c r="E546" s="724" t="s">
        <v>3925</v>
      </c>
      <c r="F546" s="725">
        <v>45121</v>
      </c>
      <c r="G546" s="725"/>
      <c r="H546" s="724" t="s">
        <v>23</v>
      </c>
      <c r="I546" s="441"/>
      <c r="J546" s="442"/>
      <c r="K546" s="720">
        <v>23</v>
      </c>
      <c r="L546" s="744">
        <v>1.5278571428571428</v>
      </c>
      <c r="M546" s="767"/>
      <c r="N546" s="767"/>
      <c r="O546" s="728" t="s">
        <v>4208</v>
      </c>
      <c r="P546" s="721">
        <v>138</v>
      </c>
      <c r="Q546" s="729">
        <v>23</v>
      </c>
      <c r="R546" s="721">
        <v>0.31</v>
      </c>
      <c r="S546" s="721">
        <v>1.2010000000000001</v>
      </c>
      <c r="T546" s="721">
        <v>42.78</v>
      </c>
      <c r="U546" s="721">
        <v>165.738</v>
      </c>
      <c r="V546" s="721">
        <v>5.56</v>
      </c>
      <c r="W546" s="721">
        <v>91.45</v>
      </c>
      <c r="X546" s="721">
        <v>295</v>
      </c>
      <c r="Y546" s="862">
        <v>12620.1</v>
      </c>
    </row>
    <row r="547" spans="1:25" ht="14.45" customHeight="1" x14ac:dyDescent="0.25">
      <c r="A547" s="437" t="s">
        <v>4678</v>
      </c>
      <c r="B547" s="438" t="s">
        <v>4283</v>
      </c>
      <c r="C547" s="438"/>
      <c r="D547" s="439" t="s">
        <v>34</v>
      </c>
      <c r="E547" s="439" t="s">
        <v>16</v>
      </c>
      <c r="F547" s="440">
        <v>45125</v>
      </c>
      <c r="G547" s="440"/>
      <c r="H547" s="439" t="s">
        <v>23</v>
      </c>
      <c r="I547" s="441"/>
      <c r="J547" s="442"/>
      <c r="K547" s="443">
        <v>561</v>
      </c>
      <c r="L547" s="444">
        <v>19.126092857142858</v>
      </c>
      <c r="M547" s="463"/>
      <c r="N547" s="463"/>
      <c r="O547" s="445" t="s">
        <v>2845</v>
      </c>
      <c r="P547" s="447">
        <v>3366</v>
      </c>
      <c r="Q547" s="451">
        <v>561</v>
      </c>
      <c r="R547" s="447">
        <v>0.15909999999999999</v>
      </c>
      <c r="S547" s="447">
        <v>0.26</v>
      </c>
      <c r="T547" s="447">
        <v>535.53060000000005</v>
      </c>
      <c r="U547" s="447">
        <v>875.16</v>
      </c>
      <c r="V547" s="447">
        <v>69.62</v>
      </c>
      <c r="W547" s="447">
        <v>69.69</v>
      </c>
      <c r="X547" s="447">
        <v>438</v>
      </c>
      <c r="Y547" s="858">
        <v>234562.4</v>
      </c>
    </row>
    <row r="548" spans="1:25" ht="14.45" customHeight="1" x14ac:dyDescent="0.25">
      <c r="A548" s="722" t="s">
        <v>4678</v>
      </c>
      <c r="B548" s="723" t="s">
        <v>4282</v>
      </c>
      <c r="C548" s="723"/>
      <c r="D548" s="724" t="s">
        <v>34</v>
      </c>
      <c r="E548" s="724" t="s">
        <v>16</v>
      </c>
      <c r="F548" s="725">
        <v>45125</v>
      </c>
      <c r="G548" s="725"/>
      <c r="H548" s="724" t="s">
        <v>23</v>
      </c>
      <c r="I548" s="441"/>
      <c r="J548" s="442"/>
      <c r="K548" s="720">
        <v>134</v>
      </c>
      <c r="L548" s="744">
        <v>8.6056714285714282</v>
      </c>
      <c r="M548" s="767"/>
      <c r="N548" s="767"/>
      <c r="O548" s="728" t="s">
        <v>2423</v>
      </c>
      <c r="P548" s="721">
        <v>804</v>
      </c>
      <c r="Q548" s="729">
        <v>134</v>
      </c>
      <c r="R548" s="721">
        <v>0.29970000000000002</v>
      </c>
      <c r="S548" s="721">
        <v>1.6739999999999999</v>
      </c>
      <c r="T548" s="721">
        <v>240.9588</v>
      </c>
      <c r="U548" s="721">
        <v>1345.896</v>
      </c>
      <c r="V548" s="721">
        <v>31.32</v>
      </c>
      <c r="W548" s="721">
        <v>102.8</v>
      </c>
      <c r="X548" s="721">
        <v>343</v>
      </c>
      <c r="Y548" s="857">
        <v>82648.87</v>
      </c>
    </row>
    <row r="549" spans="1:25" ht="14.45" customHeight="1" x14ac:dyDescent="0.25">
      <c r="A549" s="437" t="s">
        <v>4678</v>
      </c>
      <c r="B549" s="438" t="s">
        <v>4284</v>
      </c>
      <c r="C549" s="438"/>
      <c r="D549" s="439" t="s">
        <v>34</v>
      </c>
      <c r="E549" s="439" t="s">
        <v>16</v>
      </c>
      <c r="F549" s="440">
        <v>45125</v>
      </c>
      <c r="G549" s="440"/>
      <c r="H549" s="439" t="s">
        <v>23</v>
      </c>
      <c r="I549" s="441"/>
      <c r="J549" s="442"/>
      <c r="K549" s="443">
        <v>104</v>
      </c>
      <c r="L549" s="444">
        <v>15.782742857142859</v>
      </c>
      <c r="M549" s="463" t="s">
        <v>4482</v>
      </c>
      <c r="N549" s="463"/>
      <c r="O549" s="445" t="s">
        <v>2469</v>
      </c>
      <c r="P549" s="447">
        <v>624</v>
      </c>
      <c r="Q549" s="451">
        <v>104</v>
      </c>
      <c r="R549" s="447">
        <v>0.70820000000000005</v>
      </c>
      <c r="S549" s="447">
        <v>3.4609999999999999</v>
      </c>
      <c r="T549" s="447">
        <v>441.91680000000002</v>
      </c>
      <c r="U549" s="447">
        <v>2159.6640000000002</v>
      </c>
      <c r="V549" s="447">
        <v>57.45</v>
      </c>
      <c r="W549" s="447">
        <v>242.91</v>
      </c>
      <c r="X549" s="447">
        <v>343</v>
      </c>
      <c r="Y549" s="858">
        <v>151575.84</v>
      </c>
    </row>
    <row r="550" spans="1:25" ht="14.45" customHeight="1" x14ac:dyDescent="0.25">
      <c r="A550" s="722" t="s">
        <v>4678</v>
      </c>
      <c r="B550" s="723">
        <v>303</v>
      </c>
      <c r="C550" s="723"/>
      <c r="D550" s="724" t="s">
        <v>13</v>
      </c>
      <c r="E550" s="724" t="s">
        <v>3863</v>
      </c>
      <c r="F550" s="725">
        <v>45124</v>
      </c>
      <c r="G550" s="725"/>
      <c r="H550" s="724" t="s">
        <v>23</v>
      </c>
      <c r="I550" s="441"/>
      <c r="J550" s="442"/>
      <c r="K550" s="720">
        <v>90</v>
      </c>
      <c r="L550" s="744">
        <v>2.9507142857142861</v>
      </c>
      <c r="M550" s="767"/>
      <c r="N550" s="767"/>
      <c r="O550" s="728" t="s">
        <v>149</v>
      </c>
      <c r="P550" s="721">
        <v>450</v>
      </c>
      <c r="Q550" s="729">
        <v>90</v>
      </c>
      <c r="R550" s="721">
        <v>0.18360000000000001</v>
      </c>
      <c r="S550" s="721">
        <v>0.39400000000000002</v>
      </c>
      <c r="T550" s="721">
        <v>82.62</v>
      </c>
      <c r="U550" s="721">
        <v>177.3</v>
      </c>
      <c r="V550" s="721">
        <v>10.74</v>
      </c>
      <c r="W550" s="721">
        <v>62.97</v>
      </c>
      <c r="X550" s="721">
        <v>343</v>
      </c>
      <c r="Y550" s="857">
        <v>28336.5</v>
      </c>
    </row>
    <row r="551" spans="1:25" ht="14.45" customHeight="1" x14ac:dyDescent="0.25">
      <c r="A551" s="437" t="s">
        <v>4678</v>
      </c>
      <c r="B551" s="438">
        <v>305</v>
      </c>
      <c r="C551" s="438"/>
      <c r="D551" s="439" t="s">
        <v>34</v>
      </c>
      <c r="E551" s="439" t="s">
        <v>861</v>
      </c>
      <c r="F551" s="440">
        <v>45125</v>
      </c>
      <c r="G551" s="440"/>
      <c r="H551" s="439" t="s">
        <v>23</v>
      </c>
      <c r="I551" s="441"/>
      <c r="J551" s="442"/>
      <c r="K551" s="443">
        <v>94</v>
      </c>
      <c r="L551" s="444">
        <v>9.5457000000000001</v>
      </c>
      <c r="M551" s="463" t="s">
        <v>4281</v>
      </c>
      <c r="N551" s="463"/>
      <c r="O551" s="445" t="s">
        <v>3243</v>
      </c>
      <c r="P551" s="447">
        <v>564</v>
      </c>
      <c r="Q551" s="451">
        <v>94</v>
      </c>
      <c r="R551" s="447">
        <v>0.47389999999999999</v>
      </c>
      <c r="S551" s="447">
        <v>1.355</v>
      </c>
      <c r="T551" s="447">
        <v>267.27960000000002</v>
      </c>
      <c r="U551" s="447">
        <v>764.22</v>
      </c>
      <c r="V551" s="447">
        <v>34.75</v>
      </c>
      <c r="W551" s="447">
        <v>149.28</v>
      </c>
      <c r="X551" s="447">
        <v>315</v>
      </c>
      <c r="Y551" s="858">
        <v>84193.07</v>
      </c>
    </row>
    <row r="552" spans="1:25" ht="14.45" customHeight="1" x14ac:dyDescent="0.25">
      <c r="A552" s="722" t="s">
        <v>4678</v>
      </c>
      <c r="B552" s="723">
        <v>306</v>
      </c>
      <c r="C552" s="723"/>
      <c r="D552" s="724" t="s">
        <v>34</v>
      </c>
      <c r="E552" s="724" t="s">
        <v>79</v>
      </c>
      <c r="F552" s="725">
        <v>45125</v>
      </c>
      <c r="G552" s="725"/>
      <c r="H552" s="724" t="s">
        <v>23</v>
      </c>
      <c r="I552" s="441"/>
      <c r="J552" s="442"/>
      <c r="K552" s="720">
        <v>515</v>
      </c>
      <c r="L552" s="744">
        <v>10.086642857142857</v>
      </c>
      <c r="M552" s="767"/>
      <c r="N552" s="767"/>
      <c r="O552" s="728" t="s">
        <v>2623</v>
      </c>
      <c r="P552" s="721">
        <v>3090</v>
      </c>
      <c r="Q552" s="729">
        <v>515</v>
      </c>
      <c r="R552" s="721">
        <v>9.1399999999999995E-2</v>
      </c>
      <c r="S552" s="721">
        <v>0.19600000000000001</v>
      </c>
      <c r="T552" s="721">
        <v>282.42599999999999</v>
      </c>
      <c r="U552" s="721">
        <v>605.64</v>
      </c>
      <c r="V552" s="721">
        <v>36.72</v>
      </c>
      <c r="W552" s="721">
        <v>20.84</v>
      </c>
      <c r="X552" s="721">
        <v>228</v>
      </c>
      <c r="Y552" s="857">
        <v>64393.13</v>
      </c>
    </row>
    <row r="553" spans="1:25" ht="14.45" customHeight="1" x14ac:dyDescent="0.25">
      <c r="A553" s="437" t="s">
        <v>4678</v>
      </c>
      <c r="B553" s="438" t="s">
        <v>3048</v>
      </c>
      <c r="C553" s="438" t="s">
        <v>4753</v>
      </c>
      <c r="D553" s="439" t="s">
        <v>13</v>
      </c>
      <c r="E553" s="439" t="s">
        <v>799</v>
      </c>
      <c r="F553" s="440">
        <v>45125</v>
      </c>
      <c r="G553" s="440"/>
      <c r="H553" s="439" t="s">
        <v>23</v>
      </c>
      <c r="I553" s="441"/>
      <c r="J553" s="442"/>
      <c r="K553" s="443">
        <v>0</v>
      </c>
      <c r="L553" s="444">
        <v>0</v>
      </c>
      <c r="M553" s="463"/>
      <c r="N553" s="463"/>
      <c r="O553" s="445" t="s">
        <v>4285</v>
      </c>
      <c r="P553" s="447" t="s">
        <v>4286</v>
      </c>
      <c r="Q553" s="451"/>
      <c r="R553" s="447"/>
      <c r="S553" s="447"/>
      <c r="T553" s="447"/>
      <c r="U553" s="447"/>
      <c r="V553" s="447"/>
      <c r="W553" s="447"/>
      <c r="X553" s="447"/>
      <c r="Y553" s="858" t="s">
        <v>3197</v>
      </c>
    </row>
    <row r="554" spans="1:25" ht="14.45" customHeight="1" x14ac:dyDescent="0.25">
      <c r="A554" s="722" t="s">
        <v>4678</v>
      </c>
      <c r="B554" s="723" t="s">
        <v>3205</v>
      </c>
      <c r="C554" s="723" t="s">
        <v>4753</v>
      </c>
      <c r="D554" s="724" t="s">
        <v>13</v>
      </c>
      <c r="E554" s="724" t="s">
        <v>4003</v>
      </c>
      <c r="F554" s="725">
        <v>45125</v>
      </c>
      <c r="G554" s="725"/>
      <c r="H554" s="724" t="s">
        <v>23</v>
      </c>
      <c r="I554" s="441"/>
      <c r="J554" s="442"/>
      <c r="K554" s="720">
        <v>0</v>
      </c>
      <c r="L554" s="744">
        <v>0</v>
      </c>
      <c r="M554" s="767"/>
      <c r="N554" s="767"/>
      <c r="O554" s="728" t="s">
        <v>4000</v>
      </c>
      <c r="P554" s="721" t="s">
        <v>4288</v>
      </c>
      <c r="Q554" s="729"/>
      <c r="R554" s="721"/>
      <c r="S554" s="721"/>
      <c r="T554" s="721"/>
      <c r="U554" s="721"/>
      <c r="V554" s="721"/>
      <c r="W554" s="721"/>
      <c r="X554" s="721"/>
      <c r="Y554" s="857" t="s">
        <v>4289</v>
      </c>
    </row>
    <row r="555" spans="1:25" ht="14.45" customHeight="1" x14ac:dyDescent="0.25">
      <c r="A555" s="437" t="s">
        <v>4678</v>
      </c>
      <c r="B555" s="438">
        <v>299</v>
      </c>
      <c r="C555" s="438"/>
      <c r="D555" s="439" t="s">
        <v>13</v>
      </c>
      <c r="E555" s="439" t="s">
        <v>4203</v>
      </c>
      <c r="F555" s="440">
        <v>45125</v>
      </c>
      <c r="G555" s="440"/>
      <c r="H555" s="439" t="s">
        <v>23</v>
      </c>
      <c r="I555" s="441"/>
      <c r="J555" s="442"/>
      <c r="K555" s="443">
        <v>212</v>
      </c>
      <c r="L555" s="444">
        <v>4.1604999999999999</v>
      </c>
      <c r="M555" s="463" t="s">
        <v>4291</v>
      </c>
      <c r="N555" s="463"/>
      <c r="O555" s="445" t="s">
        <v>4290</v>
      </c>
      <c r="P555" s="447">
        <v>742</v>
      </c>
      <c r="Q555" s="451">
        <v>212</v>
      </c>
      <c r="R555" s="447">
        <v>0.157</v>
      </c>
      <c r="S555" s="447">
        <v>0.8</v>
      </c>
      <c r="T555" s="447">
        <v>116.494</v>
      </c>
      <c r="U555" s="447">
        <v>593.6</v>
      </c>
      <c r="V555" s="447">
        <v>15.14</v>
      </c>
      <c r="W555" s="447">
        <v>51.81</v>
      </c>
      <c r="X555" s="447">
        <v>330</v>
      </c>
      <c r="Y555" s="858">
        <v>38443.019999999997</v>
      </c>
    </row>
    <row r="556" spans="1:25" ht="14.45" customHeight="1" x14ac:dyDescent="0.25">
      <c r="A556" s="722" t="s">
        <v>4678</v>
      </c>
      <c r="B556" s="723" t="s">
        <v>4293</v>
      </c>
      <c r="C556" s="723" t="s">
        <v>4753</v>
      </c>
      <c r="D556" s="724" t="s">
        <v>34</v>
      </c>
      <c r="E556" s="724" t="s">
        <v>284</v>
      </c>
      <c r="F556" s="725">
        <v>45126</v>
      </c>
      <c r="G556" s="725"/>
      <c r="H556" s="724" t="s">
        <v>23</v>
      </c>
      <c r="I556" s="441"/>
      <c r="J556" s="442"/>
      <c r="K556" s="720">
        <v>0</v>
      </c>
      <c r="L556" s="744">
        <v>0</v>
      </c>
      <c r="M556" s="767"/>
      <c r="N556" s="767"/>
      <c r="O556" s="728" t="s">
        <v>4294</v>
      </c>
      <c r="P556" s="721" t="s">
        <v>4295</v>
      </c>
      <c r="Q556" s="729"/>
      <c r="R556" s="721"/>
      <c r="S556" s="721"/>
      <c r="T556" s="721"/>
      <c r="U556" s="721"/>
      <c r="V556" s="721"/>
      <c r="W556" s="721"/>
      <c r="X556" s="721"/>
      <c r="Y556" s="857" t="s">
        <v>4294</v>
      </c>
    </row>
    <row r="557" spans="1:25" ht="14.45" customHeight="1" x14ac:dyDescent="0.25">
      <c r="A557" s="437" t="s">
        <v>4678</v>
      </c>
      <c r="B557" s="438" t="s">
        <v>4293</v>
      </c>
      <c r="C557" s="438" t="s">
        <v>4753</v>
      </c>
      <c r="D557" s="439" t="s">
        <v>34</v>
      </c>
      <c r="E557" s="439" t="s">
        <v>284</v>
      </c>
      <c r="F557" s="440">
        <v>45126</v>
      </c>
      <c r="G557" s="440"/>
      <c r="H557" s="439" t="s">
        <v>23</v>
      </c>
      <c r="I557" s="441"/>
      <c r="J557" s="442"/>
      <c r="K557" s="443">
        <v>0</v>
      </c>
      <c r="L557" s="444">
        <v>0</v>
      </c>
      <c r="M557" s="463"/>
      <c r="N557" s="463"/>
      <c r="O557" s="445" t="s">
        <v>3868</v>
      </c>
      <c r="P557" s="447" t="s">
        <v>4296</v>
      </c>
      <c r="Q557" s="451"/>
      <c r="R557" s="447"/>
      <c r="S557" s="447"/>
      <c r="T557" s="447"/>
      <c r="U557" s="447"/>
      <c r="V557" s="447"/>
      <c r="W557" s="447"/>
      <c r="X557" s="447"/>
      <c r="Y557" s="858" t="s">
        <v>3868</v>
      </c>
    </row>
    <row r="558" spans="1:25" ht="14.45" customHeight="1" x14ac:dyDescent="0.25">
      <c r="A558" s="722" t="s">
        <v>4678</v>
      </c>
      <c r="B558" s="723">
        <v>309</v>
      </c>
      <c r="C558" s="723"/>
      <c r="D558" s="724" t="s">
        <v>13</v>
      </c>
      <c r="E558" s="724" t="s">
        <v>3765</v>
      </c>
      <c r="F558" s="725">
        <v>45127</v>
      </c>
      <c r="G558" s="725"/>
      <c r="H558" s="724" t="s">
        <v>23</v>
      </c>
      <c r="I558" s="441"/>
      <c r="J558" s="442"/>
      <c r="K558" s="720">
        <v>508</v>
      </c>
      <c r="L558" s="744">
        <v>7.8322714285714286</v>
      </c>
      <c r="M558" s="767"/>
      <c r="N558" s="767"/>
      <c r="O558" s="728" t="s">
        <v>4297</v>
      </c>
      <c r="P558" s="721">
        <v>1524</v>
      </c>
      <c r="Q558" s="729">
        <v>508</v>
      </c>
      <c r="R558" s="721">
        <v>0.1439</v>
      </c>
      <c r="S558" s="721">
        <v>0.33900000000000002</v>
      </c>
      <c r="T558" s="721">
        <v>219.30359999999999</v>
      </c>
      <c r="U558" s="721">
        <v>516.63599999999997</v>
      </c>
      <c r="V558" s="721">
        <v>28.51</v>
      </c>
      <c r="W558" s="721">
        <v>63.24</v>
      </c>
      <c r="X558" s="721">
        <v>439.5</v>
      </c>
      <c r="Y558" s="857">
        <v>96383.93</v>
      </c>
    </row>
    <row r="559" spans="1:25" ht="14.45" customHeight="1" x14ac:dyDescent="0.25">
      <c r="A559" s="437" t="s">
        <v>4678</v>
      </c>
      <c r="B559" s="438">
        <v>309</v>
      </c>
      <c r="C559" s="438"/>
      <c r="D559" s="439" t="s">
        <v>13</v>
      </c>
      <c r="E559" s="439" t="s">
        <v>3765</v>
      </c>
      <c r="F559" s="440">
        <v>45128</v>
      </c>
      <c r="G559" s="440"/>
      <c r="H559" s="439" t="s">
        <v>23</v>
      </c>
      <c r="I559" s="441"/>
      <c r="J559" s="442"/>
      <c r="K559" s="443">
        <v>465</v>
      </c>
      <c r="L559" s="444">
        <v>7.5678749999999999</v>
      </c>
      <c r="M559" s="463"/>
      <c r="N559" s="463"/>
      <c r="O559" s="445" t="s">
        <v>4298</v>
      </c>
      <c r="P559" s="447">
        <v>1395</v>
      </c>
      <c r="Q559" s="451">
        <v>465</v>
      </c>
      <c r="R559" s="447">
        <v>0.15190000000000001</v>
      </c>
      <c r="S559" s="447">
        <v>0.377</v>
      </c>
      <c r="T559" s="447">
        <v>211.90049999999999</v>
      </c>
      <c r="U559" s="447">
        <v>525.91499999999996</v>
      </c>
      <c r="V559" s="447">
        <v>27.55</v>
      </c>
      <c r="W559" s="447">
        <v>66.760000000000005</v>
      </c>
      <c r="X559" s="447">
        <v>439.5</v>
      </c>
      <c r="Y559" s="858">
        <v>93130.27</v>
      </c>
    </row>
    <row r="560" spans="1:25" ht="14.45" customHeight="1" x14ac:dyDescent="0.25">
      <c r="A560" s="722" t="s">
        <v>4678</v>
      </c>
      <c r="B560" s="723" t="s">
        <v>1661</v>
      </c>
      <c r="C560" s="723" t="s">
        <v>4753</v>
      </c>
      <c r="D560" s="724" t="s">
        <v>13</v>
      </c>
      <c r="E560" s="724" t="s">
        <v>3765</v>
      </c>
      <c r="F560" s="725">
        <v>45120</v>
      </c>
      <c r="G560" s="725"/>
      <c r="H560" s="724" t="s">
        <v>23</v>
      </c>
      <c r="I560" s="441"/>
      <c r="J560" s="442"/>
      <c r="K560" s="720">
        <v>0</v>
      </c>
      <c r="L560" s="744">
        <v>0</v>
      </c>
      <c r="M560" s="767" t="s">
        <v>4302</v>
      </c>
      <c r="N560" s="767"/>
      <c r="O560" s="728" t="s">
        <v>4299</v>
      </c>
      <c r="P560" s="721" t="s">
        <v>4300</v>
      </c>
      <c r="Q560" s="729"/>
      <c r="R560" s="721"/>
      <c r="S560" s="721"/>
      <c r="T560" s="721"/>
      <c r="U560" s="721"/>
      <c r="V560" s="721"/>
      <c r="W560" s="721"/>
      <c r="X560" s="721"/>
      <c r="Y560" s="857" t="s">
        <v>4301</v>
      </c>
    </row>
    <row r="561" spans="1:25" ht="14.45" customHeight="1" x14ac:dyDescent="0.25">
      <c r="A561" s="437" t="s">
        <v>4678</v>
      </c>
      <c r="B561" s="438">
        <v>314</v>
      </c>
      <c r="C561" s="438"/>
      <c r="D561" s="439" t="s">
        <v>34</v>
      </c>
      <c r="E561" s="439" t="s">
        <v>861</v>
      </c>
      <c r="F561" s="440">
        <v>45127</v>
      </c>
      <c r="G561" s="440"/>
      <c r="H561" s="439" t="s">
        <v>23</v>
      </c>
      <c r="I561" s="441"/>
      <c r="J561" s="442"/>
      <c r="K561" s="443">
        <v>126</v>
      </c>
      <c r="L561" s="444">
        <v>12.795299999999999</v>
      </c>
      <c r="M561" s="463"/>
      <c r="N561" s="463"/>
      <c r="O561" s="445" t="s">
        <v>3243</v>
      </c>
      <c r="P561" s="447">
        <v>756</v>
      </c>
      <c r="Q561" s="451">
        <v>126</v>
      </c>
      <c r="R561" s="447">
        <v>0.47389999999999999</v>
      </c>
      <c r="S561" s="447">
        <v>1.355</v>
      </c>
      <c r="T561" s="447">
        <v>358.26839999999999</v>
      </c>
      <c r="U561" s="447">
        <v>1024.3800000000001</v>
      </c>
      <c r="V561" s="447">
        <v>46.57</v>
      </c>
      <c r="W561" s="447">
        <v>149.28</v>
      </c>
      <c r="X561" s="447">
        <v>315</v>
      </c>
      <c r="Y561" s="858">
        <v>112854.55</v>
      </c>
    </row>
    <row r="562" spans="1:25" ht="14.45" customHeight="1" x14ac:dyDescent="0.25">
      <c r="A562" s="722" t="s">
        <v>4678</v>
      </c>
      <c r="B562" s="723">
        <v>313</v>
      </c>
      <c r="C562" s="723"/>
      <c r="D562" s="724" t="s">
        <v>13</v>
      </c>
      <c r="E562" s="724" t="s">
        <v>3863</v>
      </c>
      <c r="F562" s="725">
        <v>45127</v>
      </c>
      <c r="G562" s="725"/>
      <c r="H562" s="724" t="s">
        <v>23</v>
      </c>
      <c r="I562" s="441"/>
      <c r="J562" s="442"/>
      <c r="K562" s="720">
        <v>62</v>
      </c>
      <c r="L562" s="744">
        <v>3.0103214285714288</v>
      </c>
      <c r="M562" s="767"/>
      <c r="N562" s="767"/>
      <c r="O562" s="728" t="s">
        <v>151</v>
      </c>
      <c r="P562" s="721">
        <v>310</v>
      </c>
      <c r="Q562" s="729">
        <v>62</v>
      </c>
      <c r="R562" s="721">
        <v>0.27189999999999998</v>
      </c>
      <c r="S562" s="721">
        <v>0.50600000000000001</v>
      </c>
      <c r="T562" s="721">
        <v>84.289000000000001</v>
      </c>
      <c r="U562" s="721">
        <v>156.86000000000001</v>
      </c>
      <c r="V562" s="721">
        <v>10.96</v>
      </c>
      <c r="W562" s="721">
        <v>93.26</v>
      </c>
      <c r="X562" s="721">
        <v>343</v>
      </c>
      <c r="Y562" s="857">
        <v>28910.6</v>
      </c>
    </row>
    <row r="563" spans="1:25" ht="14.45" customHeight="1" x14ac:dyDescent="0.25">
      <c r="A563" s="437" t="s">
        <v>4678</v>
      </c>
      <c r="B563" s="438">
        <v>313</v>
      </c>
      <c r="C563" s="438"/>
      <c r="D563" s="439" t="s">
        <v>13</v>
      </c>
      <c r="E563" s="439" t="s">
        <v>3863</v>
      </c>
      <c r="F563" s="440">
        <v>45127</v>
      </c>
      <c r="G563" s="440"/>
      <c r="H563" s="439" t="s">
        <v>23</v>
      </c>
      <c r="I563" s="441"/>
      <c r="J563" s="442"/>
      <c r="K563" s="443">
        <v>27</v>
      </c>
      <c r="L563" s="444">
        <v>1.002375</v>
      </c>
      <c r="M563" s="463"/>
      <c r="N563" s="463"/>
      <c r="O563" s="445" t="s">
        <v>3745</v>
      </c>
      <c r="P563" s="447">
        <v>135</v>
      </c>
      <c r="Q563" s="451">
        <v>27</v>
      </c>
      <c r="R563" s="447">
        <v>0.2079</v>
      </c>
      <c r="S563" s="447">
        <v>0.55600000000000005</v>
      </c>
      <c r="T563" s="447">
        <v>28.066500000000001</v>
      </c>
      <c r="U563" s="447">
        <v>75.06</v>
      </c>
      <c r="V563" s="447">
        <v>3.65</v>
      </c>
      <c r="W563" s="447">
        <v>91.06</v>
      </c>
      <c r="X563" s="447">
        <v>438</v>
      </c>
      <c r="Y563" s="858">
        <v>12293.1</v>
      </c>
    </row>
    <row r="564" spans="1:25" ht="14.45" customHeight="1" x14ac:dyDescent="0.25">
      <c r="A564" s="722" t="s">
        <v>4678</v>
      </c>
      <c r="B564" s="723" t="s">
        <v>3091</v>
      </c>
      <c r="C564" s="723" t="s">
        <v>4753</v>
      </c>
      <c r="D564" s="724" t="s">
        <v>13</v>
      </c>
      <c r="E564" s="724" t="s">
        <v>799</v>
      </c>
      <c r="F564" s="725">
        <v>45127</v>
      </c>
      <c r="G564" s="725"/>
      <c r="H564" s="724" t="s">
        <v>23</v>
      </c>
      <c r="I564" s="441"/>
      <c r="J564" s="442"/>
      <c r="K564" s="720">
        <v>0</v>
      </c>
      <c r="L564" s="744">
        <v>0</v>
      </c>
      <c r="M564" s="767"/>
      <c r="N564" s="767"/>
      <c r="O564" s="728" t="s">
        <v>4307</v>
      </c>
      <c r="P564" s="721"/>
      <c r="Q564" s="729"/>
      <c r="R564" s="721"/>
      <c r="S564" s="721"/>
      <c r="T564" s="721"/>
      <c r="U564" s="721"/>
      <c r="V564" s="721"/>
      <c r="W564" s="721"/>
      <c r="X564" s="721"/>
      <c r="Y564" s="857" t="s">
        <v>2928</v>
      </c>
    </row>
    <row r="565" spans="1:25" ht="14.45" customHeight="1" x14ac:dyDescent="0.25">
      <c r="A565" s="437" t="s">
        <v>4678</v>
      </c>
      <c r="B565" s="438" t="s">
        <v>4308</v>
      </c>
      <c r="C565" s="438" t="s">
        <v>4753</v>
      </c>
      <c r="D565" s="439" t="s">
        <v>13</v>
      </c>
      <c r="E565" s="439" t="s">
        <v>799</v>
      </c>
      <c r="F565" s="440">
        <v>45128</v>
      </c>
      <c r="G565" s="440"/>
      <c r="H565" s="439" t="s">
        <v>23</v>
      </c>
      <c r="I565" s="441"/>
      <c r="J565" s="442"/>
      <c r="K565" s="443">
        <v>0</v>
      </c>
      <c r="L565" s="444">
        <v>0</v>
      </c>
      <c r="M565" s="463" t="s">
        <v>4310</v>
      </c>
      <c r="N565" s="463"/>
      <c r="O565" s="445" t="s">
        <v>4309</v>
      </c>
      <c r="P565" s="447"/>
      <c r="Q565" s="451"/>
      <c r="R565" s="447"/>
      <c r="S565" s="447"/>
      <c r="T565" s="447"/>
      <c r="U565" s="447"/>
      <c r="V565" s="447"/>
      <c r="W565" s="447"/>
      <c r="X565" s="447"/>
      <c r="Y565" s="858"/>
    </row>
    <row r="566" spans="1:25" ht="14.45" customHeight="1" x14ac:dyDescent="0.25">
      <c r="A566" s="722" t="s">
        <v>4678</v>
      </c>
      <c r="B566" s="723" t="s">
        <v>4305</v>
      </c>
      <c r="C566" s="723"/>
      <c r="D566" s="724" t="s">
        <v>34</v>
      </c>
      <c r="E566" s="724" t="s">
        <v>16</v>
      </c>
      <c r="F566" s="725">
        <v>45127</v>
      </c>
      <c r="G566" s="725"/>
      <c r="H566" s="464" t="s">
        <v>677</v>
      </c>
      <c r="I566" s="441"/>
      <c r="J566" s="442"/>
      <c r="K566" s="720">
        <v>55</v>
      </c>
      <c r="L566" s="744">
        <v>1.8751071428571429</v>
      </c>
      <c r="M566" s="767"/>
      <c r="N566" s="767"/>
      <c r="O566" s="728" t="s">
        <v>2845</v>
      </c>
      <c r="P566" s="721">
        <v>330</v>
      </c>
      <c r="Q566" s="729">
        <v>55</v>
      </c>
      <c r="R566" s="721">
        <v>0.15909999999999999</v>
      </c>
      <c r="S566" s="721">
        <v>0.26</v>
      </c>
      <c r="T566" s="721">
        <v>52.503</v>
      </c>
      <c r="U566" s="721">
        <v>85.8</v>
      </c>
      <c r="V566" s="721">
        <v>6.83</v>
      </c>
      <c r="W566" s="721">
        <v>69.69</v>
      </c>
      <c r="X566" s="721">
        <v>438</v>
      </c>
      <c r="Y566" s="857">
        <v>22996.31</v>
      </c>
    </row>
    <row r="567" spans="1:25" ht="14.45" customHeight="1" x14ac:dyDescent="0.25">
      <c r="A567" s="437" t="s">
        <v>4678</v>
      </c>
      <c r="B567" s="438">
        <v>425</v>
      </c>
      <c r="C567" s="438"/>
      <c r="D567" s="439" t="s">
        <v>13</v>
      </c>
      <c r="E567" s="439" t="s">
        <v>3925</v>
      </c>
      <c r="F567" s="440">
        <v>45180</v>
      </c>
      <c r="G567" s="440"/>
      <c r="H567" s="761" t="s">
        <v>677</v>
      </c>
      <c r="I567" s="441"/>
      <c r="J567" s="442"/>
      <c r="K567" s="443">
        <v>33</v>
      </c>
      <c r="L567" s="444">
        <v>2.984142857142857</v>
      </c>
      <c r="M567" s="463"/>
      <c r="N567" s="447">
        <v>6</v>
      </c>
      <c r="O567" s="445" t="s">
        <v>3511</v>
      </c>
      <c r="P567" s="447">
        <v>198</v>
      </c>
      <c r="Q567" s="451">
        <v>33</v>
      </c>
      <c r="R567" s="447">
        <v>0.42199999999999999</v>
      </c>
      <c r="S567" s="447">
        <v>1.389</v>
      </c>
      <c r="T567" s="447">
        <v>83.555999999999997</v>
      </c>
      <c r="U567" s="447">
        <v>275.02199999999999</v>
      </c>
      <c r="V567" s="447">
        <v>10.86</v>
      </c>
      <c r="W567" s="447">
        <v>126.6</v>
      </c>
      <c r="X567" s="447">
        <v>300</v>
      </c>
      <c r="Y567" s="858">
        <v>25066.799999999999</v>
      </c>
    </row>
    <row r="568" spans="1:25" ht="14.45" customHeight="1" x14ac:dyDescent="0.25">
      <c r="A568" s="722" t="s">
        <v>4678</v>
      </c>
      <c r="B568" s="723" t="s">
        <v>4316</v>
      </c>
      <c r="C568" s="723" t="s">
        <v>4753</v>
      </c>
      <c r="D568" s="724" t="s">
        <v>13</v>
      </c>
      <c r="E568" s="724" t="s">
        <v>3762</v>
      </c>
      <c r="F568" s="725">
        <v>45128</v>
      </c>
      <c r="G568" s="725"/>
      <c r="H568" s="724" t="s">
        <v>23</v>
      </c>
      <c r="I568" s="441"/>
      <c r="J568" s="442"/>
      <c r="K568" s="720">
        <v>394</v>
      </c>
      <c r="L568" s="744">
        <v>0</v>
      </c>
      <c r="M568" s="767"/>
      <c r="N568" s="767"/>
      <c r="O568" s="728" t="s">
        <v>4108</v>
      </c>
      <c r="P568" s="721"/>
      <c r="Q568" s="729">
        <v>394</v>
      </c>
      <c r="R568" s="721"/>
      <c r="S568" s="721"/>
      <c r="T568" s="721"/>
      <c r="U568" s="721"/>
      <c r="V568" s="721"/>
      <c r="W568" s="721"/>
      <c r="X568" s="721"/>
      <c r="Y568" s="857" t="s">
        <v>4317</v>
      </c>
    </row>
    <row r="569" spans="1:25" ht="14.45" customHeight="1" x14ac:dyDescent="0.25">
      <c r="A569" s="437" t="s">
        <v>4678</v>
      </c>
      <c r="B569" s="438" t="s">
        <v>4313</v>
      </c>
      <c r="C569" s="438" t="s">
        <v>4753</v>
      </c>
      <c r="D569" s="439" t="s">
        <v>13</v>
      </c>
      <c r="E569" s="439" t="s">
        <v>43</v>
      </c>
      <c r="F569" s="440">
        <v>45127</v>
      </c>
      <c r="G569" s="440"/>
      <c r="H569" s="439" t="s">
        <v>23</v>
      </c>
      <c r="I569" s="449"/>
      <c r="J569" s="450"/>
      <c r="K569" s="443">
        <v>0</v>
      </c>
      <c r="L569" s="444">
        <v>0</v>
      </c>
      <c r="M569" s="463"/>
      <c r="N569" s="463"/>
      <c r="O569" s="445" t="s">
        <v>4311</v>
      </c>
      <c r="P569" s="447" t="s">
        <v>4261</v>
      </c>
      <c r="Q569" s="451"/>
      <c r="R569" s="447"/>
      <c r="S569" s="447"/>
      <c r="T569" s="447"/>
      <c r="U569" s="447"/>
      <c r="V569" s="447"/>
      <c r="W569" s="447"/>
      <c r="X569" s="447"/>
      <c r="Y569" s="858" t="s">
        <v>2928</v>
      </c>
    </row>
    <row r="570" spans="1:25" ht="14.45" customHeight="1" x14ac:dyDescent="0.25">
      <c r="A570" s="722" t="s">
        <v>4678</v>
      </c>
      <c r="B570" s="723" t="s">
        <v>4313</v>
      </c>
      <c r="C570" s="723" t="s">
        <v>4753</v>
      </c>
      <c r="D570" s="724" t="s">
        <v>13</v>
      </c>
      <c r="E570" s="724" t="s">
        <v>43</v>
      </c>
      <c r="F570" s="725">
        <v>45127</v>
      </c>
      <c r="G570" s="725"/>
      <c r="H570" s="724" t="s">
        <v>23</v>
      </c>
      <c r="I570" s="441"/>
      <c r="J570" s="442"/>
      <c r="K570" s="720">
        <v>0</v>
      </c>
      <c r="L570" s="744">
        <v>0</v>
      </c>
      <c r="M570" s="767"/>
      <c r="N570" s="767"/>
      <c r="O570" s="728" t="s">
        <v>1357</v>
      </c>
      <c r="P570" s="721" t="s">
        <v>36</v>
      </c>
      <c r="Q570" s="729"/>
      <c r="R570" s="721"/>
      <c r="S570" s="721"/>
      <c r="T570" s="721"/>
      <c r="U570" s="721"/>
      <c r="V570" s="721"/>
      <c r="W570" s="721"/>
      <c r="X570" s="721"/>
      <c r="Y570" s="857" t="s">
        <v>4314</v>
      </c>
    </row>
    <row r="571" spans="1:25" ht="14.45" customHeight="1" x14ac:dyDescent="0.25">
      <c r="A571" s="437" t="s">
        <v>4678</v>
      </c>
      <c r="B571" s="438" t="s">
        <v>4313</v>
      </c>
      <c r="C571" s="438" t="s">
        <v>4753</v>
      </c>
      <c r="D571" s="439" t="s">
        <v>13</v>
      </c>
      <c r="E571" s="439" t="s">
        <v>43</v>
      </c>
      <c r="F571" s="440">
        <v>45127</v>
      </c>
      <c r="G571" s="440"/>
      <c r="H571" s="439" t="s">
        <v>23</v>
      </c>
      <c r="I571" s="449"/>
      <c r="J571" s="450"/>
      <c r="K571" s="443">
        <v>0</v>
      </c>
      <c r="L571" s="444">
        <v>0</v>
      </c>
      <c r="M571" s="463"/>
      <c r="N571" s="463"/>
      <c r="O571" s="445" t="s">
        <v>275</v>
      </c>
      <c r="P571" s="447" t="s">
        <v>36</v>
      </c>
      <c r="Q571" s="451"/>
      <c r="R571" s="447"/>
      <c r="S571" s="447"/>
      <c r="T571" s="447"/>
      <c r="U571" s="447"/>
      <c r="V571" s="447"/>
      <c r="W571" s="447"/>
      <c r="X571" s="447"/>
      <c r="Y571" s="858" t="s">
        <v>371</v>
      </c>
    </row>
    <row r="572" spans="1:25" ht="14.45" customHeight="1" x14ac:dyDescent="0.25">
      <c r="A572" s="722" t="s">
        <v>4678</v>
      </c>
      <c r="B572" s="723" t="s">
        <v>4313</v>
      </c>
      <c r="C572" s="723" t="s">
        <v>4753</v>
      </c>
      <c r="D572" s="724" t="s">
        <v>13</v>
      </c>
      <c r="E572" s="724" t="s">
        <v>43</v>
      </c>
      <c r="F572" s="725">
        <v>45127</v>
      </c>
      <c r="G572" s="725"/>
      <c r="H572" s="724" t="s">
        <v>23</v>
      </c>
      <c r="I572" s="441"/>
      <c r="J572" s="442"/>
      <c r="K572" s="720">
        <v>0</v>
      </c>
      <c r="L572" s="744">
        <v>0</v>
      </c>
      <c r="M572" s="767"/>
      <c r="N572" s="767"/>
      <c r="O572" s="728" t="s">
        <v>276</v>
      </c>
      <c r="P572" s="721" t="s">
        <v>54</v>
      </c>
      <c r="Q572" s="729"/>
      <c r="R572" s="721"/>
      <c r="S572" s="721"/>
      <c r="T572" s="721"/>
      <c r="U572" s="721"/>
      <c r="V572" s="721"/>
      <c r="W572" s="721"/>
      <c r="X572" s="721"/>
      <c r="Y572" s="857" t="s">
        <v>4315</v>
      </c>
    </row>
    <row r="573" spans="1:25" ht="14.45" customHeight="1" x14ac:dyDescent="0.25">
      <c r="A573" s="437" t="s">
        <v>4678</v>
      </c>
      <c r="B573" s="438" t="s">
        <v>4313</v>
      </c>
      <c r="C573" s="438" t="s">
        <v>4753</v>
      </c>
      <c r="D573" s="439" t="s">
        <v>13</v>
      </c>
      <c r="E573" s="439" t="s">
        <v>43</v>
      </c>
      <c r="F573" s="440">
        <v>45127</v>
      </c>
      <c r="G573" s="440"/>
      <c r="H573" s="439" t="s">
        <v>23</v>
      </c>
      <c r="I573" s="449"/>
      <c r="J573" s="450"/>
      <c r="K573" s="443">
        <v>0</v>
      </c>
      <c r="L573" s="444">
        <v>0</v>
      </c>
      <c r="M573" s="463"/>
      <c r="N573" s="463"/>
      <c r="O573" s="445" t="s">
        <v>4312</v>
      </c>
      <c r="P573" s="447" t="s">
        <v>54</v>
      </c>
      <c r="Q573" s="451"/>
      <c r="R573" s="447"/>
      <c r="S573" s="447"/>
      <c r="T573" s="447"/>
      <c r="U573" s="447"/>
      <c r="V573" s="447"/>
      <c r="W573" s="447"/>
      <c r="X573" s="447"/>
      <c r="Y573" s="858" t="s">
        <v>4315</v>
      </c>
    </row>
    <row r="574" spans="1:25" ht="14.45" customHeight="1" x14ac:dyDescent="0.25">
      <c r="A574" s="722" t="s">
        <v>4678</v>
      </c>
      <c r="B574" s="723" t="s">
        <v>4318</v>
      </c>
      <c r="C574" s="723" t="s">
        <v>4753</v>
      </c>
      <c r="D574" s="724" t="s">
        <v>13</v>
      </c>
      <c r="E574" s="724" t="s">
        <v>3918</v>
      </c>
      <c r="F574" s="725">
        <v>45128</v>
      </c>
      <c r="G574" s="725"/>
      <c r="H574" s="724" t="s">
        <v>23</v>
      </c>
      <c r="I574" s="441"/>
      <c r="J574" s="442"/>
      <c r="K574" s="720">
        <v>288</v>
      </c>
      <c r="L574" s="744">
        <v>0</v>
      </c>
      <c r="M574" s="767"/>
      <c r="N574" s="767"/>
      <c r="O574" s="728" t="s">
        <v>4160</v>
      </c>
      <c r="P574" s="721"/>
      <c r="Q574" s="729">
        <v>288</v>
      </c>
      <c r="R574" s="721"/>
      <c r="S574" s="721"/>
      <c r="T574" s="721"/>
      <c r="U574" s="721"/>
      <c r="V574" s="721"/>
      <c r="W574" s="721"/>
      <c r="X574" s="721"/>
      <c r="Y574" s="857" t="s">
        <v>3037</v>
      </c>
    </row>
    <row r="575" spans="1:25" ht="14.45" customHeight="1" x14ac:dyDescent="0.25">
      <c r="A575" s="437" t="s">
        <v>4678</v>
      </c>
      <c r="B575" s="438">
        <v>317</v>
      </c>
      <c r="C575" s="438"/>
      <c r="D575" s="439" t="s">
        <v>34</v>
      </c>
      <c r="E575" s="439" t="s">
        <v>328</v>
      </c>
      <c r="F575" s="440">
        <v>45135</v>
      </c>
      <c r="G575" s="440"/>
      <c r="H575" s="439" t="s">
        <v>23</v>
      </c>
      <c r="I575" s="449"/>
      <c r="J575" s="450"/>
      <c r="K575" s="443">
        <v>57</v>
      </c>
      <c r="L575" s="444">
        <v>3.7766571428571427</v>
      </c>
      <c r="M575" s="463"/>
      <c r="N575" s="463"/>
      <c r="O575" s="445" t="s">
        <v>650</v>
      </c>
      <c r="P575" s="447">
        <v>342</v>
      </c>
      <c r="Q575" s="451">
        <v>57</v>
      </c>
      <c r="R575" s="447">
        <v>0.30919999999999997</v>
      </c>
      <c r="S575" s="447">
        <v>1.1000000000000001</v>
      </c>
      <c r="T575" s="447">
        <v>105.74639999999999</v>
      </c>
      <c r="U575" s="447">
        <v>376.2</v>
      </c>
      <c r="V575" s="447">
        <v>13.75</v>
      </c>
      <c r="W575" s="447">
        <v>110.69</v>
      </c>
      <c r="X575" s="447">
        <v>358</v>
      </c>
      <c r="Y575" s="858">
        <v>37857.21</v>
      </c>
    </row>
    <row r="576" spans="1:25" ht="14.45" customHeight="1" x14ac:dyDescent="0.25">
      <c r="A576" s="722" t="s">
        <v>4678</v>
      </c>
      <c r="B576" s="723">
        <v>318</v>
      </c>
      <c r="C576" s="723"/>
      <c r="D576" s="724" t="s">
        <v>13</v>
      </c>
      <c r="E576" s="724" t="s">
        <v>3764</v>
      </c>
      <c r="F576" s="725">
        <v>45135</v>
      </c>
      <c r="G576" s="725"/>
      <c r="H576" s="724" t="s">
        <v>23</v>
      </c>
      <c r="I576" s="441"/>
      <c r="J576" s="442"/>
      <c r="K576" s="720">
        <v>105</v>
      </c>
      <c r="L576" s="744">
        <v>4.4238571428571429</v>
      </c>
      <c r="M576" s="767" t="s">
        <v>1707</v>
      </c>
      <c r="N576" s="767"/>
      <c r="O576" s="728" t="s">
        <v>4276</v>
      </c>
      <c r="P576" s="721">
        <v>467.25</v>
      </c>
      <c r="Q576" s="729">
        <v>105</v>
      </c>
      <c r="R576" s="721">
        <v>0.2651</v>
      </c>
      <c r="S576" s="721">
        <v>0.82099999999999995</v>
      </c>
      <c r="T576" s="721">
        <v>123.86799999999999</v>
      </c>
      <c r="U576" s="721">
        <v>383.6123</v>
      </c>
      <c r="V576" s="721">
        <v>16.100000000000001</v>
      </c>
      <c r="W576" s="721">
        <v>81.92</v>
      </c>
      <c r="X576" s="721">
        <v>309</v>
      </c>
      <c r="Y576" s="857">
        <v>38275.199999999997</v>
      </c>
    </row>
    <row r="577" spans="1:25" ht="14.45" customHeight="1" x14ac:dyDescent="0.25">
      <c r="A577" s="437" t="s">
        <v>4678</v>
      </c>
      <c r="B577" s="438">
        <v>319</v>
      </c>
      <c r="C577" s="438"/>
      <c r="D577" s="439" t="s">
        <v>13</v>
      </c>
      <c r="E577" s="439" t="s">
        <v>3819</v>
      </c>
      <c r="F577" s="440">
        <v>45135</v>
      </c>
      <c r="G577" s="440"/>
      <c r="H577" s="439" t="s">
        <v>23</v>
      </c>
      <c r="I577" s="449"/>
      <c r="J577" s="450"/>
      <c r="K577" s="443">
        <v>176</v>
      </c>
      <c r="L577" s="444">
        <v>13.250285714285713</v>
      </c>
      <c r="M577" s="463"/>
      <c r="N577" s="463"/>
      <c r="O577" s="445" t="s">
        <v>4321</v>
      </c>
      <c r="P577" s="447">
        <v>1196.8</v>
      </c>
      <c r="Q577" s="451">
        <v>176</v>
      </c>
      <c r="R577" s="447">
        <v>0.31</v>
      </c>
      <c r="S577" s="447">
        <v>1.2010000000000001</v>
      </c>
      <c r="T577" s="447">
        <v>371.00799999999998</v>
      </c>
      <c r="U577" s="447">
        <v>1437.3568</v>
      </c>
      <c r="V577" s="447">
        <v>48.23</v>
      </c>
      <c r="W577" s="447">
        <v>182.9</v>
      </c>
      <c r="X577" s="447">
        <v>590</v>
      </c>
      <c r="Y577" s="858">
        <v>218894.72</v>
      </c>
    </row>
    <row r="578" spans="1:25" ht="14.45" customHeight="1" x14ac:dyDescent="0.25">
      <c r="A578" s="722" t="s">
        <v>4678</v>
      </c>
      <c r="B578" s="723">
        <v>319</v>
      </c>
      <c r="C578" s="723"/>
      <c r="D578" s="724" t="s">
        <v>13</v>
      </c>
      <c r="E578" s="724" t="s">
        <v>3819</v>
      </c>
      <c r="F578" s="725">
        <v>45136</v>
      </c>
      <c r="G578" s="725"/>
      <c r="H578" s="724" t="s">
        <v>23</v>
      </c>
      <c r="I578" s="441"/>
      <c r="J578" s="442"/>
      <c r="K578" s="720">
        <v>152</v>
      </c>
      <c r="L578" s="744">
        <v>10.097142857142858</v>
      </c>
      <c r="M578" s="767"/>
      <c r="N578" s="767"/>
      <c r="O578" s="728" t="s">
        <v>4208</v>
      </c>
      <c r="P578" s="721">
        <v>912</v>
      </c>
      <c r="Q578" s="729">
        <v>152</v>
      </c>
      <c r="R578" s="721">
        <v>0.31</v>
      </c>
      <c r="S578" s="721">
        <v>1.2010000000000001</v>
      </c>
      <c r="T578" s="721">
        <v>282.72000000000003</v>
      </c>
      <c r="U578" s="721">
        <v>1095.3119999999999</v>
      </c>
      <c r="V578" s="721">
        <v>36.75</v>
      </c>
      <c r="W578" s="721">
        <v>91.45</v>
      </c>
      <c r="X578" s="721">
        <v>295</v>
      </c>
      <c r="Y578" s="857">
        <v>83402.399999999994</v>
      </c>
    </row>
    <row r="579" spans="1:25" ht="14.45" customHeight="1" x14ac:dyDescent="0.25">
      <c r="A579" s="437" t="s">
        <v>4678</v>
      </c>
      <c r="B579" s="438">
        <v>326</v>
      </c>
      <c r="C579" s="438"/>
      <c r="D579" s="439" t="s">
        <v>34</v>
      </c>
      <c r="E579" s="439" t="s">
        <v>328</v>
      </c>
      <c r="F579" s="440">
        <v>45139</v>
      </c>
      <c r="G579" s="440"/>
      <c r="H579" s="439" t="s">
        <v>23</v>
      </c>
      <c r="I579" s="449"/>
      <c r="J579" s="450"/>
      <c r="K579" s="443">
        <v>197</v>
      </c>
      <c r="L579" s="444">
        <v>13.052657142857143</v>
      </c>
      <c r="M579" s="463"/>
      <c r="N579" s="463"/>
      <c r="O579" s="445" t="s">
        <v>650</v>
      </c>
      <c r="P579" s="447">
        <v>1182</v>
      </c>
      <c r="Q579" s="451">
        <v>197</v>
      </c>
      <c r="R579" s="447">
        <v>0.30919999999999997</v>
      </c>
      <c r="S579" s="447">
        <v>1.1000000000000001</v>
      </c>
      <c r="T579" s="447">
        <v>365.4744</v>
      </c>
      <c r="U579" s="447">
        <v>1300.2</v>
      </c>
      <c r="V579" s="447">
        <v>47.51</v>
      </c>
      <c r="W579" s="447">
        <v>110.69</v>
      </c>
      <c r="X579" s="447">
        <v>358</v>
      </c>
      <c r="Y579" s="858">
        <v>130839.84</v>
      </c>
    </row>
    <row r="580" spans="1:25" ht="14.45" customHeight="1" x14ac:dyDescent="0.25">
      <c r="A580" s="722" t="s">
        <v>4678</v>
      </c>
      <c r="B580" s="723">
        <v>327</v>
      </c>
      <c r="C580" s="723"/>
      <c r="D580" s="724" t="s">
        <v>13</v>
      </c>
      <c r="E580" s="724" t="s">
        <v>4038</v>
      </c>
      <c r="F580" s="725">
        <v>45139</v>
      </c>
      <c r="G580" s="725"/>
      <c r="H580" s="724" t="s">
        <v>23</v>
      </c>
      <c r="I580" s="441"/>
      <c r="J580" s="442"/>
      <c r="K580" s="720">
        <v>102</v>
      </c>
      <c r="L580" s="744">
        <v>0.92783571428571421</v>
      </c>
      <c r="M580" s="767"/>
      <c r="N580" s="767"/>
      <c r="O580" s="728" t="s">
        <v>4322</v>
      </c>
      <c r="P580" s="721">
        <v>306</v>
      </c>
      <c r="Q580" s="729">
        <v>102</v>
      </c>
      <c r="R580" s="721">
        <v>8.4900000000000003E-2</v>
      </c>
      <c r="S580" s="721">
        <v>0.16600000000000001</v>
      </c>
      <c r="T580" s="721">
        <v>25.979399999999998</v>
      </c>
      <c r="U580" s="721">
        <v>50.795999999999999</v>
      </c>
      <c r="V580" s="721">
        <v>3.38</v>
      </c>
      <c r="W580" s="721">
        <v>26.57</v>
      </c>
      <c r="X580" s="721">
        <v>313</v>
      </c>
      <c r="Y580" s="857">
        <v>8131.55</v>
      </c>
    </row>
    <row r="581" spans="1:25" ht="14.45" customHeight="1" x14ac:dyDescent="0.25">
      <c r="A581" s="437" t="s">
        <v>4678</v>
      </c>
      <c r="B581" s="438" t="s">
        <v>3233</v>
      </c>
      <c r="C581" s="438" t="s">
        <v>4753</v>
      </c>
      <c r="D581" s="439" t="s">
        <v>34</v>
      </c>
      <c r="E581" s="439" t="s">
        <v>4323</v>
      </c>
      <c r="F581" s="440">
        <v>45135</v>
      </c>
      <c r="G581" s="440"/>
      <c r="H581" s="439" t="s">
        <v>23</v>
      </c>
      <c r="I581" s="449"/>
      <c r="J581" s="450"/>
      <c r="K581" s="443">
        <v>0</v>
      </c>
      <c r="L581" s="444">
        <v>0</v>
      </c>
      <c r="M581" s="463"/>
      <c r="N581" s="463"/>
      <c r="O581" s="445" t="s">
        <v>4324</v>
      </c>
      <c r="P581" s="447"/>
      <c r="Q581" s="451"/>
      <c r="R581" s="447"/>
      <c r="S581" s="447"/>
      <c r="T581" s="447"/>
      <c r="U581" s="447"/>
      <c r="V581" s="447"/>
      <c r="W581" s="447"/>
      <c r="X581" s="447"/>
      <c r="Y581" s="858" t="s">
        <v>4325</v>
      </c>
    </row>
    <row r="582" spans="1:25" ht="14.45" customHeight="1" x14ac:dyDescent="0.25">
      <c r="A582" s="722" t="s">
        <v>4678</v>
      </c>
      <c r="B582" s="723" t="s">
        <v>2833</v>
      </c>
      <c r="C582" s="723" t="s">
        <v>4753</v>
      </c>
      <c r="D582" s="724" t="s">
        <v>13</v>
      </c>
      <c r="E582" s="724" t="s">
        <v>292</v>
      </c>
      <c r="F582" s="725">
        <v>45139</v>
      </c>
      <c r="G582" s="725"/>
      <c r="H582" s="724" t="s">
        <v>23</v>
      </c>
      <c r="I582" s="441"/>
      <c r="J582" s="442"/>
      <c r="K582" s="720">
        <v>0</v>
      </c>
      <c r="L582" s="744">
        <v>0</v>
      </c>
      <c r="M582" s="767"/>
      <c r="N582" s="767"/>
      <c r="O582" s="728" t="s">
        <v>655</v>
      </c>
      <c r="P582" s="721">
        <v>900</v>
      </c>
      <c r="Q582" s="729"/>
      <c r="R582" s="721"/>
      <c r="S582" s="721"/>
      <c r="T582" s="721"/>
      <c r="U582" s="721"/>
      <c r="V582" s="721"/>
      <c r="W582" s="721"/>
      <c r="X582" s="721"/>
      <c r="Y582" s="857" t="s">
        <v>4326</v>
      </c>
    </row>
    <row r="583" spans="1:25" ht="14.45" customHeight="1" x14ac:dyDescent="0.25">
      <c r="A583" s="437" t="s">
        <v>4678</v>
      </c>
      <c r="B583" s="438">
        <v>331</v>
      </c>
      <c r="C583" s="438"/>
      <c r="D583" s="439" t="s">
        <v>13</v>
      </c>
      <c r="E583" s="439" t="s">
        <v>4038</v>
      </c>
      <c r="F583" s="440">
        <v>45140</v>
      </c>
      <c r="G583" s="440"/>
      <c r="H583" s="439" t="s">
        <v>23</v>
      </c>
      <c r="I583" s="449"/>
      <c r="J583" s="450"/>
      <c r="K583" s="443">
        <v>3</v>
      </c>
      <c r="L583" s="444">
        <v>7.7142857142857152E-2</v>
      </c>
      <c r="M583" s="463"/>
      <c r="N583" s="463"/>
      <c r="O583" s="445" t="s">
        <v>4277</v>
      </c>
      <c r="P583" s="447">
        <v>9</v>
      </c>
      <c r="Q583" s="451">
        <v>3</v>
      </c>
      <c r="R583" s="447">
        <v>0.24</v>
      </c>
      <c r="S583" s="447">
        <v>1.395</v>
      </c>
      <c r="T583" s="447">
        <v>2.16</v>
      </c>
      <c r="U583" s="447">
        <v>12.555</v>
      </c>
      <c r="V583" s="447">
        <v>0.28000000000000003</v>
      </c>
      <c r="W583" s="447">
        <v>75.12</v>
      </c>
      <c r="X583" s="447">
        <v>313</v>
      </c>
      <c r="Y583" s="858">
        <v>676.08</v>
      </c>
    </row>
    <row r="584" spans="1:25" ht="14.45" customHeight="1" x14ac:dyDescent="0.25">
      <c r="A584" s="722" t="s">
        <v>4678</v>
      </c>
      <c r="B584" s="723" t="s">
        <v>4425</v>
      </c>
      <c r="C584" s="723" t="s">
        <v>4753</v>
      </c>
      <c r="D584" s="724" t="s">
        <v>13</v>
      </c>
      <c r="E584" s="724" t="s">
        <v>3765</v>
      </c>
      <c r="F584" s="725">
        <v>45181</v>
      </c>
      <c r="G584" s="725"/>
      <c r="H584" s="724" t="s">
        <v>23</v>
      </c>
      <c r="I584" s="441"/>
      <c r="J584" s="442"/>
      <c r="K584" s="720">
        <v>297</v>
      </c>
      <c r="L584" s="744">
        <v>0</v>
      </c>
      <c r="M584" s="767"/>
      <c r="N584" s="767"/>
      <c r="O584" s="728" t="s">
        <v>4426</v>
      </c>
      <c r="P584" s="721">
        <v>891</v>
      </c>
      <c r="Q584" s="729">
        <v>297</v>
      </c>
      <c r="R584" s="721"/>
      <c r="S584" s="721"/>
      <c r="T584" s="721"/>
      <c r="U584" s="721"/>
      <c r="V584" s="721"/>
      <c r="W584" s="721"/>
      <c r="X584" s="721"/>
      <c r="Y584" s="857" t="s">
        <v>4427</v>
      </c>
    </row>
    <row r="585" spans="1:25" ht="14.45" customHeight="1" x14ac:dyDescent="0.25">
      <c r="A585" s="437" t="s">
        <v>4678</v>
      </c>
      <c r="B585" s="438" t="s">
        <v>4327</v>
      </c>
      <c r="C585" s="438"/>
      <c r="D585" s="439" t="s">
        <v>34</v>
      </c>
      <c r="E585" s="439" t="s">
        <v>16</v>
      </c>
      <c r="F585" s="440">
        <v>45141</v>
      </c>
      <c r="G585" s="440"/>
      <c r="H585" s="439" t="s">
        <v>23</v>
      </c>
      <c r="I585" s="449"/>
      <c r="J585" s="450"/>
      <c r="K585" s="443">
        <v>55</v>
      </c>
      <c r="L585" s="444">
        <v>1.8751071428571429</v>
      </c>
      <c r="M585" s="463"/>
      <c r="N585" s="463"/>
      <c r="O585" s="445" t="s">
        <v>2845</v>
      </c>
      <c r="P585" s="447">
        <v>330</v>
      </c>
      <c r="Q585" s="451">
        <v>55</v>
      </c>
      <c r="R585" s="447">
        <v>0.15909999999999999</v>
      </c>
      <c r="S585" s="447">
        <v>0.26</v>
      </c>
      <c r="T585" s="447">
        <v>52.503</v>
      </c>
      <c r="U585" s="447">
        <v>85.8</v>
      </c>
      <c r="V585" s="447">
        <v>6.83</v>
      </c>
      <c r="W585" s="447">
        <v>69.69</v>
      </c>
      <c r="X585" s="447">
        <v>438</v>
      </c>
      <c r="Y585" s="858">
        <v>22997.7</v>
      </c>
    </row>
    <row r="586" spans="1:25" ht="14.45" customHeight="1" x14ac:dyDescent="0.25">
      <c r="A586" s="722" t="s">
        <v>4678</v>
      </c>
      <c r="B586" s="723" t="s">
        <v>3415</v>
      </c>
      <c r="C586" s="723" t="s">
        <v>4753</v>
      </c>
      <c r="D586" s="724" t="s">
        <v>13</v>
      </c>
      <c r="E586" s="724" t="s">
        <v>1596</v>
      </c>
      <c r="F586" s="725">
        <v>45188</v>
      </c>
      <c r="G586" s="725"/>
      <c r="H586" s="724" t="s">
        <v>23</v>
      </c>
      <c r="I586" s="441"/>
      <c r="J586" s="442"/>
      <c r="K586" s="720">
        <v>0</v>
      </c>
      <c r="L586" s="744">
        <v>0</v>
      </c>
      <c r="M586" s="767"/>
      <c r="N586" s="767"/>
      <c r="O586" s="728" t="s">
        <v>4470</v>
      </c>
      <c r="P586" s="721"/>
      <c r="Q586" s="729"/>
      <c r="R586" s="721"/>
      <c r="S586" s="721"/>
      <c r="T586" s="721"/>
      <c r="U586" s="721"/>
      <c r="V586" s="721"/>
      <c r="W586" s="721"/>
      <c r="X586" s="721"/>
      <c r="Y586" s="857" t="s">
        <v>4469</v>
      </c>
    </row>
    <row r="587" spans="1:25" ht="14.45" customHeight="1" x14ac:dyDescent="0.25">
      <c r="A587" s="437" t="s">
        <v>4678</v>
      </c>
      <c r="B587" s="438" t="s">
        <v>4329</v>
      </c>
      <c r="C587" s="438"/>
      <c r="D587" s="439" t="s">
        <v>34</v>
      </c>
      <c r="E587" s="439" t="s">
        <v>16</v>
      </c>
      <c r="F587" s="440">
        <v>45141</v>
      </c>
      <c r="G587" s="440"/>
      <c r="H587" s="439" t="s">
        <v>23</v>
      </c>
      <c r="I587" s="449"/>
      <c r="J587" s="450"/>
      <c r="K587" s="443">
        <v>4</v>
      </c>
      <c r="L587" s="444">
        <v>0.29982857142857144</v>
      </c>
      <c r="M587" s="463"/>
      <c r="N587" s="463"/>
      <c r="O587" s="445" t="s">
        <v>2730</v>
      </c>
      <c r="P587" s="447">
        <v>24</v>
      </c>
      <c r="Q587" s="451">
        <v>4</v>
      </c>
      <c r="R587" s="447">
        <v>0.3498</v>
      </c>
      <c r="S587" s="447">
        <v>1.425</v>
      </c>
      <c r="T587" s="447">
        <v>8.3952000000000009</v>
      </c>
      <c r="U587" s="447">
        <v>34.200000000000003</v>
      </c>
      <c r="V587" s="447">
        <v>1.0900000000000001</v>
      </c>
      <c r="W587" s="447">
        <v>119.98</v>
      </c>
      <c r="X587" s="447">
        <v>343</v>
      </c>
      <c r="Y587" s="858">
        <v>2879.55</v>
      </c>
    </row>
    <row r="588" spans="1:25" ht="14.45" customHeight="1" x14ac:dyDescent="0.25">
      <c r="A588" s="722" t="s">
        <v>4678</v>
      </c>
      <c r="B588" s="723">
        <v>332</v>
      </c>
      <c r="C588" s="723"/>
      <c r="D588" s="724" t="s">
        <v>13</v>
      </c>
      <c r="E588" s="724" t="s">
        <v>531</v>
      </c>
      <c r="F588" s="725">
        <v>45141</v>
      </c>
      <c r="G588" s="725"/>
      <c r="H588" s="724" t="s">
        <v>23</v>
      </c>
      <c r="I588" s="441"/>
      <c r="J588" s="442"/>
      <c r="K588" s="720">
        <v>349</v>
      </c>
      <c r="L588" s="744">
        <v>5.6446392857142857</v>
      </c>
      <c r="M588" s="767"/>
      <c r="N588" s="767"/>
      <c r="O588" s="728" t="s">
        <v>3928</v>
      </c>
      <c r="P588" s="721">
        <v>994.65</v>
      </c>
      <c r="Q588" s="729">
        <v>349</v>
      </c>
      <c r="R588" s="721">
        <v>0.15890000000000001</v>
      </c>
      <c r="S588" s="721">
        <v>0.76500000000000001</v>
      </c>
      <c r="T588" s="721">
        <v>158.04990000000001</v>
      </c>
      <c r="U588" s="721">
        <v>760.90729999999996</v>
      </c>
      <c r="V588" s="721">
        <v>20.55</v>
      </c>
      <c r="W588" s="721">
        <v>52.44</v>
      </c>
      <c r="X588" s="721">
        <v>330</v>
      </c>
      <c r="Y588" s="857">
        <v>52159.45</v>
      </c>
    </row>
    <row r="589" spans="1:25" ht="14.45" customHeight="1" x14ac:dyDescent="0.25">
      <c r="A589" s="437" t="s">
        <v>4678</v>
      </c>
      <c r="B589" s="438" t="s">
        <v>3245</v>
      </c>
      <c r="C589" s="438" t="s">
        <v>4753</v>
      </c>
      <c r="D589" s="439" t="s">
        <v>13</v>
      </c>
      <c r="E589" s="439" t="s">
        <v>3791</v>
      </c>
      <c r="F589" s="440">
        <v>45142</v>
      </c>
      <c r="G589" s="440"/>
      <c r="H589" s="439" t="s">
        <v>23</v>
      </c>
      <c r="I589" s="449"/>
      <c r="J589" s="450"/>
      <c r="K589" s="443">
        <v>138</v>
      </c>
      <c r="L589" s="444">
        <v>0</v>
      </c>
      <c r="M589" s="463"/>
      <c r="N589" s="463"/>
      <c r="O589" s="445" t="s">
        <v>4330</v>
      </c>
      <c r="P589" s="447"/>
      <c r="Q589" s="451">
        <v>138</v>
      </c>
      <c r="R589" s="447"/>
      <c r="S589" s="447"/>
      <c r="T589" s="447"/>
      <c r="U589" s="447"/>
      <c r="V589" s="447"/>
      <c r="W589" s="447"/>
      <c r="X589" s="447"/>
      <c r="Y589" s="858" t="s">
        <v>4332</v>
      </c>
    </row>
    <row r="590" spans="1:25" ht="14.45" customHeight="1" x14ac:dyDescent="0.25">
      <c r="A590" s="722" t="s">
        <v>4678</v>
      </c>
      <c r="B590" s="723" t="s">
        <v>3245</v>
      </c>
      <c r="C590" s="723" t="s">
        <v>4753</v>
      </c>
      <c r="D590" s="724" t="s">
        <v>13</v>
      </c>
      <c r="E590" s="724" t="s">
        <v>3791</v>
      </c>
      <c r="F590" s="725">
        <v>45142</v>
      </c>
      <c r="G590" s="725"/>
      <c r="H590" s="724" t="s">
        <v>23</v>
      </c>
      <c r="I590" s="441"/>
      <c r="J590" s="442"/>
      <c r="K590" s="720">
        <v>138</v>
      </c>
      <c r="L590" s="744">
        <v>0</v>
      </c>
      <c r="M590" s="767"/>
      <c r="N590" s="767"/>
      <c r="O590" s="728" t="s">
        <v>4331</v>
      </c>
      <c r="P590" s="721"/>
      <c r="Q590" s="729">
        <v>138</v>
      </c>
      <c r="R590" s="721"/>
      <c r="S590" s="721"/>
      <c r="T590" s="721"/>
      <c r="U590" s="721"/>
      <c r="V590" s="721"/>
      <c r="W590" s="721"/>
      <c r="X590" s="721"/>
      <c r="Y590" s="857" t="s">
        <v>4332</v>
      </c>
    </row>
    <row r="591" spans="1:25" ht="14.45" customHeight="1" x14ac:dyDescent="0.25">
      <c r="A591" s="437" t="s">
        <v>4678</v>
      </c>
      <c r="B591" s="438">
        <v>341</v>
      </c>
      <c r="C591" s="438"/>
      <c r="D591" s="439" t="s">
        <v>13</v>
      </c>
      <c r="E591" s="439" t="s">
        <v>3863</v>
      </c>
      <c r="F591" s="440">
        <v>45146</v>
      </c>
      <c r="G591" s="440"/>
      <c r="H591" s="439" t="s">
        <v>23</v>
      </c>
      <c r="I591" s="449"/>
      <c r="J591" s="450"/>
      <c r="K591" s="443">
        <v>88</v>
      </c>
      <c r="L591" s="444">
        <v>2.8851428571428572</v>
      </c>
      <c r="M591" s="463"/>
      <c r="N591" s="463"/>
      <c r="O591" s="445" t="s">
        <v>149</v>
      </c>
      <c r="P591" s="447">
        <v>440</v>
      </c>
      <c r="Q591" s="451">
        <v>88</v>
      </c>
      <c r="R591" s="447">
        <v>0.18360000000000001</v>
      </c>
      <c r="S591" s="447">
        <v>0.39400000000000002</v>
      </c>
      <c r="T591" s="447">
        <v>80.784000000000006</v>
      </c>
      <c r="U591" s="447">
        <v>173.36</v>
      </c>
      <c r="V591" s="447">
        <v>10.5</v>
      </c>
      <c r="W591" s="447">
        <v>62.97</v>
      </c>
      <c r="X591" s="447">
        <v>343</v>
      </c>
      <c r="Y591" s="858">
        <v>27706.799999999999</v>
      </c>
    </row>
    <row r="592" spans="1:25" ht="14.45" customHeight="1" x14ac:dyDescent="0.25">
      <c r="A592" s="722" t="s">
        <v>4678</v>
      </c>
      <c r="B592" s="723">
        <v>342</v>
      </c>
      <c r="C592" s="723"/>
      <c r="D592" s="724" t="s">
        <v>13</v>
      </c>
      <c r="E592" s="724" t="s">
        <v>3863</v>
      </c>
      <c r="F592" s="725">
        <v>45146</v>
      </c>
      <c r="G592" s="725"/>
      <c r="H592" s="724" t="s">
        <v>23</v>
      </c>
      <c r="I592" s="441"/>
      <c r="J592" s="442"/>
      <c r="K592" s="720">
        <v>88</v>
      </c>
      <c r="L592" s="744">
        <v>2.871</v>
      </c>
      <c r="M592" s="767"/>
      <c r="N592" s="767"/>
      <c r="O592" s="728" t="s">
        <v>119</v>
      </c>
      <c r="P592" s="721">
        <v>440</v>
      </c>
      <c r="Q592" s="729">
        <v>88</v>
      </c>
      <c r="R592" s="721">
        <v>0.1827</v>
      </c>
      <c r="S592" s="721">
        <v>0.36899999999999999</v>
      </c>
      <c r="T592" s="721">
        <v>80.388000000000005</v>
      </c>
      <c r="U592" s="721">
        <v>162.36000000000001</v>
      </c>
      <c r="V592" s="721">
        <v>10.45</v>
      </c>
      <c r="W592" s="721">
        <v>62.97</v>
      </c>
      <c r="X592" s="721">
        <v>343</v>
      </c>
      <c r="Y592" s="857">
        <v>27706.799999999999</v>
      </c>
    </row>
    <row r="593" spans="1:25" ht="14.45" customHeight="1" x14ac:dyDescent="0.25">
      <c r="A593" s="437" t="s">
        <v>4678</v>
      </c>
      <c r="B593" s="438">
        <v>343</v>
      </c>
      <c r="C593" s="438"/>
      <c r="D593" s="439" t="s">
        <v>13</v>
      </c>
      <c r="E593" s="439" t="s">
        <v>3863</v>
      </c>
      <c r="F593" s="440">
        <v>45146</v>
      </c>
      <c r="G593" s="440"/>
      <c r="H593" s="439" t="s">
        <v>23</v>
      </c>
      <c r="I593" s="449"/>
      <c r="J593" s="450"/>
      <c r="K593" s="443">
        <v>38</v>
      </c>
      <c r="L593" s="444">
        <v>1.8450357142857143</v>
      </c>
      <c r="M593" s="463"/>
      <c r="N593" s="463"/>
      <c r="O593" s="445" t="s">
        <v>151</v>
      </c>
      <c r="P593" s="447">
        <v>190</v>
      </c>
      <c r="Q593" s="451">
        <v>38</v>
      </c>
      <c r="R593" s="447">
        <v>0.27189999999999998</v>
      </c>
      <c r="S593" s="447">
        <v>0.50600000000000001</v>
      </c>
      <c r="T593" s="447">
        <v>51.661000000000001</v>
      </c>
      <c r="U593" s="447">
        <v>96.14</v>
      </c>
      <c r="V593" s="447">
        <v>6.72</v>
      </c>
      <c r="W593" s="447">
        <v>62.97</v>
      </c>
      <c r="X593" s="447">
        <v>343</v>
      </c>
      <c r="Y593" s="858">
        <v>11964.3</v>
      </c>
    </row>
    <row r="594" spans="1:25" ht="14.45" customHeight="1" x14ac:dyDescent="0.25">
      <c r="A594" s="722" t="s">
        <v>4678</v>
      </c>
      <c r="B594" s="723">
        <v>340</v>
      </c>
      <c r="C594" s="723"/>
      <c r="D594" s="724" t="s">
        <v>34</v>
      </c>
      <c r="E594" s="724" t="s">
        <v>2205</v>
      </c>
      <c r="F594" s="725">
        <v>45146</v>
      </c>
      <c r="G594" s="725"/>
      <c r="H594" s="724" t="s">
        <v>23</v>
      </c>
      <c r="I594" s="441"/>
      <c r="J594" s="442"/>
      <c r="K594" s="720">
        <v>74</v>
      </c>
      <c r="L594" s="744">
        <v>7.3570142857142855</v>
      </c>
      <c r="M594" s="767"/>
      <c r="N594" s="767"/>
      <c r="O594" s="728" t="s">
        <v>1362</v>
      </c>
      <c r="P594" s="721">
        <v>225.7</v>
      </c>
      <c r="Q594" s="729">
        <v>74</v>
      </c>
      <c r="R594" s="721">
        <v>0.91269999999999996</v>
      </c>
      <c r="S594" s="721">
        <v>4.5439999999999996</v>
      </c>
      <c r="T594" s="721">
        <v>205.99639999999999</v>
      </c>
      <c r="U594" s="721">
        <v>1025.5808</v>
      </c>
      <c r="V594" s="721">
        <v>26.78</v>
      </c>
      <c r="W594" s="721">
        <v>366.19</v>
      </c>
      <c r="X594" s="721">
        <v>401.22</v>
      </c>
      <c r="Y594" s="857">
        <v>82648.86</v>
      </c>
    </row>
    <row r="595" spans="1:25" ht="14.45" customHeight="1" x14ac:dyDescent="0.25">
      <c r="A595" s="437" t="s">
        <v>4678</v>
      </c>
      <c r="B595" s="438">
        <v>345</v>
      </c>
      <c r="C595" s="438"/>
      <c r="D595" s="439" t="s">
        <v>13</v>
      </c>
      <c r="E595" s="439" t="s">
        <v>3925</v>
      </c>
      <c r="F595" s="440">
        <v>45147</v>
      </c>
      <c r="G595" s="440"/>
      <c r="H595" s="439" t="s">
        <v>23</v>
      </c>
      <c r="I595" s="449"/>
      <c r="J595" s="450"/>
      <c r="K595" s="443">
        <v>5</v>
      </c>
      <c r="L595" s="444">
        <v>0.36225000000000002</v>
      </c>
      <c r="M595" s="463" t="s">
        <v>680</v>
      </c>
      <c r="N595" s="463"/>
      <c r="O595" s="445" t="s">
        <v>4333</v>
      </c>
      <c r="P595" s="447">
        <v>30</v>
      </c>
      <c r="Q595" s="451">
        <v>5</v>
      </c>
      <c r="R595" s="447">
        <v>0.33810000000000001</v>
      </c>
      <c r="S595" s="447">
        <v>1.048</v>
      </c>
      <c r="T595" s="447">
        <v>10.143000000000001</v>
      </c>
      <c r="U595" s="447">
        <v>31.44</v>
      </c>
      <c r="V595" s="447">
        <v>1.32</v>
      </c>
      <c r="W595" s="447">
        <v>99.74</v>
      </c>
      <c r="X595" s="447">
        <v>295</v>
      </c>
      <c r="Y595" s="858">
        <v>2992.19</v>
      </c>
    </row>
    <row r="596" spans="1:25" ht="14.45" customHeight="1" x14ac:dyDescent="0.25">
      <c r="A596" s="722" t="s">
        <v>4678</v>
      </c>
      <c r="B596" s="723" t="s">
        <v>1792</v>
      </c>
      <c r="C596" s="723" t="s">
        <v>4753</v>
      </c>
      <c r="D596" s="724" t="s">
        <v>13</v>
      </c>
      <c r="E596" s="724" t="s">
        <v>43</v>
      </c>
      <c r="F596" s="725">
        <v>45147</v>
      </c>
      <c r="G596" s="725"/>
      <c r="H596" s="724" t="s">
        <v>23</v>
      </c>
      <c r="I596" s="441"/>
      <c r="J596" s="442"/>
      <c r="K596" s="720">
        <v>12</v>
      </c>
      <c r="L596" s="744">
        <v>0</v>
      </c>
      <c r="M596" s="767"/>
      <c r="N596" s="767"/>
      <c r="O596" s="728" t="s">
        <v>275</v>
      </c>
      <c r="P596" s="721">
        <v>72</v>
      </c>
      <c r="Q596" s="729">
        <v>12</v>
      </c>
      <c r="R596" s="721"/>
      <c r="S596" s="721"/>
      <c r="T596" s="721"/>
      <c r="U596" s="721"/>
      <c r="V596" s="721"/>
      <c r="W596" s="721"/>
      <c r="X596" s="721"/>
      <c r="Y596" s="857" t="s">
        <v>4334</v>
      </c>
    </row>
    <row r="597" spans="1:25" ht="14.45" customHeight="1" x14ac:dyDescent="0.25">
      <c r="A597" s="437" t="s">
        <v>4678</v>
      </c>
      <c r="B597" s="438" t="s">
        <v>1792</v>
      </c>
      <c r="C597" s="438" t="s">
        <v>4753</v>
      </c>
      <c r="D597" s="439" t="s">
        <v>13</v>
      </c>
      <c r="E597" s="439" t="s">
        <v>43</v>
      </c>
      <c r="F597" s="440">
        <v>45147</v>
      </c>
      <c r="G597" s="440"/>
      <c r="H597" s="439" t="s">
        <v>23</v>
      </c>
      <c r="I597" s="449"/>
      <c r="J597" s="450"/>
      <c r="K597" s="443">
        <v>10</v>
      </c>
      <c r="L597" s="444">
        <v>0</v>
      </c>
      <c r="M597" s="463"/>
      <c r="N597" s="463"/>
      <c r="O597" s="445" t="s">
        <v>349</v>
      </c>
      <c r="P597" s="447">
        <v>60</v>
      </c>
      <c r="Q597" s="451">
        <v>10</v>
      </c>
      <c r="R597" s="447"/>
      <c r="S597" s="447"/>
      <c r="T597" s="447"/>
      <c r="U597" s="447"/>
      <c r="V597" s="447"/>
      <c r="W597" s="447"/>
      <c r="X597" s="447"/>
      <c r="Y597" s="858" t="s">
        <v>724</v>
      </c>
    </row>
    <row r="598" spans="1:25" ht="14.45" customHeight="1" x14ac:dyDescent="0.25">
      <c r="A598" s="722" t="s">
        <v>4678</v>
      </c>
      <c r="B598" s="723" t="s">
        <v>3195</v>
      </c>
      <c r="C598" s="723" t="s">
        <v>4753</v>
      </c>
      <c r="D598" s="724" t="s">
        <v>13</v>
      </c>
      <c r="E598" s="724" t="s">
        <v>43</v>
      </c>
      <c r="F598" s="725">
        <v>45146</v>
      </c>
      <c r="G598" s="725"/>
      <c r="H598" s="724" t="s">
        <v>23</v>
      </c>
      <c r="I598" s="441"/>
      <c r="J598" s="442"/>
      <c r="K598" s="720">
        <v>128</v>
      </c>
      <c r="L598" s="744">
        <v>0</v>
      </c>
      <c r="M598" s="767"/>
      <c r="N598" s="767"/>
      <c r="O598" s="728" t="s">
        <v>1514</v>
      </c>
      <c r="P598" s="721">
        <v>768</v>
      </c>
      <c r="Q598" s="729">
        <v>128</v>
      </c>
      <c r="R598" s="721"/>
      <c r="S598" s="721"/>
      <c r="T598" s="721"/>
      <c r="U598" s="721"/>
      <c r="V598" s="721"/>
      <c r="W598" s="721"/>
      <c r="X598" s="721"/>
      <c r="Y598" s="857" t="s">
        <v>4335</v>
      </c>
    </row>
    <row r="599" spans="1:25" ht="14.45" customHeight="1" x14ac:dyDescent="0.25">
      <c r="A599" s="437" t="s">
        <v>4678</v>
      </c>
      <c r="B599" s="438">
        <v>354</v>
      </c>
      <c r="C599" s="438"/>
      <c r="D599" s="439" t="s">
        <v>13</v>
      </c>
      <c r="E599" s="439" t="s">
        <v>3764</v>
      </c>
      <c r="F599" s="440">
        <v>45149</v>
      </c>
      <c r="G599" s="440"/>
      <c r="H599" s="439" t="s">
        <v>23</v>
      </c>
      <c r="I599" s="449"/>
      <c r="J599" s="450"/>
      <c r="K599" s="443">
        <v>174</v>
      </c>
      <c r="L599" s="444">
        <v>7.3309607142857143</v>
      </c>
      <c r="M599" s="463" t="s">
        <v>1707</v>
      </c>
      <c r="N599" s="463"/>
      <c r="O599" s="445" t="s">
        <v>4276</v>
      </c>
      <c r="P599" s="447">
        <v>774.3</v>
      </c>
      <c r="Q599" s="451">
        <v>174</v>
      </c>
      <c r="R599" s="447">
        <v>0.2651</v>
      </c>
      <c r="S599" s="447">
        <v>0.82099999999999995</v>
      </c>
      <c r="T599" s="447">
        <v>205.26689999999999</v>
      </c>
      <c r="U599" s="447">
        <v>635.70029999999997</v>
      </c>
      <c r="V599" s="447">
        <v>26.68</v>
      </c>
      <c r="W599" s="447">
        <v>81.92</v>
      </c>
      <c r="X599" s="447">
        <v>309</v>
      </c>
      <c r="Y599" s="858">
        <v>63427.48</v>
      </c>
    </row>
    <row r="600" spans="1:25" ht="14.45" customHeight="1" x14ac:dyDescent="0.25">
      <c r="A600" s="722" t="s">
        <v>4678</v>
      </c>
      <c r="B600" s="723">
        <v>355</v>
      </c>
      <c r="C600" s="723"/>
      <c r="D600" s="724" t="s">
        <v>13</v>
      </c>
      <c r="E600" s="724" t="s">
        <v>3863</v>
      </c>
      <c r="F600" s="725">
        <v>45149</v>
      </c>
      <c r="G600" s="725"/>
      <c r="H600" s="724" t="s">
        <v>23</v>
      </c>
      <c r="I600" s="441"/>
      <c r="J600" s="442"/>
      <c r="K600" s="720">
        <v>130</v>
      </c>
      <c r="L600" s="744">
        <v>4.0253571428571426</v>
      </c>
      <c r="M600" s="767"/>
      <c r="N600" s="767"/>
      <c r="O600" s="728" t="s">
        <v>117</v>
      </c>
      <c r="P600" s="721">
        <v>650</v>
      </c>
      <c r="Q600" s="729">
        <v>130</v>
      </c>
      <c r="R600" s="721">
        <v>0.1734</v>
      </c>
      <c r="S600" s="721">
        <v>0.35099999999999998</v>
      </c>
      <c r="T600" s="721">
        <v>112.71</v>
      </c>
      <c r="U600" s="721">
        <v>228.15</v>
      </c>
      <c r="V600" s="721">
        <v>14.65</v>
      </c>
      <c r="W600" s="721">
        <v>59.48</v>
      </c>
      <c r="X600" s="721">
        <v>343</v>
      </c>
      <c r="Y600" s="857">
        <v>38662</v>
      </c>
    </row>
    <row r="601" spans="1:25" ht="14.45" customHeight="1" x14ac:dyDescent="0.25">
      <c r="A601" s="437" t="s">
        <v>4678</v>
      </c>
      <c r="B601" s="438">
        <v>356</v>
      </c>
      <c r="C601" s="438"/>
      <c r="D601" s="439" t="s">
        <v>13</v>
      </c>
      <c r="E601" s="439" t="s">
        <v>28</v>
      </c>
      <c r="F601" s="440">
        <v>45149</v>
      </c>
      <c r="G601" s="440"/>
      <c r="H601" s="439" t="s">
        <v>23</v>
      </c>
      <c r="I601" s="449"/>
      <c r="J601" s="450"/>
      <c r="K601" s="443">
        <v>740</v>
      </c>
      <c r="L601" s="444">
        <v>48.713142857142863</v>
      </c>
      <c r="M601" s="463" t="s">
        <v>4363</v>
      </c>
      <c r="N601" s="463"/>
      <c r="O601" s="445" t="s">
        <v>2608</v>
      </c>
      <c r="P601" s="447">
        <v>4440</v>
      </c>
      <c r="Q601" s="451">
        <v>740</v>
      </c>
      <c r="R601" s="447">
        <v>0.30719999999999997</v>
      </c>
      <c r="S601" s="447">
        <v>0.69199999999999995</v>
      </c>
      <c r="T601" s="447">
        <v>1363.9680000000001</v>
      </c>
      <c r="U601" s="447">
        <v>3072.48</v>
      </c>
      <c r="V601" s="447">
        <v>177.32</v>
      </c>
      <c r="W601" s="447">
        <v>105.37</v>
      </c>
      <c r="X601" s="447">
        <v>343</v>
      </c>
      <c r="Y601" s="858">
        <v>467842.8</v>
      </c>
    </row>
    <row r="602" spans="1:25" ht="14.45" customHeight="1" x14ac:dyDescent="0.25">
      <c r="A602" s="722" t="s">
        <v>4678</v>
      </c>
      <c r="B602" s="723">
        <v>357</v>
      </c>
      <c r="C602" s="723"/>
      <c r="D602" s="724" t="s">
        <v>13</v>
      </c>
      <c r="E602" s="724" t="s">
        <v>531</v>
      </c>
      <c r="F602" s="725">
        <v>45149</v>
      </c>
      <c r="G602" s="725"/>
      <c r="H602" s="724" t="s">
        <v>23</v>
      </c>
      <c r="I602" s="441"/>
      <c r="J602" s="442"/>
      <c r="K602" s="720">
        <v>350</v>
      </c>
      <c r="L602" s="744">
        <v>5.6608142857142862</v>
      </c>
      <c r="M602" s="767"/>
      <c r="N602" s="767"/>
      <c r="O602" s="728" t="s">
        <v>3928</v>
      </c>
      <c r="P602" s="721">
        <v>997.5</v>
      </c>
      <c r="Q602" s="729">
        <v>350</v>
      </c>
      <c r="R602" s="721">
        <v>0.15890000000000001</v>
      </c>
      <c r="S602" s="721">
        <v>0.76500000000000001</v>
      </c>
      <c r="T602" s="721">
        <v>158.50280000000001</v>
      </c>
      <c r="U602" s="721">
        <v>763.08749999999998</v>
      </c>
      <c r="V602" s="721">
        <v>20.61</v>
      </c>
      <c r="W602" s="721">
        <v>52.44</v>
      </c>
      <c r="X602" s="721">
        <v>330</v>
      </c>
      <c r="Y602" s="857">
        <v>52308.9</v>
      </c>
    </row>
    <row r="603" spans="1:25" ht="14.45" customHeight="1" x14ac:dyDescent="0.25">
      <c r="A603" s="437" t="s">
        <v>4678</v>
      </c>
      <c r="B603" s="438" t="s">
        <v>3127</v>
      </c>
      <c r="C603" s="438" t="s">
        <v>4753</v>
      </c>
      <c r="D603" s="439" t="s">
        <v>13</v>
      </c>
      <c r="E603" s="439" t="s">
        <v>2265</v>
      </c>
      <c r="F603" s="440">
        <v>45110</v>
      </c>
      <c r="G603" s="440"/>
      <c r="H603" s="439" t="s">
        <v>23</v>
      </c>
      <c r="I603" s="449"/>
      <c r="J603" s="450"/>
      <c r="K603" s="443">
        <v>0</v>
      </c>
      <c r="L603" s="444">
        <v>0</v>
      </c>
      <c r="M603" s="463"/>
      <c r="N603" s="463"/>
      <c r="O603" s="445" t="s">
        <v>296</v>
      </c>
      <c r="P603" s="447"/>
      <c r="Q603" s="451"/>
      <c r="R603" s="447"/>
      <c r="S603" s="447"/>
      <c r="T603" s="447"/>
      <c r="U603" s="447"/>
      <c r="V603" s="447"/>
      <c r="W603" s="447"/>
      <c r="X603" s="447"/>
      <c r="Y603" s="858"/>
    </row>
    <row r="604" spans="1:25" ht="14.45" customHeight="1" x14ac:dyDescent="0.25">
      <c r="A604" s="722" t="s">
        <v>4678</v>
      </c>
      <c r="B604" s="723">
        <v>360</v>
      </c>
      <c r="C604" s="723"/>
      <c r="D604" s="724" t="s">
        <v>13</v>
      </c>
      <c r="E604" s="724" t="s">
        <v>3819</v>
      </c>
      <c r="F604" s="725">
        <v>45149</v>
      </c>
      <c r="G604" s="725"/>
      <c r="H604" s="724" t="s">
        <v>23</v>
      </c>
      <c r="I604" s="441"/>
      <c r="J604" s="442"/>
      <c r="K604" s="720">
        <v>30</v>
      </c>
      <c r="L604" s="744">
        <v>4.3032321428571425</v>
      </c>
      <c r="M604" s="767" t="s">
        <v>4342</v>
      </c>
      <c r="N604" s="767"/>
      <c r="O604" s="728" t="s">
        <v>3848</v>
      </c>
      <c r="P604" s="721">
        <v>195</v>
      </c>
      <c r="Q604" s="729">
        <v>30</v>
      </c>
      <c r="R604" s="721">
        <v>0.6179</v>
      </c>
      <c r="S604" s="721">
        <v>2.117</v>
      </c>
      <c r="T604" s="721">
        <v>120.4905</v>
      </c>
      <c r="U604" s="721">
        <v>412.815</v>
      </c>
      <c r="V604" s="721">
        <v>15.66</v>
      </c>
      <c r="W604" s="721">
        <v>211.94</v>
      </c>
      <c r="X604" s="721">
        <v>343</v>
      </c>
      <c r="Y604" s="857">
        <v>41328.239999999998</v>
      </c>
    </row>
    <row r="605" spans="1:25" ht="14.45" customHeight="1" x14ac:dyDescent="0.25">
      <c r="A605" s="437" t="s">
        <v>4678</v>
      </c>
      <c r="B605" s="438">
        <v>359</v>
      </c>
      <c r="C605" s="438"/>
      <c r="D605" s="439" t="s">
        <v>13</v>
      </c>
      <c r="E605" s="439" t="s">
        <v>672</v>
      </c>
      <c r="F605" s="440">
        <v>45139</v>
      </c>
      <c r="G605" s="440"/>
      <c r="H605" s="439" t="s">
        <v>23</v>
      </c>
      <c r="I605" s="449"/>
      <c r="J605" s="450"/>
      <c r="K605" s="443">
        <v>44</v>
      </c>
      <c r="L605" s="444">
        <v>5.5208214285714288</v>
      </c>
      <c r="M605" s="463" t="s">
        <v>4336</v>
      </c>
      <c r="N605" s="463"/>
      <c r="O605" s="445" t="s">
        <v>630</v>
      </c>
      <c r="P605" s="447">
        <v>286</v>
      </c>
      <c r="Q605" s="451">
        <v>44</v>
      </c>
      <c r="R605" s="447">
        <v>0.54049999999999998</v>
      </c>
      <c r="S605" s="447">
        <v>2.0979999999999999</v>
      </c>
      <c r="T605" s="447">
        <v>154.583</v>
      </c>
      <c r="U605" s="447">
        <v>600.02800000000002</v>
      </c>
      <c r="V605" s="447">
        <v>20.100000000000001</v>
      </c>
      <c r="W605" s="447">
        <v>159.44999999999999</v>
      </c>
      <c r="X605" s="447">
        <v>295</v>
      </c>
      <c r="Y605" s="858">
        <v>45601.99</v>
      </c>
    </row>
    <row r="606" spans="1:25" ht="14.45" customHeight="1" x14ac:dyDescent="0.25">
      <c r="A606" s="722" t="s">
        <v>4678</v>
      </c>
      <c r="B606" s="723">
        <v>271</v>
      </c>
      <c r="C606" s="723"/>
      <c r="D606" s="724" t="s">
        <v>13</v>
      </c>
      <c r="E606" s="724" t="s">
        <v>3925</v>
      </c>
      <c r="F606" s="725">
        <v>45103</v>
      </c>
      <c r="G606" s="725"/>
      <c r="H606" s="724" t="s">
        <v>23</v>
      </c>
      <c r="I606" s="441"/>
      <c r="J606" s="442"/>
      <c r="K606" s="720">
        <v>58</v>
      </c>
      <c r="L606" s="744">
        <v>5.9097857142857135</v>
      </c>
      <c r="M606" s="767"/>
      <c r="N606" s="767"/>
      <c r="O606" s="728" t="s">
        <v>4140</v>
      </c>
      <c r="P606" s="721">
        <v>348</v>
      </c>
      <c r="Q606" s="729">
        <v>58</v>
      </c>
      <c r="R606" s="721">
        <v>0.47549999999999998</v>
      </c>
      <c r="S606" s="721">
        <v>1.486</v>
      </c>
      <c r="T606" s="721">
        <v>165.47399999999999</v>
      </c>
      <c r="U606" s="721">
        <v>517.12800000000004</v>
      </c>
      <c r="V606" s="721">
        <v>21.51</v>
      </c>
      <c r="W606" s="721">
        <v>140.27000000000001</v>
      </c>
      <c r="X606" s="721">
        <v>295</v>
      </c>
      <c r="Y606" s="857">
        <v>48813.96</v>
      </c>
    </row>
    <row r="607" spans="1:25" ht="14.45" customHeight="1" x14ac:dyDescent="0.25">
      <c r="A607" s="437" t="s">
        <v>4678</v>
      </c>
      <c r="B607" s="438">
        <v>388</v>
      </c>
      <c r="C607" s="438"/>
      <c r="D607" s="439" t="s">
        <v>34</v>
      </c>
      <c r="E607" s="439" t="s">
        <v>4145</v>
      </c>
      <c r="F607" s="440">
        <v>45160</v>
      </c>
      <c r="G607" s="440"/>
      <c r="H607" s="439" t="s">
        <v>23</v>
      </c>
      <c r="I607" s="461"/>
      <c r="J607" s="462"/>
      <c r="K607" s="443">
        <v>144</v>
      </c>
      <c r="L607" s="444">
        <v>7.12615</v>
      </c>
      <c r="M607" s="463" t="s">
        <v>4389</v>
      </c>
      <c r="N607" s="463"/>
      <c r="O607" s="439" t="s">
        <v>4375</v>
      </c>
      <c r="P607" s="458">
        <v>777.6</v>
      </c>
      <c r="Q607" s="459">
        <v>144</v>
      </c>
      <c r="R607" s="458">
        <v>0.25659999999999999</v>
      </c>
      <c r="S607" s="458">
        <v>0.68899999999999995</v>
      </c>
      <c r="T607" s="458">
        <v>199.53219999999999</v>
      </c>
      <c r="U607" s="458">
        <v>535.76639999999998</v>
      </c>
      <c r="V607" s="458">
        <v>25.94</v>
      </c>
      <c r="W607" s="458">
        <v>72.099999999999994</v>
      </c>
      <c r="X607" s="458">
        <v>281</v>
      </c>
      <c r="Y607" s="860">
        <v>56068.54</v>
      </c>
    </row>
    <row r="608" spans="1:25" ht="14.45" customHeight="1" x14ac:dyDescent="0.25">
      <c r="A608" s="722" t="s">
        <v>4678</v>
      </c>
      <c r="B608" s="723" t="s">
        <v>1838</v>
      </c>
      <c r="C608" s="723" t="s">
        <v>4753</v>
      </c>
      <c r="D608" s="724" t="s">
        <v>13</v>
      </c>
      <c r="E608" s="724" t="s">
        <v>1696</v>
      </c>
      <c r="F608" s="725">
        <v>45153</v>
      </c>
      <c r="G608" s="725"/>
      <c r="H608" s="464" t="s">
        <v>677</v>
      </c>
      <c r="I608" s="441"/>
      <c r="J608" s="442"/>
      <c r="K608" s="720">
        <v>200</v>
      </c>
      <c r="L608" s="744">
        <v>0</v>
      </c>
      <c r="M608" s="767" t="s">
        <v>4358</v>
      </c>
      <c r="N608" s="767"/>
      <c r="O608" s="728" t="s">
        <v>1916</v>
      </c>
      <c r="P608" s="721">
        <v>1200</v>
      </c>
      <c r="Q608" s="729">
        <v>200</v>
      </c>
      <c r="R608" s="721"/>
      <c r="S608" s="721"/>
      <c r="T608" s="721"/>
      <c r="U608" s="721"/>
      <c r="V608" s="721"/>
      <c r="W608" s="721"/>
      <c r="X608" s="721"/>
      <c r="Y608" s="857" t="s">
        <v>4338</v>
      </c>
    </row>
    <row r="609" spans="1:25" ht="14.45" customHeight="1" x14ac:dyDescent="0.25">
      <c r="A609" s="437" t="s">
        <v>4678</v>
      </c>
      <c r="B609" s="438" t="s">
        <v>1838</v>
      </c>
      <c r="C609" s="438" t="s">
        <v>4753</v>
      </c>
      <c r="D609" s="439" t="s">
        <v>13</v>
      </c>
      <c r="E609" s="439" t="s">
        <v>1696</v>
      </c>
      <c r="F609" s="440">
        <v>45153</v>
      </c>
      <c r="G609" s="440"/>
      <c r="H609" s="439" t="s">
        <v>23</v>
      </c>
      <c r="I609" s="449"/>
      <c r="J609" s="450"/>
      <c r="K609" s="443">
        <v>50</v>
      </c>
      <c r="L609" s="444">
        <v>0</v>
      </c>
      <c r="M609" s="463" t="s">
        <v>4358</v>
      </c>
      <c r="N609" s="463"/>
      <c r="O609" s="445" t="s">
        <v>2570</v>
      </c>
      <c r="P609" s="447">
        <v>300</v>
      </c>
      <c r="Q609" s="451">
        <v>50</v>
      </c>
      <c r="R609" s="447"/>
      <c r="S609" s="447"/>
      <c r="T609" s="447"/>
      <c r="U609" s="447"/>
      <c r="V609" s="447"/>
      <c r="W609" s="447"/>
      <c r="X609" s="447"/>
      <c r="Y609" s="858" t="s">
        <v>4339</v>
      </c>
    </row>
    <row r="610" spans="1:25" ht="14.45" customHeight="1" x14ac:dyDescent="0.25">
      <c r="A610" s="722" t="s">
        <v>4678</v>
      </c>
      <c r="B610" s="723" t="s">
        <v>1838</v>
      </c>
      <c r="C610" s="723" t="s">
        <v>4753</v>
      </c>
      <c r="D610" s="724" t="s">
        <v>13</v>
      </c>
      <c r="E610" s="724" t="s">
        <v>1696</v>
      </c>
      <c r="F610" s="725">
        <v>45153</v>
      </c>
      <c r="G610" s="725"/>
      <c r="H610" s="724" t="s">
        <v>23</v>
      </c>
      <c r="I610" s="441"/>
      <c r="J610" s="442"/>
      <c r="K610" s="720">
        <v>200</v>
      </c>
      <c r="L610" s="744">
        <v>0</v>
      </c>
      <c r="M610" s="767" t="s">
        <v>4358</v>
      </c>
      <c r="N610" s="767"/>
      <c r="O610" s="728" t="s">
        <v>1699</v>
      </c>
      <c r="P610" s="721">
        <v>1200</v>
      </c>
      <c r="Q610" s="729">
        <v>200</v>
      </c>
      <c r="R610" s="721"/>
      <c r="S610" s="721"/>
      <c r="T610" s="721"/>
      <c r="U610" s="721"/>
      <c r="V610" s="721"/>
      <c r="W610" s="721"/>
      <c r="X610" s="721"/>
      <c r="Y610" s="857" t="s">
        <v>3776</v>
      </c>
    </row>
    <row r="611" spans="1:25" ht="14.45" customHeight="1" x14ac:dyDescent="0.25">
      <c r="A611" s="437" t="s">
        <v>4678</v>
      </c>
      <c r="B611" s="438" t="s">
        <v>1838</v>
      </c>
      <c r="C611" s="438" t="s">
        <v>4753</v>
      </c>
      <c r="D611" s="439" t="s">
        <v>13</v>
      </c>
      <c r="E611" s="439" t="s">
        <v>1696</v>
      </c>
      <c r="F611" s="440">
        <v>45153</v>
      </c>
      <c r="G611" s="440"/>
      <c r="H611" s="439" t="s">
        <v>23</v>
      </c>
      <c r="I611" s="449"/>
      <c r="J611" s="450"/>
      <c r="K611" s="443">
        <v>50</v>
      </c>
      <c r="L611" s="444">
        <v>0</v>
      </c>
      <c r="M611" s="463" t="s">
        <v>4358</v>
      </c>
      <c r="N611" s="463"/>
      <c r="O611" s="445" t="s">
        <v>1919</v>
      </c>
      <c r="P611" s="447">
        <v>300</v>
      </c>
      <c r="Q611" s="451">
        <v>50</v>
      </c>
      <c r="R611" s="447"/>
      <c r="S611" s="447"/>
      <c r="T611" s="447"/>
      <c r="U611" s="447"/>
      <c r="V611" s="447"/>
      <c r="W611" s="447"/>
      <c r="X611" s="447"/>
      <c r="Y611" s="858" t="s">
        <v>2029</v>
      </c>
    </row>
    <row r="612" spans="1:25" ht="14.45" customHeight="1" x14ac:dyDescent="0.25">
      <c r="A612" s="722" t="s">
        <v>4678</v>
      </c>
      <c r="B612" s="723" t="s">
        <v>1838</v>
      </c>
      <c r="C612" s="723" t="s">
        <v>4753</v>
      </c>
      <c r="D612" s="724" t="s">
        <v>13</v>
      </c>
      <c r="E612" s="724" t="s">
        <v>1696</v>
      </c>
      <c r="F612" s="725">
        <v>45153</v>
      </c>
      <c r="G612" s="725"/>
      <c r="H612" s="724" t="s">
        <v>23</v>
      </c>
      <c r="I612" s="441"/>
      <c r="J612" s="442"/>
      <c r="K612" s="720">
        <v>50</v>
      </c>
      <c r="L612" s="744">
        <v>0</v>
      </c>
      <c r="M612" s="767" t="s">
        <v>4358</v>
      </c>
      <c r="N612" s="767"/>
      <c r="O612" s="728" t="s">
        <v>1921</v>
      </c>
      <c r="P612" s="721">
        <v>300</v>
      </c>
      <c r="Q612" s="729">
        <v>50</v>
      </c>
      <c r="R612" s="721"/>
      <c r="S612" s="721"/>
      <c r="T612" s="721"/>
      <c r="U612" s="721"/>
      <c r="V612" s="721"/>
      <c r="W612" s="721"/>
      <c r="X612" s="721"/>
      <c r="Y612" s="857" t="s">
        <v>2029</v>
      </c>
    </row>
    <row r="613" spans="1:25" ht="14.45" customHeight="1" x14ac:dyDescent="0.25">
      <c r="A613" s="437" t="s">
        <v>4678</v>
      </c>
      <c r="B613" s="438" t="s">
        <v>1838</v>
      </c>
      <c r="C613" s="438" t="s">
        <v>4753</v>
      </c>
      <c r="D613" s="439" t="s">
        <v>13</v>
      </c>
      <c r="E613" s="439" t="s">
        <v>1696</v>
      </c>
      <c r="F613" s="440">
        <v>45153</v>
      </c>
      <c r="G613" s="440"/>
      <c r="H613" s="439" t="s">
        <v>23</v>
      </c>
      <c r="I613" s="449"/>
      <c r="J613" s="450"/>
      <c r="K613" s="443">
        <v>30</v>
      </c>
      <c r="L613" s="444">
        <v>0</v>
      </c>
      <c r="M613" s="463" t="s">
        <v>4358</v>
      </c>
      <c r="N613" s="463"/>
      <c r="O613" s="445" t="s">
        <v>953</v>
      </c>
      <c r="P613" s="447">
        <v>180</v>
      </c>
      <c r="Q613" s="451">
        <v>30</v>
      </c>
      <c r="R613" s="447"/>
      <c r="S613" s="447"/>
      <c r="T613" s="447"/>
      <c r="U613" s="447"/>
      <c r="V613" s="447"/>
      <c r="W613" s="447"/>
      <c r="X613" s="447"/>
      <c r="Y613" s="858" t="s">
        <v>2029</v>
      </c>
    </row>
    <row r="614" spans="1:25" ht="14.45" customHeight="1" x14ac:dyDescent="0.25">
      <c r="A614" s="722" t="s">
        <v>4678</v>
      </c>
      <c r="B614" s="723" t="s">
        <v>1838</v>
      </c>
      <c r="C614" s="723" t="s">
        <v>4753</v>
      </c>
      <c r="D614" s="724" t="s">
        <v>13</v>
      </c>
      <c r="E614" s="724" t="s">
        <v>1696</v>
      </c>
      <c r="F614" s="725">
        <v>45153</v>
      </c>
      <c r="G614" s="725"/>
      <c r="H614" s="724" t="s">
        <v>23</v>
      </c>
      <c r="I614" s="441"/>
      <c r="J614" s="442"/>
      <c r="K614" s="720">
        <v>70</v>
      </c>
      <c r="L614" s="744">
        <v>0</v>
      </c>
      <c r="M614" s="767" t="s">
        <v>4358</v>
      </c>
      <c r="N614" s="767"/>
      <c r="O614" s="728" t="s">
        <v>4337</v>
      </c>
      <c r="P614" s="721">
        <v>420</v>
      </c>
      <c r="Q614" s="729">
        <v>70</v>
      </c>
      <c r="R614" s="721"/>
      <c r="S614" s="721"/>
      <c r="T614" s="721"/>
      <c r="U614" s="721"/>
      <c r="V614" s="721"/>
      <c r="W614" s="721"/>
      <c r="X614" s="721"/>
      <c r="Y614" s="857" t="s">
        <v>1339</v>
      </c>
    </row>
    <row r="615" spans="1:25" ht="14.45" customHeight="1" x14ac:dyDescent="0.25">
      <c r="A615" s="437" t="s">
        <v>4678</v>
      </c>
      <c r="B615" s="438" t="s">
        <v>1838</v>
      </c>
      <c r="C615" s="438" t="s">
        <v>4753</v>
      </c>
      <c r="D615" s="439" t="s">
        <v>13</v>
      </c>
      <c r="E615" s="439" t="s">
        <v>1696</v>
      </c>
      <c r="F615" s="440">
        <v>45153</v>
      </c>
      <c r="G615" s="440"/>
      <c r="H615" s="439" t="s">
        <v>23</v>
      </c>
      <c r="I615" s="449"/>
      <c r="J615" s="450"/>
      <c r="K615" s="443">
        <v>200</v>
      </c>
      <c r="L615" s="444">
        <v>0</v>
      </c>
      <c r="M615" s="463" t="s">
        <v>4358</v>
      </c>
      <c r="N615" s="463"/>
      <c r="O615" s="445" t="s">
        <v>1698</v>
      </c>
      <c r="P615" s="447">
        <v>1200</v>
      </c>
      <c r="Q615" s="451">
        <v>200</v>
      </c>
      <c r="R615" s="447"/>
      <c r="S615" s="447"/>
      <c r="T615" s="447"/>
      <c r="U615" s="447"/>
      <c r="V615" s="447"/>
      <c r="W615" s="447"/>
      <c r="X615" s="447"/>
      <c r="Y615" s="858" t="s">
        <v>4340</v>
      </c>
    </row>
    <row r="616" spans="1:25" ht="14.45" customHeight="1" x14ac:dyDescent="0.25">
      <c r="A616" s="722" t="s">
        <v>4678</v>
      </c>
      <c r="B616" s="723" t="s">
        <v>3273</v>
      </c>
      <c r="C616" s="723" t="s">
        <v>4753</v>
      </c>
      <c r="D616" s="724" t="s">
        <v>34</v>
      </c>
      <c r="E616" s="724" t="s">
        <v>4341</v>
      </c>
      <c r="F616" s="725">
        <v>45153</v>
      </c>
      <c r="G616" s="725"/>
      <c r="H616" s="724" t="s">
        <v>23</v>
      </c>
      <c r="I616" s="441"/>
      <c r="J616" s="442"/>
      <c r="K616" s="720">
        <v>0</v>
      </c>
      <c r="L616" s="744">
        <v>0</v>
      </c>
      <c r="M616" s="767"/>
      <c r="N616" s="767"/>
      <c r="O616" s="728" t="s">
        <v>4343</v>
      </c>
      <c r="P616" s="721"/>
      <c r="Q616" s="729"/>
      <c r="R616" s="721"/>
      <c r="S616" s="721"/>
      <c r="T616" s="721"/>
      <c r="U616" s="721"/>
      <c r="V616" s="721"/>
      <c r="W616" s="721"/>
      <c r="X616" s="721"/>
      <c r="Y616" s="857" t="s">
        <v>4075</v>
      </c>
    </row>
    <row r="617" spans="1:25" ht="14.45" customHeight="1" x14ac:dyDescent="0.25">
      <c r="A617" s="437" t="s">
        <v>4678</v>
      </c>
      <c r="B617" s="438">
        <v>366</v>
      </c>
      <c r="C617" s="438"/>
      <c r="D617" s="439" t="s">
        <v>34</v>
      </c>
      <c r="E617" s="439" t="s">
        <v>46</v>
      </c>
      <c r="F617" s="440">
        <v>45154</v>
      </c>
      <c r="G617" s="440"/>
      <c r="H617" s="439" t="s">
        <v>23</v>
      </c>
      <c r="I617" s="449"/>
      <c r="J617" s="450"/>
      <c r="K617" s="443">
        <v>49</v>
      </c>
      <c r="L617" s="444">
        <v>3.7652999999999999</v>
      </c>
      <c r="M617" s="463"/>
      <c r="N617" s="463"/>
      <c r="O617" s="445" t="s">
        <v>639</v>
      </c>
      <c r="P617" s="447">
        <v>294</v>
      </c>
      <c r="Q617" s="451">
        <v>49</v>
      </c>
      <c r="R617" s="447">
        <v>0.35859999999999997</v>
      </c>
      <c r="S617" s="447">
        <v>1.518</v>
      </c>
      <c r="T617" s="447">
        <v>105.4284</v>
      </c>
      <c r="U617" s="447">
        <v>446.29199999999997</v>
      </c>
      <c r="V617" s="447">
        <v>13.71</v>
      </c>
      <c r="W617" s="447">
        <v>112.96</v>
      </c>
      <c r="X617" s="447">
        <v>315</v>
      </c>
      <c r="Y617" s="858">
        <v>33209.949999999997</v>
      </c>
    </row>
    <row r="618" spans="1:25" ht="14.45" customHeight="1" x14ac:dyDescent="0.25">
      <c r="A618" s="722" t="s">
        <v>4678</v>
      </c>
      <c r="B618" s="723">
        <v>367</v>
      </c>
      <c r="C618" s="723"/>
      <c r="D618" s="724" t="s">
        <v>13</v>
      </c>
      <c r="E618" s="724" t="s">
        <v>3819</v>
      </c>
      <c r="F618" s="725">
        <v>45154</v>
      </c>
      <c r="G618" s="725"/>
      <c r="H618" s="724" t="s">
        <v>23</v>
      </c>
      <c r="I618" s="441"/>
      <c r="J618" s="442"/>
      <c r="K618" s="720">
        <v>10</v>
      </c>
      <c r="L618" s="744">
        <v>1.4344107142857143</v>
      </c>
      <c r="M618" s="767" t="s">
        <v>4373</v>
      </c>
      <c r="N618" s="767"/>
      <c r="O618" s="728" t="s">
        <v>3848</v>
      </c>
      <c r="P618" s="721">
        <v>65</v>
      </c>
      <c r="Q618" s="729">
        <v>10</v>
      </c>
      <c r="R618" s="721">
        <v>0.6179</v>
      </c>
      <c r="S618" s="721">
        <v>2.117</v>
      </c>
      <c r="T618" s="721">
        <v>40.163499999999999</v>
      </c>
      <c r="U618" s="721">
        <v>137.60499999999999</v>
      </c>
      <c r="V618" s="721">
        <v>5.22</v>
      </c>
      <c r="W618" s="721">
        <v>211.94</v>
      </c>
      <c r="X618" s="721">
        <v>343</v>
      </c>
      <c r="Y618" s="857">
        <v>13776.08</v>
      </c>
    </row>
    <row r="619" spans="1:25" ht="14.45" customHeight="1" x14ac:dyDescent="0.25">
      <c r="A619" s="437" t="s">
        <v>4678</v>
      </c>
      <c r="B619" s="438">
        <v>368</v>
      </c>
      <c r="C619" s="438"/>
      <c r="D619" s="439" t="s">
        <v>13</v>
      </c>
      <c r="E619" s="439" t="s">
        <v>156</v>
      </c>
      <c r="F619" s="440">
        <v>45154</v>
      </c>
      <c r="G619" s="440"/>
      <c r="H619" s="439" t="s">
        <v>23</v>
      </c>
      <c r="I619" s="449"/>
      <c r="J619" s="450"/>
      <c r="K619" s="443">
        <v>231</v>
      </c>
      <c r="L619" s="444">
        <v>20.196000000000002</v>
      </c>
      <c r="M619" s="463"/>
      <c r="N619" s="463"/>
      <c r="O619" s="445" t="s">
        <v>3678</v>
      </c>
      <c r="P619" s="447">
        <v>693</v>
      </c>
      <c r="Q619" s="451">
        <v>231</v>
      </c>
      <c r="R619" s="447">
        <v>0.81599999999999995</v>
      </c>
      <c r="S619" s="447">
        <v>2.7610000000000001</v>
      </c>
      <c r="T619" s="447">
        <v>565.48800000000006</v>
      </c>
      <c r="U619" s="447">
        <v>1913.373</v>
      </c>
      <c r="V619" s="447">
        <v>73.510000000000005</v>
      </c>
      <c r="W619" s="447">
        <v>279.89</v>
      </c>
      <c r="X619" s="447">
        <v>343</v>
      </c>
      <c r="Y619" s="858">
        <v>193962.38</v>
      </c>
    </row>
    <row r="620" spans="1:25" ht="14.45" customHeight="1" x14ac:dyDescent="0.25">
      <c r="A620" s="722" t="s">
        <v>4678</v>
      </c>
      <c r="B620" s="723">
        <v>369</v>
      </c>
      <c r="C620" s="723"/>
      <c r="D620" s="724" t="s">
        <v>13</v>
      </c>
      <c r="E620" s="724" t="s">
        <v>28</v>
      </c>
      <c r="F620" s="725">
        <v>45154</v>
      </c>
      <c r="G620" s="725"/>
      <c r="H620" s="724" t="s">
        <v>23</v>
      </c>
      <c r="I620" s="441"/>
      <c r="J620" s="442"/>
      <c r="K620" s="720">
        <v>486</v>
      </c>
      <c r="L620" s="744">
        <v>7.7742642857142856</v>
      </c>
      <c r="M620" s="767"/>
      <c r="N620" s="767"/>
      <c r="O620" s="728" t="s">
        <v>1734</v>
      </c>
      <c r="P620" s="721">
        <v>1458</v>
      </c>
      <c r="Q620" s="729">
        <v>486</v>
      </c>
      <c r="R620" s="721">
        <v>0.14929999999999999</v>
      </c>
      <c r="S620" s="721">
        <v>0.56599999999999995</v>
      </c>
      <c r="T620" s="721">
        <v>217.67939999999999</v>
      </c>
      <c r="U620" s="721">
        <v>825.22799999999995</v>
      </c>
      <c r="V620" s="721">
        <v>28.3</v>
      </c>
      <c r="W620" s="721">
        <v>51.21</v>
      </c>
      <c r="X620" s="721">
        <v>343</v>
      </c>
      <c r="Y620" s="857">
        <v>74664.03</v>
      </c>
    </row>
    <row r="621" spans="1:25" ht="14.45" customHeight="1" x14ac:dyDescent="0.25">
      <c r="A621" s="437" t="s">
        <v>4678</v>
      </c>
      <c r="B621" s="438">
        <v>371</v>
      </c>
      <c r="C621" s="438"/>
      <c r="D621" s="439" t="s">
        <v>13</v>
      </c>
      <c r="E621" s="439" t="s">
        <v>3764</v>
      </c>
      <c r="F621" s="440">
        <v>45154</v>
      </c>
      <c r="G621" s="440"/>
      <c r="H621" s="439" t="s">
        <v>23</v>
      </c>
      <c r="I621" s="449"/>
      <c r="J621" s="450"/>
      <c r="K621" s="443">
        <v>314</v>
      </c>
      <c r="L621" s="444">
        <v>13.229435714285714</v>
      </c>
      <c r="M621" s="463"/>
      <c r="N621" s="463"/>
      <c r="O621" s="445" t="s">
        <v>4276</v>
      </c>
      <c r="P621" s="447">
        <v>1397.3</v>
      </c>
      <c r="Q621" s="451">
        <v>314</v>
      </c>
      <c r="R621" s="447">
        <v>0.2651</v>
      </c>
      <c r="S621" s="447">
        <v>0.82099999999999995</v>
      </c>
      <c r="T621" s="447">
        <v>370.42419999999998</v>
      </c>
      <c r="U621" s="447">
        <v>1147.1832999999999</v>
      </c>
      <c r="V621" s="447">
        <v>48.16</v>
      </c>
      <c r="W621" s="447">
        <v>81.92</v>
      </c>
      <c r="X621" s="447">
        <v>309</v>
      </c>
      <c r="Y621" s="858">
        <v>114461.09</v>
      </c>
    </row>
    <row r="622" spans="1:25" ht="14.45" customHeight="1" x14ac:dyDescent="0.25">
      <c r="A622" s="722" t="s">
        <v>4678</v>
      </c>
      <c r="B622" s="723">
        <v>371</v>
      </c>
      <c r="C622" s="723"/>
      <c r="D622" s="724" t="s">
        <v>13</v>
      </c>
      <c r="E622" s="724" t="s">
        <v>3764</v>
      </c>
      <c r="F622" s="725">
        <v>45154</v>
      </c>
      <c r="G622" s="725"/>
      <c r="H622" s="724" t="s">
        <v>23</v>
      </c>
      <c r="I622" s="441"/>
      <c r="J622" s="442"/>
      <c r="K622" s="720">
        <v>570</v>
      </c>
      <c r="L622" s="744">
        <v>9.4387928571428574</v>
      </c>
      <c r="M622" s="767"/>
      <c r="N622" s="767"/>
      <c r="O622" s="728" t="s">
        <v>2841</v>
      </c>
      <c r="P622" s="721">
        <v>2764.5</v>
      </c>
      <c r="Q622" s="729">
        <v>570</v>
      </c>
      <c r="R622" s="721">
        <v>9.5600000000000004E-2</v>
      </c>
      <c r="S622" s="721">
        <v>0.16</v>
      </c>
      <c r="T622" s="721">
        <v>264.28620000000001</v>
      </c>
      <c r="U622" s="721">
        <v>442.32</v>
      </c>
      <c r="V622" s="721">
        <v>34.36</v>
      </c>
      <c r="W622" s="721">
        <v>29.54</v>
      </c>
      <c r="X622" s="721">
        <v>309</v>
      </c>
      <c r="Y622" s="857">
        <v>81664.44</v>
      </c>
    </row>
    <row r="623" spans="1:25" ht="14.45" customHeight="1" x14ac:dyDescent="0.25">
      <c r="A623" s="437" t="s">
        <v>4678</v>
      </c>
      <c r="B623" s="438" t="s">
        <v>4344</v>
      </c>
      <c r="C623" s="438" t="s">
        <v>4753</v>
      </c>
      <c r="D623" s="439" t="s">
        <v>13</v>
      </c>
      <c r="E623" s="438" t="s">
        <v>585</v>
      </c>
      <c r="F623" s="440">
        <v>45153</v>
      </c>
      <c r="G623" s="440"/>
      <c r="H623" s="439" t="s">
        <v>23</v>
      </c>
      <c r="I623" s="449"/>
      <c r="J623" s="450"/>
      <c r="K623" s="443" t="e">
        <v>#VALUE!</v>
      </c>
      <c r="L623" s="444">
        <v>0</v>
      </c>
      <c r="M623" s="463"/>
      <c r="N623" s="463"/>
      <c r="O623" s="445" t="s">
        <v>92</v>
      </c>
      <c r="P623" s="447"/>
      <c r="Q623" s="451" t="s">
        <v>529</v>
      </c>
      <c r="R623" s="447"/>
      <c r="S623" s="447"/>
      <c r="T623" s="447"/>
      <c r="U623" s="447"/>
      <c r="V623" s="447"/>
      <c r="W623" s="447"/>
      <c r="X623" s="447"/>
      <c r="Y623" s="858" t="s">
        <v>4346</v>
      </c>
    </row>
    <row r="624" spans="1:25" ht="14.45" customHeight="1" x14ac:dyDescent="0.25">
      <c r="A624" s="722" t="s">
        <v>4678</v>
      </c>
      <c r="B624" s="723" t="s">
        <v>4344</v>
      </c>
      <c r="C624" s="723" t="s">
        <v>4753</v>
      </c>
      <c r="D624" s="724" t="s">
        <v>13</v>
      </c>
      <c r="E624" s="723" t="s">
        <v>585</v>
      </c>
      <c r="F624" s="725">
        <v>45153</v>
      </c>
      <c r="G624" s="725"/>
      <c r="H624" s="724" t="s">
        <v>23</v>
      </c>
      <c r="I624" s="441"/>
      <c r="J624" s="442"/>
      <c r="K624" s="720" t="e">
        <v>#VALUE!</v>
      </c>
      <c r="L624" s="744">
        <v>0</v>
      </c>
      <c r="M624" s="767"/>
      <c r="N624" s="767"/>
      <c r="O624" s="728" t="s">
        <v>94</v>
      </c>
      <c r="P624" s="721"/>
      <c r="Q624" s="729" t="s">
        <v>529</v>
      </c>
      <c r="R624" s="721"/>
      <c r="S624" s="721"/>
      <c r="T624" s="721"/>
      <c r="U624" s="721"/>
      <c r="V624" s="721"/>
      <c r="W624" s="721"/>
      <c r="X624" s="721"/>
      <c r="Y624" s="857" t="s">
        <v>4346</v>
      </c>
    </row>
    <row r="625" spans="1:25" ht="14.45" customHeight="1" x14ac:dyDescent="0.25">
      <c r="A625" s="437" t="s">
        <v>4678</v>
      </c>
      <c r="B625" s="438" t="s">
        <v>4344</v>
      </c>
      <c r="C625" s="438" t="s">
        <v>4753</v>
      </c>
      <c r="D625" s="439" t="s">
        <v>13</v>
      </c>
      <c r="E625" s="438" t="s">
        <v>585</v>
      </c>
      <c r="F625" s="440">
        <v>45153</v>
      </c>
      <c r="G625" s="440"/>
      <c r="H625" s="439" t="s">
        <v>23</v>
      </c>
      <c r="I625" s="449"/>
      <c r="J625" s="450"/>
      <c r="K625" s="443" t="e">
        <v>#VALUE!</v>
      </c>
      <c r="L625" s="444">
        <v>0</v>
      </c>
      <c r="M625" s="463"/>
      <c r="N625" s="463"/>
      <c r="O625" s="445" t="s">
        <v>95</v>
      </c>
      <c r="P625" s="447"/>
      <c r="Q625" s="451" t="s">
        <v>54</v>
      </c>
      <c r="R625" s="447"/>
      <c r="S625" s="447"/>
      <c r="T625" s="447"/>
      <c r="U625" s="447"/>
      <c r="V625" s="447"/>
      <c r="W625" s="447"/>
      <c r="X625" s="447"/>
      <c r="Y625" s="858" t="s">
        <v>4120</v>
      </c>
    </row>
    <row r="626" spans="1:25" ht="14.45" customHeight="1" x14ac:dyDescent="0.25">
      <c r="A626" s="722" t="s">
        <v>4678</v>
      </c>
      <c r="B626" s="723" t="s">
        <v>4344</v>
      </c>
      <c r="C626" s="723" t="s">
        <v>4753</v>
      </c>
      <c r="D626" s="724" t="s">
        <v>13</v>
      </c>
      <c r="E626" s="723" t="s">
        <v>585</v>
      </c>
      <c r="F626" s="725">
        <v>45153</v>
      </c>
      <c r="G626" s="725"/>
      <c r="H626" s="724" t="s">
        <v>23</v>
      </c>
      <c r="I626" s="441"/>
      <c r="J626" s="442"/>
      <c r="K626" s="720" t="e">
        <v>#VALUE!</v>
      </c>
      <c r="L626" s="744">
        <v>0</v>
      </c>
      <c r="M626" s="767"/>
      <c r="N626" s="767"/>
      <c r="O626" s="728" t="s">
        <v>98</v>
      </c>
      <c r="P626" s="721"/>
      <c r="Q626" s="729" t="s">
        <v>54</v>
      </c>
      <c r="R626" s="721"/>
      <c r="S626" s="721"/>
      <c r="T626" s="721"/>
      <c r="U626" s="721"/>
      <c r="V626" s="721"/>
      <c r="W626" s="721"/>
      <c r="X626" s="721"/>
      <c r="Y626" s="857" t="s">
        <v>4120</v>
      </c>
    </row>
    <row r="627" spans="1:25" ht="14.45" customHeight="1" x14ac:dyDescent="0.25">
      <c r="A627" s="437" t="s">
        <v>4678</v>
      </c>
      <c r="B627" s="438" t="s">
        <v>4344</v>
      </c>
      <c r="C627" s="438" t="s">
        <v>4753</v>
      </c>
      <c r="D627" s="439" t="s">
        <v>13</v>
      </c>
      <c r="E627" s="438" t="s">
        <v>585</v>
      </c>
      <c r="F627" s="440">
        <v>45153</v>
      </c>
      <c r="G627" s="440"/>
      <c r="H627" s="439" t="s">
        <v>23</v>
      </c>
      <c r="I627" s="449"/>
      <c r="J627" s="450"/>
      <c r="K627" s="443" t="e">
        <v>#VALUE!</v>
      </c>
      <c r="L627" s="444">
        <v>0</v>
      </c>
      <c r="M627" s="463"/>
      <c r="N627" s="463"/>
      <c r="O627" s="445" t="s">
        <v>99</v>
      </c>
      <c r="P627" s="447"/>
      <c r="Q627" s="451" t="s">
        <v>4345</v>
      </c>
      <c r="R627" s="447"/>
      <c r="S627" s="447"/>
      <c r="T627" s="447"/>
      <c r="U627" s="447"/>
      <c r="V627" s="447"/>
      <c r="W627" s="447"/>
      <c r="X627" s="447"/>
      <c r="Y627" s="858" t="s">
        <v>2504</v>
      </c>
    </row>
    <row r="628" spans="1:25" ht="14.45" customHeight="1" x14ac:dyDescent="0.25">
      <c r="A628" s="722" t="s">
        <v>4678</v>
      </c>
      <c r="B628" s="723" t="s">
        <v>4344</v>
      </c>
      <c r="C628" s="723" t="s">
        <v>4753</v>
      </c>
      <c r="D628" s="724" t="s">
        <v>13</v>
      </c>
      <c r="E628" s="723" t="s">
        <v>585</v>
      </c>
      <c r="F628" s="725">
        <v>45153</v>
      </c>
      <c r="G628" s="725"/>
      <c r="H628" s="724" t="s">
        <v>23</v>
      </c>
      <c r="I628" s="441"/>
      <c r="J628" s="442"/>
      <c r="K628" s="720" t="e">
        <v>#VALUE!</v>
      </c>
      <c r="L628" s="744">
        <v>0</v>
      </c>
      <c r="M628" s="767"/>
      <c r="N628" s="767"/>
      <c r="O628" s="728" t="s">
        <v>102</v>
      </c>
      <c r="P628" s="721"/>
      <c r="Q628" s="729" t="s">
        <v>4345</v>
      </c>
      <c r="R628" s="721"/>
      <c r="S628" s="721"/>
      <c r="T628" s="721"/>
      <c r="U628" s="721"/>
      <c r="V628" s="721"/>
      <c r="W628" s="721"/>
      <c r="X628" s="721"/>
      <c r="Y628" s="857" t="s">
        <v>2504</v>
      </c>
    </row>
    <row r="629" spans="1:25" ht="14.45" customHeight="1" x14ac:dyDescent="0.25">
      <c r="A629" s="437" t="s">
        <v>4678</v>
      </c>
      <c r="B629" s="438" t="s">
        <v>4352</v>
      </c>
      <c r="C629" s="438" t="s">
        <v>4753</v>
      </c>
      <c r="D629" s="439" t="s">
        <v>13</v>
      </c>
      <c r="E629" s="438" t="s">
        <v>585</v>
      </c>
      <c r="F629" s="440">
        <v>45154</v>
      </c>
      <c r="G629" s="440"/>
      <c r="H629" s="439" t="s">
        <v>23</v>
      </c>
      <c r="I629" s="449"/>
      <c r="J629" s="450"/>
      <c r="K629" s="443" t="e">
        <v>#VALUE!</v>
      </c>
      <c r="L629" s="444">
        <v>0</v>
      </c>
      <c r="M629" s="463"/>
      <c r="N629" s="463"/>
      <c r="O629" s="445" t="s">
        <v>731</v>
      </c>
      <c r="P629" s="447"/>
      <c r="Q629" s="451" t="s">
        <v>36</v>
      </c>
      <c r="R629" s="447"/>
      <c r="S629" s="447"/>
      <c r="T629" s="447"/>
      <c r="U629" s="447"/>
      <c r="V629" s="447"/>
      <c r="W629" s="447"/>
      <c r="X629" s="447"/>
      <c r="Y629" s="858" t="s">
        <v>4348</v>
      </c>
    </row>
    <row r="630" spans="1:25" ht="14.45" customHeight="1" x14ac:dyDescent="0.25">
      <c r="A630" s="722" t="s">
        <v>4678</v>
      </c>
      <c r="B630" s="723" t="s">
        <v>4352</v>
      </c>
      <c r="C630" s="723" t="s">
        <v>4753</v>
      </c>
      <c r="D630" s="724" t="s">
        <v>13</v>
      </c>
      <c r="E630" s="723" t="s">
        <v>585</v>
      </c>
      <c r="F630" s="725">
        <v>45154</v>
      </c>
      <c r="G630" s="725"/>
      <c r="H630" s="724" t="s">
        <v>23</v>
      </c>
      <c r="I630" s="441"/>
      <c r="J630" s="442"/>
      <c r="K630" s="720" t="e">
        <v>#VALUE!</v>
      </c>
      <c r="L630" s="744">
        <v>0</v>
      </c>
      <c r="M630" s="767"/>
      <c r="N630" s="767"/>
      <c r="O630" s="728" t="s">
        <v>742</v>
      </c>
      <c r="P630" s="721"/>
      <c r="Q630" s="729" t="s">
        <v>96</v>
      </c>
      <c r="R630" s="721"/>
      <c r="S630" s="721"/>
      <c r="T630" s="721"/>
      <c r="U630" s="721"/>
      <c r="V630" s="721"/>
      <c r="W630" s="721"/>
      <c r="X630" s="721"/>
      <c r="Y630" s="857" t="s">
        <v>1422</v>
      </c>
    </row>
    <row r="631" spans="1:25" ht="14.45" customHeight="1" x14ac:dyDescent="0.25">
      <c r="A631" s="437" t="s">
        <v>4678</v>
      </c>
      <c r="B631" s="438" t="s">
        <v>4352</v>
      </c>
      <c r="C631" s="438" t="s">
        <v>4753</v>
      </c>
      <c r="D631" s="439" t="s">
        <v>13</v>
      </c>
      <c r="E631" s="438" t="s">
        <v>585</v>
      </c>
      <c r="F631" s="440">
        <v>45154</v>
      </c>
      <c r="G631" s="440"/>
      <c r="H631" s="439" t="s">
        <v>23</v>
      </c>
      <c r="I631" s="449"/>
      <c r="J631" s="450"/>
      <c r="K631" s="443" t="e">
        <v>#VALUE!</v>
      </c>
      <c r="L631" s="444">
        <v>0</v>
      </c>
      <c r="M631" s="463"/>
      <c r="N631" s="463"/>
      <c r="O631" s="445" t="s">
        <v>730</v>
      </c>
      <c r="P631" s="447"/>
      <c r="Q631" s="451" t="s">
        <v>446</v>
      </c>
      <c r="R631" s="447"/>
      <c r="S631" s="447"/>
      <c r="T631" s="447"/>
      <c r="U631" s="447"/>
      <c r="V631" s="447"/>
      <c r="W631" s="447"/>
      <c r="X631" s="447"/>
      <c r="Y631" s="858" t="s">
        <v>186</v>
      </c>
    </row>
    <row r="632" spans="1:25" ht="14.45" customHeight="1" x14ac:dyDescent="0.25">
      <c r="A632" s="722" t="s">
        <v>4678</v>
      </c>
      <c r="B632" s="723" t="s">
        <v>4352</v>
      </c>
      <c r="C632" s="723" t="s">
        <v>4753</v>
      </c>
      <c r="D632" s="724" t="s">
        <v>13</v>
      </c>
      <c r="E632" s="723" t="s">
        <v>585</v>
      </c>
      <c r="F632" s="725">
        <v>45154</v>
      </c>
      <c r="G632" s="725"/>
      <c r="H632" s="724" t="s">
        <v>23</v>
      </c>
      <c r="I632" s="441"/>
      <c r="J632" s="442"/>
      <c r="K632" s="720" t="e">
        <v>#VALUE!</v>
      </c>
      <c r="L632" s="744">
        <v>0</v>
      </c>
      <c r="M632" s="767"/>
      <c r="N632" s="767"/>
      <c r="O632" s="728" t="s">
        <v>744</v>
      </c>
      <c r="P632" s="721"/>
      <c r="Q632" s="729" t="s">
        <v>834</v>
      </c>
      <c r="R632" s="721"/>
      <c r="S632" s="721"/>
      <c r="T632" s="721"/>
      <c r="U632" s="721"/>
      <c r="V632" s="721"/>
      <c r="W632" s="721"/>
      <c r="X632" s="721"/>
      <c r="Y632" s="857" t="s">
        <v>234</v>
      </c>
    </row>
    <row r="633" spans="1:25" ht="14.45" customHeight="1" x14ac:dyDescent="0.25">
      <c r="A633" s="437" t="s">
        <v>4678</v>
      </c>
      <c r="B633" s="438" t="s">
        <v>4352</v>
      </c>
      <c r="C633" s="438" t="s">
        <v>4753</v>
      </c>
      <c r="D633" s="439" t="s">
        <v>13</v>
      </c>
      <c r="E633" s="438" t="s">
        <v>585</v>
      </c>
      <c r="F633" s="440">
        <v>45154</v>
      </c>
      <c r="G633" s="440"/>
      <c r="H633" s="439" t="s">
        <v>23</v>
      </c>
      <c r="I633" s="449"/>
      <c r="J633" s="450"/>
      <c r="K633" s="443" t="e">
        <v>#VALUE!</v>
      </c>
      <c r="L633" s="444">
        <v>0</v>
      </c>
      <c r="M633" s="463"/>
      <c r="N633" s="463"/>
      <c r="O633" s="445" t="s">
        <v>733</v>
      </c>
      <c r="P633" s="447"/>
      <c r="Q633" s="451" t="s">
        <v>178</v>
      </c>
      <c r="R633" s="447"/>
      <c r="S633" s="447"/>
      <c r="T633" s="447"/>
      <c r="U633" s="447"/>
      <c r="V633" s="447"/>
      <c r="W633" s="447"/>
      <c r="X633" s="447"/>
      <c r="Y633" s="858" t="s">
        <v>4349</v>
      </c>
    </row>
    <row r="634" spans="1:25" ht="14.45" customHeight="1" x14ac:dyDescent="0.25">
      <c r="A634" s="722" t="s">
        <v>4678</v>
      </c>
      <c r="B634" s="723" t="s">
        <v>4352</v>
      </c>
      <c r="C634" s="723" t="s">
        <v>4753</v>
      </c>
      <c r="D634" s="724" t="s">
        <v>13</v>
      </c>
      <c r="E634" s="723" t="s">
        <v>585</v>
      </c>
      <c r="F634" s="725">
        <v>45154</v>
      </c>
      <c r="G634" s="725"/>
      <c r="H634" s="724" t="s">
        <v>23</v>
      </c>
      <c r="I634" s="441"/>
      <c r="J634" s="442"/>
      <c r="K634" s="720" t="e">
        <v>#VALUE!</v>
      </c>
      <c r="L634" s="744">
        <v>0</v>
      </c>
      <c r="M634" s="767"/>
      <c r="N634" s="767"/>
      <c r="O634" s="728" t="s">
        <v>1255</v>
      </c>
      <c r="P634" s="721"/>
      <c r="Q634" s="729" t="s">
        <v>54</v>
      </c>
      <c r="R634" s="721"/>
      <c r="S634" s="721"/>
      <c r="T634" s="721"/>
      <c r="U634" s="721"/>
      <c r="V634" s="721"/>
      <c r="W634" s="721"/>
      <c r="X634" s="721"/>
      <c r="Y634" s="857" t="s">
        <v>371</v>
      </c>
    </row>
    <row r="635" spans="1:25" ht="14.45" customHeight="1" x14ac:dyDescent="0.25">
      <c r="A635" s="437" t="s">
        <v>4678</v>
      </c>
      <c r="B635" s="438" t="s">
        <v>4352</v>
      </c>
      <c r="C635" s="438" t="s">
        <v>4753</v>
      </c>
      <c r="D635" s="439" t="s">
        <v>13</v>
      </c>
      <c r="E635" s="438" t="s">
        <v>585</v>
      </c>
      <c r="F635" s="440">
        <v>45154</v>
      </c>
      <c r="G635" s="440"/>
      <c r="H635" s="439" t="s">
        <v>23</v>
      </c>
      <c r="I635" s="449"/>
      <c r="J635" s="450"/>
      <c r="K635" s="443" t="e">
        <v>#VALUE!</v>
      </c>
      <c r="L635" s="444">
        <v>0</v>
      </c>
      <c r="M635" s="463"/>
      <c r="N635" s="463"/>
      <c r="O635" s="445" t="s">
        <v>739</v>
      </c>
      <c r="P635" s="447"/>
      <c r="Q635" s="451" t="s">
        <v>446</v>
      </c>
      <c r="R635" s="447"/>
      <c r="S635" s="447"/>
      <c r="T635" s="447"/>
      <c r="U635" s="447"/>
      <c r="V635" s="447"/>
      <c r="W635" s="447"/>
      <c r="X635" s="447"/>
      <c r="Y635" s="858" t="s">
        <v>4350</v>
      </c>
    </row>
    <row r="636" spans="1:25" ht="14.45" customHeight="1" x14ac:dyDescent="0.25">
      <c r="A636" s="722" t="s">
        <v>4678</v>
      </c>
      <c r="B636" s="723" t="s">
        <v>4352</v>
      </c>
      <c r="C636" s="723" t="s">
        <v>4753</v>
      </c>
      <c r="D636" s="724" t="s">
        <v>13</v>
      </c>
      <c r="E636" s="723" t="s">
        <v>585</v>
      </c>
      <c r="F636" s="725">
        <v>45154</v>
      </c>
      <c r="G636" s="725"/>
      <c r="H636" s="724" t="s">
        <v>23</v>
      </c>
      <c r="I636" s="441"/>
      <c r="J636" s="442"/>
      <c r="K636" s="720" t="e">
        <v>#VALUE!</v>
      </c>
      <c r="L636" s="744">
        <v>0</v>
      </c>
      <c r="M636" s="767"/>
      <c r="N636" s="767"/>
      <c r="O636" s="728" t="s">
        <v>740</v>
      </c>
      <c r="P636" s="721"/>
      <c r="Q636" s="729" t="s">
        <v>4347</v>
      </c>
      <c r="R636" s="721"/>
      <c r="S636" s="721"/>
      <c r="T636" s="721"/>
      <c r="U636" s="721"/>
      <c r="V636" s="721"/>
      <c r="W636" s="721"/>
      <c r="X636" s="721"/>
      <c r="Y636" s="857" t="s">
        <v>4351</v>
      </c>
    </row>
    <row r="637" spans="1:25" ht="14.45" customHeight="1" x14ac:dyDescent="0.25">
      <c r="A637" s="437" t="s">
        <v>4678</v>
      </c>
      <c r="B637" s="438" t="s">
        <v>4352</v>
      </c>
      <c r="C637" s="438" t="s">
        <v>4753</v>
      </c>
      <c r="D637" s="439" t="s">
        <v>13</v>
      </c>
      <c r="E637" s="438" t="s">
        <v>585</v>
      </c>
      <c r="F637" s="440">
        <v>45154</v>
      </c>
      <c r="G637" s="440"/>
      <c r="H637" s="439" t="s">
        <v>23</v>
      </c>
      <c r="I637" s="449"/>
      <c r="J637" s="450"/>
      <c r="K637" s="443" t="e">
        <v>#VALUE!</v>
      </c>
      <c r="L637" s="444">
        <v>0</v>
      </c>
      <c r="M637" s="463"/>
      <c r="N637" s="463"/>
      <c r="O637" s="445" t="s">
        <v>745</v>
      </c>
      <c r="P637" s="447"/>
      <c r="Q637" s="451" t="s">
        <v>96</v>
      </c>
      <c r="R637" s="447"/>
      <c r="S637" s="447"/>
      <c r="T637" s="447"/>
      <c r="U637" s="447"/>
      <c r="V637" s="447"/>
      <c r="W637" s="447"/>
      <c r="X637" s="447"/>
      <c r="Y637" s="858" t="s">
        <v>134</v>
      </c>
    </row>
    <row r="638" spans="1:25" ht="14.45" customHeight="1" x14ac:dyDescent="0.25">
      <c r="A638" s="722" t="s">
        <v>4678</v>
      </c>
      <c r="B638" s="723" t="s">
        <v>4352</v>
      </c>
      <c r="C638" s="723" t="s">
        <v>4753</v>
      </c>
      <c r="D638" s="724" t="s">
        <v>13</v>
      </c>
      <c r="E638" s="723" t="s">
        <v>585</v>
      </c>
      <c r="F638" s="725">
        <v>45154</v>
      </c>
      <c r="G638" s="725"/>
      <c r="H638" s="724" t="s">
        <v>23</v>
      </c>
      <c r="I638" s="441"/>
      <c r="J638" s="442"/>
      <c r="K638" s="720" t="e">
        <v>#VALUE!</v>
      </c>
      <c r="L638" s="744">
        <v>0</v>
      </c>
      <c r="M638" s="767"/>
      <c r="N638" s="767"/>
      <c r="O638" s="728" t="s">
        <v>1243</v>
      </c>
      <c r="P638" s="721"/>
      <c r="Q638" s="729" t="s">
        <v>446</v>
      </c>
      <c r="R638" s="721"/>
      <c r="S638" s="721"/>
      <c r="T638" s="721"/>
      <c r="U638" s="721"/>
      <c r="V638" s="721"/>
      <c r="W638" s="721"/>
      <c r="X638" s="721"/>
      <c r="Y638" s="857" t="s">
        <v>55</v>
      </c>
    </row>
    <row r="639" spans="1:25" ht="14.45" customHeight="1" x14ac:dyDescent="0.25">
      <c r="A639" s="437" t="s">
        <v>4678</v>
      </c>
      <c r="B639" s="438" t="s">
        <v>4352</v>
      </c>
      <c r="C639" s="438" t="s">
        <v>4753</v>
      </c>
      <c r="D639" s="439" t="s">
        <v>13</v>
      </c>
      <c r="E639" s="438" t="s">
        <v>585</v>
      </c>
      <c r="F639" s="440">
        <v>45154</v>
      </c>
      <c r="G639" s="440"/>
      <c r="H639" s="439" t="s">
        <v>23</v>
      </c>
      <c r="I639" s="449"/>
      <c r="J639" s="450"/>
      <c r="K639" s="443" t="e">
        <v>#VALUE!</v>
      </c>
      <c r="L639" s="444">
        <v>0</v>
      </c>
      <c r="M639" s="463"/>
      <c r="N639" s="463"/>
      <c r="O639" s="445" t="s">
        <v>741</v>
      </c>
      <c r="P639" s="447"/>
      <c r="Q639" s="451" t="s">
        <v>36</v>
      </c>
      <c r="R639" s="447"/>
      <c r="S639" s="447"/>
      <c r="T639" s="447"/>
      <c r="U639" s="447"/>
      <c r="V639" s="447"/>
      <c r="W639" s="447"/>
      <c r="X639" s="447"/>
      <c r="Y639" s="858" t="s">
        <v>179</v>
      </c>
    </row>
    <row r="640" spans="1:25" ht="14.45" customHeight="1" x14ac:dyDescent="0.25">
      <c r="A640" s="722" t="s">
        <v>4678</v>
      </c>
      <c r="B640" s="723" t="s">
        <v>4352</v>
      </c>
      <c r="C640" s="723" t="s">
        <v>4753</v>
      </c>
      <c r="D640" s="724" t="s">
        <v>13</v>
      </c>
      <c r="E640" s="723" t="s">
        <v>585</v>
      </c>
      <c r="F640" s="725">
        <v>45154</v>
      </c>
      <c r="G640" s="725"/>
      <c r="H640" s="724" t="s">
        <v>23</v>
      </c>
      <c r="I640" s="441"/>
      <c r="J640" s="442"/>
      <c r="K640" s="720" t="e">
        <v>#VALUE!</v>
      </c>
      <c r="L640" s="744">
        <v>0</v>
      </c>
      <c r="M640" s="767"/>
      <c r="N640" s="767"/>
      <c r="O640" s="728" t="s">
        <v>737</v>
      </c>
      <c r="P640" s="721"/>
      <c r="Q640" s="729" t="s">
        <v>446</v>
      </c>
      <c r="R640" s="721"/>
      <c r="S640" s="721"/>
      <c r="T640" s="721"/>
      <c r="U640" s="721"/>
      <c r="V640" s="721"/>
      <c r="W640" s="721"/>
      <c r="X640" s="721"/>
      <c r="Y640" s="857" t="s">
        <v>3342</v>
      </c>
    </row>
    <row r="641" spans="1:25" ht="14.45" customHeight="1" x14ac:dyDescent="0.25">
      <c r="A641" s="437" t="s">
        <v>4678</v>
      </c>
      <c r="B641" s="438" t="s">
        <v>4352</v>
      </c>
      <c r="C641" s="438" t="s">
        <v>4753</v>
      </c>
      <c r="D641" s="439" t="s">
        <v>13</v>
      </c>
      <c r="E641" s="438" t="s">
        <v>585</v>
      </c>
      <c r="F641" s="440">
        <v>45154</v>
      </c>
      <c r="G641" s="440"/>
      <c r="H641" s="439" t="s">
        <v>23</v>
      </c>
      <c r="I641" s="449"/>
      <c r="J641" s="450"/>
      <c r="K641" s="443" t="e">
        <v>#VALUE!</v>
      </c>
      <c r="L641" s="444">
        <v>0</v>
      </c>
      <c r="M641" s="463"/>
      <c r="N641" s="463"/>
      <c r="O641" s="445" t="s">
        <v>3727</v>
      </c>
      <c r="P641" s="447"/>
      <c r="Q641" s="451" t="s">
        <v>446</v>
      </c>
      <c r="R641" s="447"/>
      <c r="S641" s="447"/>
      <c r="T641" s="447"/>
      <c r="U641" s="447"/>
      <c r="V641" s="447"/>
      <c r="W641" s="447"/>
      <c r="X641" s="447"/>
      <c r="Y641" s="858" t="s">
        <v>416</v>
      </c>
    </row>
    <row r="642" spans="1:25" ht="14.45" customHeight="1" x14ac:dyDescent="0.25">
      <c r="A642" s="722" t="s">
        <v>4678</v>
      </c>
      <c r="B642" s="723" t="s">
        <v>4357</v>
      </c>
      <c r="C642" s="723" t="s">
        <v>4753</v>
      </c>
      <c r="D642" s="724" t="s">
        <v>13</v>
      </c>
      <c r="E642" s="723" t="s">
        <v>585</v>
      </c>
      <c r="F642" s="725">
        <v>45154</v>
      </c>
      <c r="G642" s="725"/>
      <c r="H642" s="724" t="s">
        <v>23</v>
      </c>
      <c r="I642" s="441"/>
      <c r="J642" s="442"/>
      <c r="K642" s="720" t="e">
        <v>#VALUE!</v>
      </c>
      <c r="L642" s="744">
        <v>0</v>
      </c>
      <c r="M642" s="767"/>
      <c r="N642" s="767"/>
      <c r="O642" s="728" t="s">
        <v>214</v>
      </c>
      <c r="P642" s="721"/>
      <c r="Q642" s="729" t="s">
        <v>96</v>
      </c>
      <c r="R642" s="721"/>
      <c r="S642" s="721"/>
      <c r="T642" s="721"/>
      <c r="U642" s="721"/>
      <c r="V642" s="721"/>
      <c r="W642" s="721"/>
      <c r="X642" s="721"/>
      <c r="Y642" s="857" t="s">
        <v>470</v>
      </c>
    </row>
    <row r="643" spans="1:25" ht="14.45" customHeight="1" x14ac:dyDescent="0.25">
      <c r="A643" s="437" t="s">
        <v>4678</v>
      </c>
      <c r="B643" s="438" t="s">
        <v>4357</v>
      </c>
      <c r="C643" s="438" t="s">
        <v>4753</v>
      </c>
      <c r="D643" s="439" t="s">
        <v>13</v>
      </c>
      <c r="E643" s="438" t="s">
        <v>585</v>
      </c>
      <c r="F643" s="440">
        <v>45154</v>
      </c>
      <c r="G643" s="440"/>
      <c r="H643" s="439" t="s">
        <v>23</v>
      </c>
      <c r="I643" s="449"/>
      <c r="J643" s="450"/>
      <c r="K643" s="443" t="e">
        <v>#VALUE!</v>
      </c>
      <c r="L643" s="444">
        <v>0</v>
      </c>
      <c r="M643" s="463"/>
      <c r="N643" s="463"/>
      <c r="O643" s="445" t="s">
        <v>215</v>
      </c>
      <c r="P643" s="447"/>
      <c r="Q643" s="451" t="s">
        <v>96</v>
      </c>
      <c r="R643" s="447"/>
      <c r="S643" s="447"/>
      <c r="T643" s="447"/>
      <c r="U643" s="447"/>
      <c r="V643" s="447"/>
      <c r="W643" s="447"/>
      <c r="X643" s="447"/>
      <c r="Y643" s="858" t="s">
        <v>470</v>
      </c>
    </row>
    <row r="644" spans="1:25" ht="14.45" customHeight="1" x14ac:dyDescent="0.25">
      <c r="A644" s="722" t="s">
        <v>4678</v>
      </c>
      <c r="B644" s="723" t="s">
        <v>4357</v>
      </c>
      <c r="C644" s="723" t="s">
        <v>4753</v>
      </c>
      <c r="D644" s="724" t="s">
        <v>13</v>
      </c>
      <c r="E644" s="723" t="s">
        <v>585</v>
      </c>
      <c r="F644" s="725">
        <v>45154</v>
      </c>
      <c r="G644" s="725"/>
      <c r="H644" s="724" t="s">
        <v>23</v>
      </c>
      <c r="I644" s="441"/>
      <c r="J644" s="442"/>
      <c r="K644" s="720" t="e">
        <v>#VALUE!</v>
      </c>
      <c r="L644" s="744">
        <v>0</v>
      </c>
      <c r="M644" s="767"/>
      <c r="N644" s="767"/>
      <c r="O644" s="728" t="s">
        <v>216</v>
      </c>
      <c r="P644" s="721"/>
      <c r="Q644" s="729" t="s">
        <v>96</v>
      </c>
      <c r="R644" s="721"/>
      <c r="S644" s="721"/>
      <c r="T644" s="721"/>
      <c r="U644" s="721"/>
      <c r="V644" s="721"/>
      <c r="W644" s="721"/>
      <c r="X644" s="721"/>
      <c r="Y644" s="857" t="s">
        <v>4354</v>
      </c>
    </row>
    <row r="645" spans="1:25" ht="14.45" customHeight="1" x14ac:dyDescent="0.25">
      <c r="A645" s="437" t="s">
        <v>4678</v>
      </c>
      <c r="B645" s="438" t="s">
        <v>4357</v>
      </c>
      <c r="C645" s="438" t="s">
        <v>4753</v>
      </c>
      <c r="D645" s="439" t="s">
        <v>13</v>
      </c>
      <c r="E645" s="438" t="s">
        <v>585</v>
      </c>
      <c r="F645" s="440">
        <v>45154</v>
      </c>
      <c r="G645" s="440"/>
      <c r="H645" s="439" t="s">
        <v>23</v>
      </c>
      <c r="I645" s="449"/>
      <c r="J645" s="450"/>
      <c r="K645" s="443" t="e">
        <v>#VALUE!</v>
      </c>
      <c r="L645" s="444">
        <v>0</v>
      </c>
      <c r="M645" s="463"/>
      <c r="N645" s="463"/>
      <c r="O645" s="445" t="s">
        <v>219</v>
      </c>
      <c r="P645" s="447"/>
      <c r="Q645" s="451" t="s">
        <v>96</v>
      </c>
      <c r="R645" s="447"/>
      <c r="S645" s="447"/>
      <c r="T645" s="447"/>
      <c r="U645" s="447"/>
      <c r="V645" s="447"/>
      <c r="W645" s="447"/>
      <c r="X645" s="447"/>
      <c r="Y645" s="858" t="s">
        <v>4355</v>
      </c>
    </row>
    <row r="646" spans="1:25" ht="14.45" customHeight="1" x14ac:dyDescent="0.25">
      <c r="A646" s="722" t="s">
        <v>4678</v>
      </c>
      <c r="B646" s="723" t="s">
        <v>4357</v>
      </c>
      <c r="C646" s="723" t="s">
        <v>4753</v>
      </c>
      <c r="D646" s="724" t="s">
        <v>13</v>
      </c>
      <c r="E646" s="723" t="s">
        <v>585</v>
      </c>
      <c r="F646" s="725">
        <v>45154</v>
      </c>
      <c r="G646" s="725"/>
      <c r="H646" s="724" t="s">
        <v>23</v>
      </c>
      <c r="I646" s="441"/>
      <c r="J646" s="442"/>
      <c r="K646" s="720" t="e">
        <v>#VALUE!</v>
      </c>
      <c r="L646" s="744">
        <v>0</v>
      </c>
      <c r="M646" s="767"/>
      <c r="N646" s="767"/>
      <c r="O646" s="728" t="s">
        <v>220</v>
      </c>
      <c r="P646" s="721"/>
      <c r="Q646" s="729" t="s">
        <v>96</v>
      </c>
      <c r="R646" s="721"/>
      <c r="S646" s="721"/>
      <c r="T646" s="721"/>
      <c r="U646" s="721"/>
      <c r="V646" s="721"/>
      <c r="W646" s="721"/>
      <c r="X646" s="721"/>
      <c r="Y646" s="857" t="s">
        <v>4355</v>
      </c>
    </row>
    <row r="647" spans="1:25" ht="14.45" customHeight="1" x14ac:dyDescent="0.25">
      <c r="A647" s="437" t="s">
        <v>4678</v>
      </c>
      <c r="B647" s="438" t="s">
        <v>4357</v>
      </c>
      <c r="C647" s="438" t="s">
        <v>4753</v>
      </c>
      <c r="D647" s="439" t="s">
        <v>13</v>
      </c>
      <c r="E647" s="438" t="s">
        <v>585</v>
      </c>
      <c r="F647" s="440">
        <v>45154</v>
      </c>
      <c r="G647" s="440"/>
      <c r="H647" s="439" t="s">
        <v>23</v>
      </c>
      <c r="I647" s="449"/>
      <c r="J647" s="450"/>
      <c r="K647" s="443" t="e">
        <v>#VALUE!</v>
      </c>
      <c r="L647" s="444">
        <v>0</v>
      </c>
      <c r="M647" s="463"/>
      <c r="N647" s="463"/>
      <c r="O647" s="445" t="s">
        <v>2728</v>
      </c>
      <c r="P647" s="447"/>
      <c r="Q647" s="451" t="s">
        <v>3307</v>
      </c>
      <c r="R647" s="447"/>
      <c r="S647" s="447"/>
      <c r="T647" s="447"/>
      <c r="U647" s="447"/>
      <c r="V647" s="447"/>
      <c r="W647" s="447"/>
      <c r="X647" s="447"/>
      <c r="Y647" s="858" t="s">
        <v>4356</v>
      </c>
    </row>
    <row r="648" spans="1:25" ht="14.45" customHeight="1" x14ac:dyDescent="0.25">
      <c r="A648" s="722" t="s">
        <v>4678</v>
      </c>
      <c r="B648" s="723" t="s">
        <v>4357</v>
      </c>
      <c r="C648" s="723" t="s">
        <v>4753</v>
      </c>
      <c r="D648" s="724" t="s">
        <v>13</v>
      </c>
      <c r="E648" s="723" t="s">
        <v>585</v>
      </c>
      <c r="F648" s="725">
        <v>45154</v>
      </c>
      <c r="G648" s="725"/>
      <c r="H648" s="724" t="s">
        <v>23</v>
      </c>
      <c r="I648" s="441"/>
      <c r="J648" s="442"/>
      <c r="K648" s="720" t="e">
        <v>#VALUE!</v>
      </c>
      <c r="L648" s="744">
        <v>0</v>
      </c>
      <c r="M648" s="767"/>
      <c r="N648" s="767"/>
      <c r="O648" s="728" t="s">
        <v>4353</v>
      </c>
      <c r="P648" s="721"/>
      <c r="Q648" s="729" t="s">
        <v>446</v>
      </c>
      <c r="R648" s="721"/>
      <c r="S648" s="721"/>
      <c r="T648" s="721"/>
      <c r="U648" s="721"/>
      <c r="V648" s="721"/>
      <c r="W648" s="721"/>
      <c r="X648" s="721"/>
      <c r="Y648" s="857" t="s">
        <v>964</v>
      </c>
    </row>
    <row r="649" spans="1:25" ht="14.45" customHeight="1" x14ac:dyDescent="0.25">
      <c r="A649" s="864" t="s">
        <v>4939</v>
      </c>
      <c r="B649" s="769"/>
      <c r="C649" s="865" t="s">
        <v>4753</v>
      </c>
      <c r="D649" s="754" t="s">
        <v>13</v>
      </c>
      <c r="E649" s="754" t="s">
        <v>3561</v>
      </c>
      <c r="F649" s="755">
        <v>45196</v>
      </c>
      <c r="G649" s="755">
        <v>45390</v>
      </c>
      <c r="H649" s="754" t="s">
        <v>23</v>
      </c>
      <c r="I649" s="848"/>
      <c r="J649" s="476">
        <v>93</v>
      </c>
      <c r="K649" s="477">
        <v>1</v>
      </c>
      <c r="L649" s="478">
        <v>0.12558928571428571</v>
      </c>
      <c r="M649" s="849" t="s">
        <v>4968</v>
      </c>
      <c r="N649" s="849" t="s">
        <v>4910</v>
      </c>
      <c r="O649" s="756" t="s">
        <v>5019</v>
      </c>
      <c r="P649" s="757">
        <v>611</v>
      </c>
      <c r="Q649" s="758">
        <v>94</v>
      </c>
      <c r="R649" s="757">
        <v>0.54100000000000004</v>
      </c>
      <c r="S649" s="757">
        <v>2.5299999999999998</v>
      </c>
      <c r="T649" s="757">
        <v>3.5165000000000002</v>
      </c>
      <c r="U649" s="757">
        <v>16.445</v>
      </c>
      <c r="V649" s="757">
        <v>42.97</v>
      </c>
      <c r="W649" s="757">
        <v>165.01</v>
      </c>
      <c r="X649" s="757">
        <v>305</v>
      </c>
      <c r="Y649" s="866">
        <v>100818.06</v>
      </c>
    </row>
    <row r="650" spans="1:25" ht="14.45" customHeight="1" x14ac:dyDescent="0.25">
      <c r="A650" s="722" t="s">
        <v>4678</v>
      </c>
      <c r="B650" s="723">
        <v>375</v>
      </c>
      <c r="C650" s="723"/>
      <c r="D650" s="724" t="s">
        <v>13</v>
      </c>
      <c r="E650" s="724" t="s">
        <v>80</v>
      </c>
      <c r="F650" s="725">
        <v>45156</v>
      </c>
      <c r="G650" s="725"/>
      <c r="H650" s="724" t="s">
        <v>23</v>
      </c>
      <c r="I650" s="850"/>
      <c r="J650" s="441"/>
      <c r="K650" s="720">
        <v>88</v>
      </c>
      <c r="L650" s="744">
        <v>12.767857142857142</v>
      </c>
      <c r="M650" s="767"/>
      <c r="N650" s="767"/>
      <c r="O650" s="851" t="s">
        <v>4909</v>
      </c>
      <c r="P650" s="852">
        <v>572</v>
      </c>
      <c r="Q650" s="853">
        <v>88</v>
      </c>
      <c r="R650" s="852">
        <v>0.625</v>
      </c>
      <c r="S650" s="852">
        <v>2.6</v>
      </c>
      <c r="T650" s="852">
        <v>357.5</v>
      </c>
      <c r="U650" s="852">
        <v>1487.2</v>
      </c>
      <c r="V650" s="852">
        <v>46.48</v>
      </c>
      <c r="W650" s="852">
        <v>190.63</v>
      </c>
      <c r="X650" s="852">
        <v>305</v>
      </c>
      <c r="Y650" s="867">
        <v>109037.5</v>
      </c>
    </row>
    <row r="651" spans="1:25" ht="14.45" customHeight="1" x14ac:dyDescent="0.25">
      <c r="A651" s="437" t="s">
        <v>4678</v>
      </c>
      <c r="B651" s="438">
        <v>375</v>
      </c>
      <c r="C651" s="438"/>
      <c r="D651" s="439" t="s">
        <v>13</v>
      </c>
      <c r="E651" s="439" t="s">
        <v>80</v>
      </c>
      <c r="F651" s="440">
        <v>45156</v>
      </c>
      <c r="G651" s="440"/>
      <c r="H651" s="439" t="s">
        <v>23</v>
      </c>
      <c r="I651" s="854"/>
      <c r="J651" s="449"/>
      <c r="K651" s="443">
        <v>86</v>
      </c>
      <c r="L651" s="444">
        <v>3.4170249999999998</v>
      </c>
      <c r="M651" s="463"/>
      <c r="N651" s="463"/>
      <c r="O651" s="445" t="s">
        <v>3121</v>
      </c>
      <c r="P651" s="447">
        <v>313.89999999999998</v>
      </c>
      <c r="Q651" s="451">
        <v>86</v>
      </c>
      <c r="R651" s="447">
        <v>0.30480000000000002</v>
      </c>
      <c r="S651" s="447">
        <v>1.4590000000000001</v>
      </c>
      <c r="T651" s="447">
        <v>95.676699999999997</v>
      </c>
      <c r="U651" s="447">
        <v>457.98009999999999</v>
      </c>
      <c r="V651" s="447">
        <v>12.44</v>
      </c>
      <c r="W651" s="447">
        <v>96.01</v>
      </c>
      <c r="X651" s="447">
        <v>315</v>
      </c>
      <c r="Y651" s="858">
        <v>30137.54</v>
      </c>
    </row>
    <row r="652" spans="1:25" ht="14.45" customHeight="1" x14ac:dyDescent="0.25">
      <c r="A652" s="722" t="s">
        <v>4678</v>
      </c>
      <c r="B652" s="723" t="s">
        <v>1851</v>
      </c>
      <c r="C652" s="723" t="s">
        <v>4753</v>
      </c>
      <c r="D652" s="724" t="s">
        <v>13</v>
      </c>
      <c r="E652" s="724" t="s">
        <v>3918</v>
      </c>
      <c r="F652" s="725">
        <v>45156</v>
      </c>
      <c r="G652" s="725"/>
      <c r="H652" s="724" t="s">
        <v>23</v>
      </c>
      <c r="I652" s="850"/>
      <c r="J652" s="441"/>
      <c r="K652" s="720">
        <v>0</v>
      </c>
      <c r="L652" s="744">
        <v>0</v>
      </c>
      <c r="M652" s="767" t="s">
        <v>4361</v>
      </c>
      <c r="N652" s="767"/>
      <c r="O652" s="728" t="s">
        <v>4161</v>
      </c>
      <c r="P652" s="721">
        <v>32</v>
      </c>
      <c r="Q652" s="729"/>
      <c r="R652" s="721"/>
      <c r="S652" s="721"/>
      <c r="T652" s="721"/>
      <c r="U652" s="721"/>
      <c r="V652" s="721"/>
      <c r="W652" s="721"/>
      <c r="X652" s="721"/>
      <c r="Y652" s="868" t="s">
        <v>2891</v>
      </c>
    </row>
    <row r="653" spans="1:25" ht="14.45" customHeight="1" x14ac:dyDescent="0.25">
      <c r="A653" s="437" t="s">
        <v>4678</v>
      </c>
      <c r="B653" s="438" t="s">
        <v>3288</v>
      </c>
      <c r="C653" s="438" t="s">
        <v>4753</v>
      </c>
      <c r="D653" s="439" t="s">
        <v>13</v>
      </c>
      <c r="E653" s="439" t="s">
        <v>3762</v>
      </c>
      <c r="F653" s="440">
        <v>45156</v>
      </c>
      <c r="G653" s="440"/>
      <c r="H653" s="439" t="s">
        <v>23</v>
      </c>
      <c r="I653" s="854"/>
      <c r="J653" s="449"/>
      <c r="K653" s="443">
        <v>0</v>
      </c>
      <c r="L653" s="444">
        <v>0</v>
      </c>
      <c r="M653" s="463"/>
      <c r="N653" s="463"/>
      <c r="O653" s="445" t="s">
        <v>4362</v>
      </c>
      <c r="P653" s="447"/>
      <c r="Q653" s="451"/>
      <c r="R653" s="447"/>
      <c r="S653" s="447"/>
      <c r="T653" s="447"/>
      <c r="U653" s="447"/>
      <c r="V653" s="447"/>
      <c r="W653" s="447"/>
      <c r="X653" s="447"/>
      <c r="Y653" s="858" t="s">
        <v>4360</v>
      </c>
    </row>
    <row r="654" spans="1:25" ht="14.45" customHeight="1" x14ac:dyDescent="0.25">
      <c r="A654" s="722" t="s">
        <v>4678</v>
      </c>
      <c r="B654" s="723">
        <v>376</v>
      </c>
      <c r="C654" s="723"/>
      <c r="D654" s="724" t="s">
        <v>13</v>
      </c>
      <c r="E654" s="724" t="s">
        <v>4038</v>
      </c>
      <c r="F654" s="725">
        <v>45159</v>
      </c>
      <c r="G654" s="725"/>
      <c r="H654" s="724" t="s">
        <v>23</v>
      </c>
      <c r="I654" s="850"/>
      <c r="J654" s="441"/>
      <c r="K654" s="720">
        <v>7</v>
      </c>
      <c r="L654" s="744">
        <v>0.47419642857142857</v>
      </c>
      <c r="M654" s="767"/>
      <c r="N654" s="767"/>
      <c r="O654" s="728" t="s">
        <v>4364</v>
      </c>
      <c r="P654" s="721">
        <v>34.299999999999997</v>
      </c>
      <c r="Q654" s="729">
        <v>7</v>
      </c>
      <c r="R654" s="721">
        <v>0.3871</v>
      </c>
      <c r="S654" s="721">
        <v>1.474</v>
      </c>
      <c r="T654" s="721">
        <v>13.2775</v>
      </c>
      <c r="U654" s="721">
        <v>50.558199999999999</v>
      </c>
      <c r="V654" s="721">
        <v>1.73</v>
      </c>
      <c r="W654" s="721">
        <v>121.16</v>
      </c>
      <c r="X654" s="721">
        <v>313</v>
      </c>
      <c r="Y654" s="857">
        <v>4155.87</v>
      </c>
    </row>
    <row r="655" spans="1:25" ht="14.45" customHeight="1" x14ac:dyDescent="0.25">
      <c r="A655" s="437" t="s">
        <v>4678</v>
      </c>
      <c r="B655" s="438">
        <v>378</v>
      </c>
      <c r="C655" s="438"/>
      <c r="D655" s="439" t="s">
        <v>13</v>
      </c>
      <c r="E655" s="439" t="s">
        <v>2973</v>
      </c>
      <c r="F655" s="440">
        <v>45159</v>
      </c>
      <c r="G655" s="440"/>
      <c r="H655" s="439" t="s">
        <v>23</v>
      </c>
      <c r="I655" s="854"/>
      <c r="J655" s="449"/>
      <c r="K655" s="443">
        <v>111</v>
      </c>
      <c r="L655" s="444">
        <v>12.94870357142857</v>
      </c>
      <c r="M655" s="463"/>
      <c r="N655" s="463"/>
      <c r="O655" s="445" t="s">
        <v>1751</v>
      </c>
      <c r="P655" s="447">
        <v>543.9</v>
      </c>
      <c r="Q655" s="451">
        <v>111</v>
      </c>
      <c r="R655" s="447">
        <v>0.66659999999999997</v>
      </c>
      <c r="S655" s="447">
        <v>1.994</v>
      </c>
      <c r="T655" s="447">
        <v>362.56369999999998</v>
      </c>
      <c r="U655" s="447">
        <v>1084.5365999999999</v>
      </c>
      <c r="V655" s="447">
        <v>47.13</v>
      </c>
      <c r="W655" s="447">
        <v>228.64</v>
      </c>
      <c r="X655" s="447">
        <v>343</v>
      </c>
      <c r="Y655" s="858">
        <v>124359.36</v>
      </c>
    </row>
    <row r="656" spans="1:25" ht="14.45" customHeight="1" x14ac:dyDescent="0.25">
      <c r="A656" s="722" t="s">
        <v>4678</v>
      </c>
      <c r="B656" s="723">
        <v>380</v>
      </c>
      <c r="C656" s="723"/>
      <c r="D656" s="724" t="s">
        <v>34</v>
      </c>
      <c r="E656" s="724" t="s">
        <v>3404</v>
      </c>
      <c r="F656" s="725">
        <v>45159</v>
      </c>
      <c r="G656" s="725"/>
      <c r="H656" s="724" t="s">
        <v>23</v>
      </c>
      <c r="I656" s="850"/>
      <c r="J656" s="441"/>
      <c r="K656" s="720">
        <v>287</v>
      </c>
      <c r="L656" s="744">
        <v>5.1762500000000005</v>
      </c>
      <c r="M656" s="767" t="s">
        <v>4383</v>
      </c>
      <c r="N656" s="767"/>
      <c r="O656" s="728" t="s">
        <v>3405</v>
      </c>
      <c r="P656" s="721">
        <v>1435</v>
      </c>
      <c r="Q656" s="729">
        <v>287</v>
      </c>
      <c r="R656" s="721">
        <v>0.10100000000000001</v>
      </c>
      <c r="S656" s="721">
        <v>0.30599999999999999</v>
      </c>
      <c r="T656" s="721">
        <v>144.935</v>
      </c>
      <c r="U656" s="721">
        <v>439.11</v>
      </c>
      <c r="V656" s="721">
        <v>18.84</v>
      </c>
      <c r="W656" s="721">
        <v>24.54</v>
      </c>
      <c r="X656" s="721">
        <v>243</v>
      </c>
      <c r="Y656" s="857">
        <v>35219.21</v>
      </c>
    </row>
    <row r="657" spans="1:25" ht="14.45" customHeight="1" x14ac:dyDescent="0.25">
      <c r="A657" s="437" t="s">
        <v>4678</v>
      </c>
      <c r="B657" s="438">
        <v>380</v>
      </c>
      <c r="C657" s="438"/>
      <c r="D657" s="439" t="s">
        <v>34</v>
      </c>
      <c r="E657" s="439" t="s">
        <v>3404</v>
      </c>
      <c r="F657" s="440">
        <v>45159</v>
      </c>
      <c r="G657" s="440"/>
      <c r="H657" s="439" t="s">
        <v>23</v>
      </c>
      <c r="I657" s="854"/>
      <c r="J657" s="449"/>
      <c r="K657" s="443">
        <v>310</v>
      </c>
      <c r="L657" s="444">
        <v>12.156428571428572</v>
      </c>
      <c r="M657" s="463"/>
      <c r="N657" s="463"/>
      <c r="O657" s="445" t="s">
        <v>3406</v>
      </c>
      <c r="P657" s="447">
        <v>1550</v>
      </c>
      <c r="Q657" s="451">
        <v>310</v>
      </c>
      <c r="R657" s="447">
        <v>0.21959999999999999</v>
      </c>
      <c r="S657" s="447">
        <v>0.35</v>
      </c>
      <c r="T657" s="447">
        <v>340.38</v>
      </c>
      <c r="U657" s="447">
        <v>542.5</v>
      </c>
      <c r="V657" s="447">
        <v>44.25</v>
      </c>
      <c r="W657" s="447">
        <v>53.36</v>
      </c>
      <c r="X657" s="447">
        <v>243</v>
      </c>
      <c r="Y657" s="858">
        <v>82712.34</v>
      </c>
    </row>
    <row r="658" spans="1:25" ht="14.45" customHeight="1" x14ac:dyDescent="0.25">
      <c r="A658" s="722" t="s">
        <v>4678</v>
      </c>
      <c r="B658" s="723">
        <v>380</v>
      </c>
      <c r="C658" s="723"/>
      <c r="D658" s="724" t="s">
        <v>34</v>
      </c>
      <c r="E658" s="724" t="s">
        <v>3404</v>
      </c>
      <c r="F658" s="725">
        <v>45159</v>
      </c>
      <c r="G658" s="725"/>
      <c r="H658" s="724" t="s">
        <v>23</v>
      </c>
      <c r="I658" s="850"/>
      <c r="J658" s="441"/>
      <c r="K658" s="720">
        <v>211</v>
      </c>
      <c r="L658" s="744">
        <v>9.4836964285714291</v>
      </c>
      <c r="M658" s="767"/>
      <c r="N658" s="767"/>
      <c r="O658" s="728" t="s">
        <v>3407</v>
      </c>
      <c r="P658" s="721">
        <v>1055</v>
      </c>
      <c r="Q658" s="729">
        <v>211</v>
      </c>
      <c r="R658" s="721">
        <v>0.25169999999999998</v>
      </c>
      <c r="S658" s="721">
        <v>0.56699999999999995</v>
      </c>
      <c r="T658" s="721">
        <v>265.54349999999999</v>
      </c>
      <c r="U658" s="721">
        <v>598.18499999999995</v>
      </c>
      <c r="V658" s="721">
        <v>34.520000000000003</v>
      </c>
      <c r="W658" s="721">
        <v>61.16</v>
      </c>
      <c r="X658" s="721">
        <v>243</v>
      </c>
      <c r="Y658" s="857">
        <v>64527.07</v>
      </c>
    </row>
    <row r="659" spans="1:25" ht="14.45" customHeight="1" x14ac:dyDescent="0.25">
      <c r="A659" s="437" t="s">
        <v>4678</v>
      </c>
      <c r="B659" s="438">
        <v>381</v>
      </c>
      <c r="C659" s="438"/>
      <c r="D659" s="439" t="s">
        <v>13</v>
      </c>
      <c r="E659" s="439" t="s">
        <v>3764</v>
      </c>
      <c r="F659" s="440">
        <v>45159</v>
      </c>
      <c r="G659" s="440"/>
      <c r="H659" s="439" t="s">
        <v>23</v>
      </c>
      <c r="I659" s="854"/>
      <c r="J659" s="449"/>
      <c r="K659" s="443">
        <v>426</v>
      </c>
      <c r="L659" s="444">
        <v>20.368200000000002</v>
      </c>
      <c r="M659" s="463" t="s">
        <v>4385</v>
      </c>
      <c r="N659" s="463"/>
      <c r="O659" s="445" t="s">
        <v>4275</v>
      </c>
      <c r="P659" s="447">
        <v>2151.3000000000002</v>
      </c>
      <c r="Q659" s="451">
        <v>426</v>
      </c>
      <c r="R659" s="447">
        <v>0.2651</v>
      </c>
      <c r="S659" s="447">
        <v>0.82099999999999995</v>
      </c>
      <c r="T659" s="447">
        <v>570.30960000000005</v>
      </c>
      <c r="U659" s="447">
        <v>1766.2173</v>
      </c>
      <c r="V659" s="447">
        <v>74.14</v>
      </c>
      <c r="W659" s="447">
        <v>81.92</v>
      </c>
      <c r="X659" s="447">
        <v>309</v>
      </c>
      <c r="Y659" s="858">
        <v>176225.68</v>
      </c>
    </row>
    <row r="660" spans="1:25" ht="14.45" customHeight="1" x14ac:dyDescent="0.25">
      <c r="A660" s="722" t="s">
        <v>4678</v>
      </c>
      <c r="B660" s="723">
        <v>381</v>
      </c>
      <c r="C660" s="723"/>
      <c r="D660" s="724" t="s">
        <v>13</v>
      </c>
      <c r="E660" s="724" t="s">
        <v>3764</v>
      </c>
      <c r="F660" s="725">
        <v>45159</v>
      </c>
      <c r="G660" s="725"/>
      <c r="H660" s="724" t="s">
        <v>23</v>
      </c>
      <c r="I660" s="850"/>
      <c r="J660" s="441"/>
      <c r="K660" s="720">
        <v>563</v>
      </c>
      <c r="L660" s="744">
        <v>16.350828571428572</v>
      </c>
      <c r="M660" s="767" t="s">
        <v>4384</v>
      </c>
      <c r="N660" s="767"/>
      <c r="O660" s="728" t="s">
        <v>1975</v>
      </c>
      <c r="P660" s="721">
        <v>2899.45</v>
      </c>
      <c r="Q660" s="729">
        <v>563</v>
      </c>
      <c r="R660" s="721">
        <v>0.15790000000000001</v>
      </c>
      <c r="S660" s="721">
        <v>0.309</v>
      </c>
      <c r="T660" s="721">
        <v>457.82319999999999</v>
      </c>
      <c r="U660" s="721">
        <v>895.93010000000004</v>
      </c>
      <c r="V660" s="721">
        <v>59.52</v>
      </c>
      <c r="W660" s="721">
        <v>48.79</v>
      </c>
      <c r="X660" s="721">
        <v>309</v>
      </c>
      <c r="Y660" s="857">
        <v>141467.35</v>
      </c>
    </row>
    <row r="661" spans="1:25" ht="14.45" customHeight="1" x14ac:dyDescent="0.25">
      <c r="A661" s="437" t="s">
        <v>4678</v>
      </c>
      <c r="B661" s="438">
        <v>382</v>
      </c>
      <c r="C661" s="438"/>
      <c r="D661" s="439" t="s">
        <v>34</v>
      </c>
      <c r="E661" s="439" t="s">
        <v>643</v>
      </c>
      <c r="F661" s="440">
        <v>45159</v>
      </c>
      <c r="G661" s="440"/>
      <c r="H661" s="439" t="s">
        <v>23</v>
      </c>
      <c r="I661" s="854"/>
      <c r="J661" s="449"/>
      <c r="K661" s="443">
        <v>110</v>
      </c>
      <c r="L661" s="444">
        <v>4.2711428571428574</v>
      </c>
      <c r="M661" s="463"/>
      <c r="N661" s="463"/>
      <c r="O661" s="445" t="s">
        <v>3476</v>
      </c>
      <c r="P661" s="447">
        <v>528</v>
      </c>
      <c r="Q661" s="451">
        <v>110</v>
      </c>
      <c r="R661" s="447">
        <v>0.22650000000000001</v>
      </c>
      <c r="S661" s="447">
        <v>0.52700000000000002</v>
      </c>
      <c r="T661" s="447">
        <v>119.592</v>
      </c>
      <c r="U661" s="447">
        <v>278.25599999999997</v>
      </c>
      <c r="V661" s="447">
        <v>15.55</v>
      </c>
      <c r="W661" s="447">
        <v>48.24</v>
      </c>
      <c r="X661" s="447">
        <v>213</v>
      </c>
      <c r="Y661" s="858">
        <v>25473.1</v>
      </c>
    </row>
    <row r="662" spans="1:25" ht="14.45" customHeight="1" x14ac:dyDescent="0.25">
      <c r="A662" s="722" t="s">
        <v>4678</v>
      </c>
      <c r="B662" s="723" t="s">
        <v>4365</v>
      </c>
      <c r="C662" s="723"/>
      <c r="D662" s="724" t="s">
        <v>34</v>
      </c>
      <c r="E662" s="724" t="s">
        <v>16</v>
      </c>
      <c r="F662" s="725">
        <v>45159</v>
      </c>
      <c r="G662" s="725"/>
      <c r="H662" s="724" t="s">
        <v>23</v>
      </c>
      <c r="I662" s="850"/>
      <c r="J662" s="441"/>
      <c r="K662" s="720">
        <v>165</v>
      </c>
      <c r="L662" s="744">
        <v>10.596535714285713</v>
      </c>
      <c r="M662" s="767" t="s">
        <v>4450</v>
      </c>
      <c r="N662" s="767"/>
      <c r="O662" s="728" t="s">
        <v>2423</v>
      </c>
      <c r="P662" s="721">
        <v>990</v>
      </c>
      <c r="Q662" s="729">
        <v>165</v>
      </c>
      <c r="R662" s="721">
        <v>0.29970000000000002</v>
      </c>
      <c r="S662" s="721">
        <v>1.6739999999999999</v>
      </c>
      <c r="T662" s="721">
        <v>296.70299999999997</v>
      </c>
      <c r="U662" s="721">
        <v>1657.26</v>
      </c>
      <c r="V662" s="721">
        <v>38.57</v>
      </c>
      <c r="W662" s="721">
        <v>102.8</v>
      </c>
      <c r="X662" s="721">
        <v>343</v>
      </c>
      <c r="Y662" s="857">
        <v>101769.13</v>
      </c>
    </row>
    <row r="663" spans="1:25" ht="14.45" customHeight="1" x14ac:dyDescent="0.25">
      <c r="A663" s="437" t="s">
        <v>4678</v>
      </c>
      <c r="B663" s="438" t="s">
        <v>4368</v>
      </c>
      <c r="C663" s="438" t="s">
        <v>4753</v>
      </c>
      <c r="D663" s="439" t="s">
        <v>34</v>
      </c>
      <c r="E663" s="439" t="s">
        <v>4367</v>
      </c>
      <c r="F663" s="440">
        <v>45160</v>
      </c>
      <c r="G663" s="440"/>
      <c r="H663" s="439" t="s">
        <v>23</v>
      </c>
      <c r="I663" s="854"/>
      <c r="J663" s="449"/>
      <c r="K663" s="443">
        <v>0</v>
      </c>
      <c r="L663" s="444">
        <v>0</v>
      </c>
      <c r="M663" s="463"/>
      <c r="N663" s="463"/>
      <c r="O663" s="445" t="s">
        <v>4366</v>
      </c>
      <c r="P663" s="447"/>
      <c r="Q663" s="451"/>
      <c r="R663" s="447"/>
      <c r="S663" s="447"/>
      <c r="T663" s="447"/>
      <c r="U663" s="447"/>
      <c r="V663" s="447"/>
      <c r="W663" s="447"/>
      <c r="X663" s="447"/>
      <c r="Y663" s="858" t="s">
        <v>2928</v>
      </c>
    </row>
    <row r="664" spans="1:25" ht="14.45" customHeight="1" x14ac:dyDescent="0.25">
      <c r="A664" s="722" t="s">
        <v>4678</v>
      </c>
      <c r="B664" s="723" t="s">
        <v>4371</v>
      </c>
      <c r="C664" s="723" t="s">
        <v>4753</v>
      </c>
      <c r="D664" s="724" t="s">
        <v>13</v>
      </c>
      <c r="E664" s="724" t="s">
        <v>289</v>
      </c>
      <c r="F664" s="725">
        <v>45160</v>
      </c>
      <c r="G664" s="725"/>
      <c r="H664" s="724" t="s">
        <v>23</v>
      </c>
      <c r="I664" s="850"/>
      <c r="J664" s="441"/>
      <c r="K664" s="720">
        <v>0</v>
      </c>
      <c r="L664" s="744">
        <v>0</v>
      </c>
      <c r="M664" s="767"/>
      <c r="N664" s="767"/>
      <c r="O664" s="728" t="s">
        <v>4370</v>
      </c>
      <c r="P664" s="721"/>
      <c r="Q664" s="729"/>
      <c r="R664" s="721"/>
      <c r="S664" s="721"/>
      <c r="T664" s="721"/>
      <c r="U664" s="721"/>
      <c r="V664" s="721"/>
      <c r="W664" s="721"/>
      <c r="X664" s="721"/>
      <c r="Y664" s="857" t="s">
        <v>4369</v>
      </c>
    </row>
    <row r="665" spans="1:25" ht="14.45" customHeight="1" x14ac:dyDescent="0.25">
      <c r="A665" s="437" t="s">
        <v>4678</v>
      </c>
      <c r="B665" s="438" t="s">
        <v>4372</v>
      </c>
      <c r="C665" s="438" t="s">
        <v>4753</v>
      </c>
      <c r="D665" s="439" t="s">
        <v>13</v>
      </c>
      <c r="E665" s="439" t="s">
        <v>43</v>
      </c>
      <c r="F665" s="440">
        <v>45160</v>
      </c>
      <c r="G665" s="440"/>
      <c r="H665" s="439" t="s">
        <v>23</v>
      </c>
      <c r="I665" s="854"/>
      <c r="J665" s="449"/>
      <c r="K665" s="443">
        <v>0</v>
      </c>
      <c r="L665" s="444">
        <v>0</v>
      </c>
      <c r="M665" s="463"/>
      <c r="N665" s="463"/>
      <c r="O665" s="453" t="s">
        <v>4311</v>
      </c>
      <c r="P665" s="447" t="s">
        <v>4261</v>
      </c>
      <c r="Q665" s="451"/>
      <c r="R665" s="447"/>
      <c r="S665" s="447"/>
      <c r="T665" s="447"/>
      <c r="U665" s="447"/>
      <c r="V665" s="447"/>
      <c r="W665" s="447"/>
      <c r="X665" s="447"/>
      <c r="Y665" s="858" t="s">
        <v>4339</v>
      </c>
    </row>
    <row r="666" spans="1:25" ht="14.45" customHeight="1" x14ac:dyDescent="0.25">
      <c r="A666" s="722" t="s">
        <v>4678</v>
      </c>
      <c r="B666" s="723">
        <v>390</v>
      </c>
      <c r="C666" s="723"/>
      <c r="D666" s="724" t="s">
        <v>34</v>
      </c>
      <c r="E666" s="724" t="s">
        <v>643</v>
      </c>
      <c r="F666" s="725">
        <v>45167</v>
      </c>
      <c r="G666" s="725"/>
      <c r="H666" s="724" t="s">
        <v>23</v>
      </c>
      <c r="I666" s="850"/>
      <c r="J666" s="441"/>
      <c r="K666" s="720">
        <v>215</v>
      </c>
      <c r="L666" s="744">
        <v>7.3046250000000006</v>
      </c>
      <c r="M666" s="767"/>
      <c r="N666" s="767"/>
      <c r="O666" s="784" t="s">
        <v>888</v>
      </c>
      <c r="P666" s="721">
        <v>903</v>
      </c>
      <c r="Q666" s="729">
        <v>215</v>
      </c>
      <c r="R666" s="721">
        <v>0.22650000000000001</v>
      </c>
      <c r="S666" s="721">
        <v>0.52700000000000002</v>
      </c>
      <c r="T666" s="721">
        <v>204.52950000000001</v>
      </c>
      <c r="U666" s="721">
        <v>475.88099999999997</v>
      </c>
      <c r="V666" s="721">
        <v>26.59</v>
      </c>
      <c r="W666" s="721">
        <v>51.64</v>
      </c>
      <c r="X666" s="721">
        <v>228</v>
      </c>
      <c r="Y666" s="857">
        <v>46632.73</v>
      </c>
    </row>
    <row r="667" spans="1:25" ht="14.45" customHeight="1" x14ac:dyDescent="0.25">
      <c r="A667" s="864" t="s">
        <v>4939</v>
      </c>
      <c r="B667" s="769"/>
      <c r="C667" s="865" t="s">
        <v>4753</v>
      </c>
      <c r="D667" s="754" t="s">
        <v>13</v>
      </c>
      <c r="E667" s="754" t="s">
        <v>4879</v>
      </c>
      <c r="F667" s="755">
        <v>45196</v>
      </c>
      <c r="G667" s="755">
        <v>45390</v>
      </c>
      <c r="H667" s="754" t="s">
        <v>23</v>
      </c>
      <c r="I667" s="476"/>
      <c r="J667" s="476">
        <v>86</v>
      </c>
      <c r="K667" s="477">
        <v>2</v>
      </c>
      <c r="L667" s="478">
        <v>0.29017857142857145</v>
      </c>
      <c r="M667" s="849" t="s">
        <v>4967</v>
      </c>
      <c r="N667" s="849" t="s">
        <v>4910</v>
      </c>
      <c r="O667" s="756" t="s">
        <v>5020</v>
      </c>
      <c r="P667" s="757">
        <v>572</v>
      </c>
      <c r="Q667" s="758">
        <v>88</v>
      </c>
      <c r="R667" s="757">
        <v>0.625</v>
      </c>
      <c r="S667" s="757">
        <v>2.6</v>
      </c>
      <c r="T667" s="757">
        <v>8.125</v>
      </c>
      <c r="U667" s="757">
        <v>33.800000000000004</v>
      </c>
      <c r="V667" s="757">
        <v>46.48</v>
      </c>
      <c r="W667" s="757">
        <v>190.63</v>
      </c>
      <c r="X667" s="757">
        <v>305</v>
      </c>
      <c r="Y667" s="866">
        <v>109037.5</v>
      </c>
    </row>
    <row r="668" spans="1:25" ht="14.45" customHeight="1" x14ac:dyDescent="0.25">
      <c r="A668" s="722" t="s">
        <v>4678</v>
      </c>
      <c r="B668" s="723">
        <v>392</v>
      </c>
      <c r="C668" s="723"/>
      <c r="D668" s="724" t="s">
        <v>13</v>
      </c>
      <c r="E668" s="724" t="s">
        <v>156</v>
      </c>
      <c r="F668" s="725">
        <v>45167</v>
      </c>
      <c r="G668" s="725"/>
      <c r="H668" s="724" t="s">
        <v>23</v>
      </c>
      <c r="I668" s="441"/>
      <c r="J668" s="442"/>
      <c r="K668" s="720">
        <v>108</v>
      </c>
      <c r="L668" s="744">
        <v>9.4422857142857151</v>
      </c>
      <c r="M668" s="767"/>
      <c r="N668" s="767"/>
      <c r="O668" s="784" t="s">
        <v>3678</v>
      </c>
      <c r="P668" s="721">
        <v>324</v>
      </c>
      <c r="Q668" s="729">
        <v>108</v>
      </c>
      <c r="R668" s="721">
        <v>0.81599999999999995</v>
      </c>
      <c r="S668" s="721">
        <v>2.7610000000000001</v>
      </c>
      <c r="T668" s="721">
        <v>264.38400000000001</v>
      </c>
      <c r="U668" s="721">
        <v>894.56399999999996</v>
      </c>
      <c r="V668" s="721">
        <v>34.369999999999997</v>
      </c>
      <c r="W668" s="721">
        <v>297.83999999999997</v>
      </c>
      <c r="X668" s="721">
        <v>365</v>
      </c>
      <c r="Y668" s="857">
        <v>96500.160000000003</v>
      </c>
    </row>
    <row r="669" spans="1:25" ht="14.45" customHeight="1" x14ac:dyDescent="0.25">
      <c r="A669" s="437" t="s">
        <v>4678</v>
      </c>
      <c r="B669" s="438">
        <v>393</v>
      </c>
      <c r="C669" s="438"/>
      <c r="D669" s="439" t="s">
        <v>13</v>
      </c>
      <c r="E669" s="439" t="s">
        <v>28</v>
      </c>
      <c r="F669" s="440">
        <v>45167</v>
      </c>
      <c r="G669" s="440"/>
      <c r="H669" s="439" t="s">
        <v>23</v>
      </c>
      <c r="I669" s="449"/>
      <c r="J669" s="450"/>
      <c r="K669" s="443">
        <v>132</v>
      </c>
      <c r="L669" s="444">
        <v>9.0174857142857139</v>
      </c>
      <c r="M669" s="463"/>
      <c r="N669" s="463"/>
      <c r="O669" s="453" t="s">
        <v>2348</v>
      </c>
      <c r="P669" s="447">
        <v>792</v>
      </c>
      <c r="Q669" s="451">
        <v>132</v>
      </c>
      <c r="R669" s="447">
        <v>0.31879999999999997</v>
      </c>
      <c r="S669" s="447">
        <v>0.81100000000000005</v>
      </c>
      <c r="T669" s="447">
        <v>252.4896</v>
      </c>
      <c r="U669" s="447">
        <v>642.31200000000001</v>
      </c>
      <c r="V669" s="447">
        <v>32.82</v>
      </c>
      <c r="W669" s="447">
        <v>116.36</v>
      </c>
      <c r="X669" s="447">
        <v>365</v>
      </c>
      <c r="Y669" s="858">
        <v>92158.7</v>
      </c>
    </row>
    <row r="670" spans="1:25" ht="14.45" customHeight="1" x14ac:dyDescent="0.25">
      <c r="A670" s="722" t="s">
        <v>4678</v>
      </c>
      <c r="B670" s="723" t="s">
        <v>4518</v>
      </c>
      <c r="C670" s="723" t="s">
        <v>4753</v>
      </c>
      <c r="D670" s="724" t="s">
        <v>13</v>
      </c>
      <c r="E670" s="724" t="s">
        <v>4598</v>
      </c>
      <c r="F670" s="725">
        <v>45196</v>
      </c>
      <c r="G670" s="725"/>
      <c r="H670" s="724" t="s">
        <v>23</v>
      </c>
      <c r="I670" s="441"/>
      <c r="J670" s="442"/>
      <c r="K670" s="720">
        <v>200</v>
      </c>
      <c r="L670" s="744">
        <v>0</v>
      </c>
      <c r="M670" s="767" t="s">
        <v>4604</v>
      </c>
      <c r="N670" s="767"/>
      <c r="O670" s="237" t="s">
        <v>4519</v>
      </c>
      <c r="P670" s="721">
        <v>900</v>
      </c>
      <c r="Q670" s="729">
        <v>200</v>
      </c>
      <c r="R670" s="721"/>
      <c r="S670" s="721"/>
      <c r="T670" s="721"/>
      <c r="U670" s="721"/>
      <c r="V670" s="721"/>
      <c r="W670" s="721"/>
      <c r="X670" s="721"/>
      <c r="Y670" s="857" t="s">
        <v>4520</v>
      </c>
    </row>
    <row r="671" spans="1:25" ht="14.45" customHeight="1" x14ac:dyDescent="0.25">
      <c r="A671" s="437" t="s">
        <v>4678</v>
      </c>
      <c r="B671" s="438">
        <v>466</v>
      </c>
      <c r="C671" s="438"/>
      <c r="D671" s="439" t="s">
        <v>13</v>
      </c>
      <c r="E671" s="439" t="s">
        <v>3925</v>
      </c>
      <c r="F671" s="440">
        <v>45196</v>
      </c>
      <c r="G671" s="440"/>
      <c r="H671" s="439" t="s">
        <v>23</v>
      </c>
      <c r="I671" s="449"/>
      <c r="J671" s="450">
        <v>82</v>
      </c>
      <c r="K671" s="443">
        <v>2</v>
      </c>
      <c r="L671" s="486">
        <v>0.1449</v>
      </c>
      <c r="M671" s="463" t="s">
        <v>4011</v>
      </c>
      <c r="N671" s="447">
        <v>6</v>
      </c>
      <c r="O671" s="445" t="s">
        <v>4445</v>
      </c>
      <c r="P671" s="447">
        <v>504</v>
      </c>
      <c r="Q671" s="451">
        <v>84</v>
      </c>
      <c r="R671" s="447">
        <v>0.33810000000000001</v>
      </c>
      <c r="S671" s="447">
        <v>1.048</v>
      </c>
      <c r="T671" s="447">
        <v>170.4024</v>
      </c>
      <c r="U671" s="447">
        <v>528.19200000000001</v>
      </c>
      <c r="V671" s="447">
        <v>22.15</v>
      </c>
      <c r="W671" s="447">
        <v>101.43</v>
      </c>
      <c r="X671" s="447">
        <v>300</v>
      </c>
      <c r="Y671" s="858">
        <v>51120.72</v>
      </c>
    </row>
    <row r="672" spans="1:25" ht="14.45" customHeight="1" x14ac:dyDescent="0.25">
      <c r="A672" s="722" t="s">
        <v>4678</v>
      </c>
      <c r="B672" s="723">
        <v>396</v>
      </c>
      <c r="C672" s="723"/>
      <c r="D672" s="724" t="s">
        <v>34</v>
      </c>
      <c r="E672" s="724" t="s">
        <v>3404</v>
      </c>
      <c r="F672" s="725">
        <v>45167</v>
      </c>
      <c r="G672" s="725"/>
      <c r="H672" s="724" t="s">
        <v>23</v>
      </c>
      <c r="I672" s="441"/>
      <c r="J672" s="442">
        <v>442</v>
      </c>
      <c r="K672" s="720">
        <v>0</v>
      </c>
      <c r="L672" s="744">
        <v>7.9717857142857147</v>
      </c>
      <c r="M672" s="767">
        <v>1050</v>
      </c>
      <c r="N672" s="767"/>
      <c r="O672" s="784" t="s">
        <v>3405</v>
      </c>
      <c r="P672" s="721">
        <v>2210</v>
      </c>
      <c r="Q672" s="729">
        <v>442</v>
      </c>
      <c r="R672" s="721">
        <v>0.10100000000000001</v>
      </c>
      <c r="S672" s="721">
        <v>0.30599999999999999</v>
      </c>
      <c r="T672" s="721">
        <v>223.21</v>
      </c>
      <c r="U672" s="721">
        <v>676.26</v>
      </c>
      <c r="V672" s="721">
        <v>29.02</v>
      </c>
      <c r="W672" s="721">
        <v>26.06</v>
      </c>
      <c r="X672" s="721">
        <v>258</v>
      </c>
      <c r="Y672" s="857">
        <v>57588.18</v>
      </c>
    </row>
    <row r="673" spans="1:25" ht="14.45" customHeight="1" x14ac:dyDescent="0.25">
      <c r="A673" s="437" t="s">
        <v>4678</v>
      </c>
      <c r="B673" s="438">
        <v>396</v>
      </c>
      <c r="C673" s="438"/>
      <c r="D673" s="439" t="s">
        <v>34</v>
      </c>
      <c r="E673" s="439" t="s">
        <v>3404</v>
      </c>
      <c r="F673" s="440">
        <v>45167</v>
      </c>
      <c r="G673" s="440"/>
      <c r="H673" s="439" t="s">
        <v>23</v>
      </c>
      <c r="I673" s="449"/>
      <c r="J673" s="450"/>
      <c r="K673" s="443">
        <v>170</v>
      </c>
      <c r="L673" s="444">
        <v>7.6408928571428572</v>
      </c>
      <c r="M673" s="463"/>
      <c r="N673" s="463"/>
      <c r="O673" s="453" t="s">
        <v>3407</v>
      </c>
      <c r="P673" s="447">
        <v>850</v>
      </c>
      <c r="Q673" s="451">
        <v>170</v>
      </c>
      <c r="R673" s="447">
        <v>0.25169999999999998</v>
      </c>
      <c r="S673" s="447">
        <v>0.56699999999999995</v>
      </c>
      <c r="T673" s="447">
        <v>213.94499999999999</v>
      </c>
      <c r="U673" s="447">
        <v>481.95</v>
      </c>
      <c r="V673" s="447">
        <v>27.81</v>
      </c>
      <c r="W673" s="447">
        <v>64.94</v>
      </c>
      <c r="X673" s="447">
        <v>258</v>
      </c>
      <c r="Y673" s="858">
        <v>55197.81</v>
      </c>
    </row>
    <row r="674" spans="1:25" ht="14.45" customHeight="1" x14ac:dyDescent="0.25">
      <c r="A674" s="722" t="s">
        <v>4678</v>
      </c>
      <c r="B674" s="723">
        <v>396</v>
      </c>
      <c r="C674" s="723"/>
      <c r="D674" s="724" t="s">
        <v>34</v>
      </c>
      <c r="E674" s="724" t="s">
        <v>3404</v>
      </c>
      <c r="F674" s="725">
        <v>45167</v>
      </c>
      <c r="G674" s="725"/>
      <c r="H674" s="724" t="s">
        <v>23</v>
      </c>
      <c r="I674" s="441"/>
      <c r="J674" s="442"/>
      <c r="K674" s="720">
        <v>60</v>
      </c>
      <c r="L674" s="744">
        <v>3.2361428571428568</v>
      </c>
      <c r="M674" s="767">
        <v>360</v>
      </c>
      <c r="N674" s="767"/>
      <c r="O674" s="784" t="s">
        <v>4378</v>
      </c>
      <c r="P674" s="721">
        <v>360</v>
      </c>
      <c r="Q674" s="729">
        <v>60</v>
      </c>
      <c r="R674" s="721">
        <v>0.25169999999999998</v>
      </c>
      <c r="S674" s="721">
        <v>0.56699999999999995</v>
      </c>
      <c r="T674" s="721">
        <v>90.611999999999995</v>
      </c>
      <c r="U674" s="721">
        <v>204.12</v>
      </c>
      <c r="V674" s="721">
        <v>11.78</v>
      </c>
      <c r="W674" s="721">
        <v>64.94</v>
      </c>
      <c r="X674" s="721">
        <v>258</v>
      </c>
      <c r="Y674" s="857">
        <v>23377.9</v>
      </c>
    </row>
    <row r="675" spans="1:25" ht="14.45" customHeight="1" x14ac:dyDescent="0.25">
      <c r="A675" s="437" t="s">
        <v>4678</v>
      </c>
      <c r="B675" s="438">
        <v>397</v>
      </c>
      <c r="C675" s="438"/>
      <c r="D675" s="439" t="s">
        <v>13</v>
      </c>
      <c r="E675" s="439" t="s">
        <v>3764</v>
      </c>
      <c r="F675" s="440">
        <v>45167</v>
      </c>
      <c r="G675" s="440"/>
      <c r="H675" s="439" t="s">
        <v>23</v>
      </c>
      <c r="I675" s="449"/>
      <c r="J675" s="450"/>
      <c r="K675" s="443">
        <v>545</v>
      </c>
      <c r="L675" s="444">
        <v>22.961921428571429</v>
      </c>
      <c r="M675" s="463" t="s">
        <v>4392</v>
      </c>
      <c r="N675" s="463"/>
      <c r="O675" s="453" t="s">
        <v>4276</v>
      </c>
      <c r="P675" s="447">
        <v>2425.25</v>
      </c>
      <c r="Q675" s="451">
        <v>545</v>
      </c>
      <c r="R675" s="447">
        <v>0.2651</v>
      </c>
      <c r="S675" s="447">
        <v>0.82099999999999995</v>
      </c>
      <c r="T675" s="447">
        <v>642.93380000000002</v>
      </c>
      <c r="U675" s="447">
        <v>1991.1303</v>
      </c>
      <c r="V675" s="447">
        <v>83.58</v>
      </c>
      <c r="W675" s="447">
        <v>90.93</v>
      </c>
      <c r="X675" s="447">
        <v>343</v>
      </c>
      <c r="Y675" s="858">
        <v>220526.28</v>
      </c>
    </row>
    <row r="676" spans="1:25" ht="14.45" customHeight="1" x14ac:dyDescent="0.25">
      <c r="A676" s="722" t="s">
        <v>4678</v>
      </c>
      <c r="B676" s="723">
        <v>397</v>
      </c>
      <c r="C676" s="723"/>
      <c r="D676" s="724" t="s">
        <v>13</v>
      </c>
      <c r="E676" s="724" t="s">
        <v>3764</v>
      </c>
      <c r="F676" s="725">
        <v>45167</v>
      </c>
      <c r="G676" s="725"/>
      <c r="H676" s="724" t="s">
        <v>23</v>
      </c>
      <c r="I676" s="441"/>
      <c r="J676" s="442"/>
      <c r="K676" s="720">
        <v>534</v>
      </c>
      <c r="L676" s="744">
        <v>15.508599999999999</v>
      </c>
      <c r="M676" s="767" t="s">
        <v>4395</v>
      </c>
      <c r="N676" s="767"/>
      <c r="O676" s="784" t="s">
        <v>1975</v>
      </c>
      <c r="P676" s="721">
        <v>2750.1</v>
      </c>
      <c r="Q676" s="729">
        <v>534</v>
      </c>
      <c r="R676" s="721">
        <v>0.15790000000000001</v>
      </c>
      <c r="S676" s="721">
        <v>0.309</v>
      </c>
      <c r="T676" s="721">
        <v>434.24079999999998</v>
      </c>
      <c r="U676" s="721">
        <v>849.78089999999997</v>
      </c>
      <c r="V676" s="721">
        <v>56.45</v>
      </c>
      <c r="W676" s="721">
        <v>54.16</v>
      </c>
      <c r="X676" s="721">
        <v>343</v>
      </c>
      <c r="Y676" s="857">
        <v>148944.59</v>
      </c>
    </row>
    <row r="677" spans="1:25" ht="14.45" customHeight="1" x14ac:dyDescent="0.25">
      <c r="A677" s="437" t="s">
        <v>4678</v>
      </c>
      <c r="B677" s="438">
        <v>397</v>
      </c>
      <c r="C677" s="438"/>
      <c r="D677" s="439" t="s">
        <v>13</v>
      </c>
      <c r="E677" s="439" t="s">
        <v>3764</v>
      </c>
      <c r="F677" s="440">
        <v>45167</v>
      </c>
      <c r="G677" s="440"/>
      <c r="H677" s="439" t="s">
        <v>23</v>
      </c>
      <c r="I677" s="449"/>
      <c r="J677" s="450"/>
      <c r="K677" s="443">
        <v>2218</v>
      </c>
      <c r="L677" s="444">
        <v>36.728496428571425</v>
      </c>
      <c r="M677" s="463" t="s">
        <v>4510</v>
      </c>
      <c r="N677" s="463"/>
      <c r="O677" s="453" t="s">
        <v>2841</v>
      </c>
      <c r="P677" s="447">
        <v>10757.3</v>
      </c>
      <c r="Q677" s="451">
        <v>2218</v>
      </c>
      <c r="R677" s="447">
        <v>9.5600000000000004E-2</v>
      </c>
      <c r="S677" s="447">
        <v>0.16</v>
      </c>
      <c r="T677" s="447">
        <v>1028.3978999999999</v>
      </c>
      <c r="U677" s="447">
        <v>1721.1679999999999</v>
      </c>
      <c r="V677" s="447">
        <v>133.69</v>
      </c>
      <c r="W677" s="447">
        <v>32.79</v>
      </c>
      <c r="X677" s="447">
        <v>343</v>
      </c>
      <c r="Y677" s="858">
        <v>352740.47</v>
      </c>
    </row>
    <row r="678" spans="1:25" ht="14.45" customHeight="1" x14ac:dyDescent="0.25">
      <c r="A678" s="722" t="s">
        <v>4678</v>
      </c>
      <c r="B678" s="723">
        <v>325</v>
      </c>
      <c r="C678" s="723"/>
      <c r="D678" s="724" t="s">
        <v>13</v>
      </c>
      <c r="E678" s="724" t="s">
        <v>3819</v>
      </c>
      <c r="F678" s="725">
        <v>45155</v>
      </c>
      <c r="G678" s="725"/>
      <c r="H678" s="724" t="s">
        <v>23</v>
      </c>
      <c r="I678" s="441"/>
      <c r="J678" s="442"/>
      <c r="K678" s="720">
        <v>178</v>
      </c>
      <c r="L678" s="744">
        <v>25.532510714285714</v>
      </c>
      <c r="M678" s="767" t="s">
        <v>4391</v>
      </c>
      <c r="N678" s="767"/>
      <c r="O678" s="784" t="s">
        <v>3848</v>
      </c>
      <c r="P678" s="721">
        <v>1157</v>
      </c>
      <c r="Q678" s="729">
        <v>178</v>
      </c>
      <c r="R678" s="721">
        <v>0.6179</v>
      </c>
      <c r="S678" s="721">
        <v>2.117</v>
      </c>
      <c r="T678" s="721">
        <v>714.91030000000001</v>
      </c>
      <c r="U678" s="721">
        <v>2449.3690000000001</v>
      </c>
      <c r="V678" s="721">
        <v>92.94</v>
      </c>
      <c r="W678" s="721">
        <v>211.94</v>
      </c>
      <c r="X678" s="721">
        <v>343</v>
      </c>
      <c r="Y678" s="857">
        <v>245214.23</v>
      </c>
    </row>
    <row r="679" spans="1:25" ht="14.45" customHeight="1" x14ac:dyDescent="0.25">
      <c r="A679" s="437" t="s">
        <v>4678</v>
      </c>
      <c r="B679" s="438">
        <v>405</v>
      </c>
      <c r="C679" s="438"/>
      <c r="D679" s="439" t="s">
        <v>13</v>
      </c>
      <c r="E679" s="439" t="s">
        <v>672</v>
      </c>
      <c r="F679" s="440">
        <v>45168</v>
      </c>
      <c r="G679" s="440"/>
      <c r="H679" s="439" t="s">
        <v>23</v>
      </c>
      <c r="I679" s="449"/>
      <c r="J679" s="450"/>
      <c r="K679" s="443">
        <v>30</v>
      </c>
      <c r="L679" s="444">
        <v>3.7641964285714282</v>
      </c>
      <c r="M679" s="463"/>
      <c r="N679" s="463"/>
      <c r="O679" s="453" t="s">
        <v>630</v>
      </c>
      <c r="P679" s="447">
        <v>195</v>
      </c>
      <c r="Q679" s="451">
        <v>30</v>
      </c>
      <c r="R679" s="447">
        <v>0.54049999999999998</v>
      </c>
      <c r="S679" s="447">
        <v>2.0979999999999999</v>
      </c>
      <c r="T679" s="447">
        <v>105.39749999999999</v>
      </c>
      <c r="U679" s="447">
        <v>409.11</v>
      </c>
      <c r="V679" s="447">
        <v>13.7</v>
      </c>
      <c r="W679" s="447">
        <v>178.37</v>
      </c>
      <c r="X679" s="447">
        <v>330</v>
      </c>
      <c r="Y679" s="858">
        <v>34781.18</v>
      </c>
    </row>
    <row r="680" spans="1:25" ht="14.45" customHeight="1" x14ac:dyDescent="0.25">
      <c r="A680" s="722" t="s">
        <v>4678</v>
      </c>
      <c r="B680" s="723">
        <v>406</v>
      </c>
      <c r="C680" s="723"/>
      <c r="D680" s="724" t="s">
        <v>34</v>
      </c>
      <c r="E680" s="724" t="s">
        <v>3404</v>
      </c>
      <c r="F680" s="725">
        <v>45168</v>
      </c>
      <c r="G680" s="725"/>
      <c r="H680" s="724" t="s">
        <v>23</v>
      </c>
      <c r="I680" s="441"/>
      <c r="J680" s="442"/>
      <c r="K680" s="720">
        <v>168</v>
      </c>
      <c r="L680" s="744">
        <v>3.0300000000000002</v>
      </c>
      <c r="M680" s="767"/>
      <c r="N680" s="767"/>
      <c r="O680" s="784" t="s">
        <v>3405</v>
      </c>
      <c r="P680" s="721">
        <v>840</v>
      </c>
      <c r="Q680" s="729">
        <v>168</v>
      </c>
      <c r="R680" s="721">
        <v>0.10100000000000001</v>
      </c>
      <c r="S680" s="721">
        <v>0.30599999999999999</v>
      </c>
      <c r="T680" s="721">
        <v>84.84</v>
      </c>
      <c r="U680" s="721">
        <v>257.04000000000002</v>
      </c>
      <c r="V680" s="721">
        <v>11.03</v>
      </c>
      <c r="W680" s="721">
        <v>26.06</v>
      </c>
      <c r="X680" s="721">
        <v>258</v>
      </c>
      <c r="Y680" s="857">
        <v>21890.400000000001</v>
      </c>
    </row>
    <row r="681" spans="1:25" ht="14.45" customHeight="1" x14ac:dyDescent="0.25">
      <c r="A681" s="437" t="s">
        <v>4678</v>
      </c>
      <c r="B681" s="438" t="s">
        <v>4380</v>
      </c>
      <c r="C681" s="438" t="s">
        <v>4753</v>
      </c>
      <c r="D681" s="439" t="s">
        <v>13</v>
      </c>
      <c r="E681" s="439" t="s">
        <v>799</v>
      </c>
      <c r="F681" s="440">
        <v>45160</v>
      </c>
      <c r="G681" s="440"/>
      <c r="H681" s="439" t="s">
        <v>23</v>
      </c>
      <c r="I681" s="449"/>
      <c r="J681" s="450"/>
      <c r="K681" s="443">
        <v>0</v>
      </c>
      <c r="L681" s="444">
        <v>0</v>
      </c>
      <c r="M681" s="463"/>
      <c r="N681" s="463"/>
      <c r="O681" s="453" t="s">
        <v>4379</v>
      </c>
      <c r="P681" s="447" t="s">
        <v>2780</v>
      </c>
      <c r="Q681" s="451"/>
      <c r="R681" s="447"/>
      <c r="S681" s="447"/>
      <c r="T681" s="447"/>
      <c r="U681" s="447"/>
      <c r="V681" s="447"/>
      <c r="W681" s="447"/>
      <c r="X681" s="447"/>
      <c r="Y681" s="858" t="s">
        <v>4381</v>
      </c>
    </row>
    <row r="682" spans="1:25" ht="14.45" customHeight="1" x14ac:dyDescent="0.25">
      <c r="A682" s="722" t="s">
        <v>4678</v>
      </c>
      <c r="B682" s="723" t="s">
        <v>4382</v>
      </c>
      <c r="C682" s="723"/>
      <c r="D682" s="724" t="s">
        <v>34</v>
      </c>
      <c r="E682" s="724" t="s">
        <v>16</v>
      </c>
      <c r="F682" s="725">
        <v>45168</v>
      </c>
      <c r="G682" s="725"/>
      <c r="H682" s="724" t="s">
        <v>23</v>
      </c>
      <c r="I682" s="441"/>
      <c r="J682" s="442"/>
      <c r="K682" s="720">
        <v>53</v>
      </c>
      <c r="L682" s="744">
        <v>3.9727285714285716</v>
      </c>
      <c r="M682" s="767" t="s">
        <v>4451</v>
      </c>
      <c r="N682" s="767"/>
      <c r="O682" s="784" t="s">
        <v>2730</v>
      </c>
      <c r="P682" s="721">
        <v>318</v>
      </c>
      <c r="Q682" s="729">
        <v>53</v>
      </c>
      <c r="R682" s="721">
        <v>0.3498</v>
      </c>
      <c r="S682" s="721">
        <v>1.425</v>
      </c>
      <c r="T682" s="721">
        <v>111.2364</v>
      </c>
      <c r="U682" s="721">
        <v>453.15</v>
      </c>
      <c r="V682" s="721">
        <v>14.46</v>
      </c>
      <c r="W682" s="721">
        <v>127.68</v>
      </c>
      <c r="X682" s="721">
        <v>365</v>
      </c>
      <c r="Y682" s="857">
        <v>40601.29</v>
      </c>
    </row>
    <row r="683" spans="1:25" ht="14.45" customHeight="1" x14ac:dyDescent="0.25">
      <c r="A683" s="437" t="s">
        <v>4678</v>
      </c>
      <c r="B683" s="438">
        <v>408</v>
      </c>
      <c r="C683" s="438"/>
      <c r="D683" s="439" t="s">
        <v>13</v>
      </c>
      <c r="E683" s="439" t="s">
        <v>3863</v>
      </c>
      <c r="F683" s="440">
        <v>45169</v>
      </c>
      <c r="G683" s="440"/>
      <c r="H683" s="439" t="s">
        <v>23</v>
      </c>
      <c r="I683" s="449"/>
      <c r="J683" s="450"/>
      <c r="K683" s="443">
        <v>104</v>
      </c>
      <c r="L683" s="444">
        <v>3.8610000000000002</v>
      </c>
      <c r="M683" s="463"/>
      <c r="N683" s="463"/>
      <c r="O683" s="453" t="s">
        <v>3901</v>
      </c>
      <c r="P683" s="447">
        <v>520</v>
      </c>
      <c r="Q683" s="451">
        <v>104</v>
      </c>
      <c r="R683" s="447">
        <v>0.2079</v>
      </c>
      <c r="S683" s="447">
        <v>0.55600000000000005</v>
      </c>
      <c r="T683" s="447">
        <v>108.108</v>
      </c>
      <c r="U683" s="447">
        <v>289.12</v>
      </c>
      <c r="V683" s="447">
        <v>14.05</v>
      </c>
      <c r="W683" s="447">
        <v>97.71</v>
      </c>
      <c r="X683" s="447">
        <v>470</v>
      </c>
      <c r="Y683" s="858">
        <v>50810.76</v>
      </c>
    </row>
    <row r="684" spans="1:25" ht="14.45" customHeight="1" x14ac:dyDescent="0.25">
      <c r="A684" s="722" t="s">
        <v>4678</v>
      </c>
      <c r="B684" s="723">
        <v>408</v>
      </c>
      <c r="C684" s="723"/>
      <c r="D684" s="724" t="s">
        <v>13</v>
      </c>
      <c r="E684" s="724" t="s">
        <v>3863</v>
      </c>
      <c r="F684" s="725">
        <v>45169</v>
      </c>
      <c r="G684" s="725"/>
      <c r="H684" s="724" t="s">
        <v>23</v>
      </c>
      <c r="I684" s="441"/>
      <c r="J684" s="442"/>
      <c r="K684" s="720">
        <v>120</v>
      </c>
      <c r="L684" s="744">
        <v>2.9592857142857141</v>
      </c>
      <c r="M684" s="767"/>
      <c r="N684" s="767"/>
      <c r="O684" s="784" t="s">
        <v>299</v>
      </c>
      <c r="P684" s="721">
        <v>600</v>
      </c>
      <c r="Q684" s="729">
        <v>120</v>
      </c>
      <c r="R684" s="721">
        <v>0.1381</v>
      </c>
      <c r="S684" s="721">
        <v>0.35199999999999998</v>
      </c>
      <c r="T684" s="721">
        <v>82.86</v>
      </c>
      <c r="U684" s="721">
        <v>211.2</v>
      </c>
      <c r="V684" s="721">
        <v>10.77</v>
      </c>
      <c r="W684" s="721">
        <v>50.41</v>
      </c>
      <c r="X684" s="721">
        <v>365</v>
      </c>
      <c r="Y684" s="857">
        <v>30243.9</v>
      </c>
    </row>
    <row r="685" spans="1:25" ht="14.45" customHeight="1" x14ac:dyDescent="0.25">
      <c r="A685" s="437" t="s">
        <v>4678</v>
      </c>
      <c r="B685" s="438">
        <v>409</v>
      </c>
      <c r="C685" s="438"/>
      <c r="D685" s="439" t="s">
        <v>34</v>
      </c>
      <c r="E685" s="439" t="s">
        <v>79</v>
      </c>
      <c r="F685" s="440">
        <v>45169</v>
      </c>
      <c r="G685" s="440"/>
      <c r="H685" s="439" t="s">
        <v>23</v>
      </c>
      <c r="I685" s="449"/>
      <c r="J685" s="450"/>
      <c r="K685" s="443">
        <v>491</v>
      </c>
      <c r="L685" s="444">
        <v>21.284850000000002</v>
      </c>
      <c r="M685" s="463" t="s">
        <v>4509</v>
      </c>
      <c r="N685" s="463"/>
      <c r="O685" s="445" t="s">
        <v>78</v>
      </c>
      <c r="P685" s="447">
        <v>2946</v>
      </c>
      <c r="Q685" s="451">
        <v>491</v>
      </c>
      <c r="R685" s="447">
        <v>0.20230000000000001</v>
      </c>
      <c r="S685" s="447">
        <v>0.499</v>
      </c>
      <c r="T685" s="447">
        <v>595.97580000000005</v>
      </c>
      <c r="U685" s="447">
        <v>1470.0540000000001</v>
      </c>
      <c r="V685" s="447">
        <v>77.48</v>
      </c>
      <c r="W685" s="447">
        <v>52.19</v>
      </c>
      <c r="X685" s="447">
        <v>258</v>
      </c>
      <c r="Y685" s="858">
        <v>153761.76</v>
      </c>
    </row>
    <row r="686" spans="1:25" ht="14.45" customHeight="1" x14ac:dyDescent="0.25">
      <c r="A686" s="722" t="s">
        <v>4678</v>
      </c>
      <c r="B686" s="723" t="s">
        <v>1887</v>
      </c>
      <c r="C686" s="723" t="s">
        <v>4753</v>
      </c>
      <c r="D686" s="724" t="s">
        <v>13</v>
      </c>
      <c r="E686" s="724" t="s">
        <v>313</v>
      </c>
      <c r="F686" s="725">
        <v>45168</v>
      </c>
      <c r="G686" s="725"/>
      <c r="H686" s="724" t="s">
        <v>23</v>
      </c>
      <c r="I686" s="441"/>
      <c r="J686" s="442"/>
      <c r="K686" s="720">
        <v>0</v>
      </c>
      <c r="L686" s="744">
        <v>0</v>
      </c>
      <c r="M686" s="767" t="s">
        <v>4388</v>
      </c>
      <c r="N686" s="767"/>
      <c r="O686" s="728" t="s">
        <v>4386</v>
      </c>
      <c r="P686" s="721" t="s">
        <v>248</v>
      </c>
      <c r="Q686" s="729"/>
      <c r="R686" s="721"/>
      <c r="S686" s="721"/>
      <c r="T686" s="721"/>
      <c r="U686" s="721"/>
      <c r="V686" s="721"/>
      <c r="W686" s="721"/>
      <c r="X686" s="721"/>
      <c r="Y686" s="857" t="s">
        <v>4387</v>
      </c>
    </row>
    <row r="687" spans="1:25" ht="14.45" customHeight="1" x14ac:dyDescent="0.25">
      <c r="A687" s="437" t="s">
        <v>4678</v>
      </c>
      <c r="B687" s="438" t="s">
        <v>1887</v>
      </c>
      <c r="C687" s="438" t="s">
        <v>4753</v>
      </c>
      <c r="D687" s="439" t="s">
        <v>13</v>
      </c>
      <c r="E687" s="439" t="s">
        <v>313</v>
      </c>
      <c r="F687" s="440">
        <v>45169</v>
      </c>
      <c r="G687" s="440"/>
      <c r="H687" s="439" t="s">
        <v>23</v>
      </c>
      <c r="I687" s="449"/>
      <c r="J687" s="450"/>
      <c r="K687" s="443">
        <v>0</v>
      </c>
      <c r="L687" s="444">
        <v>0</v>
      </c>
      <c r="M687" s="463"/>
      <c r="N687" s="463"/>
      <c r="O687" s="445" t="s">
        <v>4390</v>
      </c>
      <c r="P687" s="447" t="s">
        <v>36</v>
      </c>
      <c r="Q687" s="451"/>
      <c r="R687" s="447"/>
      <c r="S687" s="447"/>
      <c r="T687" s="447"/>
      <c r="U687" s="447"/>
      <c r="V687" s="447"/>
      <c r="W687" s="447"/>
      <c r="X687" s="447"/>
      <c r="Y687" s="858" t="s">
        <v>1389</v>
      </c>
    </row>
    <row r="688" spans="1:25" ht="14.45" customHeight="1" x14ac:dyDescent="0.25">
      <c r="A688" s="722" t="s">
        <v>4678</v>
      </c>
      <c r="B688" s="723">
        <v>414</v>
      </c>
      <c r="C688" s="723"/>
      <c r="D688" s="724" t="s">
        <v>34</v>
      </c>
      <c r="E688" s="724" t="s">
        <v>19</v>
      </c>
      <c r="F688" s="725">
        <v>45175</v>
      </c>
      <c r="G688" s="725"/>
      <c r="H688" s="724" t="s">
        <v>23</v>
      </c>
      <c r="I688" s="441"/>
      <c r="J688" s="442"/>
      <c r="K688" s="720">
        <v>510</v>
      </c>
      <c r="L688" s="744">
        <v>7.8175714285714282</v>
      </c>
      <c r="M688" s="767"/>
      <c r="N688" s="767"/>
      <c r="O688" s="728" t="s">
        <v>2596</v>
      </c>
      <c r="P688" s="721">
        <v>1887</v>
      </c>
      <c r="Q688" s="729">
        <v>510</v>
      </c>
      <c r="R688" s="721">
        <v>0.11600000000000001</v>
      </c>
      <c r="S688" s="721">
        <v>0.29399999999999998</v>
      </c>
      <c r="T688" s="721">
        <v>218.892</v>
      </c>
      <c r="U688" s="721">
        <v>554.77800000000002</v>
      </c>
      <c r="V688" s="721">
        <v>28.46</v>
      </c>
      <c r="W688" s="721">
        <v>26.45</v>
      </c>
      <c r="X688" s="721">
        <v>228</v>
      </c>
      <c r="Y688" s="857">
        <v>49907.38</v>
      </c>
    </row>
    <row r="689" spans="1:25" ht="14.45" customHeight="1" x14ac:dyDescent="0.25">
      <c r="A689" s="437" t="s">
        <v>4678</v>
      </c>
      <c r="B689" s="438">
        <v>415</v>
      </c>
      <c r="C689" s="438"/>
      <c r="D689" s="439" t="s">
        <v>34</v>
      </c>
      <c r="E689" s="439" t="s">
        <v>3404</v>
      </c>
      <c r="F689" s="440">
        <v>45175</v>
      </c>
      <c r="G689" s="440"/>
      <c r="H689" s="439" t="s">
        <v>23</v>
      </c>
      <c r="I689" s="449"/>
      <c r="J689" s="450"/>
      <c r="K689" s="443">
        <v>98</v>
      </c>
      <c r="L689" s="444">
        <v>1.7675000000000001</v>
      </c>
      <c r="M689" s="463" t="s">
        <v>4449</v>
      </c>
      <c r="N689" s="463"/>
      <c r="O689" s="445" t="s">
        <v>3405</v>
      </c>
      <c r="P689" s="447">
        <v>490</v>
      </c>
      <c r="Q689" s="451">
        <v>98</v>
      </c>
      <c r="R689" s="447">
        <v>0.10100000000000001</v>
      </c>
      <c r="S689" s="447">
        <v>0.30599999999999999</v>
      </c>
      <c r="T689" s="447">
        <v>49.49</v>
      </c>
      <c r="U689" s="447">
        <v>149.94</v>
      </c>
      <c r="V689" s="447">
        <v>6.43</v>
      </c>
      <c r="W689" s="447">
        <v>26.06</v>
      </c>
      <c r="X689" s="447">
        <v>258</v>
      </c>
      <c r="Y689" s="858">
        <v>12768.42</v>
      </c>
    </row>
    <row r="690" spans="1:25" ht="14.45" customHeight="1" x14ac:dyDescent="0.25">
      <c r="A690" s="722" t="s">
        <v>4678</v>
      </c>
      <c r="B690" s="723">
        <v>415</v>
      </c>
      <c r="C690" s="723"/>
      <c r="D690" s="724" t="s">
        <v>34</v>
      </c>
      <c r="E690" s="724" t="s">
        <v>3404</v>
      </c>
      <c r="F690" s="725">
        <v>45175</v>
      </c>
      <c r="G690" s="725"/>
      <c r="H690" s="724" t="s">
        <v>23</v>
      </c>
      <c r="I690" s="441"/>
      <c r="J690" s="442"/>
      <c r="K690" s="720">
        <v>148</v>
      </c>
      <c r="L690" s="744">
        <v>7.9824857142857146</v>
      </c>
      <c r="M690" s="767" t="s">
        <v>4451</v>
      </c>
      <c r="N690" s="767"/>
      <c r="O690" s="728" t="s">
        <v>4378</v>
      </c>
      <c r="P690" s="721">
        <v>888</v>
      </c>
      <c r="Q690" s="729">
        <v>148</v>
      </c>
      <c r="R690" s="721">
        <v>0.25169999999999998</v>
      </c>
      <c r="S690" s="721">
        <v>0.56699999999999995</v>
      </c>
      <c r="T690" s="721">
        <v>223.50960000000001</v>
      </c>
      <c r="U690" s="721">
        <v>503.49599999999998</v>
      </c>
      <c r="V690" s="721">
        <v>29.06</v>
      </c>
      <c r="W690" s="721">
        <v>64.94</v>
      </c>
      <c r="X690" s="721">
        <v>258</v>
      </c>
      <c r="Y690" s="857">
        <v>57665.48</v>
      </c>
    </row>
    <row r="691" spans="1:25" ht="14.45" customHeight="1" x14ac:dyDescent="0.25">
      <c r="A691" s="437" t="s">
        <v>4678</v>
      </c>
      <c r="B691" s="438">
        <v>416</v>
      </c>
      <c r="C691" s="438"/>
      <c r="D691" s="439" t="s">
        <v>13</v>
      </c>
      <c r="E691" s="439" t="s">
        <v>28</v>
      </c>
      <c r="F691" s="440">
        <v>45175</v>
      </c>
      <c r="G691" s="440"/>
      <c r="H691" s="439" t="s">
        <v>23</v>
      </c>
      <c r="I691" s="449"/>
      <c r="J691" s="450"/>
      <c r="K691" s="443">
        <v>12</v>
      </c>
      <c r="L691" s="444">
        <v>0.8197714285714286</v>
      </c>
      <c r="M691" s="463"/>
      <c r="N691" s="463"/>
      <c r="O691" s="445" t="s">
        <v>2348</v>
      </c>
      <c r="P691" s="447">
        <v>72</v>
      </c>
      <c r="Q691" s="451">
        <v>12</v>
      </c>
      <c r="R691" s="447">
        <v>0.31879999999999997</v>
      </c>
      <c r="S691" s="447">
        <v>0.81100000000000005</v>
      </c>
      <c r="T691" s="447">
        <v>22.953600000000002</v>
      </c>
      <c r="U691" s="447">
        <v>58.392000000000003</v>
      </c>
      <c r="V691" s="447">
        <v>2.98</v>
      </c>
      <c r="W691" s="447">
        <v>109.35</v>
      </c>
      <c r="X691" s="447">
        <v>343</v>
      </c>
      <c r="Y691" s="858">
        <v>7873.08</v>
      </c>
    </row>
    <row r="692" spans="1:25" ht="14.45" customHeight="1" x14ac:dyDescent="0.25">
      <c r="A692" s="722" t="s">
        <v>4678</v>
      </c>
      <c r="B692" s="723">
        <v>417</v>
      </c>
      <c r="C692" s="723"/>
      <c r="D692" s="724" t="s">
        <v>13</v>
      </c>
      <c r="E692" s="724" t="s">
        <v>1433</v>
      </c>
      <c r="F692" s="725">
        <v>45177</v>
      </c>
      <c r="G692" s="725"/>
      <c r="H692" s="724" t="s">
        <v>23</v>
      </c>
      <c r="I692" s="441"/>
      <c r="J692" s="442"/>
      <c r="K692" s="720">
        <v>220</v>
      </c>
      <c r="L692" s="744">
        <v>19.441714285714287</v>
      </c>
      <c r="M692" s="767" t="s">
        <v>4401</v>
      </c>
      <c r="N692" s="767"/>
      <c r="O692" s="728" t="s">
        <v>1472</v>
      </c>
      <c r="P692" s="721">
        <v>1320</v>
      </c>
      <c r="Q692" s="729">
        <v>220</v>
      </c>
      <c r="R692" s="721">
        <v>0.41239999999999999</v>
      </c>
      <c r="S692" s="721">
        <v>1.1619999999999999</v>
      </c>
      <c r="T692" s="721">
        <v>544.36800000000005</v>
      </c>
      <c r="U692" s="721">
        <v>1533.84</v>
      </c>
      <c r="V692" s="721">
        <v>70.77</v>
      </c>
      <c r="W692" s="721">
        <v>141.44999999999999</v>
      </c>
      <c r="X692" s="721">
        <v>343</v>
      </c>
      <c r="Y692" s="857">
        <v>186718.22</v>
      </c>
    </row>
    <row r="693" spans="1:25" ht="14.45" customHeight="1" x14ac:dyDescent="0.25">
      <c r="A693" s="437" t="s">
        <v>4678</v>
      </c>
      <c r="B693" s="438">
        <v>418</v>
      </c>
      <c r="C693" s="438"/>
      <c r="D693" s="439" t="s">
        <v>34</v>
      </c>
      <c r="E693" s="439" t="s">
        <v>3404</v>
      </c>
      <c r="F693" s="440">
        <v>45177</v>
      </c>
      <c r="G693" s="440"/>
      <c r="H693" s="439" t="s">
        <v>23</v>
      </c>
      <c r="I693" s="449"/>
      <c r="J693" s="450"/>
      <c r="K693" s="443">
        <v>84</v>
      </c>
      <c r="L693" s="444">
        <v>4.5306000000000006</v>
      </c>
      <c r="M693" s="463" t="s">
        <v>4451</v>
      </c>
      <c r="N693" s="463"/>
      <c r="O693" s="445" t="s">
        <v>4378</v>
      </c>
      <c r="P693" s="447">
        <v>504</v>
      </c>
      <c r="Q693" s="451">
        <v>84</v>
      </c>
      <c r="R693" s="447">
        <v>0.25169999999999998</v>
      </c>
      <c r="S693" s="447">
        <v>0.56699999999999995</v>
      </c>
      <c r="T693" s="447">
        <v>126.85680000000001</v>
      </c>
      <c r="U693" s="447">
        <v>285.76799999999997</v>
      </c>
      <c r="V693" s="447">
        <v>16.489999999999998</v>
      </c>
      <c r="W693" s="447">
        <v>64.94</v>
      </c>
      <c r="X693" s="447">
        <v>258</v>
      </c>
      <c r="Y693" s="858">
        <v>32729.05</v>
      </c>
    </row>
    <row r="694" spans="1:25" ht="14.45" customHeight="1" x14ac:dyDescent="0.25">
      <c r="A694" s="722" t="s">
        <v>4678</v>
      </c>
      <c r="B694" s="723" t="s">
        <v>1923</v>
      </c>
      <c r="C694" s="723" t="s">
        <v>4753</v>
      </c>
      <c r="D694" s="724" t="s">
        <v>13</v>
      </c>
      <c r="E694" s="468" t="s">
        <v>43</v>
      </c>
      <c r="F694" s="725">
        <v>45176</v>
      </c>
      <c r="G694" s="725"/>
      <c r="H694" s="724" t="s">
        <v>23</v>
      </c>
      <c r="I694" s="441"/>
      <c r="J694" s="442"/>
      <c r="K694" s="720">
        <v>0</v>
      </c>
      <c r="L694" s="744">
        <v>0</v>
      </c>
      <c r="M694" s="767"/>
      <c r="N694" s="767"/>
      <c r="O694" s="728" t="s">
        <v>1514</v>
      </c>
      <c r="P694" s="721">
        <v>768</v>
      </c>
      <c r="Q694" s="729"/>
      <c r="R694" s="721"/>
      <c r="S694" s="721"/>
      <c r="T694" s="721"/>
      <c r="U694" s="721"/>
      <c r="V694" s="721"/>
      <c r="W694" s="721"/>
      <c r="X694" s="721"/>
      <c r="Y694" s="857"/>
    </row>
    <row r="695" spans="1:25" ht="14.45" customHeight="1" x14ac:dyDescent="0.25">
      <c r="A695" s="437" t="s">
        <v>4678</v>
      </c>
      <c r="B695" s="438">
        <v>421</v>
      </c>
      <c r="C695" s="438"/>
      <c r="D695" s="439" t="s">
        <v>13</v>
      </c>
      <c r="E695" s="439" t="s">
        <v>672</v>
      </c>
      <c r="F695" s="440">
        <v>45177</v>
      </c>
      <c r="G695" s="440"/>
      <c r="H695" s="439" t="s">
        <v>23</v>
      </c>
      <c r="I695" s="449"/>
      <c r="J695" s="450"/>
      <c r="K695" s="443">
        <v>44</v>
      </c>
      <c r="L695" s="444">
        <v>5.5208214285714288</v>
      </c>
      <c r="M695" s="463"/>
      <c r="N695" s="463"/>
      <c r="O695" s="445" t="s">
        <v>630</v>
      </c>
      <c r="P695" s="447">
        <v>286</v>
      </c>
      <c r="Q695" s="451">
        <v>44</v>
      </c>
      <c r="R695" s="447">
        <v>0.54049999999999998</v>
      </c>
      <c r="S695" s="447">
        <v>2.0979999999999999</v>
      </c>
      <c r="T695" s="447">
        <v>154.583</v>
      </c>
      <c r="U695" s="447">
        <v>600.02800000000002</v>
      </c>
      <c r="V695" s="447">
        <v>20.100000000000001</v>
      </c>
      <c r="W695" s="447">
        <v>178.37</v>
      </c>
      <c r="X695" s="447">
        <v>330</v>
      </c>
      <c r="Y695" s="858">
        <v>51013.82</v>
      </c>
    </row>
    <row r="696" spans="1:25" ht="14.45" customHeight="1" x14ac:dyDescent="0.25">
      <c r="A696" s="722" t="s">
        <v>4678</v>
      </c>
      <c r="B696" s="723" t="s">
        <v>3374</v>
      </c>
      <c r="C696" s="723" t="s">
        <v>4753</v>
      </c>
      <c r="D696" s="724" t="s">
        <v>13</v>
      </c>
      <c r="E696" s="468" t="s">
        <v>43</v>
      </c>
      <c r="F696" s="725">
        <v>45177</v>
      </c>
      <c r="G696" s="725"/>
      <c r="H696" s="464" t="s">
        <v>677</v>
      </c>
      <c r="I696" s="441"/>
      <c r="J696" s="442"/>
      <c r="K696" s="720">
        <v>0</v>
      </c>
      <c r="L696" s="744">
        <v>0</v>
      </c>
      <c r="M696" s="767"/>
      <c r="N696" s="767"/>
      <c r="O696" s="728" t="s">
        <v>545</v>
      </c>
      <c r="P696" s="721"/>
      <c r="Q696" s="729"/>
      <c r="R696" s="721"/>
      <c r="S696" s="721"/>
      <c r="T696" s="721"/>
      <c r="U696" s="721"/>
      <c r="V696" s="721"/>
      <c r="W696" s="721"/>
      <c r="X696" s="721"/>
      <c r="Y696" s="857"/>
    </row>
    <row r="697" spans="1:25" ht="14.45" customHeight="1" x14ac:dyDescent="0.25">
      <c r="A697" s="437" t="s">
        <v>4678</v>
      </c>
      <c r="B697" s="438">
        <v>422</v>
      </c>
      <c r="C697" s="438"/>
      <c r="D697" s="439" t="s">
        <v>13</v>
      </c>
      <c r="E697" s="468" t="s">
        <v>3819</v>
      </c>
      <c r="F697" s="440">
        <v>45177</v>
      </c>
      <c r="G697" s="440"/>
      <c r="H697" s="439" t="s">
        <v>23</v>
      </c>
      <c r="I697" s="449"/>
      <c r="J697" s="450">
        <v>45</v>
      </c>
      <c r="K697" s="443">
        <v>45</v>
      </c>
      <c r="L697" s="444">
        <v>12.909696428571428</v>
      </c>
      <c r="M697" s="463" t="s">
        <v>4449</v>
      </c>
      <c r="N697" s="463"/>
      <c r="O697" s="445" t="s">
        <v>3848</v>
      </c>
      <c r="P697" s="447">
        <v>585</v>
      </c>
      <c r="Q697" s="451">
        <v>90</v>
      </c>
      <c r="R697" s="447">
        <v>0.6179</v>
      </c>
      <c r="S697" s="447">
        <v>2.117</v>
      </c>
      <c r="T697" s="447">
        <v>361.47149999999999</v>
      </c>
      <c r="U697" s="447">
        <v>1238.4449999999999</v>
      </c>
      <c r="V697" s="447">
        <v>46.99</v>
      </c>
      <c r="W697" s="447">
        <v>211.94</v>
      </c>
      <c r="X697" s="447">
        <v>343</v>
      </c>
      <c r="Y697" s="858">
        <v>123984.9</v>
      </c>
    </row>
    <row r="698" spans="1:25" ht="14.45" customHeight="1" x14ac:dyDescent="0.25">
      <c r="A698" s="722" t="s">
        <v>4678</v>
      </c>
      <c r="B698" s="723">
        <v>420</v>
      </c>
      <c r="C698" s="723"/>
      <c r="D698" s="724" t="s">
        <v>34</v>
      </c>
      <c r="E698" s="724" t="s">
        <v>861</v>
      </c>
      <c r="F698" s="725">
        <v>45177</v>
      </c>
      <c r="G698" s="725"/>
      <c r="H698" s="724" t="s">
        <v>23</v>
      </c>
      <c r="I698" s="441"/>
      <c r="J698" s="442"/>
      <c r="K698" s="720">
        <v>78</v>
      </c>
      <c r="L698" s="744">
        <v>7.9209000000000005</v>
      </c>
      <c r="M698" s="767" t="s">
        <v>4412</v>
      </c>
      <c r="N698" s="767"/>
      <c r="O698" s="728" t="s">
        <v>4393</v>
      </c>
      <c r="P698" s="721">
        <v>468</v>
      </c>
      <c r="Q698" s="729">
        <v>78</v>
      </c>
      <c r="R698" s="721">
        <v>0.47389999999999999</v>
      </c>
      <c r="S698" s="721">
        <v>1.355</v>
      </c>
      <c r="T698" s="721">
        <v>221.7852</v>
      </c>
      <c r="U698" s="721">
        <v>634.14</v>
      </c>
      <c r="V698" s="721">
        <v>28.83</v>
      </c>
      <c r="W698" s="721">
        <v>158.76</v>
      </c>
      <c r="X698" s="721">
        <v>335</v>
      </c>
      <c r="Y698" s="857">
        <v>74299.679999999993</v>
      </c>
    </row>
    <row r="699" spans="1:25" ht="14.45" customHeight="1" x14ac:dyDescent="0.25">
      <c r="A699" s="437" t="s">
        <v>4678</v>
      </c>
      <c r="B699" s="438" t="s">
        <v>3491</v>
      </c>
      <c r="C699" s="438" t="s">
        <v>4753</v>
      </c>
      <c r="D699" s="439" t="s">
        <v>13</v>
      </c>
      <c r="E699" s="439" t="s">
        <v>28</v>
      </c>
      <c r="F699" s="440">
        <v>45202</v>
      </c>
      <c r="G699" s="440"/>
      <c r="H699" s="439" t="s">
        <v>23</v>
      </c>
      <c r="I699" s="449"/>
      <c r="J699" s="450"/>
      <c r="K699" s="443">
        <v>200</v>
      </c>
      <c r="L699" s="444">
        <v>0</v>
      </c>
      <c r="M699" s="463" t="s">
        <v>4585</v>
      </c>
      <c r="N699" s="463"/>
      <c r="O699" s="445" t="s">
        <v>4543</v>
      </c>
      <c r="P699" s="447">
        <v>1200</v>
      </c>
      <c r="Q699" s="451">
        <v>200</v>
      </c>
      <c r="R699" s="447"/>
      <c r="S699" s="447"/>
      <c r="T699" s="447"/>
      <c r="U699" s="447"/>
      <c r="V699" s="447"/>
      <c r="W699" s="447"/>
      <c r="X699" s="447"/>
      <c r="Y699" s="858" t="s">
        <v>4462</v>
      </c>
    </row>
    <row r="700" spans="1:25" ht="14.45" customHeight="1" x14ac:dyDescent="0.25">
      <c r="A700" s="722" t="s">
        <v>4678</v>
      </c>
      <c r="B700" s="723" t="s">
        <v>4397</v>
      </c>
      <c r="C700" s="723" t="s">
        <v>4753</v>
      </c>
      <c r="D700" s="724" t="s">
        <v>34</v>
      </c>
      <c r="E700" s="724" t="s">
        <v>284</v>
      </c>
      <c r="F700" s="725">
        <v>45177</v>
      </c>
      <c r="G700" s="725"/>
      <c r="H700" s="724" t="s">
        <v>23</v>
      </c>
      <c r="I700" s="441"/>
      <c r="J700" s="442"/>
      <c r="K700" s="720">
        <v>0</v>
      </c>
      <c r="L700" s="744">
        <v>0</v>
      </c>
      <c r="M700" s="767"/>
      <c r="N700" s="767"/>
      <c r="O700" s="728" t="s">
        <v>4053</v>
      </c>
      <c r="P700" s="721" t="s">
        <v>4057</v>
      </c>
      <c r="Q700" s="729"/>
      <c r="R700" s="721"/>
      <c r="S700" s="721"/>
      <c r="T700" s="721"/>
      <c r="U700" s="721"/>
      <c r="V700" s="721"/>
      <c r="W700" s="721"/>
      <c r="X700" s="721"/>
      <c r="Y700" s="857" t="s">
        <v>2928</v>
      </c>
    </row>
    <row r="701" spans="1:25" ht="14.45" customHeight="1" x14ac:dyDescent="0.25">
      <c r="A701" s="437" t="s">
        <v>4678</v>
      </c>
      <c r="B701" s="438" t="s">
        <v>4397</v>
      </c>
      <c r="C701" s="438" t="s">
        <v>4753</v>
      </c>
      <c r="D701" s="439" t="s">
        <v>34</v>
      </c>
      <c r="E701" s="439" t="s">
        <v>284</v>
      </c>
      <c r="F701" s="440">
        <v>45177</v>
      </c>
      <c r="G701" s="440"/>
      <c r="H701" s="439" t="s">
        <v>23</v>
      </c>
      <c r="I701" s="449"/>
      <c r="J701" s="450"/>
      <c r="K701" s="443">
        <v>0</v>
      </c>
      <c r="L701" s="444">
        <v>0</v>
      </c>
      <c r="M701" s="463"/>
      <c r="N701" s="463"/>
      <c r="O701" s="445" t="s">
        <v>4398</v>
      </c>
      <c r="P701" s="447" t="s">
        <v>4058</v>
      </c>
      <c r="Q701" s="451"/>
      <c r="R701" s="447"/>
      <c r="S701" s="447"/>
      <c r="T701" s="447"/>
      <c r="U701" s="447"/>
      <c r="V701" s="447"/>
      <c r="W701" s="447"/>
      <c r="X701" s="447"/>
      <c r="Y701" s="858" t="s">
        <v>2928</v>
      </c>
    </row>
    <row r="702" spans="1:25" ht="14.45" customHeight="1" x14ac:dyDescent="0.25">
      <c r="A702" s="722" t="s">
        <v>4678</v>
      </c>
      <c r="B702" s="723" t="s">
        <v>4397</v>
      </c>
      <c r="C702" s="723" t="s">
        <v>4753</v>
      </c>
      <c r="D702" s="724" t="s">
        <v>34</v>
      </c>
      <c r="E702" s="724" t="s">
        <v>284</v>
      </c>
      <c r="F702" s="725">
        <v>45177</v>
      </c>
      <c r="G702" s="725"/>
      <c r="H702" s="724" t="s">
        <v>23</v>
      </c>
      <c r="I702" s="441"/>
      <c r="J702" s="442"/>
      <c r="K702" s="720">
        <v>0</v>
      </c>
      <c r="L702" s="744">
        <v>0</v>
      </c>
      <c r="M702" s="767"/>
      <c r="N702" s="767"/>
      <c r="O702" s="728" t="s">
        <v>3868</v>
      </c>
      <c r="P702" s="721" t="s">
        <v>3873</v>
      </c>
      <c r="Q702" s="729"/>
      <c r="R702" s="721"/>
      <c r="S702" s="721"/>
      <c r="T702" s="721"/>
      <c r="U702" s="721"/>
      <c r="V702" s="721"/>
      <c r="W702" s="721"/>
      <c r="X702" s="721"/>
      <c r="Y702" s="857" t="s">
        <v>2928</v>
      </c>
    </row>
    <row r="703" spans="1:25" ht="14.45" customHeight="1" x14ac:dyDescent="0.25">
      <c r="A703" s="437" t="s">
        <v>4678</v>
      </c>
      <c r="B703" s="438" t="s">
        <v>4397</v>
      </c>
      <c r="C703" s="438" t="s">
        <v>4753</v>
      </c>
      <c r="D703" s="439" t="s">
        <v>34</v>
      </c>
      <c r="E703" s="439" t="s">
        <v>284</v>
      </c>
      <c r="F703" s="440">
        <v>45177</v>
      </c>
      <c r="G703" s="440"/>
      <c r="H703" s="439" t="s">
        <v>23</v>
      </c>
      <c r="I703" s="449"/>
      <c r="J703" s="450"/>
      <c r="K703" s="443">
        <v>0</v>
      </c>
      <c r="L703" s="444">
        <v>0</v>
      </c>
      <c r="M703" s="463"/>
      <c r="N703" s="463"/>
      <c r="O703" s="445" t="s">
        <v>4399</v>
      </c>
      <c r="P703" s="447" t="s">
        <v>4400</v>
      </c>
      <c r="Q703" s="451"/>
      <c r="R703" s="447"/>
      <c r="S703" s="447"/>
      <c r="T703" s="447"/>
      <c r="U703" s="447"/>
      <c r="V703" s="447"/>
      <c r="W703" s="447"/>
      <c r="X703" s="447"/>
      <c r="Y703" s="858" t="s">
        <v>2928</v>
      </c>
    </row>
    <row r="704" spans="1:25" ht="14.45" customHeight="1" x14ac:dyDescent="0.25">
      <c r="A704" s="722" t="s">
        <v>4678</v>
      </c>
      <c r="B704" s="723" t="s">
        <v>4394</v>
      </c>
      <c r="C704" s="723"/>
      <c r="D704" s="724" t="s">
        <v>34</v>
      </c>
      <c r="E704" s="724" t="s">
        <v>16</v>
      </c>
      <c r="F704" s="725">
        <v>45177</v>
      </c>
      <c r="G704" s="725"/>
      <c r="H704" s="724" t="s">
        <v>23</v>
      </c>
      <c r="I704" s="441"/>
      <c r="J704" s="442"/>
      <c r="K704" s="720">
        <v>103</v>
      </c>
      <c r="L704" s="744">
        <v>12.578507142857143</v>
      </c>
      <c r="M704" s="767" t="s">
        <v>4442</v>
      </c>
      <c r="N704" s="767"/>
      <c r="O704" s="728" t="s">
        <v>2581</v>
      </c>
      <c r="P704" s="721">
        <v>618</v>
      </c>
      <c r="Q704" s="729">
        <v>103</v>
      </c>
      <c r="R704" s="721">
        <v>0.56989999999999996</v>
      </c>
      <c r="S704" s="721">
        <v>1.304</v>
      </c>
      <c r="T704" s="721">
        <v>352.19819999999999</v>
      </c>
      <c r="U704" s="721">
        <v>805.87199999999996</v>
      </c>
      <c r="V704" s="721">
        <v>45.79</v>
      </c>
      <c r="W704" s="721">
        <v>267.85000000000002</v>
      </c>
      <c r="X704" s="721">
        <v>470</v>
      </c>
      <c r="Y704" s="857">
        <v>165533.15</v>
      </c>
    </row>
    <row r="705" spans="1:25" ht="14.45" customHeight="1" x14ac:dyDescent="0.25">
      <c r="A705" s="437" t="s">
        <v>4678</v>
      </c>
      <c r="B705" s="438" t="s">
        <v>3424</v>
      </c>
      <c r="C705" s="438" t="s">
        <v>4753</v>
      </c>
      <c r="D705" s="439" t="s">
        <v>13</v>
      </c>
      <c r="E705" s="439" t="s">
        <v>799</v>
      </c>
      <c r="F705" s="440">
        <v>45181</v>
      </c>
      <c r="G705" s="440"/>
      <c r="H705" s="439" t="s">
        <v>23</v>
      </c>
      <c r="I705" s="449"/>
      <c r="J705" s="450"/>
      <c r="K705" s="443">
        <v>709</v>
      </c>
      <c r="L705" s="444">
        <v>0</v>
      </c>
      <c r="M705" s="463"/>
      <c r="N705" s="463"/>
      <c r="O705" s="445" t="s">
        <v>2165</v>
      </c>
      <c r="P705" s="447"/>
      <c r="Q705" s="451">
        <v>709</v>
      </c>
      <c r="R705" s="447"/>
      <c r="S705" s="447"/>
      <c r="T705" s="447"/>
      <c r="U705" s="447"/>
      <c r="V705" s="447"/>
      <c r="W705" s="447"/>
      <c r="X705" s="447"/>
      <c r="Y705" s="858" t="s">
        <v>4396</v>
      </c>
    </row>
    <row r="706" spans="1:25" ht="14.45" customHeight="1" x14ac:dyDescent="0.25">
      <c r="A706" s="722" t="s">
        <v>4678</v>
      </c>
      <c r="B706" s="723">
        <v>475</v>
      </c>
      <c r="C706" s="723"/>
      <c r="D706" s="724" t="s">
        <v>13</v>
      </c>
      <c r="E706" s="724" t="s">
        <v>1433</v>
      </c>
      <c r="F706" s="725">
        <v>45202</v>
      </c>
      <c r="G706" s="725"/>
      <c r="H706" s="724" t="s">
        <v>23</v>
      </c>
      <c r="I706" s="441"/>
      <c r="J706" s="442"/>
      <c r="K706" s="720">
        <v>23</v>
      </c>
      <c r="L706" s="744">
        <v>1.0832999999999999</v>
      </c>
      <c r="M706" s="767"/>
      <c r="N706" s="767"/>
      <c r="O706" s="728" t="s">
        <v>1512</v>
      </c>
      <c r="P706" s="721">
        <v>138</v>
      </c>
      <c r="Q706" s="729">
        <v>23</v>
      </c>
      <c r="R706" s="721">
        <v>0.2198</v>
      </c>
      <c r="S706" s="721">
        <v>0.49199999999999999</v>
      </c>
      <c r="T706" s="721">
        <v>30.3324</v>
      </c>
      <c r="U706" s="721">
        <v>67.896000000000001</v>
      </c>
      <c r="V706" s="721">
        <v>3.94</v>
      </c>
      <c r="W706" s="721">
        <v>80.23</v>
      </c>
      <c r="X706" s="721">
        <v>365</v>
      </c>
      <c r="Y706" s="857">
        <v>11071.74</v>
      </c>
    </row>
    <row r="707" spans="1:25" ht="14.45" customHeight="1" x14ac:dyDescent="0.25">
      <c r="A707" s="437" t="s">
        <v>4678</v>
      </c>
      <c r="B707" s="438" t="s">
        <v>3343</v>
      </c>
      <c r="C707" s="438" t="s">
        <v>4753</v>
      </c>
      <c r="D707" s="439" t="s">
        <v>13</v>
      </c>
      <c r="E707" s="439" t="s">
        <v>3765</v>
      </c>
      <c r="F707" s="440">
        <v>45168</v>
      </c>
      <c r="G707" s="440"/>
      <c r="H707" s="439" t="s">
        <v>23</v>
      </c>
      <c r="I707" s="441"/>
      <c r="J707" s="442"/>
      <c r="K707" s="443" t="e">
        <v>#VALUE!</v>
      </c>
      <c r="L707" s="444">
        <v>0</v>
      </c>
      <c r="M707" s="463" t="s">
        <v>4409</v>
      </c>
      <c r="N707" s="463"/>
      <c r="O707" s="445" t="s">
        <v>4407</v>
      </c>
      <c r="P707" s="447"/>
      <c r="Q707" s="451" t="s">
        <v>53</v>
      </c>
      <c r="R707" s="447"/>
      <c r="S707" s="447"/>
      <c r="T707" s="447"/>
      <c r="U707" s="447"/>
      <c r="V707" s="447"/>
      <c r="W707" s="447"/>
      <c r="X707" s="447"/>
      <c r="Y707" s="858" t="s">
        <v>4408</v>
      </c>
    </row>
    <row r="708" spans="1:25" ht="14.45" customHeight="1" x14ac:dyDescent="0.25">
      <c r="A708" s="722" t="s">
        <v>4678</v>
      </c>
      <c r="B708" s="723" t="s">
        <v>3358</v>
      </c>
      <c r="C708" s="723" t="s">
        <v>4753</v>
      </c>
      <c r="D708" s="724" t="s">
        <v>13</v>
      </c>
      <c r="E708" s="724" t="s">
        <v>3765</v>
      </c>
      <c r="F708" s="725">
        <v>45173</v>
      </c>
      <c r="G708" s="725"/>
      <c r="H708" s="464" t="s">
        <v>677</v>
      </c>
      <c r="I708" s="441"/>
      <c r="J708" s="442"/>
      <c r="K708" s="720">
        <v>12</v>
      </c>
      <c r="L708" s="744">
        <v>0</v>
      </c>
      <c r="M708" s="767" t="s">
        <v>4411</v>
      </c>
      <c r="N708" s="767"/>
      <c r="O708" s="728" t="s">
        <v>4410</v>
      </c>
      <c r="P708" s="721"/>
      <c r="Q708" s="729">
        <v>12</v>
      </c>
      <c r="R708" s="721"/>
      <c r="S708" s="721"/>
      <c r="T708" s="721"/>
      <c r="U708" s="721"/>
      <c r="V708" s="721"/>
      <c r="W708" s="721"/>
      <c r="X708" s="721"/>
      <c r="Y708" s="857" t="s">
        <v>3853</v>
      </c>
    </row>
    <row r="709" spans="1:25" ht="14.45" customHeight="1" x14ac:dyDescent="0.25">
      <c r="A709" s="437" t="s">
        <v>4678</v>
      </c>
      <c r="B709" s="438">
        <v>433</v>
      </c>
      <c r="C709" s="438"/>
      <c r="D709" s="439" t="s">
        <v>13</v>
      </c>
      <c r="E709" s="439" t="s">
        <v>3764</v>
      </c>
      <c r="F709" s="440">
        <v>45184</v>
      </c>
      <c r="G709" s="440"/>
      <c r="H709" s="439" t="s">
        <v>23</v>
      </c>
      <c r="I709" s="441"/>
      <c r="J709" s="442"/>
      <c r="K709" s="443">
        <v>534</v>
      </c>
      <c r="L709" s="444">
        <v>22.498467857142856</v>
      </c>
      <c r="M709" s="463" t="s">
        <v>4436</v>
      </c>
      <c r="N709" s="463"/>
      <c r="O709" s="445" t="s">
        <v>4276</v>
      </c>
      <c r="P709" s="447">
        <v>2376.3000000000002</v>
      </c>
      <c r="Q709" s="451">
        <v>534</v>
      </c>
      <c r="R709" s="447">
        <v>0.2651</v>
      </c>
      <c r="S709" s="447">
        <v>0.82099999999999995</v>
      </c>
      <c r="T709" s="447">
        <v>629.95709999999997</v>
      </c>
      <c r="U709" s="447">
        <v>1950.9422999999999</v>
      </c>
      <c r="V709" s="447">
        <v>81.89</v>
      </c>
      <c r="W709" s="447">
        <v>90.93</v>
      </c>
      <c r="X709" s="447">
        <v>343</v>
      </c>
      <c r="Y709" s="858">
        <v>216076.96</v>
      </c>
    </row>
    <row r="710" spans="1:25" ht="14.45" customHeight="1" x14ac:dyDescent="0.25">
      <c r="A710" s="722" t="s">
        <v>4678</v>
      </c>
      <c r="B710" s="723">
        <v>433</v>
      </c>
      <c r="C710" s="723"/>
      <c r="D710" s="724" t="s">
        <v>13</v>
      </c>
      <c r="E710" s="724" t="s">
        <v>3764</v>
      </c>
      <c r="F710" s="725">
        <v>45184</v>
      </c>
      <c r="G710" s="725"/>
      <c r="H710" s="724" t="s">
        <v>23</v>
      </c>
      <c r="I710" s="441"/>
      <c r="J710" s="442"/>
      <c r="K710" s="720">
        <v>90</v>
      </c>
      <c r="L710" s="744">
        <v>4.3031428571428574</v>
      </c>
      <c r="M710" s="767" t="s">
        <v>4511</v>
      </c>
      <c r="N710" s="767"/>
      <c r="O710" s="728" t="s">
        <v>4275</v>
      </c>
      <c r="P710" s="721">
        <v>454.5</v>
      </c>
      <c r="Q710" s="729">
        <v>90</v>
      </c>
      <c r="R710" s="721">
        <v>0.2651</v>
      </c>
      <c r="S710" s="721">
        <v>0.82099999999999995</v>
      </c>
      <c r="T710" s="721">
        <v>120.488</v>
      </c>
      <c r="U710" s="721">
        <v>373.14449999999999</v>
      </c>
      <c r="V710" s="721">
        <v>15.66</v>
      </c>
      <c r="W710" s="721">
        <v>90.93</v>
      </c>
      <c r="X710" s="721">
        <v>343</v>
      </c>
      <c r="Y710" s="857">
        <v>41327.69</v>
      </c>
    </row>
    <row r="711" spans="1:25" ht="14.45" customHeight="1" x14ac:dyDescent="0.25">
      <c r="A711" s="437" t="s">
        <v>4678</v>
      </c>
      <c r="B711" s="438">
        <v>433</v>
      </c>
      <c r="C711" s="438"/>
      <c r="D711" s="439" t="s">
        <v>13</v>
      </c>
      <c r="E711" s="439" t="s">
        <v>3764</v>
      </c>
      <c r="F711" s="440">
        <v>45184</v>
      </c>
      <c r="G711" s="440"/>
      <c r="H711" s="439" t="s">
        <v>23</v>
      </c>
      <c r="I711" s="441"/>
      <c r="J711" s="442"/>
      <c r="K711" s="443">
        <v>221</v>
      </c>
      <c r="L711" s="444">
        <v>6.4183535714285709</v>
      </c>
      <c r="M711" s="463" t="s">
        <v>4437</v>
      </c>
      <c r="N711" s="463"/>
      <c r="O711" s="445" t="s">
        <v>1975</v>
      </c>
      <c r="P711" s="447">
        <v>1138.1500000000001</v>
      </c>
      <c r="Q711" s="451">
        <v>221</v>
      </c>
      <c r="R711" s="447">
        <v>0.15790000000000001</v>
      </c>
      <c r="S711" s="447">
        <v>0.309</v>
      </c>
      <c r="T711" s="447">
        <v>179.7139</v>
      </c>
      <c r="U711" s="447">
        <v>351.6884</v>
      </c>
      <c r="V711" s="447">
        <v>23.36</v>
      </c>
      <c r="W711" s="447">
        <v>54.16</v>
      </c>
      <c r="X711" s="447">
        <v>343</v>
      </c>
      <c r="Y711" s="858">
        <v>61642.2</v>
      </c>
    </row>
    <row r="712" spans="1:25" ht="14.45" customHeight="1" x14ac:dyDescent="0.25">
      <c r="A712" s="722" t="s">
        <v>4678</v>
      </c>
      <c r="B712" s="723">
        <v>433</v>
      </c>
      <c r="C712" s="723"/>
      <c r="D712" s="724" t="s">
        <v>13</v>
      </c>
      <c r="E712" s="724" t="s">
        <v>3764</v>
      </c>
      <c r="F712" s="725">
        <v>45184</v>
      </c>
      <c r="G712" s="725"/>
      <c r="H712" s="724" t="s">
        <v>23</v>
      </c>
      <c r="I712" s="441"/>
      <c r="J712" s="442"/>
      <c r="K712" s="720">
        <v>2564</v>
      </c>
      <c r="L712" s="744">
        <v>42.458007142857142</v>
      </c>
      <c r="M712" s="767" t="s">
        <v>4545</v>
      </c>
      <c r="N712" s="767"/>
      <c r="O712" s="728" t="s">
        <v>2841</v>
      </c>
      <c r="P712" s="721">
        <v>12435.4</v>
      </c>
      <c r="Q712" s="729">
        <v>2564</v>
      </c>
      <c r="R712" s="721">
        <v>9.5600000000000004E-2</v>
      </c>
      <c r="S712" s="721">
        <v>0.16</v>
      </c>
      <c r="T712" s="721">
        <v>1188.8242</v>
      </c>
      <c r="U712" s="721">
        <v>1989.664</v>
      </c>
      <c r="V712" s="721">
        <v>154.55000000000001</v>
      </c>
      <c r="W712" s="721">
        <v>32.79</v>
      </c>
      <c r="X712" s="721">
        <v>343</v>
      </c>
      <c r="Y712" s="857">
        <v>407756.77</v>
      </c>
    </row>
    <row r="713" spans="1:25" ht="14.45" customHeight="1" x14ac:dyDescent="0.25">
      <c r="A713" s="437" t="s">
        <v>4678</v>
      </c>
      <c r="B713" s="438">
        <v>434</v>
      </c>
      <c r="C713" s="438"/>
      <c r="D713" s="439" t="s">
        <v>13</v>
      </c>
      <c r="E713" s="468" t="s">
        <v>3819</v>
      </c>
      <c r="F713" s="440">
        <v>45184</v>
      </c>
      <c r="G713" s="440"/>
      <c r="H713" s="439" t="s">
        <v>23</v>
      </c>
      <c r="I713" s="441"/>
      <c r="J713" s="442"/>
      <c r="K713" s="443">
        <v>66</v>
      </c>
      <c r="L713" s="444">
        <v>9.4671107142857132</v>
      </c>
      <c r="M713" s="463"/>
      <c r="N713" s="463"/>
      <c r="O713" s="445" t="s">
        <v>4402</v>
      </c>
      <c r="P713" s="447">
        <v>429</v>
      </c>
      <c r="Q713" s="451">
        <v>66</v>
      </c>
      <c r="R713" s="447">
        <v>0.6179</v>
      </c>
      <c r="S713" s="447">
        <v>2.117</v>
      </c>
      <c r="T713" s="447">
        <v>265.07909999999998</v>
      </c>
      <c r="U713" s="447">
        <v>908.19299999999998</v>
      </c>
      <c r="V713" s="447">
        <v>34.46</v>
      </c>
      <c r="W713" s="447">
        <v>211.94</v>
      </c>
      <c r="X713" s="447">
        <v>343</v>
      </c>
      <c r="Y713" s="858">
        <v>90922.26</v>
      </c>
    </row>
    <row r="714" spans="1:25" ht="14.45" customHeight="1" x14ac:dyDescent="0.25">
      <c r="A714" s="722" t="s">
        <v>4678</v>
      </c>
      <c r="B714" s="723">
        <v>435</v>
      </c>
      <c r="C714" s="723"/>
      <c r="D714" s="724" t="s">
        <v>34</v>
      </c>
      <c r="E714" s="724" t="s">
        <v>328</v>
      </c>
      <c r="F714" s="725">
        <v>45184</v>
      </c>
      <c r="G714" s="725"/>
      <c r="H714" s="724" t="s">
        <v>23</v>
      </c>
      <c r="I714" s="441"/>
      <c r="J714" s="442"/>
      <c r="K714" s="720">
        <v>80</v>
      </c>
      <c r="L714" s="744">
        <v>5.3005714285714287</v>
      </c>
      <c r="M714" s="767"/>
      <c r="N714" s="767"/>
      <c r="O714" s="728" t="s">
        <v>650</v>
      </c>
      <c r="P714" s="721">
        <v>480</v>
      </c>
      <c r="Q714" s="729">
        <v>80</v>
      </c>
      <c r="R714" s="721">
        <v>0.30919999999999997</v>
      </c>
      <c r="S714" s="721">
        <v>1.1000000000000001</v>
      </c>
      <c r="T714" s="721">
        <v>148.416</v>
      </c>
      <c r="U714" s="721">
        <v>528</v>
      </c>
      <c r="V714" s="721">
        <v>19.29</v>
      </c>
      <c r="W714" s="721">
        <v>112.86</v>
      </c>
      <c r="X714" s="721">
        <v>365</v>
      </c>
      <c r="Y714" s="857">
        <v>54171.839999999997</v>
      </c>
    </row>
    <row r="715" spans="1:25" ht="14.45" customHeight="1" x14ac:dyDescent="0.25">
      <c r="A715" s="437" t="s">
        <v>4678</v>
      </c>
      <c r="B715" s="438">
        <v>436</v>
      </c>
      <c r="C715" s="438"/>
      <c r="D715" s="439" t="s">
        <v>13</v>
      </c>
      <c r="E715" s="439" t="s">
        <v>1433</v>
      </c>
      <c r="F715" s="440">
        <v>45184</v>
      </c>
      <c r="G715" s="440"/>
      <c r="H715" s="439" t="s">
        <v>23</v>
      </c>
      <c r="I715" s="441"/>
      <c r="J715" s="442"/>
      <c r="K715" s="443">
        <v>168</v>
      </c>
      <c r="L715" s="444">
        <v>9.241200000000001</v>
      </c>
      <c r="M715" s="463" t="s">
        <v>4450</v>
      </c>
      <c r="N715" s="463"/>
      <c r="O715" s="445" t="s">
        <v>1434</v>
      </c>
      <c r="P715" s="447">
        <v>1008</v>
      </c>
      <c r="Q715" s="451">
        <v>168</v>
      </c>
      <c r="R715" s="447">
        <v>0.25669999999999998</v>
      </c>
      <c r="S715" s="447">
        <v>0.51100000000000001</v>
      </c>
      <c r="T715" s="447">
        <v>258.75360000000001</v>
      </c>
      <c r="U715" s="447">
        <v>515.08799999999997</v>
      </c>
      <c r="V715" s="447">
        <v>33.64</v>
      </c>
      <c r="W715" s="447">
        <v>93.7</v>
      </c>
      <c r="X715" s="447">
        <v>365</v>
      </c>
      <c r="Y715" s="858">
        <v>94445.06</v>
      </c>
    </row>
    <row r="716" spans="1:25" ht="14.45" customHeight="1" x14ac:dyDescent="0.25">
      <c r="A716" s="722" t="s">
        <v>4678</v>
      </c>
      <c r="B716" s="723">
        <v>436</v>
      </c>
      <c r="C716" s="723"/>
      <c r="D716" s="724" t="s">
        <v>13</v>
      </c>
      <c r="E716" s="724" t="s">
        <v>1433</v>
      </c>
      <c r="F716" s="725">
        <v>45184</v>
      </c>
      <c r="G716" s="725"/>
      <c r="H716" s="724" t="s">
        <v>23</v>
      </c>
      <c r="I716" s="441"/>
      <c r="J716" s="442"/>
      <c r="K716" s="720">
        <v>220</v>
      </c>
      <c r="L716" s="744">
        <v>8.9288571428571437</v>
      </c>
      <c r="M716" s="767" t="s">
        <v>4443</v>
      </c>
      <c r="N716" s="767"/>
      <c r="O716" s="728" t="s">
        <v>1435</v>
      </c>
      <c r="P716" s="721">
        <v>1320</v>
      </c>
      <c r="Q716" s="729">
        <v>220</v>
      </c>
      <c r="R716" s="721">
        <v>0.18940000000000001</v>
      </c>
      <c r="S716" s="721">
        <v>0.39300000000000002</v>
      </c>
      <c r="T716" s="721">
        <v>250.00800000000001</v>
      </c>
      <c r="U716" s="721">
        <v>518.76</v>
      </c>
      <c r="V716" s="721">
        <v>32.5</v>
      </c>
      <c r="W716" s="721">
        <v>69.13</v>
      </c>
      <c r="X716" s="721">
        <v>365</v>
      </c>
      <c r="Y716" s="857">
        <v>91252.92</v>
      </c>
    </row>
    <row r="717" spans="1:25" ht="14.45" customHeight="1" x14ac:dyDescent="0.25">
      <c r="A717" s="437" t="s">
        <v>4678</v>
      </c>
      <c r="B717" s="438">
        <v>436</v>
      </c>
      <c r="C717" s="438"/>
      <c r="D717" s="439" t="s">
        <v>13</v>
      </c>
      <c r="E717" s="439" t="s">
        <v>1433</v>
      </c>
      <c r="F717" s="440">
        <v>45184</v>
      </c>
      <c r="G717" s="440"/>
      <c r="H717" s="439" t="s">
        <v>23</v>
      </c>
      <c r="I717" s="441"/>
      <c r="J717" s="442"/>
      <c r="K717" s="443">
        <v>144</v>
      </c>
      <c r="L717" s="444">
        <v>6.7824</v>
      </c>
      <c r="M717" s="463"/>
      <c r="N717" s="463"/>
      <c r="O717" s="445" t="s">
        <v>1512</v>
      </c>
      <c r="P717" s="447">
        <v>864</v>
      </c>
      <c r="Q717" s="451">
        <v>144</v>
      </c>
      <c r="R717" s="447">
        <v>0.2198</v>
      </c>
      <c r="S717" s="447">
        <v>0.49199999999999999</v>
      </c>
      <c r="T717" s="447">
        <v>189.90719999999999</v>
      </c>
      <c r="U717" s="447">
        <v>425.08800000000002</v>
      </c>
      <c r="V717" s="447">
        <v>24.69</v>
      </c>
      <c r="W717" s="447">
        <v>80.23</v>
      </c>
      <c r="X717" s="447">
        <v>365</v>
      </c>
      <c r="Y717" s="858">
        <v>69316.13</v>
      </c>
    </row>
    <row r="718" spans="1:25" ht="14.45" customHeight="1" x14ac:dyDescent="0.25">
      <c r="A718" s="722" t="s">
        <v>4678</v>
      </c>
      <c r="B718" s="723">
        <v>437</v>
      </c>
      <c r="C718" s="723"/>
      <c r="D718" s="724" t="s">
        <v>34</v>
      </c>
      <c r="E718" s="724" t="s">
        <v>3404</v>
      </c>
      <c r="F718" s="725">
        <v>45184</v>
      </c>
      <c r="G718" s="725"/>
      <c r="H718" s="724" t="s">
        <v>23</v>
      </c>
      <c r="I718" s="441"/>
      <c r="J718" s="442"/>
      <c r="K718" s="720">
        <v>68</v>
      </c>
      <c r="L718" s="744">
        <v>1.2264285714285716</v>
      </c>
      <c r="M718" s="767"/>
      <c r="N718" s="767"/>
      <c r="O718" s="728" t="s">
        <v>3405</v>
      </c>
      <c r="P718" s="721">
        <v>340</v>
      </c>
      <c r="Q718" s="729">
        <v>68</v>
      </c>
      <c r="R718" s="721">
        <v>0.10100000000000001</v>
      </c>
      <c r="S718" s="721">
        <v>0.30599999999999999</v>
      </c>
      <c r="T718" s="721">
        <v>34.340000000000003</v>
      </c>
      <c r="U718" s="721">
        <v>104.04</v>
      </c>
      <c r="V718" s="721">
        <v>4.46</v>
      </c>
      <c r="W718" s="721">
        <v>26.06</v>
      </c>
      <c r="X718" s="721">
        <v>258</v>
      </c>
      <c r="Y718" s="857">
        <v>8860.4</v>
      </c>
    </row>
    <row r="719" spans="1:25" ht="14.45" customHeight="1" x14ac:dyDescent="0.25">
      <c r="A719" s="437" t="s">
        <v>4678</v>
      </c>
      <c r="B719" s="438">
        <v>438</v>
      </c>
      <c r="C719" s="438"/>
      <c r="D719" s="439" t="s">
        <v>13</v>
      </c>
      <c r="E719" s="439" t="s">
        <v>3764</v>
      </c>
      <c r="F719" s="440">
        <v>45184</v>
      </c>
      <c r="G719" s="440"/>
      <c r="H719" s="439" t="s">
        <v>23</v>
      </c>
      <c r="I719" s="441"/>
      <c r="J719" s="442"/>
      <c r="K719" s="443">
        <v>113</v>
      </c>
      <c r="L719" s="444">
        <v>2.9938750000000001</v>
      </c>
      <c r="M719" s="463" t="s">
        <v>4509</v>
      </c>
      <c r="N719" s="463"/>
      <c r="O719" s="445" t="s">
        <v>4403</v>
      </c>
      <c r="P719" s="447">
        <v>570.65</v>
      </c>
      <c r="Q719" s="451">
        <v>113</v>
      </c>
      <c r="R719" s="447">
        <v>0.1469</v>
      </c>
      <c r="S719" s="447">
        <v>1.3859999999999999</v>
      </c>
      <c r="T719" s="447">
        <v>83.828500000000005</v>
      </c>
      <c r="U719" s="447">
        <v>790.92089999999996</v>
      </c>
      <c r="V719" s="447">
        <v>10.9</v>
      </c>
      <c r="W719" s="447">
        <v>50.39</v>
      </c>
      <c r="X719" s="447">
        <v>343</v>
      </c>
      <c r="Y719" s="858">
        <v>28753.17</v>
      </c>
    </row>
    <row r="720" spans="1:25" ht="14.45" customHeight="1" x14ac:dyDescent="0.25">
      <c r="A720" s="722" t="s">
        <v>4678</v>
      </c>
      <c r="B720" s="723" t="s">
        <v>2047</v>
      </c>
      <c r="C720" s="723" t="s">
        <v>4753</v>
      </c>
      <c r="D720" s="724" t="s">
        <v>13</v>
      </c>
      <c r="E720" s="724" t="s">
        <v>4596</v>
      </c>
      <c r="F720" s="725">
        <v>45203</v>
      </c>
      <c r="G720" s="725"/>
      <c r="H720" s="724" t="s">
        <v>23</v>
      </c>
      <c r="I720" s="441"/>
      <c r="J720" s="442"/>
      <c r="K720" s="720">
        <v>132</v>
      </c>
      <c r="L720" s="744">
        <v>0</v>
      </c>
      <c r="M720" s="767" t="s">
        <v>4595</v>
      </c>
      <c r="N720" s="767"/>
      <c r="O720" s="237" t="s">
        <v>4528</v>
      </c>
      <c r="P720" s="721">
        <v>813.12</v>
      </c>
      <c r="Q720" s="729">
        <v>132</v>
      </c>
      <c r="R720" s="721"/>
      <c r="S720" s="721"/>
      <c r="T720" s="721"/>
      <c r="U720" s="721"/>
      <c r="V720" s="721"/>
      <c r="W720" s="721"/>
      <c r="X720" s="721"/>
      <c r="Y720" s="857" t="s">
        <v>4530</v>
      </c>
    </row>
    <row r="721" spans="1:25" ht="14.45" customHeight="1" x14ac:dyDescent="0.25">
      <c r="A721" s="437" t="s">
        <v>4678</v>
      </c>
      <c r="B721" s="438">
        <v>440</v>
      </c>
      <c r="C721" s="438"/>
      <c r="D721" s="439" t="s">
        <v>34</v>
      </c>
      <c r="E721" s="439" t="s">
        <v>19</v>
      </c>
      <c r="F721" s="440">
        <v>45184</v>
      </c>
      <c r="G721" s="440"/>
      <c r="H721" s="439" t="s">
        <v>23</v>
      </c>
      <c r="I721" s="441"/>
      <c r="J721" s="442"/>
      <c r="K721" s="443">
        <v>513</v>
      </c>
      <c r="L721" s="444">
        <v>23.061914285714288</v>
      </c>
      <c r="M721" s="463" t="s">
        <v>4413</v>
      </c>
      <c r="N721" s="463"/>
      <c r="O721" s="445" t="s">
        <v>2594</v>
      </c>
      <c r="P721" s="447">
        <v>1898.1</v>
      </c>
      <c r="Q721" s="451">
        <v>513</v>
      </c>
      <c r="R721" s="447">
        <v>0.3402</v>
      </c>
      <c r="S721" s="447">
        <v>1.4530000000000001</v>
      </c>
      <c r="T721" s="447">
        <v>645.73360000000002</v>
      </c>
      <c r="U721" s="447">
        <v>2757.9393</v>
      </c>
      <c r="V721" s="447">
        <v>83.95</v>
      </c>
      <c r="W721" s="447">
        <v>77.569999999999993</v>
      </c>
      <c r="X721" s="447">
        <v>228</v>
      </c>
      <c r="Y721" s="858">
        <v>147227.26999999999</v>
      </c>
    </row>
    <row r="722" spans="1:25" ht="14.45" customHeight="1" x14ac:dyDescent="0.25">
      <c r="A722" s="722" t="s">
        <v>4678</v>
      </c>
      <c r="B722" s="723">
        <v>444</v>
      </c>
      <c r="C722" s="723"/>
      <c r="D722" s="724" t="s">
        <v>13</v>
      </c>
      <c r="E722" s="724" t="s">
        <v>3863</v>
      </c>
      <c r="F722" s="725">
        <v>45184</v>
      </c>
      <c r="G722" s="725"/>
      <c r="H722" s="724" t="s">
        <v>23</v>
      </c>
      <c r="I722" s="441"/>
      <c r="J722" s="442"/>
      <c r="K722" s="720">
        <v>80</v>
      </c>
      <c r="L722" s="744">
        <v>1.7428571428571427</v>
      </c>
      <c r="M722" s="767"/>
      <c r="N722" s="767"/>
      <c r="O722" s="728" t="s">
        <v>4404</v>
      </c>
      <c r="P722" s="721">
        <v>400</v>
      </c>
      <c r="Q722" s="729">
        <v>80</v>
      </c>
      <c r="R722" s="721">
        <v>0.122</v>
      </c>
      <c r="S722" s="721">
        <v>0.17899999999999999</v>
      </c>
      <c r="T722" s="721">
        <v>48.8</v>
      </c>
      <c r="U722" s="721">
        <v>71.599999999999994</v>
      </c>
      <c r="V722" s="721">
        <v>6.34</v>
      </c>
      <c r="W722" s="721">
        <v>40.869999999999997</v>
      </c>
      <c r="X722" s="721">
        <v>335</v>
      </c>
      <c r="Y722" s="857">
        <v>16348</v>
      </c>
    </row>
    <row r="723" spans="1:25" ht="14.45" customHeight="1" x14ac:dyDescent="0.25">
      <c r="A723" s="437" t="s">
        <v>4678</v>
      </c>
      <c r="B723" s="438" t="s">
        <v>1890</v>
      </c>
      <c r="C723" s="438" t="s">
        <v>4753</v>
      </c>
      <c r="D723" s="439" t="s">
        <v>13</v>
      </c>
      <c r="E723" s="439" t="s">
        <v>1696</v>
      </c>
      <c r="F723" s="440">
        <v>45173</v>
      </c>
      <c r="G723" s="440"/>
      <c r="H723" s="439" t="s">
        <v>23</v>
      </c>
      <c r="I723" s="441"/>
      <c r="J723" s="442"/>
      <c r="K723" s="443">
        <v>0</v>
      </c>
      <c r="L723" s="444">
        <v>0</v>
      </c>
      <c r="M723" s="463"/>
      <c r="N723" s="463"/>
      <c r="O723" s="445" t="s">
        <v>4405</v>
      </c>
      <c r="P723" s="447" t="s">
        <v>348</v>
      </c>
      <c r="Q723" s="451"/>
      <c r="R723" s="447"/>
      <c r="S723" s="447"/>
      <c r="T723" s="447"/>
      <c r="U723" s="447"/>
      <c r="V723" s="447"/>
      <c r="W723" s="447"/>
      <c r="X723" s="447"/>
      <c r="Y723" s="858" t="s">
        <v>453</v>
      </c>
    </row>
    <row r="724" spans="1:25" ht="14.45" customHeight="1" x14ac:dyDescent="0.25">
      <c r="A724" s="722" t="s">
        <v>4678</v>
      </c>
      <c r="B724" s="723" t="s">
        <v>1890</v>
      </c>
      <c r="C724" s="723" t="s">
        <v>4753</v>
      </c>
      <c r="D724" s="724" t="s">
        <v>13</v>
      </c>
      <c r="E724" s="724" t="s">
        <v>1696</v>
      </c>
      <c r="F724" s="725">
        <v>45173</v>
      </c>
      <c r="G724" s="725"/>
      <c r="H724" s="724" t="s">
        <v>23</v>
      </c>
      <c r="I724" s="441"/>
      <c r="J724" s="442"/>
      <c r="K724" s="720">
        <v>0</v>
      </c>
      <c r="L724" s="744">
        <v>0</v>
      </c>
      <c r="M724" s="767"/>
      <c r="N724" s="767"/>
      <c r="O724" s="728" t="s">
        <v>537</v>
      </c>
      <c r="P724" s="721" t="s">
        <v>2534</v>
      </c>
      <c r="Q724" s="729"/>
      <c r="R724" s="721"/>
      <c r="S724" s="721"/>
      <c r="T724" s="721"/>
      <c r="U724" s="721"/>
      <c r="V724" s="721"/>
      <c r="W724" s="721"/>
      <c r="X724" s="721"/>
      <c r="Y724" s="857" t="s">
        <v>4406</v>
      </c>
    </row>
    <row r="725" spans="1:25" ht="14.45" customHeight="1" x14ac:dyDescent="0.25">
      <c r="A725" s="437" t="s">
        <v>4678</v>
      </c>
      <c r="B725" s="438" t="s">
        <v>4415</v>
      </c>
      <c r="C725" s="438" t="s">
        <v>4753</v>
      </c>
      <c r="D725" s="439" t="s">
        <v>34</v>
      </c>
      <c r="E725" s="439" t="s">
        <v>4323</v>
      </c>
      <c r="F725" s="440">
        <v>45187</v>
      </c>
      <c r="G725" s="440"/>
      <c r="H725" s="439" t="s">
        <v>23</v>
      </c>
      <c r="I725" s="441"/>
      <c r="J725" s="442"/>
      <c r="K725" s="443">
        <v>0</v>
      </c>
      <c r="L725" s="444">
        <v>0</v>
      </c>
      <c r="M725" s="463"/>
      <c r="N725" s="463"/>
      <c r="O725" s="445" t="s">
        <v>4416</v>
      </c>
      <c r="P725" s="447"/>
      <c r="Q725" s="451"/>
      <c r="R725" s="447"/>
      <c r="S725" s="447"/>
      <c r="T725" s="447"/>
      <c r="U725" s="447"/>
      <c r="V725" s="447"/>
      <c r="W725" s="447"/>
      <c r="X725" s="447"/>
      <c r="Y725" s="858" t="s">
        <v>4414</v>
      </c>
    </row>
    <row r="726" spans="1:25" ht="14.45" customHeight="1" x14ac:dyDescent="0.25">
      <c r="A726" s="722" t="s">
        <v>4678</v>
      </c>
      <c r="B726" s="723" t="s">
        <v>2047</v>
      </c>
      <c r="C726" s="723" t="s">
        <v>4753</v>
      </c>
      <c r="D726" s="724" t="s">
        <v>13</v>
      </c>
      <c r="E726" s="724" t="s">
        <v>4596</v>
      </c>
      <c r="F726" s="725">
        <v>45203</v>
      </c>
      <c r="G726" s="725"/>
      <c r="H726" s="724" t="s">
        <v>23</v>
      </c>
      <c r="I726" s="441"/>
      <c r="J726" s="442"/>
      <c r="K726" s="720">
        <v>100</v>
      </c>
      <c r="L726" s="744">
        <v>0</v>
      </c>
      <c r="M726" s="767" t="s">
        <v>5037</v>
      </c>
      <c r="N726" s="767"/>
      <c r="O726" s="237" t="s">
        <v>4529</v>
      </c>
      <c r="P726" s="721">
        <v>616</v>
      </c>
      <c r="Q726" s="729">
        <v>100</v>
      </c>
      <c r="R726" s="721"/>
      <c r="S726" s="721"/>
      <c r="T726" s="721"/>
      <c r="U726" s="721"/>
      <c r="V726" s="721"/>
      <c r="W726" s="721"/>
      <c r="X726" s="721"/>
      <c r="Y726" s="857" t="s">
        <v>4531</v>
      </c>
    </row>
    <row r="727" spans="1:25" ht="14.45" customHeight="1" x14ac:dyDescent="0.25">
      <c r="A727" s="437" t="s">
        <v>4678</v>
      </c>
      <c r="B727" s="438" t="s">
        <v>2037</v>
      </c>
      <c r="C727" s="438" t="s">
        <v>4753</v>
      </c>
      <c r="D727" s="439" t="s">
        <v>13</v>
      </c>
      <c r="E727" s="439" t="s">
        <v>4597</v>
      </c>
      <c r="F727" s="440">
        <v>45204</v>
      </c>
      <c r="G727" s="440"/>
      <c r="H727" s="439" t="s">
        <v>23</v>
      </c>
      <c r="I727" s="449"/>
      <c r="J727" s="450"/>
      <c r="K727" s="443">
        <v>1733</v>
      </c>
      <c r="L727" s="444">
        <v>0</v>
      </c>
      <c r="M727" s="463" t="s">
        <v>4594</v>
      </c>
      <c r="N727" s="463"/>
      <c r="O727" s="237" t="s">
        <v>4521</v>
      </c>
      <c r="P727" s="447">
        <v>10398</v>
      </c>
      <c r="Q727" s="451">
        <v>1733</v>
      </c>
      <c r="R727" s="447"/>
      <c r="S727" s="447"/>
      <c r="T727" s="447"/>
      <c r="U727" s="447"/>
      <c r="V727" s="447"/>
      <c r="W727" s="447"/>
      <c r="X727" s="447"/>
      <c r="Y727" s="858" t="s">
        <v>4525</v>
      </c>
    </row>
    <row r="728" spans="1:25" ht="14.45" customHeight="1" x14ac:dyDescent="0.25">
      <c r="A728" s="437" t="s">
        <v>4678</v>
      </c>
      <c r="B728" s="438">
        <v>429</v>
      </c>
      <c r="C728" s="438"/>
      <c r="D728" s="439" t="s">
        <v>34</v>
      </c>
      <c r="E728" s="439" t="s">
        <v>79</v>
      </c>
      <c r="F728" s="440">
        <v>45181</v>
      </c>
      <c r="G728" s="440"/>
      <c r="H728" s="439" t="s">
        <v>23</v>
      </c>
      <c r="I728" s="449"/>
      <c r="J728" s="450"/>
      <c r="K728" s="443"/>
      <c r="L728" s="444"/>
      <c r="M728" s="463"/>
      <c r="N728" s="463" t="s">
        <v>4822</v>
      </c>
      <c r="O728" s="237" t="s">
        <v>78</v>
      </c>
      <c r="P728" s="447">
        <v>630</v>
      </c>
      <c r="Q728" s="451">
        <v>105</v>
      </c>
      <c r="R728" s="447">
        <v>0.20230000000000001</v>
      </c>
      <c r="S728" s="447">
        <v>0.499</v>
      </c>
      <c r="T728" s="447">
        <v>127.449</v>
      </c>
      <c r="U728" s="447">
        <v>314.37</v>
      </c>
      <c r="V728" s="447">
        <v>16.57</v>
      </c>
      <c r="W728" s="447">
        <v>52.19</v>
      </c>
      <c r="X728" s="447">
        <v>258</v>
      </c>
      <c r="Y728" s="858">
        <v>32879.699999999997</v>
      </c>
    </row>
    <row r="729" spans="1:25" ht="14.45" customHeight="1" x14ac:dyDescent="0.25">
      <c r="A729" s="722" t="s">
        <v>4678</v>
      </c>
      <c r="B729" s="723" t="s">
        <v>4421</v>
      </c>
      <c r="C729" s="723" t="s">
        <v>4753</v>
      </c>
      <c r="D729" s="724" t="s">
        <v>13</v>
      </c>
      <c r="E729" s="724" t="s">
        <v>4423</v>
      </c>
      <c r="F729" s="725">
        <v>45188</v>
      </c>
      <c r="G729" s="725"/>
      <c r="H729" s="724" t="s">
        <v>23</v>
      </c>
      <c r="I729" s="441"/>
      <c r="J729" s="442"/>
      <c r="K729" s="720">
        <v>0</v>
      </c>
      <c r="L729" s="744">
        <v>0</v>
      </c>
      <c r="M729" s="767" t="s">
        <v>4424</v>
      </c>
      <c r="N729" s="767"/>
      <c r="O729" s="728" t="s">
        <v>537</v>
      </c>
      <c r="P729" s="721" t="s">
        <v>1053</v>
      </c>
      <c r="Q729" s="729"/>
      <c r="R729" s="721"/>
      <c r="S729" s="721"/>
      <c r="T729" s="721"/>
      <c r="U729" s="721"/>
      <c r="V729" s="721"/>
      <c r="W729" s="721"/>
      <c r="X729" s="721"/>
      <c r="Y729" s="857" t="s">
        <v>4422</v>
      </c>
    </row>
    <row r="730" spans="1:25" ht="14.45" customHeight="1" x14ac:dyDescent="0.25">
      <c r="A730" s="437" t="s">
        <v>4678</v>
      </c>
      <c r="B730" s="438">
        <v>447</v>
      </c>
      <c r="C730" s="438"/>
      <c r="D730" s="439" t="s">
        <v>13</v>
      </c>
      <c r="E730" s="439" t="s">
        <v>3863</v>
      </c>
      <c r="F730" s="440">
        <v>45189</v>
      </c>
      <c r="G730" s="440"/>
      <c r="H730" s="439" t="s">
        <v>23</v>
      </c>
      <c r="I730" s="449"/>
      <c r="J730" s="450"/>
      <c r="K730" s="443">
        <v>31</v>
      </c>
      <c r="L730" s="444">
        <v>1.0163571428571427</v>
      </c>
      <c r="M730" s="463"/>
      <c r="N730" s="463"/>
      <c r="O730" s="445" t="s">
        <v>149</v>
      </c>
      <c r="P730" s="447">
        <v>155</v>
      </c>
      <c r="Q730" s="451">
        <v>31</v>
      </c>
      <c r="R730" s="447">
        <v>0.18360000000000001</v>
      </c>
      <c r="S730" s="447">
        <v>0.39400000000000002</v>
      </c>
      <c r="T730" s="447">
        <v>28.457999999999998</v>
      </c>
      <c r="U730" s="447">
        <v>61.07</v>
      </c>
      <c r="V730" s="447">
        <v>3.7</v>
      </c>
      <c r="W730" s="447">
        <v>61.51</v>
      </c>
      <c r="X730" s="447">
        <v>335</v>
      </c>
      <c r="Y730" s="858">
        <v>9534.0499999999993</v>
      </c>
    </row>
    <row r="731" spans="1:25" ht="14.45" customHeight="1" x14ac:dyDescent="0.25">
      <c r="A731" s="722" t="s">
        <v>4678</v>
      </c>
      <c r="B731" s="723">
        <v>447</v>
      </c>
      <c r="C731" s="723"/>
      <c r="D731" s="724" t="s">
        <v>13</v>
      </c>
      <c r="E731" s="724" t="s">
        <v>3863</v>
      </c>
      <c r="F731" s="725">
        <v>45189</v>
      </c>
      <c r="G731" s="725"/>
      <c r="H731" s="724" t="s">
        <v>23</v>
      </c>
      <c r="I731" s="441"/>
      <c r="J731" s="442"/>
      <c r="K731" s="720">
        <v>31</v>
      </c>
      <c r="L731" s="744">
        <v>1.0113749999999999</v>
      </c>
      <c r="M731" s="767"/>
      <c r="N731" s="767"/>
      <c r="O731" s="728" t="s">
        <v>119</v>
      </c>
      <c r="P731" s="721">
        <v>155</v>
      </c>
      <c r="Q731" s="729">
        <v>31</v>
      </c>
      <c r="R731" s="721">
        <v>0.1827</v>
      </c>
      <c r="S731" s="721">
        <v>0.36899999999999999</v>
      </c>
      <c r="T731" s="721">
        <v>28.3185</v>
      </c>
      <c r="U731" s="721">
        <v>57.195</v>
      </c>
      <c r="V731" s="721">
        <v>3.68</v>
      </c>
      <c r="W731" s="721">
        <v>61.2</v>
      </c>
      <c r="X731" s="721">
        <v>335</v>
      </c>
      <c r="Y731" s="857">
        <v>9486</v>
      </c>
    </row>
    <row r="732" spans="1:25" ht="14.45" customHeight="1" x14ac:dyDescent="0.25">
      <c r="A732" s="437" t="s">
        <v>4678</v>
      </c>
      <c r="B732" s="438">
        <v>447</v>
      </c>
      <c r="C732" s="438"/>
      <c r="D732" s="439" t="s">
        <v>13</v>
      </c>
      <c r="E732" s="439" t="s">
        <v>3863</v>
      </c>
      <c r="F732" s="440">
        <v>45189</v>
      </c>
      <c r="G732" s="440"/>
      <c r="H732" s="439" t="s">
        <v>23</v>
      </c>
      <c r="I732" s="449"/>
      <c r="J732" s="450"/>
      <c r="K732" s="443">
        <v>21</v>
      </c>
      <c r="L732" s="444">
        <v>1.019625</v>
      </c>
      <c r="M732" s="463"/>
      <c r="N732" s="463"/>
      <c r="O732" s="445" t="s">
        <v>151</v>
      </c>
      <c r="P732" s="447">
        <v>105</v>
      </c>
      <c r="Q732" s="451">
        <v>21</v>
      </c>
      <c r="R732" s="447">
        <v>0.27189999999999998</v>
      </c>
      <c r="S732" s="447">
        <v>0.50600000000000001</v>
      </c>
      <c r="T732" s="447">
        <v>28.549499999999998</v>
      </c>
      <c r="U732" s="447">
        <v>53.13</v>
      </c>
      <c r="V732" s="447">
        <v>3.71</v>
      </c>
      <c r="W732" s="447">
        <v>91.09</v>
      </c>
      <c r="X732" s="447">
        <v>335</v>
      </c>
      <c r="Y732" s="858">
        <v>9564.4500000000007</v>
      </c>
    </row>
    <row r="733" spans="1:25" ht="14.45" customHeight="1" x14ac:dyDescent="0.25">
      <c r="A733" s="722" t="s">
        <v>4678</v>
      </c>
      <c r="B733" s="723" t="s">
        <v>2037</v>
      </c>
      <c r="C733" s="723" t="s">
        <v>4753</v>
      </c>
      <c r="D733" s="724" t="s">
        <v>13</v>
      </c>
      <c r="E733" s="724" t="s">
        <v>4597</v>
      </c>
      <c r="F733" s="725">
        <v>45204</v>
      </c>
      <c r="G733" s="725"/>
      <c r="H733" s="724" t="s">
        <v>23</v>
      </c>
      <c r="I733" s="441"/>
      <c r="J733" s="442"/>
      <c r="K733" s="720">
        <v>120</v>
      </c>
      <c r="L733" s="744">
        <v>0</v>
      </c>
      <c r="M733" s="767" t="s">
        <v>4652</v>
      </c>
      <c r="N733" s="767"/>
      <c r="O733" s="728" t="s">
        <v>4522</v>
      </c>
      <c r="P733" s="721">
        <v>726</v>
      </c>
      <c r="Q733" s="729">
        <v>120</v>
      </c>
      <c r="R733" s="721"/>
      <c r="S733" s="721"/>
      <c r="T733" s="721"/>
      <c r="U733" s="721"/>
      <c r="V733" s="721"/>
      <c r="W733" s="721"/>
      <c r="X733" s="721"/>
      <c r="Y733" s="857" t="s">
        <v>4526</v>
      </c>
    </row>
    <row r="734" spans="1:25" ht="14.45" customHeight="1" x14ac:dyDescent="0.25">
      <c r="A734" s="869" t="s">
        <v>4678</v>
      </c>
      <c r="B734" s="769" t="s">
        <v>2037</v>
      </c>
      <c r="C734" s="769" t="s">
        <v>4753</v>
      </c>
      <c r="D734" s="754" t="s">
        <v>13</v>
      </c>
      <c r="E734" s="754" t="s">
        <v>4597</v>
      </c>
      <c r="F734" s="762">
        <v>45204</v>
      </c>
      <c r="G734" s="762"/>
      <c r="H734" s="761" t="s">
        <v>23</v>
      </c>
      <c r="I734" s="388"/>
      <c r="J734" s="364"/>
      <c r="K734" s="443">
        <v>50</v>
      </c>
      <c r="L734" s="763">
        <v>7</v>
      </c>
      <c r="M734" s="829" t="s">
        <v>4762</v>
      </c>
      <c r="N734" s="829"/>
      <c r="O734" s="764" t="s">
        <v>4523</v>
      </c>
      <c r="P734" s="764">
        <v>302.5</v>
      </c>
      <c r="Q734" s="765">
        <v>50</v>
      </c>
      <c r="R734" s="764"/>
      <c r="S734" s="764"/>
      <c r="T734" s="764"/>
      <c r="U734" s="764"/>
      <c r="V734" s="764"/>
      <c r="W734" s="764"/>
      <c r="X734" s="764"/>
      <c r="Y734" s="870" t="s">
        <v>4527</v>
      </c>
    </row>
    <row r="735" spans="1:25" ht="14.45" customHeight="1" x14ac:dyDescent="0.25">
      <c r="A735" s="722" t="s">
        <v>4678</v>
      </c>
      <c r="B735" s="723" t="s">
        <v>1987</v>
      </c>
      <c r="C735" s="723" t="s">
        <v>4753</v>
      </c>
      <c r="D735" s="724" t="s">
        <v>13</v>
      </c>
      <c r="E735" s="724" t="s">
        <v>3765</v>
      </c>
      <c r="F735" s="725">
        <v>45189</v>
      </c>
      <c r="G735" s="725"/>
      <c r="H735" s="724" t="s">
        <v>23</v>
      </c>
      <c r="I735" s="441"/>
      <c r="J735" s="442"/>
      <c r="K735" s="720">
        <v>0</v>
      </c>
      <c r="L735" s="744">
        <v>0</v>
      </c>
      <c r="M735" s="767"/>
      <c r="N735" s="767"/>
      <c r="O735" s="728" t="s">
        <v>4447</v>
      </c>
      <c r="P735" s="721">
        <v>48</v>
      </c>
      <c r="Q735" s="729"/>
      <c r="R735" s="721"/>
      <c r="S735" s="721"/>
      <c r="T735" s="721"/>
      <c r="U735" s="721"/>
      <c r="V735" s="721"/>
      <c r="W735" s="721"/>
      <c r="X735" s="721"/>
      <c r="Y735" s="857" t="s">
        <v>4448</v>
      </c>
    </row>
    <row r="736" spans="1:25" ht="14.45" customHeight="1" x14ac:dyDescent="0.25">
      <c r="A736" s="437" t="s">
        <v>4678</v>
      </c>
      <c r="B736" s="438" t="s">
        <v>4431</v>
      </c>
      <c r="C736" s="438"/>
      <c r="D736" s="439" t="s">
        <v>34</v>
      </c>
      <c r="E736" s="439" t="s">
        <v>16</v>
      </c>
      <c r="F736" s="440">
        <v>45189</v>
      </c>
      <c r="G736" s="440"/>
      <c r="H736" s="439" t="s">
        <v>23</v>
      </c>
      <c r="I736" s="449"/>
      <c r="J736" s="450"/>
      <c r="K736" s="443">
        <v>90</v>
      </c>
      <c r="L736" s="444">
        <v>5.7799285714285711</v>
      </c>
      <c r="M736" s="463" t="s">
        <v>4584</v>
      </c>
      <c r="N736" s="463"/>
      <c r="O736" s="445" t="s">
        <v>2423</v>
      </c>
      <c r="P736" s="447">
        <v>540</v>
      </c>
      <c r="Q736" s="451">
        <v>90</v>
      </c>
      <c r="R736" s="447">
        <v>0.29970000000000002</v>
      </c>
      <c r="S736" s="447">
        <v>1.6739999999999999</v>
      </c>
      <c r="T736" s="447">
        <v>161.83799999999999</v>
      </c>
      <c r="U736" s="447">
        <v>903.96</v>
      </c>
      <c r="V736" s="447">
        <v>21.04</v>
      </c>
      <c r="W736" s="447">
        <v>109.39</v>
      </c>
      <c r="X736" s="447">
        <v>365</v>
      </c>
      <c r="Y736" s="858">
        <v>59070.87</v>
      </c>
    </row>
    <row r="737" spans="1:25" ht="14.45" customHeight="1" x14ac:dyDescent="0.25">
      <c r="A737" s="871" t="s">
        <v>4678</v>
      </c>
      <c r="B737" s="792" t="s">
        <v>2037</v>
      </c>
      <c r="C737" s="769" t="s">
        <v>4753</v>
      </c>
      <c r="D737" s="793" t="s">
        <v>13</v>
      </c>
      <c r="E737" s="754" t="s">
        <v>4879</v>
      </c>
      <c r="F737" s="794">
        <v>45204</v>
      </c>
      <c r="G737" s="794"/>
      <c r="H737" s="793" t="s">
        <v>677</v>
      </c>
      <c r="I737" s="388"/>
      <c r="J737" s="364"/>
      <c r="K737" s="720">
        <v>50</v>
      </c>
      <c r="L737" s="795">
        <v>7</v>
      </c>
      <c r="M737" s="836"/>
      <c r="N737" s="836" t="s">
        <v>4936</v>
      </c>
      <c r="O737" s="793" t="s">
        <v>4524</v>
      </c>
      <c r="P737" s="793">
        <v>302.5</v>
      </c>
      <c r="Q737" s="837">
        <v>50</v>
      </c>
      <c r="R737" s="793"/>
      <c r="S737" s="796"/>
      <c r="T737" s="796"/>
      <c r="U737" s="796"/>
      <c r="V737" s="796"/>
      <c r="W737" s="796"/>
      <c r="X737" s="796"/>
      <c r="Y737" s="872" t="s">
        <v>4527</v>
      </c>
    </row>
    <row r="738" spans="1:25" ht="14.45" customHeight="1" x14ac:dyDescent="0.25">
      <c r="A738" s="437" t="s">
        <v>4678</v>
      </c>
      <c r="B738" s="438">
        <v>450</v>
      </c>
      <c r="C738" s="438"/>
      <c r="D738" s="439" t="s">
        <v>13</v>
      </c>
      <c r="E738" s="439" t="s">
        <v>2973</v>
      </c>
      <c r="F738" s="440">
        <v>45190</v>
      </c>
      <c r="G738" s="440"/>
      <c r="H738" s="439" t="s">
        <v>23</v>
      </c>
      <c r="I738" s="449"/>
      <c r="J738" s="450"/>
      <c r="K738" s="443">
        <v>42</v>
      </c>
      <c r="L738" s="444">
        <v>2.8863464285714286</v>
      </c>
      <c r="M738" s="463"/>
      <c r="N738" s="463"/>
      <c r="O738" s="445" t="s">
        <v>1863</v>
      </c>
      <c r="P738" s="447">
        <v>205.8</v>
      </c>
      <c r="Q738" s="451">
        <v>42</v>
      </c>
      <c r="R738" s="447">
        <v>0.39269999999999999</v>
      </c>
      <c r="S738" s="447">
        <v>0.872</v>
      </c>
      <c r="T738" s="447">
        <v>80.817700000000002</v>
      </c>
      <c r="U738" s="447">
        <v>179.45760000000001</v>
      </c>
      <c r="V738" s="447">
        <v>10.51</v>
      </c>
      <c r="W738" s="447">
        <v>143.34</v>
      </c>
      <c r="X738" s="447">
        <v>365</v>
      </c>
      <c r="Y738" s="858">
        <v>29498.45</v>
      </c>
    </row>
    <row r="739" spans="1:25" ht="14.45" customHeight="1" x14ac:dyDescent="0.25">
      <c r="A739" s="722" t="s">
        <v>4678</v>
      </c>
      <c r="B739" s="723">
        <v>451</v>
      </c>
      <c r="C739" s="723"/>
      <c r="D739" s="724" t="s">
        <v>13</v>
      </c>
      <c r="E739" s="724" t="s">
        <v>3819</v>
      </c>
      <c r="F739" s="725">
        <v>45190</v>
      </c>
      <c r="G739" s="725"/>
      <c r="H739" s="724" t="s">
        <v>23</v>
      </c>
      <c r="I739" s="441"/>
      <c r="J739" s="442">
        <v>91</v>
      </c>
      <c r="K739" s="720">
        <v>7</v>
      </c>
      <c r="L739" s="744">
        <v>14.057225000000001</v>
      </c>
      <c r="M739" s="767" t="s">
        <v>4468</v>
      </c>
      <c r="N739" s="767"/>
      <c r="O739" s="728" t="s">
        <v>4402</v>
      </c>
      <c r="P739" s="721">
        <v>637</v>
      </c>
      <c r="Q739" s="729">
        <v>98</v>
      </c>
      <c r="R739" s="721">
        <v>0.6179</v>
      </c>
      <c r="S739" s="721">
        <v>2.117</v>
      </c>
      <c r="T739" s="721">
        <v>393.60230000000001</v>
      </c>
      <c r="U739" s="721">
        <v>1348.529</v>
      </c>
      <c r="V739" s="721">
        <v>51.17</v>
      </c>
      <c r="W739" s="721">
        <v>225.53</v>
      </c>
      <c r="X739" s="721">
        <v>365</v>
      </c>
      <c r="Y739" s="857">
        <v>143664.84</v>
      </c>
    </row>
    <row r="740" spans="1:25" ht="14.45" customHeight="1" x14ac:dyDescent="0.25">
      <c r="A740" s="437" t="s">
        <v>4678</v>
      </c>
      <c r="B740" s="467">
        <v>486</v>
      </c>
      <c r="C740" s="467"/>
      <c r="D740" s="468" t="s">
        <v>13</v>
      </c>
      <c r="E740" s="468" t="s">
        <v>28</v>
      </c>
      <c r="F740" s="469">
        <v>45208</v>
      </c>
      <c r="G740" s="469"/>
      <c r="H740" s="468" t="s">
        <v>23</v>
      </c>
      <c r="I740" s="449"/>
      <c r="J740" s="450"/>
      <c r="K740" s="443">
        <v>530</v>
      </c>
      <c r="L740" s="444">
        <v>8.4781071428571426</v>
      </c>
      <c r="M740" s="463"/>
      <c r="N740" s="463"/>
      <c r="O740" s="439" t="s">
        <v>1734</v>
      </c>
      <c r="P740" s="458">
        <v>1590</v>
      </c>
      <c r="Q740" s="459">
        <v>530</v>
      </c>
      <c r="R740" s="458">
        <v>0.14929999999999999</v>
      </c>
      <c r="S740" s="447">
        <v>0.56599999999999995</v>
      </c>
      <c r="T740" s="447">
        <v>237.387</v>
      </c>
      <c r="U740" s="447">
        <v>899.94</v>
      </c>
      <c r="V740" s="447">
        <v>30.86</v>
      </c>
      <c r="W740" s="447">
        <v>54.49</v>
      </c>
      <c r="X740" s="447">
        <v>365</v>
      </c>
      <c r="Y740" s="858">
        <v>86646.26</v>
      </c>
    </row>
    <row r="741" spans="1:25" ht="14.45" customHeight="1" x14ac:dyDescent="0.25">
      <c r="A741" s="722" t="s">
        <v>4678</v>
      </c>
      <c r="B741" s="723">
        <v>456</v>
      </c>
      <c r="C741" s="723"/>
      <c r="D741" s="724" t="s">
        <v>34</v>
      </c>
      <c r="E741" s="724" t="s">
        <v>3404</v>
      </c>
      <c r="F741" s="725">
        <v>45190</v>
      </c>
      <c r="G741" s="725"/>
      <c r="H741" s="724" t="s">
        <v>23</v>
      </c>
      <c r="I741" s="441"/>
      <c r="J741" s="442"/>
      <c r="K741" s="720">
        <v>216</v>
      </c>
      <c r="L741" s="744">
        <v>11.650114285714285</v>
      </c>
      <c r="M741" s="767"/>
      <c r="N741" s="767"/>
      <c r="O741" s="728" t="s">
        <v>4378</v>
      </c>
      <c r="P741" s="721">
        <v>1296</v>
      </c>
      <c r="Q741" s="729">
        <v>216</v>
      </c>
      <c r="R741" s="721">
        <v>0.25169999999999998</v>
      </c>
      <c r="S741" s="721">
        <v>0.56699999999999995</v>
      </c>
      <c r="T741" s="721">
        <v>326.20319999999998</v>
      </c>
      <c r="U741" s="721">
        <v>734.83199999999999</v>
      </c>
      <c r="V741" s="721">
        <v>42.41</v>
      </c>
      <c r="W741" s="721">
        <v>79.290000000000006</v>
      </c>
      <c r="X741" s="721">
        <v>315</v>
      </c>
      <c r="Y741" s="857">
        <v>102754.01</v>
      </c>
    </row>
    <row r="742" spans="1:25" ht="14.45" customHeight="1" x14ac:dyDescent="0.25">
      <c r="A742" s="437" t="s">
        <v>4678</v>
      </c>
      <c r="B742" s="438">
        <v>457</v>
      </c>
      <c r="C742" s="438"/>
      <c r="D742" s="439" t="s">
        <v>13</v>
      </c>
      <c r="E742" s="439" t="s">
        <v>1825</v>
      </c>
      <c r="F742" s="440">
        <v>45190</v>
      </c>
      <c r="G742" s="440"/>
      <c r="H742" s="439" t="s">
        <v>23</v>
      </c>
      <c r="I742" s="449"/>
      <c r="J742" s="450"/>
      <c r="K742" s="443">
        <v>104</v>
      </c>
      <c r="L742" s="444">
        <v>13.380342857142859</v>
      </c>
      <c r="M742" s="463"/>
      <c r="N742" s="463"/>
      <c r="O742" s="445" t="s">
        <v>4708</v>
      </c>
      <c r="P742" s="447">
        <v>624</v>
      </c>
      <c r="Q742" s="451">
        <v>104</v>
      </c>
      <c r="R742" s="447">
        <v>0.60040000000000004</v>
      </c>
      <c r="S742" s="447">
        <v>2.5739999999999998</v>
      </c>
      <c r="T742" s="447">
        <v>374.64960000000002</v>
      </c>
      <c r="U742" s="447">
        <v>1606.1759999999999</v>
      </c>
      <c r="V742" s="447">
        <v>48.7</v>
      </c>
      <c r="W742" s="447">
        <v>219.15</v>
      </c>
      <c r="X742" s="447">
        <v>365</v>
      </c>
      <c r="Y742" s="858">
        <v>136747.1</v>
      </c>
    </row>
    <row r="743" spans="1:25" ht="14.45" customHeight="1" x14ac:dyDescent="0.25">
      <c r="A743" s="722" t="s">
        <v>4678</v>
      </c>
      <c r="B743" s="723" t="s">
        <v>4434</v>
      </c>
      <c r="C743" s="723" t="s">
        <v>4753</v>
      </c>
      <c r="D743" s="724" t="s">
        <v>13</v>
      </c>
      <c r="E743" s="724" t="s">
        <v>4433</v>
      </c>
      <c r="F743" s="725">
        <v>45190</v>
      </c>
      <c r="G743" s="725"/>
      <c r="H743" s="724" t="s">
        <v>23</v>
      </c>
      <c r="I743" s="441"/>
      <c r="J743" s="442"/>
      <c r="K743" s="720">
        <v>0</v>
      </c>
      <c r="L743" s="744">
        <v>0</v>
      </c>
      <c r="M743" s="767"/>
      <c r="N743" s="767"/>
      <c r="O743" s="728" t="s">
        <v>4463</v>
      </c>
      <c r="P743" s="721"/>
      <c r="Q743" s="729"/>
      <c r="R743" s="721"/>
      <c r="S743" s="721"/>
      <c r="T743" s="721"/>
      <c r="U743" s="721"/>
      <c r="V743" s="721"/>
      <c r="W743" s="721"/>
      <c r="X743" s="721"/>
      <c r="Y743" s="857" t="s">
        <v>4435</v>
      </c>
    </row>
    <row r="744" spans="1:25" ht="14.45" customHeight="1" x14ac:dyDescent="0.25">
      <c r="A744" s="437" t="s">
        <v>4678</v>
      </c>
      <c r="B744" s="438">
        <v>458</v>
      </c>
      <c r="C744" s="438"/>
      <c r="D744" s="439" t="s">
        <v>13</v>
      </c>
      <c r="E744" s="439" t="s">
        <v>3764</v>
      </c>
      <c r="F744" s="440">
        <v>45190</v>
      </c>
      <c r="G744" s="440"/>
      <c r="H744" s="439" t="s">
        <v>23</v>
      </c>
      <c r="I744" s="449"/>
      <c r="J744" s="450"/>
      <c r="K744" s="443">
        <v>103</v>
      </c>
      <c r="L744" s="444">
        <v>3.0531607142857142</v>
      </c>
      <c r="M744" s="463" t="s">
        <v>4472</v>
      </c>
      <c r="N744" s="463"/>
      <c r="O744" s="445" t="s">
        <v>4446</v>
      </c>
      <c r="P744" s="447">
        <v>581.95000000000005</v>
      </c>
      <c r="Q744" s="451">
        <v>103</v>
      </c>
      <c r="R744" s="447">
        <v>0.1469</v>
      </c>
      <c r="S744" s="447">
        <v>1.3859999999999999</v>
      </c>
      <c r="T744" s="447">
        <v>85.488500000000002</v>
      </c>
      <c r="U744" s="447">
        <v>806.58270000000005</v>
      </c>
      <c r="V744" s="447">
        <v>11.11</v>
      </c>
      <c r="W744" s="447">
        <v>50.39</v>
      </c>
      <c r="X744" s="447">
        <v>343</v>
      </c>
      <c r="Y744" s="858">
        <v>29324.46</v>
      </c>
    </row>
    <row r="745" spans="1:25" ht="14.45" customHeight="1" x14ac:dyDescent="0.25">
      <c r="A745" s="722" t="s">
        <v>4678</v>
      </c>
      <c r="B745" s="723">
        <v>459</v>
      </c>
      <c r="C745" s="723"/>
      <c r="D745" s="724" t="s">
        <v>13</v>
      </c>
      <c r="E745" s="724" t="s">
        <v>28</v>
      </c>
      <c r="F745" s="725">
        <v>45191</v>
      </c>
      <c r="G745" s="725"/>
      <c r="H745" s="724" t="s">
        <v>23</v>
      </c>
      <c r="I745" s="441">
        <v>72</v>
      </c>
      <c r="J745" s="442">
        <v>768</v>
      </c>
      <c r="K745" s="720">
        <v>236</v>
      </c>
      <c r="L745" s="744">
        <v>71.477142857142852</v>
      </c>
      <c r="M745" s="767" t="s">
        <v>4438</v>
      </c>
      <c r="N745" s="767" t="s">
        <v>4822</v>
      </c>
      <c r="O745" s="728" t="s">
        <v>2608</v>
      </c>
      <c r="P745" s="721">
        <v>6456</v>
      </c>
      <c r="Q745" s="729">
        <v>1076</v>
      </c>
      <c r="R745" s="721">
        <v>0.31</v>
      </c>
      <c r="S745" s="721">
        <v>0.69199999999999995</v>
      </c>
      <c r="T745" s="721">
        <v>2001.36</v>
      </c>
      <c r="U745" s="721">
        <v>4467.5519999999997</v>
      </c>
      <c r="V745" s="721">
        <v>260.18</v>
      </c>
      <c r="W745" s="721">
        <v>113.15</v>
      </c>
      <c r="X745" s="721">
        <v>365</v>
      </c>
      <c r="Y745" s="857">
        <v>730496.4</v>
      </c>
    </row>
    <row r="746" spans="1:25" ht="14.45" customHeight="1" x14ac:dyDescent="0.25">
      <c r="A746" s="437" t="s">
        <v>4678</v>
      </c>
      <c r="B746" s="438">
        <v>455</v>
      </c>
      <c r="C746" s="438"/>
      <c r="D746" s="439" t="s">
        <v>13</v>
      </c>
      <c r="E746" s="439" t="s">
        <v>3764</v>
      </c>
      <c r="F746" s="440">
        <v>45190</v>
      </c>
      <c r="G746" s="440"/>
      <c r="H746" s="439" t="s">
        <v>23</v>
      </c>
      <c r="I746" s="449"/>
      <c r="J746" s="450"/>
      <c r="K746" s="443">
        <v>258</v>
      </c>
      <c r="L746" s="444">
        <v>2.7642857142857147</v>
      </c>
      <c r="M746" s="463"/>
      <c r="N746" s="463"/>
      <c r="O746" s="445" t="s">
        <v>4439</v>
      </c>
      <c r="P746" s="447">
        <v>774</v>
      </c>
      <c r="Q746" s="451">
        <v>258</v>
      </c>
      <c r="R746" s="447">
        <v>0.1</v>
      </c>
      <c r="S746" s="447">
        <v>0.16</v>
      </c>
      <c r="T746" s="447">
        <v>77.400000000000006</v>
      </c>
      <c r="U746" s="447">
        <v>123.84</v>
      </c>
      <c r="V746" s="447">
        <v>10.06</v>
      </c>
      <c r="W746" s="447">
        <v>39.9</v>
      </c>
      <c r="X746" s="447">
        <v>399</v>
      </c>
      <c r="Y746" s="858">
        <v>30882.6</v>
      </c>
    </row>
    <row r="747" spans="1:25" ht="14.45" customHeight="1" x14ac:dyDescent="0.25">
      <c r="A747" s="722" t="s">
        <v>4678</v>
      </c>
      <c r="B747" s="723" t="s">
        <v>4440</v>
      </c>
      <c r="C747" s="723" t="s">
        <v>4753</v>
      </c>
      <c r="D747" s="724" t="s">
        <v>13</v>
      </c>
      <c r="E747" s="724" t="s">
        <v>4003</v>
      </c>
      <c r="F747" s="725">
        <v>45194</v>
      </c>
      <c r="G747" s="725"/>
      <c r="H747" s="724" t="s">
        <v>23</v>
      </c>
      <c r="I747" s="441"/>
      <c r="J747" s="442"/>
      <c r="K747" s="720">
        <v>0</v>
      </c>
      <c r="L747" s="744">
        <v>0</v>
      </c>
      <c r="M747" s="767"/>
      <c r="N747" s="767"/>
      <c r="O747" s="728" t="s">
        <v>1830</v>
      </c>
      <c r="P747" s="721" t="s">
        <v>4441</v>
      </c>
      <c r="Q747" s="729"/>
      <c r="R747" s="721"/>
      <c r="S747" s="721"/>
      <c r="T747" s="721"/>
      <c r="U747" s="721"/>
      <c r="V747" s="721"/>
      <c r="W747" s="721"/>
      <c r="X747" s="721"/>
      <c r="Y747" s="857">
        <v>55200</v>
      </c>
    </row>
    <row r="748" spans="1:25" ht="14.45" customHeight="1" x14ac:dyDescent="0.25">
      <c r="A748" s="437" t="s">
        <v>4678</v>
      </c>
      <c r="B748" s="438">
        <v>461</v>
      </c>
      <c r="C748" s="438"/>
      <c r="D748" s="439" t="s">
        <v>13</v>
      </c>
      <c r="E748" s="439" t="s">
        <v>2973</v>
      </c>
      <c r="F748" s="440">
        <v>45196</v>
      </c>
      <c r="G748" s="440"/>
      <c r="H748" s="439" t="s">
        <v>23</v>
      </c>
      <c r="I748" s="449"/>
      <c r="J748" s="450"/>
      <c r="K748" s="443">
        <v>70</v>
      </c>
      <c r="L748" s="444">
        <v>4.810575</v>
      </c>
      <c r="M748" s="463"/>
      <c r="N748" s="463"/>
      <c r="O748" s="445" t="s">
        <v>1863</v>
      </c>
      <c r="P748" s="447">
        <v>343</v>
      </c>
      <c r="Q748" s="451">
        <v>70</v>
      </c>
      <c r="R748" s="447">
        <v>0.39269999999999999</v>
      </c>
      <c r="S748" s="447">
        <v>0.872</v>
      </c>
      <c r="T748" s="447">
        <v>134.6961</v>
      </c>
      <c r="U748" s="447">
        <v>299.096</v>
      </c>
      <c r="V748" s="447">
        <v>17.510000000000002</v>
      </c>
      <c r="W748" s="447">
        <v>143.34</v>
      </c>
      <c r="X748" s="447">
        <v>365</v>
      </c>
      <c r="Y748" s="858">
        <v>49165.62</v>
      </c>
    </row>
    <row r="749" spans="1:25" ht="14.45" customHeight="1" x14ac:dyDescent="0.25">
      <c r="A749" s="722" t="s">
        <v>4678</v>
      </c>
      <c r="B749" s="723" t="s">
        <v>3456</v>
      </c>
      <c r="C749" s="723" t="s">
        <v>4753</v>
      </c>
      <c r="D749" s="724" t="s">
        <v>13</v>
      </c>
      <c r="E749" s="724" t="s">
        <v>458</v>
      </c>
      <c r="F749" s="725">
        <v>45195</v>
      </c>
      <c r="G749" s="725"/>
      <c r="H749" s="724" t="s">
        <v>23</v>
      </c>
      <c r="I749" s="441"/>
      <c r="J749" s="442"/>
      <c r="K749" s="720">
        <v>650</v>
      </c>
      <c r="L749" s="744">
        <v>0</v>
      </c>
      <c r="M749" s="767"/>
      <c r="N749" s="767"/>
      <c r="O749" s="728" t="s">
        <v>555</v>
      </c>
      <c r="P749" s="721"/>
      <c r="Q749" s="729">
        <v>650</v>
      </c>
      <c r="R749" s="721"/>
      <c r="S749" s="721"/>
      <c r="T749" s="721"/>
      <c r="U749" s="721"/>
      <c r="V749" s="721"/>
      <c r="W749" s="721"/>
      <c r="X749" s="721"/>
      <c r="Y749" s="857" t="s">
        <v>4444</v>
      </c>
    </row>
    <row r="750" spans="1:25" ht="14.45" customHeight="1" x14ac:dyDescent="0.25">
      <c r="A750" s="437" t="s">
        <v>4678</v>
      </c>
      <c r="B750" s="467">
        <v>497</v>
      </c>
      <c r="C750" s="467"/>
      <c r="D750" s="468" t="s">
        <v>13</v>
      </c>
      <c r="E750" s="468" t="s">
        <v>28</v>
      </c>
      <c r="F750" s="440">
        <v>45211</v>
      </c>
      <c r="G750" s="440"/>
      <c r="H750" s="439" t="s">
        <v>23</v>
      </c>
      <c r="I750" s="449"/>
      <c r="J750" s="450">
        <v>1047</v>
      </c>
      <c r="K750" s="443">
        <v>1</v>
      </c>
      <c r="L750" s="444">
        <v>69.617142857142852</v>
      </c>
      <c r="M750" s="463" t="s">
        <v>559</v>
      </c>
      <c r="N750" s="463" t="s">
        <v>4822</v>
      </c>
      <c r="O750" s="439" t="s">
        <v>2608</v>
      </c>
      <c r="P750" s="458">
        <v>6288</v>
      </c>
      <c r="Q750" s="459">
        <v>1048</v>
      </c>
      <c r="R750" s="458">
        <v>0.31</v>
      </c>
      <c r="S750" s="447">
        <v>0.69199999999999995</v>
      </c>
      <c r="T750" s="447">
        <v>1949.28</v>
      </c>
      <c r="U750" s="447">
        <v>4351.2960000000003</v>
      </c>
      <c r="V750" s="447">
        <v>253.41</v>
      </c>
      <c r="W750" s="447">
        <v>113.15</v>
      </c>
      <c r="X750" s="447">
        <v>365</v>
      </c>
      <c r="Y750" s="858">
        <v>711487.2</v>
      </c>
    </row>
    <row r="751" spans="1:25" ht="14.45" customHeight="1" x14ac:dyDescent="0.25">
      <c r="A751" s="722" t="s">
        <v>4678</v>
      </c>
      <c r="B751" s="723">
        <v>463</v>
      </c>
      <c r="C751" s="723"/>
      <c r="D751" s="724" t="s">
        <v>34</v>
      </c>
      <c r="E751" s="724" t="s">
        <v>19</v>
      </c>
      <c r="F751" s="725">
        <v>45196</v>
      </c>
      <c r="G751" s="725"/>
      <c r="H751" s="724" t="s">
        <v>23</v>
      </c>
      <c r="I751" s="441"/>
      <c r="J751" s="442"/>
      <c r="K751" s="720">
        <v>261</v>
      </c>
      <c r="L751" s="744">
        <v>9.3672892857142873</v>
      </c>
      <c r="M751" s="767"/>
      <c r="N751" s="767"/>
      <c r="O751" s="728" t="s">
        <v>3094</v>
      </c>
      <c r="P751" s="721">
        <v>965.7</v>
      </c>
      <c r="Q751" s="729">
        <v>261</v>
      </c>
      <c r="R751" s="721">
        <v>0.27160000000000001</v>
      </c>
      <c r="S751" s="721">
        <v>0.72799999999999998</v>
      </c>
      <c r="T751" s="721">
        <v>262.28410000000002</v>
      </c>
      <c r="U751" s="721">
        <v>703.02959999999996</v>
      </c>
      <c r="V751" s="721">
        <v>34.1</v>
      </c>
      <c r="W751" s="721">
        <v>103.21</v>
      </c>
      <c r="X751" s="721">
        <v>380</v>
      </c>
      <c r="Y751" s="857">
        <v>99667.97</v>
      </c>
    </row>
    <row r="752" spans="1:25" ht="14.45" customHeight="1" x14ac:dyDescent="0.25">
      <c r="A752" s="437" t="s">
        <v>4678</v>
      </c>
      <c r="B752" s="438">
        <v>464</v>
      </c>
      <c r="C752" s="438"/>
      <c r="D752" s="439" t="s">
        <v>34</v>
      </c>
      <c r="E752" s="439" t="s">
        <v>3404</v>
      </c>
      <c r="F752" s="440">
        <v>45196</v>
      </c>
      <c r="G752" s="440"/>
      <c r="H752" s="439" t="s">
        <v>23</v>
      </c>
      <c r="I752" s="449"/>
      <c r="J752" s="450"/>
      <c r="K752" s="443">
        <v>65</v>
      </c>
      <c r="L752" s="444">
        <v>3.5058214285714286</v>
      </c>
      <c r="M752" s="463"/>
      <c r="N752" s="463"/>
      <c r="O752" s="445" t="s">
        <v>4378</v>
      </c>
      <c r="P752" s="447">
        <v>390</v>
      </c>
      <c r="Q752" s="451">
        <v>65</v>
      </c>
      <c r="R752" s="447">
        <v>0.25169999999999998</v>
      </c>
      <c r="S752" s="447">
        <v>0.56699999999999995</v>
      </c>
      <c r="T752" s="447">
        <v>98.162999999999997</v>
      </c>
      <c r="U752" s="447">
        <v>221.13</v>
      </c>
      <c r="V752" s="447">
        <v>12.76</v>
      </c>
      <c r="W752" s="447">
        <v>72.989999999999995</v>
      </c>
      <c r="X752" s="447">
        <v>290</v>
      </c>
      <c r="Y752" s="858">
        <v>28467.27</v>
      </c>
    </row>
    <row r="753" spans="1:25" ht="14.45" customHeight="1" x14ac:dyDescent="0.25">
      <c r="A753" s="722" t="s">
        <v>4678</v>
      </c>
      <c r="B753" s="723">
        <v>465</v>
      </c>
      <c r="C753" s="723"/>
      <c r="D753" s="724" t="s">
        <v>13</v>
      </c>
      <c r="E753" s="724" t="s">
        <v>1825</v>
      </c>
      <c r="F753" s="725">
        <v>45196</v>
      </c>
      <c r="G753" s="725"/>
      <c r="H753" s="724" t="s">
        <v>23</v>
      </c>
      <c r="I753" s="441"/>
      <c r="J753" s="442"/>
      <c r="K753" s="720">
        <v>88</v>
      </c>
      <c r="L753" s="744">
        <v>11.299199999999999</v>
      </c>
      <c r="M753" s="767" t="s">
        <v>4464</v>
      </c>
      <c r="N753" s="767"/>
      <c r="O753" s="728" t="s">
        <v>4709</v>
      </c>
      <c r="P753" s="721">
        <v>528</v>
      </c>
      <c r="Q753" s="729">
        <v>88</v>
      </c>
      <c r="R753" s="721">
        <v>0.59919999999999995</v>
      </c>
      <c r="S753" s="721">
        <v>2.5859999999999999</v>
      </c>
      <c r="T753" s="721">
        <v>316.37759999999997</v>
      </c>
      <c r="U753" s="721">
        <v>1365.4079999999999</v>
      </c>
      <c r="V753" s="721">
        <v>41.13</v>
      </c>
      <c r="W753" s="721">
        <v>219.15</v>
      </c>
      <c r="X753" s="721">
        <v>365</v>
      </c>
      <c r="Y753" s="857">
        <v>115711.2</v>
      </c>
    </row>
    <row r="754" spans="1:25" ht="14.45" customHeight="1" x14ac:dyDescent="0.25">
      <c r="A754" s="437" t="s">
        <v>4678</v>
      </c>
      <c r="B754" s="438">
        <v>495</v>
      </c>
      <c r="C754" s="438"/>
      <c r="D754" s="439" t="s">
        <v>13</v>
      </c>
      <c r="E754" s="439" t="s">
        <v>4637</v>
      </c>
      <c r="F754" s="440">
        <v>45211</v>
      </c>
      <c r="G754" s="440"/>
      <c r="H754" s="439" t="s">
        <v>23</v>
      </c>
      <c r="I754" s="449"/>
      <c r="J754" s="450">
        <v>73</v>
      </c>
      <c r="K754" s="443">
        <v>1</v>
      </c>
      <c r="L754" s="444">
        <v>4.9157142857142855</v>
      </c>
      <c r="M754" s="463" t="s">
        <v>4663</v>
      </c>
      <c r="N754" s="463"/>
      <c r="O754" s="439" t="s">
        <v>4461</v>
      </c>
      <c r="P754" s="458">
        <v>444</v>
      </c>
      <c r="Q754" s="459">
        <v>74</v>
      </c>
      <c r="R754" s="458">
        <v>0.31</v>
      </c>
      <c r="S754" s="447">
        <v>1.2010000000000001</v>
      </c>
      <c r="T754" s="447">
        <v>137.63999999999999</v>
      </c>
      <c r="U754" s="447">
        <v>533.24400000000003</v>
      </c>
      <c r="V754" s="447">
        <v>17.89</v>
      </c>
      <c r="W754" s="447">
        <v>102.3</v>
      </c>
      <c r="X754" s="447">
        <v>330</v>
      </c>
      <c r="Y754" s="858">
        <v>45421.2</v>
      </c>
    </row>
    <row r="755" spans="1:25" ht="14.45" customHeight="1" x14ac:dyDescent="0.25">
      <c r="A755" s="722" t="s">
        <v>4678</v>
      </c>
      <c r="B755" s="723">
        <v>467</v>
      </c>
      <c r="C755" s="723"/>
      <c r="D755" s="724" t="s">
        <v>13</v>
      </c>
      <c r="E755" s="724" t="s">
        <v>3764</v>
      </c>
      <c r="F755" s="725">
        <v>45196</v>
      </c>
      <c r="G755" s="725"/>
      <c r="H755" s="724" t="s">
        <v>23</v>
      </c>
      <c r="I755" s="441"/>
      <c r="J755" s="442">
        <v>598</v>
      </c>
      <c r="K755" s="720">
        <v>16</v>
      </c>
      <c r="L755" s="744">
        <v>29.356985714285713</v>
      </c>
      <c r="M755" s="767" t="s">
        <v>4483</v>
      </c>
      <c r="N755" s="767"/>
      <c r="O755" s="728" t="s">
        <v>4275</v>
      </c>
      <c r="P755" s="721">
        <v>3100.7</v>
      </c>
      <c r="Q755" s="729">
        <v>614</v>
      </c>
      <c r="R755" s="721">
        <v>0.2651</v>
      </c>
      <c r="S755" s="721">
        <v>0.82099999999999995</v>
      </c>
      <c r="T755" s="721">
        <v>821.99559999999997</v>
      </c>
      <c r="U755" s="721">
        <v>2545.6747</v>
      </c>
      <c r="V755" s="721">
        <v>106.86</v>
      </c>
      <c r="W755" s="721">
        <v>90.93</v>
      </c>
      <c r="X755" s="721">
        <v>343</v>
      </c>
      <c r="Y755" s="857">
        <v>281944.48</v>
      </c>
    </row>
    <row r="756" spans="1:25" ht="14.45" customHeight="1" x14ac:dyDescent="0.25">
      <c r="A756" s="437" t="s">
        <v>4678</v>
      </c>
      <c r="B756" s="438">
        <v>467</v>
      </c>
      <c r="C756" s="438"/>
      <c r="D756" s="439" t="s">
        <v>13</v>
      </c>
      <c r="E756" s="439" t="s">
        <v>3764</v>
      </c>
      <c r="F756" s="440">
        <v>45196</v>
      </c>
      <c r="G756" s="440"/>
      <c r="H756" s="439" t="s">
        <v>23</v>
      </c>
      <c r="I756" s="449"/>
      <c r="J756" s="450"/>
      <c r="K756" s="443">
        <v>112</v>
      </c>
      <c r="L756" s="444">
        <v>4.7187785714285715</v>
      </c>
      <c r="M756" s="463" t="s">
        <v>4451</v>
      </c>
      <c r="N756" s="463"/>
      <c r="O756" s="445" t="s">
        <v>4276</v>
      </c>
      <c r="P756" s="447">
        <v>498.4</v>
      </c>
      <c r="Q756" s="451">
        <v>112</v>
      </c>
      <c r="R756" s="447">
        <v>0.2651</v>
      </c>
      <c r="S756" s="447">
        <v>0.82099999999999995</v>
      </c>
      <c r="T756" s="447">
        <v>132.1258</v>
      </c>
      <c r="U756" s="447">
        <v>409.18639999999999</v>
      </c>
      <c r="V756" s="447">
        <v>17.18</v>
      </c>
      <c r="W756" s="447">
        <v>90.93</v>
      </c>
      <c r="X756" s="447">
        <v>343</v>
      </c>
      <c r="Y756" s="858">
        <v>45319.16</v>
      </c>
    </row>
    <row r="757" spans="1:25" ht="14.45" customHeight="1" x14ac:dyDescent="0.25">
      <c r="A757" s="722" t="s">
        <v>4678</v>
      </c>
      <c r="B757" s="723" t="s">
        <v>3421</v>
      </c>
      <c r="C757" s="723" t="s">
        <v>4753</v>
      </c>
      <c r="D757" s="724" t="s">
        <v>13</v>
      </c>
      <c r="E757" s="724" t="s">
        <v>3775</v>
      </c>
      <c r="F757" s="725">
        <v>45189</v>
      </c>
      <c r="G757" s="725"/>
      <c r="H757" s="724" t="s">
        <v>23</v>
      </c>
      <c r="I757" s="441"/>
      <c r="J757" s="442"/>
      <c r="K757" s="720">
        <v>136</v>
      </c>
      <c r="L757" s="744">
        <v>0</v>
      </c>
      <c r="M757" s="767" t="s">
        <v>4493</v>
      </c>
      <c r="N757" s="767"/>
      <c r="O757" s="728" t="s">
        <v>3453</v>
      </c>
      <c r="P757" s="721" t="s">
        <v>4455</v>
      </c>
      <c r="Q757" s="729">
        <v>136</v>
      </c>
      <c r="R757" s="721"/>
      <c r="S757" s="721"/>
      <c r="T757" s="721"/>
      <c r="U757" s="721"/>
      <c r="V757" s="721"/>
      <c r="W757" s="721"/>
      <c r="X757" s="721"/>
      <c r="Y757" s="857" t="s">
        <v>4453</v>
      </c>
    </row>
    <row r="758" spans="1:25" ht="14.45" customHeight="1" x14ac:dyDescent="0.25">
      <c r="A758" s="437" t="s">
        <v>4678</v>
      </c>
      <c r="B758" s="438" t="s">
        <v>3421</v>
      </c>
      <c r="C758" s="438" t="s">
        <v>4753</v>
      </c>
      <c r="D758" s="439" t="s">
        <v>13</v>
      </c>
      <c r="E758" s="439" t="s">
        <v>3775</v>
      </c>
      <c r="F758" s="440">
        <v>45189</v>
      </c>
      <c r="G758" s="440"/>
      <c r="H758" s="439" t="s">
        <v>23</v>
      </c>
      <c r="I758" s="449"/>
      <c r="J758" s="450"/>
      <c r="K758" s="443">
        <v>137</v>
      </c>
      <c r="L758" s="444">
        <v>0</v>
      </c>
      <c r="M758" s="463" t="s">
        <v>4492</v>
      </c>
      <c r="N758" s="463"/>
      <c r="O758" s="445" t="s">
        <v>4452</v>
      </c>
      <c r="P758" s="447" t="s">
        <v>4456</v>
      </c>
      <c r="Q758" s="451">
        <v>137</v>
      </c>
      <c r="R758" s="447"/>
      <c r="S758" s="447"/>
      <c r="T758" s="447"/>
      <c r="U758" s="447"/>
      <c r="V758" s="447"/>
      <c r="W758" s="447"/>
      <c r="X758" s="447"/>
      <c r="Y758" s="858" t="s">
        <v>4454</v>
      </c>
    </row>
    <row r="759" spans="1:25" ht="14.45" customHeight="1" x14ac:dyDescent="0.25">
      <c r="A759" s="722" t="s">
        <v>4678</v>
      </c>
      <c r="B759" s="723" t="s">
        <v>2041</v>
      </c>
      <c r="C759" s="723" t="s">
        <v>4753</v>
      </c>
      <c r="D759" s="724" t="s">
        <v>13</v>
      </c>
      <c r="E759" s="723" t="s">
        <v>585</v>
      </c>
      <c r="F759" s="725">
        <v>45197</v>
      </c>
      <c r="G759" s="725"/>
      <c r="H759" s="724" t="s">
        <v>23</v>
      </c>
      <c r="I759" s="441"/>
      <c r="J759" s="442"/>
      <c r="K759" s="720" t="e">
        <v>#VALUE!</v>
      </c>
      <c r="L759" s="744">
        <v>0</v>
      </c>
      <c r="M759" s="767"/>
      <c r="N759" s="767"/>
      <c r="O759" s="728" t="s">
        <v>92</v>
      </c>
      <c r="P759" s="721"/>
      <c r="Q759" s="729" t="s">
        <v>36</v>
      </c>
      <c r="R759" s="721"/>
      <c r="S759" s="721"/>
      <c r="T759" s="721"/>
      <c r="U759" s="721"/>
      <c r="V759" s="721"/>
      <c r="W759" s="721"/>
      <c r="X759" s="721"/>
      <c r="Y759" s="857" t="s">
        <v>462</v>
      </c>
    </row>
    <row r="760" spans="1:25" ht="14.45" customHeight="1" x14ac:dyDescent="0.25">
      <c r="A760" s="437" t="s">
        <v>4678</v>
      </c>
      <c r="B760" s="438" t="s">
        <v>2041</v>
      </c>
      <c r="C760" s="438" t="s">
        <v>4753</v>
      </c>
      <c r="D760" s="439" t="s">
        <v>13</v>
      </c>
      <c r="E760" s="438" t="s">
        <v>585</v>
      </c>
      <c r="F760" s="440">
        <v>45197</v>
      </c>
      <c r="G760" s="440"/>
      <c r="H760" s="439" t="s">
        <v>23</v>
      </c>
      <c r="I760" s="449"/>
      <c r="J760" s="450"/>
      <c r="K760" s="443" t="e">
        <v>#VALUE!</v>
      </c>
      <c r="L760" s="444">
        <v>0</v>
      </c>
      <c r="M760" s="463"/>
      <c r="N760" s="463"/>
      <c r="O760" s="445" t="s">
        <v>94</v>
      </c>
      <c r="P760" s="447"/>
      <c r="Q760" s="451" t="s">
        <v>36</v>
      </c>
      <c r="R760" s="447"/>
      <c r="S760" s="447"/>
      <c r="T760" s="447"/>
      <c r="U760" s="447"/>
      <c r="V760" s="447"/>
      <c r="W760" s="447"/>
      <c r="X760" s="447"/>
      <c r="Y760" s="858" t="s">
        <v>462</v>
      </c>
    </row>
    <row r="761" spans="1:25" ht="14.45" customHeight="1" x14ac:dyDescent="0.25">
      <c r="A761" s="722" t="s">
        <v>4678</v>
      </c>
      <c r="B761" s="723" t="s">
        <v>2041</v>
      </c>
      <c r="C761" s="723" t="s">
        <v>4753</v>
      </c>
      <c r="D761" s="724" t="s">
        <v>13</v>
      </c>
      <c r="E761" s="723" t="s">
        <v>585</v>
      </c>
      <c r="F761" s="725">
        <v>45197</v>
      </c>
      <c r="G761" s="725"/>
      <c r="H761" s="724" t="s">
        <v>23</v>
      </c>
      <c r="I761" s="441"/>
      <c r="J761" s="442"/>
      <c r="K761" s="720" t="e">
        <v>#VALUE!</v>
      </c>
      <c r="L761" s="744">
        <v>0</v>
      </c>
      <c r="M761" s="767"/>
      <c r="N761" s="767"/>
      <c r="O761" s="728" t="s">
        <v>95</v>
      </c>
      <c r="P761" s="721"/>
      <c r="Q761" s="729" t="s">
        <v>54</v>
      </c>
      <c r="R761" s="721"/>
      <c r="S761" s="721"/>
      <c r="T761" s="721"/>
      <c r="U761" s="721"/>
      <c r="V761" s="721"/>
      <c r="W761" s="721"/>
      <c r="X761" s="721"/>
      <c r="Y761" s="857" t="s">
        <v>4120</v>
      </c>
    </row>
    <row r="762" spans="1:25" ht="14.45" customHeight="1" x14ac:dyDescent="0.25">
      <c r="A762" s="437" t="s">
        <v>4678</v>
      </c>
      <c r="B762" s="438" t="s">
        <v>2041</v>
      </c>
      <c r="C762" s="438" t="s">
        <v>4753</v>
      </c>
      <c r="D762" s="439" t="s">
        <v>13</v>
      </c>
      <c r="E762" s="438" t="s">
        <v>585</v>
      </c>
      <c r="F762" s="440">
        <v>45197</v>
      </c>
      <c r="G762" s="440"/>
      <c r="H762" s="439" t="s">
        <v>23</v>
      </c>
      <c r="I762" s="449"/>
      <c r="J762" s="450"/>
      <c r="K762" s="443" t="e">
        <v>#VALUE!</v>
      </c>
      <c r="L762" s="444">
        <v>0</v>
      </c>
      <c r="M762" s="463"/>
      <c r="N762" s="463"/>
      <c r="O762" s="445" t="s">
        <v>98</v>
      </c>
      <c r="P762" s="447"/>
      <c r="Q762" s="451" t="s">
        <v>54</v>
      </c>
      <c r="R762" s="447"/>
      <c r="S762" s="447"/>
      <c r="T762" s="447"/>
      <c r="U762" s="447"/>
      <c r="V762" s="447"/>
      <c r="W762" s="447"/>
      <c r="X762" s="447"/>
      <c r="Y762" s="858" t="s">
        <v>4120</v>
      </c>
    </row>
    <row r="763" spans="1:25" ht="14.45" customHeight="1" x14ac:dyDescent="0.25">
      <c r="A763" s="722" t="s">
        <v>4678</v>
      </c>
      <c r="B763" s="723" t="s">
        <v>2041</v>
      </c>
      <c r="C763" s="723" t="s">
        <v>4753</v>
      </c>
      <c r="D763" s="724" t="s">
        <v>13</v>
      </c>
      <c r="E763" s="723" t="s">
        <v>585</v>
      </c>
      <c r="F763" s="725">
        <v>45197</v>
      </c>
      <c r="G763" s="725"/>
      <c r="H763" s="724" t="s">
        <v>23</v>
      </c>
      <c r="I763" s="441"/>
      <c r="J763" s="442"/>
      <c r="K763" s="720" t="e">
        <v>#VALUE!</v>
      </c>
      <c r="L763" s="744">
        <v>0</v>
      </c>
      <c r="M763" s="767"/>
      <c r="N763" s="767"/>
      <c r="O763" s="728" t="s">
        <v>99</v>
      </c>
      <c r="P763" s="721"/>
      <c r="Q763" s="729" t="s">
        <v>53</v>
      </c>
      <c r="R763" s="721"/>
      <c r="S763" s="721"/>
      <c r="T763" s="721"/>
      <c r="U763" s="721"/>
      <c r="V763" s="721"/>
      <c r="W763" s="721"/>
      <c r="X763" s="721"/>
      <c r="Y763" s="857" t="s">
        <v>1145</v>
      </c>
    </row>
    <row r="764" spans="1:25" ht="14.45" customHeight="1" x14ac:dyDescent="0.25">
      <c r="A764" s="437" t="s">
        <v>4678</v>
      </c>
      <c r="B764" s="438" t="s">
        <v>2041</v>
      </c>
      <c r="C764" s="438" t="s">
        <v>4753</v>
      </c>
      <c r="D764" s="439" t="s">
        <v>13</v>
      </c>
      <c r="E764" s="438" t="s">
        <v>585</v>
      </c>
      <c r="F764" s="440">
        <v>45197</v>
      </c>
      <c r="G764" s="440"/>
      <c r="H764" s="439" t="s">
        <v>23</v>
      </c>
      <c r="I764" s="449"/>
      <c r="J764" s="450"/>
      <c r="K764" s="443" t="e">
        <v>#VALUE!</v>
      </c>
      <c r="L764" s="444">
        <v>0</v>
      </c>
      <c r="M764" s="463"/>
      <c r="N764" s="463"/>
      <c r="O764" s="445" t="s">
        <v>102</v>
      </c>
      <c r="P764" s="447"/>
      <c r="Q764" s="451" t="s">
        <v>53</v>
      </c>
      <c r="R764" s="447"/>
      <c r="S764" s="447"/>
      <c r="T764" s="447"/>
      <c r="U764" s="447"/>
      <c r="V764" s="447"/>
      <c r="W764" s="447"/>
      <c r="X764" s="447"/>
      <c r="Y764" s="858" t="s">
        <v>1145</v>
      </c>
    </row>
    <row r="765" spans="1:25" ht="14.45" customHeight="1" x14ac:dyDescent="0.25">
      <c r="A765" s="722" t="s">
        <v>4678</v>
      </c>
      <c r="B765" s="723" t="s">
        <v>4457</v>
      </c>
      <c r="C765" s="723" t="s">
        <v>4753</v>
      </c>
      <c r="D765" s="724" t="s">
        <v>13</v>
      </c>
      <c r="E765" s="723" t="s">
        <v>585</v>
      </c>
      <c r="F765" s="725">
        <v>45197</v>
      </c>
      <c r="G765" s="725"/>
      <c r="H765" s="724" t="s">
        <v>23</v>
      </c>
      <c r="I765" s="441"/>
      <c r="J765" s="442"/>
      <c r="K765" s="720" t="e">
        <v>#VALUE!</v>
      </c>
      <c r="L765" s="744">
        <v>0</v>
      </c>
      <c r="M765" s="767"/>
      <c r="N765" s="767"/>
      <c r="O765" s="728" t="s">
        <v>710</v>
      </c>
      <c r="P765" s="721"/>
      <c r="Q765" s="729" t="s">
        <v>446</v>
      </c>
      <c r="R765" s="721"/>
      <c r="S765" s="721"/>
      <c r="T765" s="721"/>
      <c r="U765" s="721"/>
      <c r="V765" s="721"/>
      <c r="W765" s="721"/>
      <c r="X765" s="721"/>
      <c r="Y765" s="857" t="s">
        <v>1260</v>
      </c>
    </row>
    <row r="766" spans="1:25" ht="14.45" customHeight="1" x14ac:dyDescent="0.25">
      <c r="A766" s="437" t="s">
        <v>4678</v>
      </c>
      <c r="B766" s="438" t="s">
        <v>4457</v>
      </c>
      <c r="C766" s="438" t="s">
        <v>4753</v>
      </c>
      <c r="D766" s="439" t="s">
        <v>13</v>
      </c>
      <c r="E766" s="438" t="s">
        <v>585</v>
      </c>
      <c r="F766" s="440">
        <v>45197</v>
      </c>
      <c r="G766" s="440"/>
      <c r="H766" s="439" t="s">
        <v>23</v>
      </c>
      <c r="I766" s="449"/>
      <c r="J766" s="450"/>
      <c r="K766" s="443" t="e">
        <v>#VALUE!</v>
      </c>
      <c r="L766" s="444">
        <v>0</v>
      </c>
      <c r="M766" s="463"/>
      <c r="N766" s="463"/>
      <c r="O766" s="445" t="s">
        <v>711</v>
      </c>
      <c r="P766" s="447"/>
      <c r="Q766" s="451" t="s">
        <v>446</v>
      </c>
      <c r="R766" s="447"/>
      <c r="S766" s="447"/>
      <c r="T766" s="447"/>
      <c r="U766" s="447"/>
      <c r="V766" s="447"/>
      <c r="W766" s="447"/>
      <c r="X766" s="447"/>
      <c r="Y766" s="858" t="s">
        <v>1260</v>
      </c>
    </row>
    <row r="767" spans="1:25" ht="14.45" customHeight="1" x14ac:dyDescent="0.25">
      <c r="A767" s="722" t="s">
        <v>4678</v>
      </c>
      <c r="B767" s="723" t="s">
        <v>4457</v>
      </c>
      <c r="C767" s="723" t="s">
        <v>4753</v>
      </c>
      <c r="D767" s="724" t="s">
        <v>13</v>
      </c>
      <c r="E767" s="723" t="s">
        <v>585</v>
      </c>
      <c r="F767" s="725">
        <v>45197</v>
      </c>
      <c r="G767" s="725"/>
      <c r="H767" s="724" t="s">
        <v>23</v>
      </c>
      <c r="I767" s="441"/>
      <c r="J767" s="442"/>
      <c r="K767" s="720" t="e">
        <v>#VALUE!</v>
      </c>
      <c r="L767" s="744">
        <v>0</v>
      </c>
      <c r="M767" s="767"/>
      <c r="N767" s="767"/>
      <c r="O767" s="728" t="s">
        <v>712</v>
      </c>
      <c r="P767" s="721"/>
      <c r="Q767" s="729" t="s">
        <v>96</v>
      </c>
      <c r="R767" s="721"/>
      <c r="S767" s="721"/>
      <c r="T767" s="721"/>
      <c r="U767" s="721"/>
      <c r="V767" s="721"/>
      <c r="W767" s="721"/>
      <c r="X767" s="721"/>
      <c r="Y767" s="857" t="s">
        <v>419</v>
      </c>
    </row>
    <row r="768" spans="1:25" ht="14.45" customHeight="1" x14ac:dyDescent="0.25">
      <c r="A768" s="437" t="s">
        <v>4678</v>
      </c>
      <c r="B768" s="438" t="s">
        <v>4457</v>
      </c>
      <c r="C768" s="438" t="s">
        <v>4753</v>
      </c>
      <c r="D768" s="439" t="s">
        <v>13</v>
      </c>
      <c r="E768" s="438" t="s">
        <v>585</v>
      </c>
      <c r="F768" s="440">
        <v>45197</v>
      </c>
      <c r="G768" s="440"/>
      <c r="H768" s="439" t="s">
        <v>23</v>
      </c>
      <c r="I768" s="449"/>
      <c r="J768" s="450"/>
      <c r="K768" s="443" t="e">
        <v>#VALUE!</v>
      </c>
      <c r="L768" s="444">
        <v>0</v>
      </c>
      <c r="M768" s="463"/>
      <c r="N768" s="463"/>
      <c r="O768" s="445" t="s">
        <v>713</v>
      </c>
      <c r="P768" s="447"/>
      <c r="Q768" s="451" t="s">
        <v>361</v>
      </c>
      <c r="R768" s="447"/>
      <c r="S768" s="447"/>
      <c r="T768" s="447"/>
      <c r="U768" s="447"/>
      <c r="V768" s="447"/>
      <c r="W768" s="447"/>
      <c r="X768" s="447"/>
      <c r="Y768" s="858" t="s">
        <v>4458</v>
      </c>
    </row>
    <row r="769" spans="1:25" ht="14.45" customHeight="1" x14ac:dyDescent="0.25">
      <c r="A769" s="722" t="s">
        <v>4678</v>
      </c>
      <c r="B769" s="723" t="s">
        <v>4457</v>
      </c>
      <c r="C769" s="723" t="s">
        <v>4753</v>
      </c>
      <c r="D769" s="724" t="s">
        <v>13</v>
      </c>
      <c r="E769" s="723" t="s">
        <v>585</v>
      </c>
      <c r="F769" s="725">
        <v>45197</v>
      </c>
      <c r="G769" s="725"/>
      <c r="H769" s="724" t="s">
        <v>23</v>
      </c>
      <c r="I769" s="441"/>
      <c r="J769" s="442"/>
      <c r="K769" s="720" t="e">
        <v>#VALUE!</v>
      </c>
      <c r="L769" s="744">
        <v>0</v>
      </c>
      <c r="M769" s="767"/>
      <c r="N769" s="767"/>
      <c r="O769" s="728" t="s">
        <v>715</v>
      </c>
      <c r="P769" s="721"/>
      <c r="Q769" s="729" t="s">
        <v>361</v>
      </c>
      <c r="R769" s="721"/>
      <c r="S769" s="721"/>
      <c r="T769" s="721"/>
      <c r="U769" s="721"/>
      <c r="V769" s="721"/>
      <c r="W769" s="721"/>
      <c r="X769" s="721"/>
      <c r="Y769" s="857" t="s">
        <v>4458</v>
      </c>
    </row>
    <row r="770" spans="1:25" ht="14.45" customHeight="1" x14ac:dyDescent="0.25">
      <c r="A770" s="437" t="s">
        <v>4678</v>
      </c>
      <c r="B770" s="438" t="s">
        <v>4457</v>
      </c>
      <c r="C770" s="438" t="s">
        <v>4753</v>
      </c>
      <c r="D770" s="439" t="s">
        <v>13</v>
      </c>
      <c r="E770" s="438" t="s">
        <v>585</v>
      </c>
      <c r="F770" s="440">
        <v>45197</v>
      </c>
      <c r="G770" s="440"/>
      <c r="H770" s="439" t="s">
        <v>23</v>
      </c>
      <c r="I770" s="449"/>
      <c r="J770" s="450"/>
      <c r="K770" s="443" t="e">
        <v>#VALUE!</v>
      </c>
      <c r="L770" s="444">
        <v>0</v>
      </c>
      <c r="M770" s="463"/>
      <c r="N770" s="463"/>
      <c r="O770" s="445" t="s">
        <v>718</v>
      </c>
      <c r="P770" s="447"/>
      <c r="Q770" s="451" t="s">
        <v>446</v>
      </c>
      <c r="R770" s="447"/>
      <c r="S770" s="447"/>
      <c r="T770" s="447"/>
      <c r="U770" s="447"/>
      <c r="V770" s="447"/>
      <c r="W770" s="447"/>
      <c r="X770" s="447"/>
      <c r="Y770" s="858" t="s">
        <v>3342</v>
      </c>
    </row>
    <row r="771" spans="1:25" ht="14.45" customHeight="1" x14ac:dyDescent="0.25">
      <c r="A771" s="722" t="s">
        <v>4678</v>
      </c>
      <c r="B771" s="723" t="s">
        <v>4457</v>
      </c>
      <c r="C771" s="723" t="s">
        <v>4753</v>
      </c>
      <c r="D771" s="724" t="s">
        <v>13</v>
      </c>
      <c r="E771" s="723" t="s">
        <v>585</v>
      </c>
      <c r="F771" s="725">
        <v>45197</v>
      </c>
      <c r="G771" s="725"/>
      <c r="H771" s="724" t="s">
        <v>23</v>
      </c>
      <c r="I771" s="441"/>
      <c r="J771" s="442"/>
      <c r="K771" s="720" t="e">
        <v>#VALUE!</v>
      </c>
      <c r="L771" s="744">
        <v>0</v>
      </c>
      <c r="M771" s="767"/>
      <c r="N771" s="767"/>
      <c r="O771" s="728" t="s">
        <v>719</v>
      </c>
      <c r="P771" s="721"/>
      <c r="Q771" s="729" t="s">
        <v>361</v>
      </c>
      <c r="R771" s="721"/>
      <c r="S771" s="721"/>
      <c r="T771" s="721"/>
      <c r="U771" s="721"/>
      <c r="V771" s="721"/>
      <c r="W771" s="721"/>
      <c r="X771" s="721"/>
      <c r="Y771" s="857" t="s">
        <v>1145</v>
      </c>
    </row>
    <row r="772" spans="1:25" ht="14.45" customHeight="1" x14ac:dyDescent="0.25">
      <c r="A772" s="437" t="s">
        <v>4678</v>
      </c>
      <c r="B772" s="438">
        <v>472</v>
      </c>
      <c r="C772" s="438"/>
      <c r="D772" s="439" t="s">
        <v>13</v>
      </c>
      <c r="E772" s="439" t="s">
        <v>3863</v>
      </c>
      <c r="F772" s="440">
        <v>45202</v>
      </c>
      <c r="G772" s="440"/>
      <c r="H772" s="439" t="s">
        <v>23</v>
      </c>
      <c r="I772" s="441"/>
      <c r="J772" s="442"/>
      <c r="K772" s="443">
        <v>60</v>
      </c>
      <c r="L772" s="444">
        <v>1.8578571428571429</v>
      </c>
      <c r="M772" s="463"/>
      <c r="N772" s="463"/>
      <c r="O772" s="445" t="s">
        <v>117</v>
      </c>
      <c r="P772" s="447">
        <v>300</v>
      </c>
      <c r="Q772" s="451">
        <v>60</v>
      </c>
      <c r="R772" s="447">
        <v>0.1734</v>
      </c>
      <c r="S772" s="447">
        <v>0.35099999999999998</v>
      </c>
      <c r="T772" s="447">
        <v>52.02</v>
      </c>
      <c r="U772" s="447">
        <v>105.3</v>
      </c>
      <c r="V772" s="447">
        <v>6.76</v>
      </c>
      <c r="W772" s="447">
        <v>67.010000000000005</v>
      </c>
      <c r="X772" s="447">
        <v>365</v>
      </c>
      <c r="Y772" s="858">
        <v>20103</v>
      </c>
    </row>
    <row r="773" spans="1:25" ht="14.45" customHeight="1" x14ac:dyDescent="0.25">
      <c r="A773" s="722" t="s">
        <v>4678</v>
      </c>
      <c r="B773" s="723">
        <v>507</v>
      </c>
      <c r="C773" s="723"/>
      <c r="D773" s="724" t="s">
        <v>13</v>
      </c>
      <c r="E773" s="724" t="s">
        <v>3925</v>
      </c>
      <c r="F773" s="725">
        <v>45215</v>
      </c>
      <c r="G773" s="725"/>
      <c r="H773" s="724" t="s">
        <v>23</v>
      </c>
      <c r="I773" s="441"/>
      <c r="J773" s="442">
        <v>129</v>
      </c>
      <c r="K773" s="720">
        <v>0</v>
      </c>
      <c r="L773" s="744">
        <v>0</v>
      </c>
      <c r="M773" s="487"/>
      <c r="N773" s="721">
        <v>6</v>
      </c>
      <c r="O773" s="724" t="s">
        <v>4486</v>
      </c>
      <c r="P773" s="721">
        <v>774</v>
      </c>
      <c r="Q773" s="729">
        <v>129</v>
      </c>
      <c r="R773" s="721">
        <v>0.29759999999999998</v>
      </c>
      <c r="S773" s="721">
        <v>0.67600000000000005</v>
      </c>
      <c r="T773" s="721">
        <v>230.3424</v>
      </c>
      <c r="U773" s="721">
        <v>523.22400000000005</v>
      </c>
      <c r="V773" s="721">
        <v>29.94</v>
      </c>
      <c r="W773" s="721">
        <v>101.43</v>
      </c>
      <c r="X773" s="721">
        <v>300</v>
      </c>
      <c r="Y773" s="857">
        <v>78506.820000000007</v>
      </c>
    </row>
    <row r="774" spans="1:25" ht="14.45" customHeight="1" x14ac:dyDescent="0.25">
      <c r="A774" s="437" t="s">
        <v>4678</v>
      </c>
      <c r="B774" s="467">
        <v>505</v>
      </c>
      <c r="C774" s="467"/>
      <c r="D774" s="468" t="s">
        <v>13</v>
      </c>
      <c r="E774" s="468" t="s">
        <v>672</v>
      </c>
      <c r="F774" s="469">
        <v>45215</v>
      </c>
      <c r="G774" s="469"/>
      <c r="H774" s="468" t="s">
        <v>23</v>
      </c>
      <c r="I774" s="456"/>
      <c r="J774" s="457">
        <v>22</v>
      </c>
      <c r="K774" s="443">
        <v>154</v>
      </c>
      <c r="L774" s="444">
        <v>6.2354285714285718</v>
      </c>
      <c r="M774" s="488"/>
      <c r="N774" s="488"/>
      <c r="O774" s="468" t="s">
        <v>4459</v>
      </c>
      <c r="P774" s="489">
        <v>563.20000000000005</v>
      </c>
      <c r="Q774" s="490">
        <v>176</v>
      </c>
      <c r="R774" s="489">
        <v>0.31</v>
      </c>
      <c r="S774" s="489">
        <v>1.2010000000000001</v>
      </c>
      <c r="T774" s="489">
        <v>174.59200000000001</v>
      </c>
      <c r="U774" s="489">
        <v>676.40319999999997</v>
      </c>
      <c r="V774" s="489">
        <v>22.7</v>
      </c>
      <c r="W774" s="489">
        <v>102.3</v>
      </c>
      <c r="X774" s="489">
        <v>330</v>
      </c>
      <c r="Y774" s="873">
        <v>57615.360000000001</v>
      </c>
    </row>
    <row r="775" spans="1:25" ht="14.45" customHeight="1" x14ac:dyDescent="0.25">
      <c r="A775" s="722" t="s">
        <v>4678</v>
      </c>
      <c r="B775" s="723">
        <v>476</v>
      </c>
      <c r="C775" s="723"/>
      <c r="D775" s="724" t="s">
        <v>34</v>
      </c>
      <c r="E775" s="724" t="s">
        <v>3404</v>
      </c>
      <c r="F775" s="725">
        <v>45202</v>
      </c>
      <c r="G775" s="725"/>
      <c r="H775" s="724" t="s">
        <v>23</v>
      </c>
      <c r="I775" s="441"/>
      <c r="J775" s="442"/>
      <c r="K775" s="720">
        <v>57</v>
      </c>
      <c r="L775" s="744">
        <v>3.0743357142857142</v>
      </c>
      <c r="M775" s="767"/>
      <c r="N775" s="767"/>
      <c r="O775" s="728" t="s">
        <v>4378</v>
      </c>
      <c r="P775" s="721">
        <v>342</v>
      </c>
      <c r="Q775" s="729">
        <v>57</v>
      </c>
      <c r="R775" s="721">
        <v>0.25169999999999998</v>
      </c>
      <c r="S775" s="721">
        <v>0.56699999999999995</v>
      </c>
      <c r="T775" s="721">
        <v>86.081400000000002</v>
      </c>
      <c r="U775" s="721">
        <v>193.91399999999999</v>
      </c>
      <c r="V775" s="721">
        <v>11.19</v>
      </c>
      <c r="W775" s="721">
        <v>72.989999999999995</v>
      </c>
      <c r="X775" s="721">
        <v>290</v>
      </c>
      <c r="Y775" s="857">
        <v>24963.61</v>
      </c>
    </row>
    <row r="776" spans="1:25" ht="14.45" customHeight="1" x14ac:dyDescent="0.25">
      <c r="A776" s="437" t="s">
        <v>4678</v>
      </c>
      <c r="B776" s="438">
        <v>469</v>
      </c>
      <c r="C776" s="438"/>
      <c r="D776" s="439" t="s">
        <v>13</v>
      </c>
      <c r="E776" s="439" t="s">
        <v>672</v>
      </c>
      <c r="F776" s="440">
        <v>45202</v>
      </c>
      <c r="G776" s="440"/>
      <c r="H776" s="439" t="s">
        <v>23</v>
      </c>
      <c r="I776" s="441"/>
      <c r="J776" s="442">
        <v>155</v>
      </c>
      <c r="K776" s="443">
        <v>1</v>
      </c>
      <c r="L776" s="444">
        <v>5.5268571428571436</v>
      </c>
      <c r="M776" s="463" t="s">
        <v>4621</v>
      </c>
      <c r="N776" s="463"/>
      <c r="O776" s="445" t="s">
        <v>4459</v>
      </c>
      <c r="P776" s="447">
        <v>499.2</v>
      </c>
      <c r="Q776" s="451">
        <v>156</v>
      </c>
      <c r="R776" s="447">
        <v>0.31</v>
      </c>
      <c r="S776" s="447">
        <v>1.2010000000000001</v>
      </c>
      <c r="T776" s="447">
        <v>154.75200000000001</v>
      </c>
      <c r="U776" s="447">
        <v>599.53920000000005</v>
      </c>
      <c r="V776" s="447">
        <v>20.12</v>
      </c>
      <c r="W776" s="447">
        <v>102.3</v>
      </c>
      <c r="X776" s="447">
        <v>330</v>
      </c>
      <c r="Y776" s="858">
        <v>51068.160000000003</v>
      </c>
    </row>
    <row r="777" spans="1:25" ht="14.45" customHeight="1" x14ac:dyDescent="0.25">
      <c r="A777" s="722" t="s">
        <v>4678</v>
      </c>
      <c r="B777" s="723">
        <v>469</v>
      </c>
      <c r="C777" s="723"/>
      <c r="D777" s="724" t="s">
        <v>13</v>
      </c>
      <c r="E777" s="724" t="s">
        <v>672</v>
      </c>
      <c r="F777" s="725">
        <v>45202</v>
      </c>
      <c r="G777" s="725"/>
      <c r="H777" s="724" t="s">
        <v>23</v>
      </c>
      <c r="I777" s="441"/>
      <c r="J777" s="442"/>
      <c r="K777" s="720">
        <v>192</v>
      </c>
      <c r="L777" s="744">
        <v>8.5028571428571436</v>
      </c>
      <c r="M777" s="767"/>
      <c r="N777" s="767"/>
      <c r="O777" s="728" t="s">
        <v>4460</v>
      </c>
      <c r="P777" s="721">
        <v>768</v>
      </c>
      <c r="Q777" s="729">
        <v>192</v>
      </c>
      <c r="R777" s="721">
        <v>0.31</v>
      </c>
      <c r="S777" s="721">
        <v>1.2010000000000001</v>
      </c>
      <c r="T777" s="721">
        <v>238.08</v>
      </c>
      <c r="U777" s="721">
        <v>922.36800000000005</v>
      </c>
      <c r="V777" s="721">
        <v>30.95</v>
      </c>
      <c r="W777" s="721">
        <v>102.3</v>
      </c>
      <c r="X777" s="721">
        <v>330</v>
      </c>
      <c r="Y777" s="857">
        <v>78566.399999999994</v>
      </c>
    </row>
    <row r="778" spans="1:25" ht="14.45" customHeight="1" x14ac:dyDescent="0.25">
      <c r="A778" s="437" t="s">
        <v>4678</v>
      </c>
      <c r="B778" s="438">
        <v>469</v>
      </c>
      <c r="C778" s="438"/>
      <c r="D778" s="439" t="s">
        <v>13</v>
      </c>
      <c r="E778" s="439" t="s">
        <v>672</v>
      </c>
      <c r="F778" s="440">
        <v>45202</v>
      </c>
      <c r="G778" s="440"/>
      <c r="H778" s="439" t="s">
        <v>23</v>
      </c>
      <c r="I778" s="441"/>
      <c r="J778" s="442">
        <v>285</v>
      </c>
      <c r="K778" s="443">
        <v>1</v>
      </c>
      <c r="L778" s="444">
        <v>18.998571428571431</v>
      </c>
      <c r="M778" s="463" t="s">
        <v>4622</v>
      </c>
      <c r="N778" s="463"/>
      <c r="O778" s="445" t="s">
        <v>4461</v>
      </c>
      <c r="P778" s="447">
        <v>1716</v>
      </c>
      <c r="Q778" s="451">
        <v>286</v>
      </c>
      <c r="R778" s="447">
        <v>0.31</v>
      </c>
      <c r="S778" s="447">
        <v>1.2010000000000001</v>
      </c>
      <c r="T778" s="447">
        <v>531.96</v>
      </c>
      <c r="U778" s="447">
        <v>2060.9160000000002</v>
      </c>
      <c r="V778" s="447">
        <v>69.150000000000006</v>
      </c>
      <c r="W778" s="447">
        <v>102.3</v>
      </c>
      <c r="X778" s="447">
        <v>330</v>
      </c>
      <c r="Y778" s="858">
        <v>175546.8</v>
      </c>
    </row>
    <row r="779" spans="1:25" ht="14.45" customHeight="1" x14ac:dyDescent="0.25">
      <c r="A779" s="722" t="s">
        <v>4678</v>
      </c>
      <c r="B779" s="467">
        <v>505</v>
      </c>
      <c r="C779" s="467"/>
      <c r="D779" s="468" t="s">
        <v>13</v>
      </c>
      <c r="E779" s="468" t="s">
        <v>672</v>
      </c>
      <c r="F779" s="469">
        <v>45215</v>
      </c>
      <c r="G779" s="469"/>
      <c r="H779" s="468" t="s">
        <v>23</v>
      </c>
      <c r="I779" s="441"/>
      <c r="J779" s="442"/>
      <c r="K779" s="720">
        <v>308</v>
      </c>
      <c r="L779" s="744">
        <v>13.64</v>
      </c>
      <c r="M779" s="487"/>
      <c r="N779" s="487"/>
      <c r="O779" s="237" t="s">
        <v>4460</v>
      </c>
      <c r="P779" s="470">
        <v>1232</v>
      </c>
      <c r="Q779" s="471">
        <v>308</v>
      </c>
      <c r="R779" s="470">
        <v>0.31</v>
      </c>
      <c r="S779" s="470">
        <v>1.2010000000000001</v>
      </c>
      <c r="T779" s="470">
        <v>381.92</v>
      </c>
      <c r="U779" s="470">
        <v>1479.6320000000001</v>
      </c>
      <c r="V779" s="470">
        <v>49.65</v>
      </c>
      <c r="W779" s="470">
        <v>102.3</v>
      </c>
      <c r="X779" s="470">
        <v>330</v>
      </c>
      <c r="Y779" s="861">
        <v>126033.60000000001</v>
      </c>
    </row>
    <row r="780" spans="1:25" ht="14.45" customHeight="1" x14ac:dyDescent="0.25">
      <c r="A780" s="437" t="s">
        <v>4678</v>
      </c>
      <c r="B780" s="438" t="s">
        <v>3496</v>
      </c>
      <c r="C780" s="438" t="s">
        <v>4753</v>
      </c>
      <c r="D780" s="439" t="s">
        <v>13</v>
      </c>
      <c r="E780" s="439" t="s">
        <v>3765</v>
      </c>
      <c r="F780" s="440">
        <v>45203</v>
      </c>
      <c r="G780" s="440"/>
      <c r="H780" s="439" t="s">
        <v>23</v>
      </c>
      <c r="I780" s="441"/>
      <c r="J780" s="442"/>
      <c r="K780" s="443">
        <v>12</v>
      </c>
      <c r="L780" s="444">
        <v>0</v>
      </c>
      <c r="M780" s="463"/>
      <c r="N780" s="463"/>
      <c r="O780" s="445" t="s">
        <v>4465</v>
      </c>
      <c r="P780" s="447"/>
      <c r="Q780" s="451">
        <v>12</v>
      </c>
      <c r="R780" s="447"/>
      <c r="S780" s="447"/>
      <c r="T780" s="447"/>
      <c r="U780" s="447"/>
      <c r="V780" s="447"/>
      <c r="W780" s="447"/>
      <c r="X780" s="447"/>
      <c r="Y780" s="858" t="s">
        <v>3853</v>
      </c>
    </row>
    <row r="781" spans="1:25" ht="14.45" customHeight="1" x14ac:dyDescent="0.25">
      <c r="A781" s="722" t="s">
        <v>4678</v>
      </c>
      <c r="B781" s="723">
        <v>480</v>
      </c>
      <c r="C781" s="723"/>
      <c r="D781" s="724" t="s">
        <v>13</v>
      </c>
      <c r="E781" s="724" t="s">
        <v>3863</v>
      </c>
      <c r="F781" s="725">
        <v>45203</v>
      </c>
      <c r="G781" s="725"/>
      <c r="H781" s="724" t="s">
        <v>23</v>
      </c>
      <c r="I781" s="441"/>
      <c r="J781" s="442"/>
      <c r="K781" s="720">
        <v>30</v>
      </c>
      <c r="L781" s="744">
        <v>0.97875000000000001</v>
      </c>
      <c r="M781" s="767"/>
      <c r="N781" s="767"/>
      <c r="O781" s="728" t="s">
        <v>119</v>
      </c>
      <c r="P781" s="721">
        <v>150</v>
      </c>
      <c r="Q781" s="729">
        <v>30</v>
      </c>
      <c r="R781" s="721">
        <v>0.1827</v>
      </c>
      <c r="S781" s="721">
        <v>0.36899999999999999</v>
      </c>
      <c r="T781" s="721">
        <v>27.405000000000001</v>
      </c>
      <c r="U781" s="721">
        <v>55.35</v>
      </c>
      <c r="V781" s="721">
        <v>3.56</v>
      </c>
      <c r="W781" s="721">
        <v>66.69</v>
      </c>
      <c r="X781" s="721">
        <v>365</v>
      </c>
      <c r="Y781" s="857">
        <v>10002.83</v>
      </c>
    </row>
    <row r="782" spans="1:25" ht="14.45" customHeight="1" x14ac:dyDescent="0.25">
      <c r="A782" s="437" t="s">
        <v>4678</v>
      </c>
      <c r="B782" s="438">
        <v>480</v>
      </c>
      <c r="C782" s="438"/>
      <c r="D782" s="439" t="s">
        <v>13</v>
      </c>
      <c r="E782" s="439" t="s">
        <v>3863</v>
      </c>
      <c r="F782" s="440">
        <v>45203</v>
      </c>
      <c r="G782" s="440"/>
      <c r="H782" s="439" t="s">
        <v>23</v>
      </c>
      <c r="I782" s="441"/>
      <c r="J782" s="442"/>
      <c r="K782" s="443">
        <v>21</v>
      </c>
      <c r="L782" s="444">
        <v>1.019625</v>
      </c>
      <c r="M782" s="463"/>
      <c r="N782" s="463"/>
      <c r="O782" s="445" t="s">
        <v>151</v>
      </c>
      <c r="P782" s="447">
        <v>105</v>
      </c>
      <c r="Q782" s="451">
        <v>21</v>
      </c>
      <c r="R782" s="447">
        <v>0.27189999999999998</v>
      </c>
      <c r="S782" s="447">
        <v>0.50600000000000001</v>
      </c>
      <c r="T782" s="447">
        <v>28.549499999999998</v>
      </c>
      <c r="U782" s="447">
        <v>53.13</v>
      </c>
      <c r="V782" s="447">
        <v>3.71</v>
      </c>
      <c r="W782" s="447">
        <v>99.24</v>
      </c>
      <c r="X782" s="447">
        <v>365</v>
      </c>
      <c r="Y782" s="858">
        <v>10420.57</v>
      </c>
    </row>
    <row r="783" spans="1:25" ht="14.45" customHeight="1" x14ac:dyDescent="0.25">
      <c r="A783" s="722" t="s">
        <v>4678</v>
      </c>
      <c r="B783" s="723" t="s">
        <v>4466</v>
      </c>
      <c r="C783" s="723" t="s">
        <v>4753</v>
      </c>
      <c r="D783" s="724" t="s">
        <v>34</v>
      </c>
      <c r="E783" s="724" t="s">
        <v>4467</v>
      </c>
      <c r="F783" s="725">
        <v>45204</v>
      </c>
      <c r="G783" s="725"/>
      <c r="H783" s="724" t="s">
        <v>23</v>
      </c>
      <c r="I783" s="441"/>
      <c r="J783" s="442"/>
      <c r="K783" s="720">
        <v>0</v>
      </c>
      <c r="L783" s="744">
        <v>0</v>
      </c>
      <c r="M783" s="767"/>
      <c r="N783" s="767"/>
      <c r="O783" s="728"/>
      <c r="P783" s="721"/>
      <c r="Q783" s="729"/>
      <c r="R783" s="721"/>
      <c r="S783" s="721"/>
      <c r="T783" s="721"/>
      <c r="U783" s="721"/>
      <c r="V783" s="721"/>
      <c r="W783" s="721"/>
      <c r="X783" s="721"/>
      <c r="Y783" s="857"/>
    </row>
    <row r="784" spans="1:25" ht="14.45" customHeight="1" x14ac:dyDescent="0.25">
      <c r="A784" s="437" t="s">
        <v>4678</v>
      </c>
      <c r="B784" s="438">
        <v>505</v>
      </c>
      <c r="C784" s="438"/>
      <c r="D784" s="439" t="s">
        <v>13</v>
      </c>
      <c r="E784" s="439" t="s">
        <v>4655</v>
      </c>
      <c r="F784" s="440">
        <v>45215</v>
      </c>
      <c r="G784" s="440"/>
      <c r="H784" s="439" t="s">
        <v>23</v>
      </c>
      <c r="I784" s="441">
        <v>14</v>
      </c>
      <c r="J784" s="442">
        <v>34</v>
      </c>
      <c r="K784" s="443">
        <v>0</v>
      </c>
      <c r="L784" s="444">
        <v>4.8908571428571426</v>
      </c>
      <c r="M784" s="463"/>
      <c r="N784" s="463"/>
      <c r="O784" s="445" t="s">
        <v>4484</v>
      </c>
      <c r="P784" s="447">
        <v>288</v>
      </c>
      <c r="Q784" s="451">
        <v>48</v>
      </c>
      <c r="R784" s="447">
        <v>0.47549999999999998</v>
      </c>
      <c r="S784" s="447">
        <v>1.486</v>
      </c>
      <c r="T784" s="447">
        <v>136.94399999999999</v>
      </c>
      <c r="U784" s="447">
        <v>427.96800000000002</v>
      </c>
      <c r="V784" s="447">
        <v>17.8</v>
      </c>
      <c r="W784" s="447">
        <v>142.65</v>
      </c>
      <c r="X784" s="447">
        <v>300</v>
      </c>
      <c r="Y784" s="858">
        <v>41083.199999999997</v>
      </c>
    </row>
    <row r="785" spans="1:25" ht="14.45" customHeight="1" x14ac:dyDescent="0.25">
      <c r="A785" s="722" t="s">
        <v>4678</v>
      </c>
      <c r="B785" s="723">
        <v>482</v>
      </c>
      <c r="C785" s="723"/>
      <c r="D785" s="724" t="s">
        <v>13</v>
      </c>
      <c r="E785" s="724" t="s">
        <v>3925</v>
      </c>
      <c r="F785" s="725">
        <v>45208</v>
      </c>
      <c r="G785" s="725"/>
      <c r="H785" s="724" t="s">
        <v>677</v>
      </c>
      <c r="I785" s="441"/>
      <c r="J785" s="491">
        <v>27</v>
      </c>
      <c r="K785" s="720">
        <v>33</v>
      </c>
      <c r="L785" s="744">
        <v>5.4257142857142853</v>
      </c>
      <c r="M785" s="767"/>
      <c r="N785" s="767"/>
      <c r="O785" s="728" t="s">
        <v>4471</v>
      </c>
      <c r="P785" s="721">
        <v>360</v>
      </c>
      <c r="Q785" s="729">
        <v>60</v>
      </c>
      <c r="R785" s="721">
        <v>0.42199999999999999</v>
      </c>
      <c r="S785" s="721">
        <v>1.389</v>
      </c>
      <c r="T785" s="721">
        <v>151.91999999999999</v>
      </c>
      <c r="U785" s="721">
        <v>500.04</v>
      </c>
      <c r="V785" s="721">
        <v>19.75</v>
      </c>
      <c r="W785" s="721">
        <v>126.6</v>
      </c>
      <c r="X785" s="721">
        <v>300</v>
      </c>
      <c r="Y785" s="857">
        <v>45576</v>
      </c>
    </row>
    <row r="786" spans="1:25" ht="14.45" customHeight="1" x14ac:dyDescent="0.25">
      <c r="A786" s="437" t="s">
        <v>4678</v>
      </c>
      <c r="B786" s="438">
        <v>485</v>
      </c>
      <c r="C786" s="438"/>
      <c r="D786" s="439" t="s">
        <v>13</v>
      </c>
      <c r="E786" s="439" t="s">
        <v>4180</v>
      </c>
      <c r="F786" s="440">
        <v>45208</v>
      </c>
      <c r="G786" s="440"/>
      <c r="H786" s="439" t="s">
        <v>23</v>
      </c>
      <c r="I786" s="449"/>
      <c r="J786" s="450"/>
      <c r="K786" s="443">
        <v>144</v>
      </c>
      <c r="L786" s="444">
        <v>2.3621142857142856</v>
      </c>
      <c r="M786" s="463"/>
      <c r="N786" s="463"/>
      <c r="O786" s="445" t="s">
        <v>783</v>
      </c>
      <c r="P786" s="447">
        <v>432</v>
      </c>
      <c r="Q786" s="451">
        <v>144</v>
      </c>
      <c r="R786" s="447">
        <v>0.15310000000000001</v>
      </c>
      <c r="S786" s="447">
        <v>1.1000000000000001</v>
      </c>
      <c r="T786" s="447">
        <v>66.139200000000002</v>
      </c>
      <c r="U786" s="447">
        <v>475.2</v>
      </c>
      <c r="V786" s="447">
        <v>8.6</v>
      </c>
      <c r="W786" s="447">
        <v>51.29</v>
      </c>
      <c r="X786" s="447">
        <v>335</v>
      </c>
      <c r="Y786" s="858">
        <v>22156.63</v>
      </c>
    </row>
    <row r="787" spans="1:25" ht="14.45" customHeight="1" x14ac:dyDescent="0.25">
      <c r="A787" s="722" t="s">
        <v>4678</v>
      </c>
      <c r="B787" s="723">
        <v>487</v>
      </c>
      <c r="C787" s="723"/>
      <c r="D787" s="724" t="s">
        <v>13</v>
      </c>
      <c r="E787" s="724" t="s">
        <v>657</v>
      </c>
      <c r="F787" s="725">
        <v>45208</v>
      </c>
      <c r="G787" s="725"/>
      <c r="H787" s="724" t="s">
        <v>23</v>
      </c>
      <c r="I787" s="441"/>
      <c r="J787" s="442"/>
      <c r="K787" s="720">
        <v>252</v>
      </c>
      <c r="L787" s="744">
        <v>8.9992785714285723</v>
      </c>
      <c r="M787" s="767"/>
      <c r="N787" s="767"/>
      <c r="O787" s="728" t="s">
        <v>2963</v>
      </c>
      <c r="P787" s="721">
        <v>1461.6</v>
      </c>
      <c r="Q787" s="729">
        <v>252</v>
      </c>
      <c r="R787" s="721">
        <v>0.1724</v>
      </c>
      <c r="S787" s="721">
        <v>0.41499999999999998</v>
      </c>
      <c r="T787" s="721">
        <v>251.97980000000001</v>
      </c>
      <c r="U787" s="721">
        <v>606.56399999999996</v>
      </c>
      <c r="V787" s="721">
        <v>32.76</v>
      </c>
      <c r="W787" s="721">
        <v>62.58</v>
      </c>
      <c r="X787" s="721">
        <v>363</v>
      </c>
      <c r="Y787" s="857">
        <v>91468.68</v>
      </c>
    </row>
    <row r="788" spans="1:25" ht="14.45" customHeight="1" x14ac:dyDescent="0.25">
      <c r="A788" s="437" t="s">
        <v>4678</v>
      </c>
      <c r="B788" s="438">
        <v>488</v>
      </c>
      <c r="C788" s="438"/>
      <c r="D788" s="439" t="s">
        <v>13</v>
      </c>
      <c r="E788" s="439" t="s">
        <v>4195</v>
      </c>
      <c r="F788" s="440">
        <v>45208</v>
      </c>
      <c r="G788" s="440"/>
      <c r="H788" s="439" t="s">
        <v>23</v>
      </c>
      <c r="I788" s="441"/>
      <c r="J788" s="442"/>
      <c r="K788" s="443">
        <v>430</v>
      </c>
      <c r="L788" s="444">
        <v>5.9831428571428571</v>
      </c>
      <c r="M788" s="463"/>
      <c r="N788" s="463"/>
      <c r="O788" s="445" t="s">
        <v>1767</v>
      </c>
      <c r="P788" s="447">
        <v>1720</v>
      </c>
      <c r="Q788" s="451">
        <v>430</v>
      </c>
      <c r="R788" s="447">
        <v>9.74E-2</v>
      </c>
      <c r="S788" s="447">
        <v>0.37</v>
      </c>
      <c r="T788" s="447">
        <v>167.52799999999999</v>
      </c>
      <c r="U788" s="447">
        <v>636.4</v>
      </c>
      <c r="V788" s="447">
        <v>21.78</v>
      </c>
      <c r="W788" s="447">
        <v>34.090000000000003</v>
      </c>
      <c r="X788" s="447">
        <v>350</v>
      </c>
      <c r="Y788" s="858">
        <v>58634.8</v>
      </c>
    </row>
    <row r="789" spans="1:25" ht="14.45" customHeight="1" x14ac:dyDescent="0.25">
      <c r="A789" s="722" t="s">
        <v>4678</v>
      </c>
      <c r="B789" s="723">
        <v>490</v>
      </c>
      <c r="C789" s="723"/>
      <c r="D789" s="724" t="s">
        <v>13</v>
      </c>
      <c r="E789" s="724" t="s">
        <v>3764</v>
      </c>
      <c r="F789" s="725">
        <v>45208</v>
      </c>
      <c r="G789" s="725"/>
      <c r="H789" s="724" t="s">
        <v>23</v>
      </c>
      <c r="I789" s="441"/>
      <c r="J789" s="442"/>
      <c r="K789" s="720">
        <v>10</v>
      </c>
      <c r="L789" s="744">
        <v>0.29642499999999999</v>
      </c>
      <c r="M789" s="767" t="s">
        <v>4468</v>
      </c>
      <c r="N789" s="767"/>
      <c r="O789" s="728" t="s">
        <v>4446</v>
      </c>
      <c r="P789" s="721">
        <v>56.5</v>
      </c>
      <c r="Q789" s="729">
        <v>10</v>
      </c>
      <c r="R789" s="721">
        <v>0.1469</v>
      </c>
      <c r="S789" s="721">
        <v>1.3859999999999999</v>
      </c>
      <c r="T789" s="721">
        <v>8.2998999999999992</v>
      </c>
      <c r="U789" s="721">
        <v>78.308999999999997</v>
      </c>
      <c r="V789" s="721">
        <v>1.08</v>
      </c>
      <c r="W789" s="721">
        <v>50.39</v>
      </c>
      <c r="X789" s="721">
        <v>343</v>
      </c>
      <c r="Y789" s="857">
        <v>2847.04</v>
      </c>
    </row>
    <row r="790" spans="1:25" ht="14.45" customHeight="1" x14ac:dyDescent="0.25">
      <c r="A790" s="437" t="s">
        <v>4678</v>
      </c>
      <c r="B790" s="438" t="s">
        <v>4556</v>
      </c>
      <c r="C790" s="438" t="s">
        <v>4753</v>
      </c>
      <c r="D790" s="439" t="s">
        <v>34</v>
      </c>
      <c r="E790" s="439" t="s">
        <v>576</v>
      </c>
      <c r="F790" s="440">
        <v>45231</v>
      </c>
      <c r="G790" s="440"/>
      <c r="H790" s="439" t="s">
        <v>23</v>
      </c>
      <c r="I790" s="449"/>
      <c r="J790" s="450"/>
      <c r="K790" s="443">
        <v>312</v>
      </c>
      <c r="L790" s="444">
        <v>0</v>
      </c>
      <c r="M790" s="463" t="s">
        <v>4670</v>
      </c>
      <c r="N790" s="463"/>
      <c r="O790" s="445" t="s">
        <v>4557</v>
      </c>
      <c r="P790" s="447">
        <v>639.6</v>
      </c>
      <c r="Q790" s="451">
        <v>312</v>
      </c>
      <c r="R790" s="447"/>
      <c r="S790" s="447"/>
      <c r="T790" s="447"/>
      <c r="U790" s="447"/>
      <c r="V790" s="447"/>
      <c r="W790" s="447"/>
      <c r="X790" s="447"/>
      <c r="Y790" s="858"/>
    </row>
    <row r="791" spans="1:25" ht="14.45" customHeight="1" x14ac:dyDescent="0.25">
      <c r="A791" s="722" t="s">
        <v>4678</v>
      </c>
      <c r="B791" s="723" t="s">
        <v>4562</v>
      </c>
      <c r="C791" s="723" t="s">
        <v>4753</v>
      </c>
      <c r="D791" s="724" t="s">
        <v>34</v>
      </c>
      <c r="E791" s="724" t="s">
        <v>576</v>
      </c>
      <c r="F791" s="725">
        <v>45231</v>
      </c>
      <c r="G791" s="725"/>
      <c r="H791" s="724" t="s">
        <v>23</v>
      </c>
      <c r="I791" s="441"/>
      <c r="J791" s="442"/>
      <c r="K791" s="720">
        <v>320</v>
      </c>
      <c r="L791" s="744">
        <v>0</v>
      </c>
      <c r="M791" s="767"/>
      <c r="N791" s="767"/>
      <c r="O791" s="728" t="s">
        <v>4563</v>
      </c>
      <c r="P791" s="721">
        <v>992</v>
      </c>
      <c r="Q791" s="729">
        <v>320</v>
      </c>
      <c r="R791" s="721"/>
      <c r="S791" s="721"/>
      <c r="T791" s="721"/>
      <c r="U791" s="721"/>
      <c r="V791" s="721"/>
      <c r="W791" s="721"/>
      <c r="X791" s="721"/>
      <c r="Y791" s="857"/>
    </row>
    <row r="792" spans="1:25" ht="14.45" customHeight="1" x14ac:dyDescent="0.25">
      <c r="A792" s="874" t="s">
        <v>4678</v>
      </c>
      <c r="B792" s="809" t="s">
        <v>2258</v>
      </c>
      <c r="C792" s="809" t="s">
        <v>4753</v>
      </c>
      <c r="D792" s="775" t="s">
        <v>34</v>
      </c>
      <c r="E792" s="775" t="s">
        <v>576</v>
      </c>
      <c r="F792" s="776">
        <v>45231</v>
      </c>
      <c r="G792" s="762"/>
      <c r="H792" s="761" t="s">
        <v>23</v>
      </c>
      <c r="I792" s="358"/>
      <c r="J792" s="359"/>
      <c r="K792" s="443">
        <v>270</v>
      </c>
      <c r="L792" s="810"/>
      <c r="M792" s="835"/>
      <c r="N792" s="835"/>
      <c r="O792" s="752" t="s">
        <v>4564</v>
      </c>
      <c r="P792" s="752">
        <v>1620</v>
      </c>
      <c r="Q792" s="753">
        <v>270</v>
      </c>
      <c r="R792" s="752"/>
      <c r="S792" s="752"/>
      <c r="T792" s="752"/>
      <c r="U792" s="752"/>
      <c r="V792" s="752"/>
      <c r="W792" s="752"/>
      <c r="X792" s="752"/>
      <c r="Y792" s="875"/>
    </row>
    <row r="793" spans="1:25" ht="14.45" customHeight="1" x14ac:dyDescent="0.25">
      <c r="A793" s="876" t="s">
        <v>4678</v>
      </c>
      <c r="B793" s="773" t="s">
        <v>2258</v>
      </c>
      <c r="C793" s="773" t="s">
        <v>4753</v>
      </c>
      <c r="D793" s="777" t="s">
        <v>34</v>
      </c>
      <c r="E793" s="777" t="s">
        <v>576</v>
      </c>
      <c r="F793" s="778">
        <v>45231</v>
      </c>
      <c r="G793" s="778"/>
      <c r="H793" s="777" t="s">
        <v>23</v>
      </c>
      <c r="I793" s="384"/>
      <c r="J793" s="385"/>
      <c r="K793" s="720">
        <v>200</v>
      </c>
      <c r="L793" s="805"/>
      <c r="M793" s="827"/>
      <c r="N793" s="827"/>
      <c r="O793" s="766" t="s">
        <v>4565</v>
      </c>
      <c r="P793" s="766">
        <v>1200</v>
      </c>
      <c r="Q793" s="779">
        <v>200</v>
      </c>
      <c r="R793" s="766"/>
      <c r="S793" s="766"/>
      <c r="T793" s="766"/>
      <c r="U793" s="766"/>
      <c r="V793" s="766"/>
      <c r="W793" s="766"/>
      <c r="X793" s="766"/>
      <c r="Y793" s="877"/>
    </row>
    <row r="794" spans="1:25" ht="14.45" customHeight="1" x14ac:dyDescent="0.25">
      <c r="A794" s="437" t="s">
        <v>4678</v>
      </c>
      <c r="B794" s="438" t="s">
        <v>4476</v>
      </c>
      <c r="C794" s="438" t="s">
        <v>4753</v>
      </c>
      <c r="D794" s="439" t="s">
        <v>13</v>
      </c>
      <c r="E794" s="438" t="s">
        <v>585</v>
      </c>
      <c r="F794" s="440">
        <v>45211</v>
      </c>
      <c r="G794" s="440"/>
      <c r="H794" s="439" t="s">
        <v>23</v>
      </c>
      <c r="I794" s="449"/>
      <c r="J794" s="450"/>
      <c r="K794" s="443" t="e">
        <v>#VALUE!</v>
      </c>
      <c r="L794" s="444">
        <v>0</v>
      </c>
      <c r="M794" s="463"/>
      <c r="N794" s="463"/>
      <c r="O794" s="445" t="s">
        <v>744</v>
      </c>
      <c r="P794" s="447"/>
      <c r="Q794" s="451" t="s">
        <v>4198</v>
      </c>
      <c r="R794" s="447"/>
      <c r="S794" s="447"/>
      <c r="T794" s="447"/>
      <c r="U794" s="447"/>
      <c r="V794" s="447"/>
      <c r="W794" s="447"/>
      <c r="X794" s="447"/>
      <c r="Y794" s="858" t="s">
        <v>4487</v>
      </c>
    </row>
    <row r="795" spans="1:25" ht="14.45" customHeight="1" x14ac:dyDescent="0.25">
      <c r="A795" s="722" t="s">
        <v>4678</v>
      </c>
      <c r="B795" s="723" t="s">
        <v>4476</v>
      </c>
      <c r="C795" s="723" t="s">
        <v>4753</v>
      </c>
      <c r="D795" s="724" t="s">
        <v>13</v>
      </c>
      <c r="E795" s="723" t="s">
        <v>585</v>
      </c>
      <c r="F795" s="725">
        <v>45211</v>
      </c>
      <c r="G795" s="725"/>
      <c r="H795" s="724" t="s">
        <v>23</v>
      </c>
      <c r="I795" s="441"/>
      <c r="J795" s="442"/>
      <c r="K795" s="720" t="e">
        <v>#VALUE!</v>
      </c>
      <c r="L795" s="744">
        <v>0</v>
      </c>
      <c r="M795" s="767"/>
      <c r="N795" s="767"/>
      <c r="O795" s="728" t="s">
        <v>745</v>
      </c>
      <c r="P795" s="721"/>
      <c r="Q795" s="729" t="s">
        <v>268</v>
      </c>
      <c r="R795" s="721"/>
      <c r="S795" s="721"/>
      <c r="T795" s="721"/>
      <c r="U795" s="721"/>
      <c r="V795" s="721"/>
      <c r="W795" s="721"/>
      <c r="X795" s="721"/>
      <c r="Y795" s="857" t="s">
        <v>55</v>
      </c>
    </row>
    <row r="796" spans="1:25" ht="14.45" customHeight="1" x14ac:dyDescent="0.25">
      <c r="A796" s="437" t="s">
        <v>4678</v>
      </c>
      <c r="B796" s="438" t="s">
        <v>4476</v>
      </c>
      <c r="C796" s="438" t="s">
        <v>4753</v>
      </c>
      <c r="D796" s="439" t="s">
        <v>13</v>
      </c>
      <c r="E796" s="438" t="s">
        <v>585</v>
      </c>
      <c r="F796" s="440">
        <v>45211</v>
      </c>
      <c r="G796" s="440"/>
      <c r="H796" s="439" t="s">
        <v>23</v>
      </c>
      <c r="I796" s="449"/>
      <c r="J796" s="450"/>
      <c r="K796" s="443" t="e">
        <v>#VALUE!</v>
      </c>
      <c r="L796" s="444">
        <v>0</v>
      </c>
      <c r="M796" s="463"/>
      <c r="N796" s="463"/>
      <c r="O796" s="445" t="s">
        <v>742</v>
      </c>
      <c r="P796" s="447"/>
      <c r="Q796" s="451" t="s">
        <v>96</v>
      </c>
      <c r="R796" s="447"/>
      <c r="S796" s="447"/>
      <c r="T796" s="447"/>
      <c r="U796" s="447"/>
      <c r="V796" s="447"/>
      <c r="W796" s="447"/>
      <c r="X796" s="447"/>
      <c r="Y796" s="858" t="s">
        <v>1422</v>
      </c>
    </row>
    <row r="797" spans="1:25" ht="14.45" customHeight="1" x14ac:dyDescent="0.25">
      <c r="A797" s="722" t="s">
        <v>4678</v>
      </c>
      <c r="B797" s="723" t="s">
        <v>4476</v>
      </c>
      <c r="C797" s="723" t="s">
        <v>4753</v>
      </c>
      <c r="D797" s="724" t="s">
        <v>13</v>
      </c>
      <c r="E797" s="723" t="s">
        <v>585</v>
      </c>
      <c r="F797" s="725">
        <v>45211</v>
      </c>
      <c r="G797" s="725"/>
      <c r="H797" s="724" t="s">
        <v>23</v>
      </c>
      <c r="I797" s="441"/>
      <c r="J797" s="442"/>
      <c r="K797" s="720" t="e">
        <v>#VALUE!</v>
      </c>
      <c r="L797" s="744">
        <v>0</v>
      </c>
      <c r="M797" s="767"/>
      <c r="N797" s="767"/>
      <c r="O797" s="728" t="s">
        <v>730</v>
      </c>
      <c r="P797" s="721"/>
      <c r="Q797" s="729" t="s">
        <v>446</v>
      </c>
      <c r="R797" s="721"/>
      <c r="S797" s="721"/>
      <c r="T797" s="721"/>
      <c r="U797" s="721"/>
      <c r="V797" s="721"/>
      <c r="W797" s="721"/>
      <c r="X797" s="721"/>
      <c r="Y797" s="857" t="s">
        <v>186</v>
      </c>
    </row>
    <row r="798" spans="1:25" ht="14.45" customHeight="1" x14ac:dyDescent="0.25">
      <c r="A798" s="437" t="s">
        <v>4678</v>
      </c>
      <c r="B798" s="438" t="s">
        <v>4476</v>
      </c>
      <c r="C798" s="438" t="s">
        <v>4753</v>
      </c>
      <c r="D798" s="439" t="s">
        <v>13</v>
      </c>
      <c r="E798" s="438" t="s">
        <v>585</v>
      </c>
      <c r="F798" s="440">
        <v>45211</v>
      </c>
      <c r="G798" s="440"/>
      <c r="H798" s="439" t="s">
        <v>23</v>
      </c>
      <c r="I798" s="449"/>
      <c r="J798" s="450"/>
      <c r="K798" s="443" t="e">
        <v>#VALUE!</v>
      </c>
      <c r="L798" s="444">
        <v>0</v>
      </c>
      <c r="M798" s="463"/>
      <c r="N798" s="463"/>
      <c r="O798" s="445" t="s">
        <v>731</v>
      </c>
      <c r="P798" s="447"/>
      <c r="Q798" s="451" t="s">
        <v>181</v>
      </c>
      <c r="R798" s="447"/>
      <c r="S798" s="447"/>
      <c r="T798" s="447"/>
      <c r="U798" s="447"/>
      <c r="V798" s="447"/>
      <c r="W798" s="447"/>
      <c r="X798" s="447"/>
      <c r="Y798" s="858" t="s">
        <v>4488</v>
      </c>
    </row>
    <row r="799" spans="1:25" ht="14.45" customHeight="1" x14ac:dyDescent="0.25">
      <c r="A799" s="722" t="s">
        <v>4678</v>
      </c>
      <c r="B799" s="723" t="s">
        <v>4476</v>
      </c>
      <c r="C799" s="723" t="s">
        <v>4753</v>
      </c>
      <c r="D799" s="724" t="s">
        <v>13</v>
      </c>
      <c r="E799" s="723" t="s">
        <v>585</v>
      </c>
      <c r="F799" s="725">
        <v>45211</v>
      </c>
      <c r="G799" s="725"/>
      <c r="H799" s="724" t="s">
        <v>23</v>
      </c>
      <c r="I799" s="441"/>
      <c r="J799" s="442"/>
      <c r="K799" s="720" t="e">
        <v>#VALUE!</v>
      </c>
      <c r="L799" s="744">
        <v>0</v>
      </c>
      <c r="M799" s="767"/>
      <c r="N799" s="767"/>
      <c r="O799" s="728" t="s">
        <v>733</v>
      </c>
      <c r="P799" s="721"/>
      <c r="Q799" s="729" t="s">
        <v>178</v>
      </c>
      <c r="R799" s="721"/>
      <c r="S799" s="721"/>
      <c r="T799" s="721"/>
      <c r="U799" s="721"/>
      <c r="V799" s="721"/>
      <c r="W799" s="721"/>
      <c r="X799" s="721"/>
      <c r="Y799" s="857" t="s">
        <v>336</v>
      </c>
    </row>
    <row r="800" spans="1:25" ht="14.45" customHeight="1" x14ac:dyDescent="0.25">
      <c r="A800" s="437" t="s">
        <v>4678</v>
      </c>
      <c r="B800" s="438" t="s">
        <v>4476</v>
      </c>
      <c r="C800" s="438" t="s">
        <v>4753</v>
      </c>
      <c r="D800" s="439" t="s">
        <v>13</v>
      </c>
      <c r="E800" s="438" t="s">
        <v>585</v>
      </c>
      <c r="F800" s="440">
        <v>45211</v>
      </c>
      <c r="G800" s="440"/>
      <c r="H800" s="439" t="s">
        <v>23</v>
      </c>
      <c r="I800" s="449"/>
      <c r="J800" s="450"/>
      <c r="K800" s="443" t="e">
        <v>#VALUE!</v>
      </c>
      <c r="L800" s="444">
        <v>0</v>
      </c>
      <c r="M800" s="463"/>
      <c r="N800" s="463"/>
      <c r="O800" s="445" t="s">
        <v>3727</v>
      </c>
      <c r="P800" s="447"/>
      <c r="Q800" s="451" t="s">
        <v>446</v>
      </c>
      <c r="R800" s="447"/>
      <c r="S800" s="447"/>
      <c r="T800" s="447"/>
      <c r="U800" s="447"/>
      <c r="V800" s="447"/>
      <c r="W800" s="447"/>
      <c r="X800" s="447"/>
      <c r="Y800" s="858" t="s">
        <v>416</v>
      </c>
    </row>
    <row r="801" spans="1:25" ht="14.45" customHeight="1" x14ac:dyDescent="0.25">
      <c r="A801" s="722" t="s">
        <v>4678</v>
      </c>
      <c r="B801" s="723" t="s">
        <v>4476</v>
      </c>
      <c r="C801" s="723" t="s">
        <v>4753</v>
      </c>
      <c r="D801" s="724" t="s">
        <v>13</v>
      </c>
      <c r="E801" s="723" t="s">
        <v>585</v>
      </c>
      <c r="F801" s="725">
        <v>45211</v>
      </c>
      <c r="G801" s="725"/>
      <c r="H801" s="724" t="s">
        <v>23</v>
      </c>
      <c r="I801" s="441"/>
      <c r="J801" s="442"/>
      <c r="K801" s="720" t="e">
        <v>#VALUE!</v>
      </c>
      <c r="L801" s="744">
        <v>0</v>
      </c>
      <c r="M801" s="767"/>
      <c r="N801" s="767"/>
      <c r="O801" s="728" t="s">
        <v>737</v>
      </c>
      <c r="P801" s="721"/>
      <c r="Q801" s="729" t="s">
        <v>446</v>
      </c>
      <c r="R801" s="721"/>
      <c r="S801" s="721"/>
      <c r="T801" s="721"/>
      <c r="U801" s="721"/>
      <c r="V801" s="721"/>
      <c r="W801" s="721"/>
      <c r="X801" s="721"/>
      <c r="Y801" s="857" t="s">
        <v>3342</v>
      </c>
    </row>
    <row r="802" spans="1:25" ht="14.45" customHeight="1" x14ac:dyDescent="0.25">
      <c r="A802" s="437" t="s">
        <v>4678</v>
      </c>
      <c r="B802" s="438" t="s">
        <v>4476</v>
      </c>
      <c r="C802" s="438" t="s">
        <v>4753</v>
      </c>
      <c r="D802" s="439" t="s">
        <v>13</v>
      </c>
      <c r="E802" s="438" t="s">
        <v>585</v>
      </c>
      <c r="F802" s="440">
        <v>45211</v>
      </c>
      <c r="G802" s="440"/>
      <c r="H802" s="439" t="s">
        <v>23</v>
      </c>
      <c r="I802" s="449"/>
      <c r="J802" s="450"/>
      <c r="K802" s="443" t="e">
        <v>#VALUE!</v>
      </c>
      <c r="L802" s="444">
        <v>0</v>
      </c>
      <c r="M802" s="463"/>
      <c r="N802" s="463"/>
      <c r="O802" s="445" t="s">
        <v>1255</v>
      </c>
      <c r="P802" s="447"/>
      <c r="Q802" s="451" t="s">
        <v>54</v>
      </c>
      <c r="R802" s="447"/>
      <c r="S802" s="447"/>
      <c r="T802" s="447"/>
      <c r="U802" s="447"/>
      <c r="V802" s="447"/>
      <c r="W802" s="447"/>
      <c r="X802" s="447"/>
      <c r="Y802" s="858" t="s">
        <v>875</v>
      </c>
    </row>
    <row r="803" spans="1:25" ht="14.45" customHeight="1" x14ac:dyDescent="0.25">
      <c r="A803" s="722" t="s">
        <v>4678</v>
      </c>
      <c r="B803" s="723" t="s">
        <v>4476</v>
      </c>
      <c r="C803" s="723" t="s">
        <v>4753</v>
      </c>
      <c r="D803" s="724" t="s">
        <v>13</v>
      </c>
      <c r="E803" s="723" t="s">
        <v>585</v>
      </c>
      <c r="F803" s="725">
        <v>45211</v>
      </c>
      <c r="G803" s="725"/>
      <c r="H803" s="724" t="s">
        <v>23</v>
      </c>
      <c r="I803" s="441"/>
      <c r="J803" s="442"/>
      <c r="K803" s="720" t="e">
        <v>#VALUE!</v>
      </c>
      <c r="L803" s="744">
        <v>0</v>
      </c>
      <c r="M803" s="767"/>
      <c r="N803" s="767"/>
      <c r="O803" s="728" t="s">
        <v>739</v>
      </c>
      <c r="P803" s="721"/>
      <c r="Q803" s="729" t="s">
        <v>446</v>
      </c>
      <c r="R803" s="721"/>
      <c r="S803" s="721"/>
      <c r="T803" s="721"/>
      <c r="U803" s="721"/>
      <c r="V803" s="721"/>
      <c r="W803" s="721"/>
      <c r="X803" s="721"/>
      <c r="Y803" s="857" t="s">
        <v>4350</v>
      </c>
    </row>
    <row r="804" spans="1:25" ht="14.45" customHeight="1" x14ac:dyDescent="0.25">
      <c r="A804" s="437" t="s">
        <v>4678</v>
      </c>
      <c r="B804" s="438" t="s">
        <v>4476</v>
      </c>
      <c r="C804" s="438" t="s">
        <v>4753</v>
      </c>
      <c r="D804" s="439" t="s">
        <v>13</v>
      </c>
      <c r="E804" s="438" t="s">
        <v>585</v>
      </c>
      <c r="F804" s="440">
        <v>45211</v>
      </c>
      <c r="G804" s="440"/>
      <c r="H804" s="439" t="s">
        <v>23</v>
      </c>
      <c r="I804" s="449"/>
      <c r="J804" s="450"/>
      <c r="K804" s="443" t="e">
        <v>#VALUE!</v>
      </c>
      <c r="L804" s="444">
        <v>0</v>
      </c>
      <c r="M804" s="463"/>
      <c r="N804" s="463"/>
      <c r="O804" s="445" t="s">
        <v>740</v>
      </c>
      <c r="P804" s="447"/>
      <c r="Q804" s="451" t="s">
        <v>3965</v>
      </c>
      <c r="R804" s="447"/>
      <c r="S804" s="447"/>
      <c r="T804" s="447"/>
      <c r="U804" s="447"/>
      <c r="V804" s="447"/>
      <c r="W804" s="447"/>
      <c r="X804" s="447"/>
      <c r="Y804" s="858" t="s">
        <v>4489</v>
      </c>
    </row>
    <row r="805" spans="1:25" ht="14.45" customHeight="1" x14ac:dyDescent="0.25">
      <c r="A805" s="722" t="s">
        <v>4678</v>
      </c>
      <c r="B805" s="723" t="s">
        <v>4476</v>
      </c>
      <c r="C805" s="723" t="s">
        <v>4753</v>
      </c>
      <c r="D805" s="724" t="s">
        <v>13</v>
      </c>
      <c r="E805" s="723" t="s">
        <v>585</v>
      </c>
      <c r="F805" s="725">
        <v>45211</v>
      </c>
      <c r="G805" s="725"/>
      <c r="H805" s="724" t="s">
        <v>23</v>
      </c>
      <c r="I805" s="441"/>
      <c r="J805" s="442"/>
      <c r="K805" s="720" t="e">
        <v>#VALUE!</v>
      </c>
      <c r="L805" s="744">
        <v>0</v>
      </c>
      <c r="M805" s="767"/>
      <c r="N805" s="767"/>
      <c r="O805" s="728" t="s">
        <v>1243</v>
      </c>
      <c r="P805" s="721"/>
      <c r="Q805" s="729" t="s">
        <v>446</v>
      </c>
      <c r="R805" s="721"/>
      <c r="S805" s="721"/>
      <c r="T805" s="721"/>
      <c r="U805" s="721"/>
      <c r="V805" s="721"/>
      <c r="W805" s="721"/>
      <c r="X805" s="721"/>
      <c r="Y805" s="857" t="s">
        <v>55</v>
      </c>
    </row>
    <row r="806" spans="1:25" ht="14.45" customHeight="1" x14ac:dyDescent="0.25">
      <c r="A806" s="437" t="s">
        <v>4678</v>
      </c>
      <c r="B806" s="438" t="s">
        <v>4476</v>
      </c>
      <c r="C806" s="438" t="s">
        <v>4753</v>
      </c>
      <c r="D806" s="439" t="s">
        <v>13</v>
      </c>
      <c r="E806" s="438" t="s">
        <v>585</v>
      </c>
      <c r="F806" s="440">
        <v>45211</v>
      </c>
      <c r="G806" s="440"/>
      <c r="H806" s="439" t="s">
        <v>23</v>
      </c>
      <c r="I806" s="449"/>
      <c r="J806" s="450"/>
      <c r="K806" s="443" t="e">
        <v>#VALUE!</v>
      </c>
      <c r="L806" s="444">
        <v>0</v>
      </c>
      <c r="M806" s="463"/>
      <c r="N806" s="463"/>
      <c r="O806" s="445" t="s">
        <v>741</v>
      </c>
      <c r="P806" s="447"/>
      <c r="Q806" s="451" t="s">
        <v>76</v>
      </c>
      <c r="R806" s="447"/>
      <c r="S806" s="447"/>
      <c r="T806" s="447"/>
      <c r="U806" s="447"/>
      <c r="V806" s="447"/>
      <c r="W806" s="447"/>
      <c r="X806" s="447"/>
      <c r="Y806" s="858" t="s">
        <v>3841</v>
      </c>
    </row>
    <row r="807" spans="1:25" ht="14.45" customHeight="1" x14ac:dyDescent="0.25">
      <c r="A807" s="722" t="s">
        <v>4678</v>
      </c>
      <c r="B807" s="723" t="s">
        <v>4477</v>
      </c>
      <c r="C807" s="723" t="s">
        <v>4753</v>
      </c>
      <c r="D807" s="724" t="s">
        <v>13</v>
      </c>
      <c r="E807" s="723" t="s">
        <v>585</v>
      </c>
      <c r="F807" s="725">
        <v>45211</v>
      </c>
      <c r="G807" s="725"/>
      <c r="H807" s="724" t="s">
        <v>23</v>
      </c>
      <c r="I807" s="441"/>
      <c r="J807" s="442"/>
      <c r="K807" s="720" t="e">
        <v>#VALUE!</v>
      </c>
      <c r="L807" s="744">
        <v>0</v>
      </c>
      <c r="M807" s="767"/>
      <c r="N807" s="767"/>
      <c r="O807" s="728" t="s">
        <v>2728</v>
      </c>
      <c r="P807" s="721"/>
      <c r="Q807" s="729" t="s">
        <v>2813</v>
      </c>
      <c r="R807" s="721"/>
      <c r="S807" s="721"/>
      <c r="T807" s="721"/>
      <c r="U807" s="721"/>
      <c r="V807" s="721"/>
      <c r="W807" s="721"/>
      <c r="X807" s="721"/>
      <c r="Y807" s="857" t="s">
        <v>3718</v>
      </c>
    </row>
    <row r="808" spans="1:25" ht="14.45" customHeight="1" x14ac:dyDescent="0.25">
      <c r="A808" s="437" t="s">
        <v>4678</v>
      </c>
      <c r="B808" s="438" t="s">
        <v>4477</v>
      </c>
      <c r="C808" s="438" t="s">
        <v>4753</v>
      </c>
      <c r="D808" s="439" t="s">
        <v>13</v>
      </c>
      <c r="E808" s="438" t="s">
        <v>585</v>
      </c>
      <c r="F808" s="440">
        <v>45211</v>
      </c>
      <c r="G808" s="440"/>
      <c r="H808" s="439" t="s">
        <v>23</v>
      </c>
      <c r="I808" s="449"/>
      <c r="J808" s="450"/>
      <c r="K808" s="443" t="e">
        <v>#VALUE!</v>
      </c>
      <c r="L808" s="444">
        <v>0</v>
      </c>
      <c r="M808" s="463"/>
      <c r="N808" s="463"/>
      <c r="O808" s="445" t="s">
        <v>4353</v>
      </c>
      <c r="P808" s="447"/>
      <c r="Q808" s="451" t="s">
        <v>446</v>
      </c>
      <c r="R808" s="447"/>
      <c r="S808" s="447"/>
      <c r="T808" s="447"/>
      <c r="U808" s="447"/>
      <c r="V808" s="447"/>
      <c r="W808" s="447"/>
      <c r="X808" s="447"/>
      <c r="Y808" s="858" t="s">
        <v>4490</v>
      </c>
    </row>
    <row r="809" spans="1:25" ht="14.45" customHeight="1" x14ac:dyDescent="0.25">
      <c r="A809" s="722" t="s">
        <v>4678</v>
      </c>
      <c r="B809" s="723" t="s">
        <v>3523</v>
      </c>
      <c r="C809" s="723" t="s">
        <v>4753</v>
      </c>
      <c r="D809" s="724" t="s">
        <v>34</v>
      </c>
      <c r="E809" s="724" t="s">
        <v>861</v>
      </c>
      <c r="F809" s="725">
        <v>45211</v>
      </c>
      <c r="G809" s="725"/>
      <c r="H809" s="724" t="s">
        <v>23</v>
      </c>
      <c r="I809" s="441"/>
      <c r="J809" s="442"/>
      <c r="K809" s="720" t="e">
        <v>#VALUE!</v>
      </c>
      <c r="L809" s="744">
        <v>0</v>
      </c>
      <c r="M809" s="767"/>
      <c r="N809" s="767"/>
      <c r="O809" s="728" t="s">
        <v>3633</v>
      </c>
      <c r="P809" s="721"/>
      <c r="Q809" s="729" t="s">
        <v>4478</v>
      </c>
      <c r="R809" s="721"/>
      <c r="S809" s="721"/>
      <c r="T809" s="721"/>
      <c r="U809" s="721"/>
      <c r="V809" s="721"/>
      <c r="W809" s="721"/>
      <c r="X809" s="721"/>
      <c r="Y809" s="857" t="s">
        <v>4480</v>
      </c>
    </row>
    <row r="810" spans="1:25" ht="14.45" customHeight="1" x14ac:dyDescent="0.25">
      <c r="A810" s="437" t="s">
        <v>4678</v>
      </c>
      <c r="B810" s="438" t="s">
        <v>3523</v>
      </c>
      <c r="C810" s="438" t="s">
        <v>4753</v>
      </c>
      <c r="D810" s="439" t="s">
        <v>34</v>
      </c>
      <c r="E810" s="439" t="s">
        <v>861</v>
      </c>
      <c r="F810" s="440">
        <v>45211</v>
      </c>
      <c r="G810" s="440"/>
      <c r="H810" s="439" t="s">
        <v>23</v>
      </c>
      <c r="I810" s="449"/>
      <c r="J810" s="450"/>
      <c r="K810" s="443" t="e">
        <v>#VALUE!</v>
      </c>
      <c r="L810" s="444">
        <v>0</v>
      </c>
      <c r="M810" s="463"/>
      <c r="N810" s="463"/>
      <c r="O810" s="445" t="s">
        <v>3634</v>
      </c>
      <c r="P810" s="447"/>
      <c r="Q810" s="451" t="s">
        <v>4479</v>
      </c>
      <c r="R810" s="447"/>
      <c r="S810" s="447"/>
      <c r="T810" s="447"/>
      <c r="U810" s="447"/>
      <c r="V810" s="447"/>
      <c r="W810" s="447"/>
      <c r="X810" s="447"/>
      <c r="Y810" s="858" t="s">
        <v>4481</v>
      </c>
    </row>
    <row r="811" spans="1:25" ht="14.45" customHeight="1" x14ac:dyDescent="0.25">
      <c r="A811" s="722" t="s">
        <v>4678</v>
      </c>
      <c r="B811" s="723">
        <v>499</v>
      </c>
      <c r="C811" s="723"/>
      <c r="D811" s="724" t="s">
        <v>13</v>
      </c>
      <c r="E811" s="724" t="s">
        <v>672</v>
      </c>
      <c r="F811" s="725">
        <v>45211</v>
      </c>
      <c r="G811" s="725"/>
      <c r="H811" s="724" t="s">
        <v>23</v>
      </c>
      <c r="I811" s="441">
        <v>48</v>
      </c>
      <c r="J811" s="442">
        <v>728</v>
      </c>
      <c r="K811" s="720">
        <v>-594</v>
      </c>
      <c r="L811" s="744">
        <v>22.836125000000003</v>
      </c>
      <c r="M811" s="767" t="s">
        <v>559</v>
      </c>
      <c r="N811" s="767"/>
      <c r="O811" s="728" t="s">
        <v>4491</v>
      </c>
      <c r="P811" s="721">
        <v>1183</v>
      </c>
      <c r="Q811" s="729">
        <v>182</v>
      </c>
      <c r="R811" s="721">
        <v>0.54049999999999998</v>
      </c>
      <c r="S811" s="721">
        <v>2.0979999999999999</v>
      </c>
      <c r="T811" s="721">
        <v>639.41150000000005</v>
      </c>
      <c r="U811" s="721">
        <v>2481.9340000000002</v>
      </c>
      <c r="V811" s="721">
        <v>83.12</v>
      </c>
      <c r="W811" s="721">
        <v>178.37</v>
      </c>
      <c r="X811" s="721">
        <v>330</v>
      </c>
      <c r="Y811" s="857">
        <v>211005.8</v>
      </c>
    </row>
    <row r="812" spans="1:25" ht="14.45" customHeight="1" x14ac:dyDescent="0.25">
      <c r="A812" s="437" t="s">
        <v>4678</v>
      </c>
      <c r="B812" s="438">
        <v>499</v>
      </c>
      <c r="C812" s="438"/>
      <c r="D812" s="439" t="s">
        <v>13</v>
      </c>
      <c r="E812" s="439" t="s">
        <v>672</v>
      </c>
      <c r="F812" s="440">
        <v>45211</v>
      </c>
      <c r="G812" s="440"/>
      <c r="H812" s="439" t="s">
        <v>23</v>
      </c>
      <c r="I812" s="449"/>
      <c r="J812" s="450"/>
      <c r="K812" s="443">
        <v>112</v>
      </c>
      <c r="L812" s="444">
        <v>16.276</v>
      </c>
      <c r="M812" s="463" t="s">
        <v>4498</v>
      </c>
      <c r="N812" s="463"/>
      <c r="O812" s="445" t="s">
        <v>999</v>
      </c>
      <c r="P812" s="447">
        <v>728</v>
      </c>
      <c r="Q812" s="451">
        <v>112</v>
      </c>
      <c r="R812" s="447">
        <v>0.626</v>
      </c>
      <c r="S812" s="447">
        <v>2.1869999999999998</v>
      </c>
      <c r="T812" s="447">
        <v>455.72800000000001</v>
      </c>
      <c r="U812" s="447">
        <v>1592.136</v>
      </c>
      <c r="V812" s="447">
        <v>59.24</v>
      </c>
      <c r="W812" s="447">
        <v>206.58</v>
      </c>
      <c r="X812" s="447">
        <v>330</v>
      </c>
      <c r="Y812" s="858">
        <v>150390.24</v>
      </c>
    </row>
    <row r="813" spans="1:25" ht="14.45" customHeight="1" x14ac:dyDescent="0.25">
      <c r="A813" s="878" t="s">
        <v>4678</v>
      </c>
      <c r="B813" s="831" t="s">
        <v>2258</v>
      </c>
      <c r="C813" s="831" t="s">
        <v>4753</v>
      </c>
      <c r="D813" s="807" t="s">
        <v>34</v>
      </c>
      <c r="E813" s="807" t="s">
        <v>576</v>
      </c>
      <c r="F813" s="790">
        <v>45231</v>
      </c>
      <c r="G813" s="794"/>
      <c r="H813" s="793" t="s">
        <v>23</v>
      </c>
      <c r="I813" s="358"/>
      <c r="J813" s="359"/>
      <c r="K813" s="720">
        <v>140</v>
      </c>
      <c r="L813" s="817"/>
      <c r="M813" s="832"/>
      <c r="N813" s="832"/>
      <c r="O813" s="787" t="s">
        <v>4566</v>
      </c>
      <c r="P813" s="787">
        <v>840</v>
      </c>
      <c r="Q813" s="788">
        <v>140</v>
      </c>
      <c r="R813" s="787"/>
      <c r="S813" s="787"/>
      <c r="T813" s="787"/>
      <c r="U813" s="787"/>
      <c r="V813" s="787"/>
      <c r="W813" s="787"/>
      <c r="X813" s="787"/>
      <c r="Y813" s="879"/>
    </row>
    <row r="814" spans="1:25" ht="14.45" customHeight="1" x14ac:dyDescent="0.25">
      <c r="A814" s="880" t="s">
        <v>4678</v>
      </c>
      <c r="B814" s="734" t="s">
        <v>3612</v>
      </c>
      <c r="C814" s="734" t="s">
        <v>4753</v>
      </c>
      <c r="D814" s="815" t="s">
        <v>34</v>
      </c>
      <c r="E814" s="815" t="s">
        <v>576</v>
      </c>
      <c r="F814" s="816">
        <v>45231</v>
      </c>
      <c r="G814" s="816"/>
      <c r="H814" s="815" t="s">
        <v>23</v>
      </c>
      <c r="I814" s="384">
        <v>115</v>
      </c>
      <c r="J814" s="385">
        <v>1485</v>
      </c>
      <c r="K814" s="443">
        <v>0</v>
      </c>
      <c r="L814" s="808"/>
      <c r="M814" s="834" t="s">
        <v>4954</v>
      </c>
      <c r="N814" s="821"/>
      <c r="O814" s="759" t="s">
        <v>4563</v>
      </c>
      <c r="P814" s="759">
        <v>4960</v>
      </c>
      <c r="Q814" s="783">
        <v>1600</v>
      </c>
      <c r="R814" s="759"/>
      <c r="S814" s="759"/>
      <c r="T814" s="759"/>
      <c r="U814" s="759"/>
      <c r="V814" s="759"/>
      <c r="W814" s="759"/>
      <c r="X814" s="759"/>
      <c r="Y814" s="881"/>
    </row>
    <row r="815" spans="1:25" ht="14.45" customHeight="1" x14ac:dyDescent="0.25">
      <c r="A815" s="722" t="s">
        <v>4678</v>
      </c>
      <c r="B815" s="723">
        <v>517</v>
      </c>
      <c r="C815" s="723"/>
      <c r="D815" s="724" t="s">
        <v>13</v>
      </c>
      <c r="E815" s="724" t="s">
        <v>292</v>
      </c>
      <c r="F815" s="725">
        <v>45224</v>
      </c>
      <c r="G815" s="725"/>
      <c r="H815" s="724" t="s">
        <v>23</v>
      </c>
      <c r="I815" s="465"/>
      <c r="J815" s="466"/>
      <c r="K815" s="720">
        <v>324</v>
      </c>
      <c r="L815" s="744">
        <v>17.384449999999998</v>
      </c>
      <c r="M815" s="767"/>
      <c r="N815" s="767"/>
      <c r="O815" s="806" t="s">
        <v>3974</v>
      </c>
      <c r="P815" s="721">
        <v>1490.4</v>
      </c>
      <c r="Q815" s="729">
        <v>324</v>
      </c>
      <c r="R815" s="721">
        <v>0.3266</v>
      </c>
      <c r="S815" s="721">
        <v>0.84099999999999997</v>
      </c>
      <c r="T815" s="721">
        <v>486.76459999999997</v>
      </c>
      <c r="U815" s="721">
        <v>1253.4264000000001</v>
      </c>
      <c r="V815" s="721">
        <v>63.28</v>
      </c>
      <c r="W815" s="721">
        <v>119.21</v>
      </c>
      <c r="X815" s="721">
        <v>365</v>
      </c>
      <c r="Y815" s="857">
        <v>177669.09</v>
      </c>
    </row>
    <row r="816" spans="1:25" ht="14.45" customHeight="1" x14ac:dyDescent="0.25">
      <c r="A816" s="437" t="s">
        <v>4678</v>
      </c>
      <c r="B816" s="438">
        <v>517</v>
      </c>
      <c r="C816" s="438"/>
      <c r="D816" s="439" t="s">
        <v>13</v>
      </c>
      <c r="E816" s="439" t="s">
        <v>292</v>
      </c>
      <c r="F816" s="440">
        <v>45224</v>
      </c>
      <c r="G816" s="440"/>
      <c r="H816" s="439" t="s">
        <v>23</v>
      </c>
      <c r="I816" s="493"/>
      <c r="J816" s="494"/>
      <c r="K816" s="443">
        <v>24</v>
      </c>
      <c r="L816" s="444">
        <v>1.1197714285714286</v>
      </c>
      <c r="M816" s="463"/>
      <c r="N816" s="463"/>
      <c r="O816" s="454" t="s">
        <v>4544</v>
      </c>
      <c r="P816" s="447">
        <v>96</v>
      </c>
      <c r="Q816" s="451">
        <v>24</v>
      </c>
      <c r="R816" s="447">
        <v>0.3266</v>
      </c>
      <c r="S816" s="447">
        <v>0.84099999999999997</v>
      </c>
      <c r="T816" s="447">
        <v>31.3536</v>
      </c>
      <c r="U816" s="447">
        <v>80.736000000000004</v>
      </c>
      <c r="V816" s="447">
        <v>4.08</v>
      </c>
      <c r="W816" s="447">
        <v>119.21</v>
      </c>
      <c r="X816" s="447">
        <v>365</v>
      </c>
      <c r="Y816" s="858">
        <v>11444.06</v>
      </c>
    </row>
    <row r="817" spans="1:25" ht="14.45" customHeight="1" x14ac:dyDescent="0.25">
      <c r="A817" s="722" t="s">
        <v>4678</v>
      </c>
      <c r="B817" s="723">
        <v>505</v>
      </c>
      <c r="C817" s="723"/>
      <c r="D817" s="724" t="s">
        <v>13</v>
      </c>
      <c r="E817" s="724" t="s">
        <v>672</v>
      </c>
      <c r="F817" s="725">
        <v>45215</v>
      </c>
      <c r="G817" s="725"/>
      <c r="H817" s="724" t="s">
        <v>23</v>
      </c>
      <c r="I817" s="441"/>
      <c r="J817" s="442"/>
      <c r="K817" s="720">
        <v>427</v>
      </c>
      <c r="L817" s="744">
        <v>28.365000000000002</v>
      </c>
      <c r="M817" s="767"/>
      <c r="N817" s="767"/>
      <c r="O817" s="728" t="s">
        <v>4461</v>
      </c>
      <c r="P817" s="721">
        <v>2562</v>
      </c>
      <c r="Q817" s="729">
        <v>427</v>
      </c>
      <c r="R817" s="721">
        <v>0.31</v>
      </c>
      <c r="S817" s="721">
        <v>1.2010000000000001</v>
      </c>
      <c r="T817" s="721">
        <v>794.22</v>
      </c>
      <c r="U817" s="721">
        <v>3076.962</v>
      </c>
      <c r="V817" s="721">
        <v>103.25</v>
      </c>
      <c r="W817" s="721">
        <v>102.3</v>
      </c>
      <c r="X817" s="721">
        <v>330</v>
      </c>
      <c r="Y817" s="857">
        <v>262092.6</v>
      </c>
    </row>
    <row r="818" spans="1:25" ht="14.45" customHeight="1" x14ac:dyDescent="0.25">
      <c r="A818" s="437" t="s">
        <v>4678</v>
      </c>
      <c r="B818" s="438">
        <v>539</v>
      </c>
      <c r="C818" s="438"/>
      <c r="D818" s="439" t="s">
        <v>13</v>
      </c>
      <c r="E818" s="439" t="s">
        <v>292</v>
      </c>
      <c r="F818" s="440">
        <v>45231</v>
      </c>
      <c r="G818" s="440"/>
      <c r="H818" s="439" t="s">
        <v>23</v>
      </c>
      <c r="I818" s="449"/>
      <c r="J818" s="450"/>
      <c r="K818" s="443">
        <v>184</v>
      </c>
      <c r="L818" s="444">
        <v>8.5849142857142855</v>
      </c>
      <c r="M818" s="463"/>
      <c r="N818" s="463"/>
      <c r="O818" s="445" t="s">
        <v>4544</v>
      </c>
      <c r="P818" s="447">
        <v>736</v>
      </c>
      <c r="Q818" s="451">
        <v>184</v>
      </c>
      <c r="R818" s="447">
        <v>0.3266</v>
      </c>
      <c r="S818" s="447">
        <v>0.84099999999999997</v>
      </c>
      <c r="T818" s="447">
        <v>240.3776</v>
      </c>
      <c r="U818" s="447">
        <v>618.976</v>
      </c>
      <c r="V818" s="447">
        <v>31.25</v>
      </c>
      <c r="W818" s="447">
        <v>119.21</v>
      </c>
      <c r="X818" s="447">
        <v>365</v>
      </c>
      <c r="Y818" s="858">
        <v>87738.559999999998</v>
      </c>
    </row>
    <row r="819" spans="1:25" ht="14.45" customHeight="1" x14ac:dyDescent="0.25">
      <c r="A819" s="722" t="s">
        <v>4678</v>
      </c>
      <c r="B819" s="723">
        <v>506</v>
      </c>
      <c r="C819" s="723"/>
      <c r="D819" s="724" t="s">
        <v>13</v>
      </c>
      <c r="E819" s="724" t="s">
        <v>3819</v>
      </c>
      <c r="F819" s="725">
        <v>44942</v>
      </c>
      <c r="G819" s="725"/>
      <c r="H819" s="724" t="s">
        <v>23</v>
      </c>
      <c r="I819" s="441"/>
      <c r="J819" s="442"/>
      <c r="K819" s="720">
        <v>117</v>
      </c>
      <c r="L819" s="744">
        <v>8.8084285714285713</v>
      </c>
      <c r="M819" s="767"/>
      <c r="N819" s="767"/>
      <c r="O819" s="728" t="s">
        <v>4485</v>
      </c>
      <c r="P819" s="721">
        <v>795.6</v>
      </c>
      <c r="Q819" s="729">
        <v>117</v>
      </c>
      <c r="R819" s="721">
        <v>0.31</v>
      </c>
      <c r="S819" s="721">
        <v>1.2010000000000001</v>
      </c>
      <c r="T819" s="721">
        <v>246.636</v>
      </c>
      <c r="U819" s="721">
        <v>955.51559999999995</v>
      </c>
      <c r="V819" s="721">
        <v>32.06</v>
      </c>
      <c r="W819" s="721">
        <v>130.19999999999999</v>
      </c>
      <c r="X819" s="721">
        <v>420</v>
      </c>
      <c r="Y819" s="857">
        <v>103587.12</v>
      </c>
    </row>
    <row r="820" spans="1:25" ht="14.45" customHeight="1" x14ac:dyDescent="0.25">
      <c r="A820" s="437" t="s">
        <v>4678</v>
      </c>
      <c r="B820" s="438">
        <v>565</v>
      </c>
      <c r="C820" s="438"/>
      <c r="D820" s="439" t="s">
        <v>34</v>
      </c>
      <c r="E820" s="439" t="s">
        <v>3404</v>
      </c>
      <c r="F820" s="440">
        <v>45243</v>
      </c>
      <c r="G820" s="440"/>
      <c r="H820" s="439" t="s">
        <v>23</v>
      </c>
      <c r="I820" s="449"/>
      <c r="J820" s="450"/>
      <c r="K820" s="443">
        <v>400</v>
      </c>
      <c r="L820" s="444">
        <v>8.6571428571428566</v>
      </c>
      <c r="M820" s="463"/>
      <c r="N820" s="463"/>
      <c r="O820" s="445" t="s">
        <v>4582</v>
      </c>
      <c r="P820" s="447">
        <v>2400</v>
      </c>
      <c r="Q820" s="451">
        <v>400</v>
      </c>
      <c r="R820" s="447">
        <v>0.10100000000000001</v>
      </c>
      <c r="S820" s="447">
        <v>0.30599999999999999</v>
      </c>
      <c r="T820" s="447">
        <v>242.4</v>
      </c>
      <c r="U820" s="447">
        <v>734.4</v>
      </c>
      <c r="V820" s="447">
        <v>31.51</v>
      </c>
      <c r="W820" s="447">
        <v>29.29</v>
      </c>
      <c r="X820" s="447">
        <v>290</v>
      </c>
      <c r="Y820" s="858">
        <v>70296</v>
      </c>
    </row>
    <row r="821" spans="1:25" ht="14.45" customHeight="1" x14ac:dyDescent="0.25">
      <c r="A821" s="722" t="s">
        <v>4678</v>
      </c>
      <c r="B821" s="723" t="s">
        <v>4306</v>
      </c>
      <c r="C821" s="723"/>
      <c r="D821" s="724" t="s">
        <v>34</v>
      </c>
      <c r="E821" s="724" t="s">
        <v>16</v>
      </c>
      <c r="F821" s="725">
        <v>45127</v>
      </c>
      <c r="G821" s="725"/>
      <c r="H821" s="724" t="s">
        <v>23</v>
      </c>
      <c r="I821" s="441"/>
      <c r="J821" s="442"/>
      <c r="K821" s="720">
        <v>44</v>
      </c>
      <c r="L821" s="744">
        <v>6.677314285714286</v>
      </c>
      <c r="M821" s="767"/>
      <c r="N821" s="767"/>
      <c r="O821" s="728" t="s">
        <v>2469</v>
      </c>
      <c r="P821" s="721">
        <v>264</v>
      </c>
      <c r="Q821" s="729">
        <v>44</v>
      </c>
      <c r="R821" s="721">
        <v>0.70820000000000005</v>
      </c>
      <c r="S821" s="721">
        <v>3.4609999999999999</v>
      </c>
      <c r="T821" s="721">
        <v>186.9648</v>
      </c>
      <c r="U821" s="721">
        <v>913.70399999999995</v>
      </c>
      <c r="V821" s="721">
        <v>24.31</v>
      </c>
      <c r="W821" s="721">
        <v>242.91</v>
      </c>
      <c r="X821" s="721">
        <v>343</v>
      </c>
      <c r="Y821" s="857">
        <v>64128.93</v>
      </c>
    </row>
    <row r="822" spans="1:25" ht="14.45" customHeight="1" x14ac:dyDescent="0.25">
      <c r="A822" s="437" t="s">
        <v>4678</v>
      </c>
      <c r="B822" s="438" t="s">
        <v>1762</v>
      </c>
      <c r="C822" s="438"/>
      <c r="D822" s="439" t="s">
        <v>34</v>
      </c>
      <c r="E822" s="439" t="s">
        <v>16</v>
      </c>
      <c r="F822" s="440">
        <v>45141</v>
      </c>
      <c r="G822" s="440"/>
      <c r="H822" s="439" t="s">
        <v>23</v>
      </c>
      <c r="I822" s="449"/>
      <c r="J822" s="450"/>
      <c r="K822" s="443">
        <v>96</v>
      </c>
      <c r="L822" s="444">
        <v>3.2729142857142857</v>
      </c>
      <c r="M822" s="463"/>
      <c r="N822" s="463"/>
      <c r="O822" s="445" t="s">
        <v>2845</v>
      </c>
      <c r="P822" s="447">
        <v>576</v>
      </c>
      <c r="Q822" s="451">
        <v>96</v>
      </c>
      <c r="R822" s="447">
        <v>0.15909999999999999</v>
      </c>
      <c r="S822" s="447">
        <v>0.26</v>
      </c>
      <c r="T822" s="447">
        <v>91.641599999999997</v>
      </c>
      <c r="U822" s="447">
        <v>149.76</v>
      </c>
      <c r="V822" s="447">
        <v>11.91</v>
      </c>
      <c r="W822" s="447">
        <v>69.69</v>
      </c>
      <c r="X822" s="447">
        <v>438</v>
      </c>
      <c r="Y822" s="858">
        <v>40139.019999999997</v>
      </c>
    </row>
    <row r="823" spans="1:25" ht="14.45" customHeight="1" x14ac:dyDescent="0.25">
      <c r="A823" s="722" t="s">
        <v>4678</v>
      </c>
      <c r="B823" s="723" t="s">
        <v>4328</v>
      </c>
      <c r="C823" s="723"/>
      <c r="D823" s="724" t="s">
        <v>34</v>
      </c>
      <c r="E823" s="724" t="s">
        <v>16</v>
      </c>
      <c r="F823" s="725">
        <v>45141</v>
      </c>
      <c r="G823" s="725"/>
      <c r="H823" s="464" t="s">
        <v>677</v>
      </c>
      <c r="I823" s="441"/>
      <c r="J823" s="442"/>
      <c r="K823" s="720">
        <v>44</v>
      </c>
      <c r="L823" s="744">
        <v>6.677314285714286</v>
      </c>
      <c r="M823" s="767"/>
      <c r="N823" s="767"/>
      <c r="O823" s="728" t="s">
        <v>2469</v>
      </c>
      <c r="P823" s="721">
        <v>264</v>
      </c>
      <c r="Q823" s="729">
        <v>44</v>
      </c>
      <c r="R823" s="721">
        <v>0.70820000000000005</v>
      </c>
      <c r="S823" s="721">
        <v>3.4609999999999999</v>
      </c>
      <c r="T823" s="721">
        <v>186.9648</v>
      </c>
      <c r="U823" s="721">
        <v>913.70399999999995</v>
      </c>
      <c r="V823" s="721">
        <v>24.31</v>
      </c>
      <c r="W823" s="721">
        <v>242.91</v>
      </c>
      <c r="X823" s="721">
        <v>343</v>
      </c>
      <c r="Y823" s="857">
        <v>64128.93</v>
      </c>
    </row>
    <row r="824" spans="1:25" ht="14.45" customHeight="1" x14ac:dyDescent="0.25">
      <c r="A824" s="437" t="s">
        <v>4678</v>
      </c>
      <c r="B824" s="438" t="s">
        <v>4432</v>
      </c>
      <c r="C824" s="438"/>
      <c r="D824" s="439" t="s">
        <v>34</v>
      </c>
      <c r="E824" s="439" t="s">
        <v>16</v>
      </c>
      <c r="F824" s="440">
        <v>45189</v>
      </c>
      <c r="G824" s="440"/>
      <c r="H824" s="439" t="s">
        <v>23</v>
      </c>
      <c r="I824" s="449"/>
      <c r="J824" s="450"/>
      <c r="K824" s="443">
        <v>121</v>
      </c>
      <c r="L824" s="444">
        <v>9.0698142857142852</v>
      </c>
      <c r="M824" s="463"/>
      <c r="N824" s="463"/>
      <c r="O824" s="445" t="s">
        <v>2730</v>
      </c>
      <c r="P824" s="447">
        <v>726</v>
      </c>
      <c r="Q824" s="451">
        <v>121</v>
      </c>
      <c r="R824" s="447">
        <v>0.3498</v>
      </c>
      <c r="S824" s="447">
        <v>1.425</v>
      </c>
      <c r="T824" s="447">
        <v>253.95480000000001</v>
      </c>
      <c r="U824" s="447">
        <v>1034.55</v>
      </c>
      <c r="V824" s="447">
        <v>33.01</v>
      </c>
      <c r="W824" s="447">
        <v>127.68</v>
      </c>
      <c r="X824" s="447">
        <v>365</v>
      </c>
      <c r="Y824" s="858">
        <v>92693.5</v>
      </c>
    </row>
    <row r="825" spans="1:25" ht="14.45" customHeight="1" x14ac:dyDescent="0.25">
      <c r="A825" s="722" t="s">
        <v>4678</v>
      </c>
      <c r="B825" s="723" t="s">
        <v>4473</v>
      </c>
      <c r="C825" s="723"/>
      <c r="D825" s="724" t="s">
        <v>34</v>
      </c>
      <c r="E825" s="724" t="s">
        <v>16</v>
      </c>
      <c r="F825" s="725">
        <v>45211</v>
      </c>
      <c r="G825" s="725"/>
      <c r="H825" s="724" t="s">
        <v>23</v>
      </c>
      <c r="I825" s="441"/>
      <c r="J825" s="442"/>
      <c r="K825" s="720">
        <v>168</v>
      </c>
      <c r="L825" s="744">
        <v>9.8135999999999992</v>
      </c>
      <c r="M825" s="767" t="s">
        <v>4641</v>
      </c>
      <c r="N825" s="767"/>
      <c r="O825" s="728" t="s">
        <v>2859</v>
      </c>
      <c r="P825" s="721">
        <v>1008</v>
      </c>
      <c r="Q825" s="729">
        <v>168</v>
      </c>
      <c r="R825" s="721">
        <v>0.27260000000000001</v>
      </c>
      <c r="S825" s="721">
        <v>0.72899999999999998</v>
      </c>
      <c r="T825" s="721">
        <v>274.7808</v>
      </c>
      <c r="U825" s="721">
        <v>734.83199999999999</v>
      </c>
      <c r="V825" s="721">
        <v>35.72</v>
      </c>
      <c r="W825" s="721">
        <v>99.5</v>
      </c>
      <c r="X825" s="721">
        <v>365</v>
      </c>
      <c r="Y825" s="857">
        <v>100296</v>
      </c>
    </row>
    <row r="826" spans="1:25" ht="14.45" customHeight="1" x14ac:dyDescent="0.25">
      <c r="A826" s="437" t="s">
        <v>4678</v>
      </c>
      <c r="B826" s="438" t="s">
        <v>4474</v>
      </c>
      <c r="C826" s="438"/>
      <c r="D826" s="439" t="s">
        <v>34</v>
      </c>
      <c r="E826" s="439" t="s">
        <v>16</v>
      </c>
      <c r="F826" s="440">
        <v>45211</v>
      </c>
      <c r="G826" s="440"/>
      <c r="H826" s="439" t="s">
        <v>23</v>
      </c>
      <c r="I826" s="449"/>
      <c r="J826" s="450"/>
      <c r="K826" s="443">
        <v>94</v>
      </c>
      <c r="L826" s="444">
        <v>11.479414285714286</v>
      </c>
      <c r="M826" s="463"/>
      <c r="N826" s="463"/>
      <c r="O826" s="445" t="s">
        <v>2581</v>
      </c>
      <c r="P826" s="447">
        <v>564</v>
      </c>
      <c r="Q826" s="451">
        <v>94</v>
      </c>
      <c r="R826" s="447">
        <v>0.56989999999999996</v>
      </c>
      <c r="S826" s="447">
        <v>1.304</v>
      </c>
      <c r="T826" s="447">
        <v>321.42360000000002</v>
      </c>
      <c r="U826" s="447">
        <v>735.45600000000002</v>
      </c>
      <c r="V826" s="447">
        <v>41.79</v>
      </c>
      <c r="W826" s="447">
        <v>267.85000000000002</v>
      </c>
      <c r="X826" s="447">
        <v>470</v>
      </c>
      <c r="Y826" s="858">
        <v>151069.09</v>
      </c>
    </row>
    <row r="827" spans="1:25" ht="14.45" customHeight="1" x14ac:dyDescent="0.25">
      <c r="A827" s="722" t="s">
        <v>4678</v>
      </c>
      <c r="B827" s="723" t="s">
        <v>4499</v>
      </c>
      <c r="C827" s="723"/>
      <c r="D827" s="724" t="s">
        <v>34</v>
      </c>
      <c r="E827" s="724" t="s">
        <v>16</v>
      </c>
      <c r="F827" s="725">
        <v>45218</v>
      </c>
      <c r="G827" s="725"/>
      <c r="H827" s="724" t="s">
        <v>23</v>
      </c>
      <c r="I827" s="441"/>
      <c r="J827" s="442"/>
      <c r="K827" s="720">
        <v>91</v>
      </c>
      <c r="L827" s="744">
        <v>5.84415</v>
      </c>
      <c r="M827" s="767"/>
      <c r="N827" s="767"/>
      <c r="O827" s="728" t="s">
        <v>2423</v>
      </c>
      <c r="P827" s="721">
        <v>546</v>
      </c>
      <c r="Q827" s="729">
        <v>91</v>
      </c>
      <c r="R827" s="721">
        <v>0.29970000000000002</v>
      </c>
      <c r="S827" s="721">
        <v>1.6739999999999999</v>
      </c>
      <c r="T827" s="721">
        <v>163.6362</v>
      </c>
      <c r="U827" s="721">
        <v>914.00400000000002</v>
      </c>
      <c r="V827" s="721">
        <v>21.27</v>
      </c>
      <c r="W827" s="721">
        <v>109.39</v>
      </c>
      <c r="X827" s="721">
        <v>365</v>
      </c>
      <c r="Y827" s="857">
        <v>59727.21</v>
      </c>
    </row>
    <row r="828" spans="1:25" ht="14.45" customHeight="1" x14ac:dyDescent="0.25">
      <c r="A828" s="437" t="s">
        <v>4678</v>
      </c>
      <c r="B828" s="438">
        <v>509</v>
      </c>
      <c r="C828" s="438"/>
      <c r="D828" s="439" t="s">
        <v>34</v>
      </c>
      <c r="E828" s="439" t="s">
        <v>19</v>
      </c>
      <c r="F828" s="440">
        <v>45217</v>
      </c>
      <c r="G828" s="440"/>
      <c r="H828" s="439" t="s">
        <v>23</v>
      </c>
      <c r="I828" s="449"/>
      <c r="J828" s="450"/>
      <c r="K828" s="443">
        <v>252</v>
      </c>
      <c r="L828" s="444">
        <v>9.0442785714285723</v>
      </c>
      <c r="M828" s="463"/>
      <c r="N828" s="463"/>
      <c r="O828" s="445" t="s">
        <v>3094</v>
      </c>
      <c r="P828" s="447">
        <v>932.4</v>
      </c>
      <c r="Q828" s="451">
        <v>252</v>
      </c>
      <c r="R828" s="447">
        <v>0.27160000000000001</v>
      </c>
      <c r="S828" s="447">
        <v>0.72799999999999998</v>
      </c>
      <c r="T828" s="447">
        <v>253.2398</v>
      </c>
      <c r="U828" s="447">
        <v>678.78719999999998</v>
      </c>
      <c r="V828" s="447">
        <v>32.92</v>
      </c>
      <c r="W828" s="447">
        <v>103.21</v>
      </c>
      <c r="X828" s="447">
        <v>380</v>
      </c>
      <c r="Y828" s="858">
        <v>96233</v>
      </c>
    </row>
    <row r="829" spans="1:25" ht="14.45" customHeight="1" x14ac:dyDescent="0.25">
      <c r="A829" s="722" t="s">
        <v>4678</v>
      </c>
      <c r="B829" s="723">
        <v>502</v>
      </c>
      <c r="C829" s="723"/>
      <c r="D829" s="724" t="s">
        <v>13</v>
      </c>
      <c r="E829" s="724" t="s">
        <v>4495</v>
      </c>
      <c r="F829" s="725">
        <v>45217</v>
      </c>
      <c r="G829" s="725"/>
      <c r="H829" s="724" t="s">
        <v>23</v>
      </c>
      <c r="I829" s="441"/>
      <c r="J829" s="442"/>
      <c r="K829" s="720">
        <v>50</v>
      </c>
      <c r="L829" s="744">
        <v>0.78214285714285714</v>
      </c>
      <c r="M829" s="767"/>
      <c r="N829" s="767"/>
      <c r="O829" s="728" t="s">
        <v>4494</v>
      </c>
      <c r="P829" s="721">
        <v>300</v>
      </c>
      <c r="Q829" s="729">
        <v>50</v>
      </c>
      <c r="R829" s="721">
        <v>7.2999999999999995E-2</v>
      </c>
      <c r="S829" s="721">
        <v>0.121</v>
      </c>
      <c r="T829" s="721">
        <v>21.9</v>
      </c>
      <c r="U829" s="721">
        <v>36.299999999999997</v>
      </c>
      <c r="V829" s="721">
        <v>2.85</v>
      </c>
      <c r="W829" s="721">
        <v>26.65</v>
      </c>
      <c r="X829" s="721">
        <v>365</v>
      </c>
      <c r="Y829" s="857">
        <v>7993.5</v>
      </c>
    </row>
    <row r="830" spans="1:25" ht="14.45" customHeight="1" x14ac:dyDescent="0.25">
      <c r="A830" s="437" t="s">
        <v>4678</v>
      </c>
      <c r="B830" s="438" t="s">
        <v>4549</v>
      </c>
      <c r="C830" s="438"/>
      <c r="D830" s="439" t="s">
        <v>34</v>
      </c>
      <c r="E830" s="439" t="s">
        <v>16</v>
      </c>
      <c r="F830" s="440">
        <v>45231</v>
      </c>
      <c r="G830" s="440"/>
      <c r="H830" s="439" t="s">
        <v>23</v>
      </c>
      <c r="I830" s="449"/>
      <c r="J830" s="450"/>
      <c r="K830" s="443">
        <v>200</v>
      </c>
      <c r="L830" s="444">
        <v>12.844285714285714</v>
      </c>
      <c r="M830" s="463" t="s">
        <v>4412</v>
      </c>
      <c r="N830" s="463"/>
      <c r="O830" s="445" t="s">
        <v>2423</v>
      </c>
      <c r="P830" s="447">
        <v>1200</v>
      </c>
      <c r="Q830" s="451">
        <v>200</v>
      </c>
      <c r="R830" s="447">
        <v>0.29970000000000002</v>
      </c>
      <c r="S830" s="447">
        <v>1.6739999999999999</v>
      </c>
      <c r="T830" s="447">
        <v>359.64</v>
      </c>
      <c r="U830" s="447">
        <v>2008.8</v>
      </c>
      <c r="V830" s="447">
        <v>46.75</v>
      </c>
      <c r="W830" s="447">
        <v>140.86000000000001</v>
      </c>
      <c r="X830" s="447">
        <v>470</v>
      </c>
      <c r="Y830" s="858">
        <v>169030.8</v>
      </c>
    </row>
    <row r="831" spans="1:25" ht="14.45" customHeight="1" x14ac:dyDescent="0.25">
      <c r="A831" s="722" t="s">
        <v>4678</v>
      </c>
      <c r="B831" s="723" t="s">
        <v>4550</v>
      </c>
      <c r="C831" s="723"/>
      <c r="D831" s="724" t="s">
        <v>34</v>
      </c>
      <c r="E831" s="724" t="s">
        <v>16</v>
      </c>
      <c r="F831" s="725">
        <v>45231</v>
      </c>
      <c r="G831" s="725"/>
      <c r="H831" s="724" t="s">
        <v>23</v>
      </c>
      <c r="I831" s="441"/>
      <c r="J831" s="442"/>
      <c r="K831" s="720">
        <v>19</v>
      </c>
      <c r="L831" s="744">
        <v>2.3203071428571427</v>
      </c>
      <c r="M831" s="767"/>
      <c r="N831" s="767" t="s">
        <v>4822</v>
      </c>
      <c r="O831" s="728" t="s">
        <v>2581</v>
      </c>
      <c r="P831" s="721">
        <v>114</v>
      </c>
      <c r="Q831" s="729">
        <v>19</v>
      </c>
      <c r="R831" s="721">
        <v>0.56989999999999996</v>
      </c>
      <c r="S831" s="721">
        <v>1.304</v>
      </c>
      <c r="T831" s="721">
        <v>64.968599999999995</v>
      </c>
      <c r="U831" s="721">
        <v>148.65600000000001</v>
      </c>
      <c r="V831" s="721">
        <v>8.4499999999999993</v>
      </c>
      <c r="W831" s="721">
        <v>267.85000000000002</v>
      </c>
      <c r="X831" s="721">
        <v>470</v>
      </c>
      <c r="Y831" s="857">
        <v>30535.24</v>
      </c>
    </row>
    <row r="832" spans="1:25" ht="14.45" customHeight="1" x14ac:dyDescent="0.25">
      <c r="A832" s="437" t="s">
        <v>4678</v>
      </c>
      <c r="B832" s="438" t="s">
        <v>4500</v>
      </c>
      <c r="C832" s="438"/>
      <c r="D832" s="439" t="s">
        <v>13</v>
      </c>
      <c r="E832" s="438" t="s">
        <v>585</v>
      </c>
      <c r="F832" s="440">
        <v>45219</v>
      </c>
      <c r="G832" s="440"/>
      <c r="H832" s="439" t="s">
        <v>23</v>
      </c>
      <c r="I832" s="449"/>
      <c r="J832" s="450"/>
      <c r="K832" s="443"/>
      <c r="L832" s="444">
        <v>0</v>
      </c>
      <c r="M832" s="463"/>
      <c r="N832" s="463"/>
      <c r="O832" s="445" t="s">
        <v>710</v>
      </c>
      <c r="P832" s="447"/>
      <c r="Q832" s="451" t="s">
        <v>3131</v>
      </c>
      <c r="R832" s="447"/>
      <c r="S832" s="447"/>
      <c r="T832" s="447"/>
      <c r="U832" s="447"/>
      <c r="V832" s="447"/>
      <c r="W832" s="447"/>
      <c r="X832" s="447"/>
      <c r="Y832" s="858"/>
    </row>
    <row r="833" spans="1:25" ht="14.45" customHeight="1" x14ac:dyDescent="0.25">
      <c r="A833" s="722" t="s">
        <v>4678</v>
      </c>
      <c r="B833" s="723" t="s">
        <v>4500</v>
      </c>
      <c r="C833" s="723"/>
      <c r="D833" s="724" t="s">
        <v>13</v>
      </c>
      <c r="E833" s="723" t="s">
        <v>585</v>
      </c>
      <c r="F833" s="725">
        <v>45219</v>
      </c>
      <c r="G833" s="725"/>
      <c r="H833" s="724" t="s">
        <v>23</v>
      </c>
      <c r="I833" s="441"/>
      <c r="J833" s="442"/>
      <c r="K833" s="720"/>
      <c r="L833" s="744">
        <v>0</v>
      </c>
      <c r="M833" s="767"/>
      <c r="N833" s="767"/>
      <c r="O833" s="728" t="s">
        <v>711</v>
      </c>
      <c r="P833" s="721"/>
      <c r="Q833" s="729" t="s">
        <v>3131</v>
      </c>
      <c r="R833" s="721"/>
      <c r="S833" s="721"/>
      <c r="T833" s="721"/>
      <c r="U833" s="721"/>
      <c r="V833" s="721"/>
      <c r="W833" s="721"/>
      <c r="X833" s="721"/>
      <c r="Y833" s="857"/>
    </row>
    <row r="834" spans="1:25" ht="14.45" customHeight="1" x14ac:dyDescent="0.25">
      <c r="A834" s="437" t="s">
        <v>4678</v>
      </c>
      <c r="B834" s="438" t="s">
        <v>4500</v>
      </c>
      <c r="C834" s="438"/>
      <c r="D834" s="439" t="s">
        <v>13</v>
      </c>
      <c r="E834" s="438" t="s">
        <v>585</v>
      </c>
      <c r="F834" s="440">
        <v>45219</v>
      </c>
      <c r="G834" s="440"/>
      <c r="H834" s="439" t="s">
        <v>23</v>
      </c>
      <c r="I834" s="449"/>
      <c r="J834" s="450"/>
      <c r="K834" s="443"/>
      <c r="L834" s="444">
        <v>0</v>
      </c>
      <c r="M834" s="463"/>
      <c r="N834" s="463"/>
      <c r="O834" s="445" t="s">
        <v>712</v>
      </c>
      <c r="P834" s="447"/>
      <c r="Q834" s="451" t="s">
        <v>3672</v>
      </c>
      <c r="R834" s="447"/>
      <c r="S834" s="447"/>
      <c r="T834" s="447"/>
      <c r="U834" s="447"/>
      <c r="V834" s="447"/>
      <c r="W834" s="447"/>
      <c r="X834" s="447"/>
      <c r="Y834" s="858"/>
    </row>
    <row r="835" spans="1:25" ht="14.45" customHeight="1" x14ac:dyDescent="0.25">
      <c r="A835" s="722" t="s">
        <v>4678</v>
      </c>
      <c r="B835" s="723" t="s">
        <v>4500</v>
      </c>
      <c r="C835" s="723"/>
      <c r="D835" s="724" t="s">
        <v>13</v>
      </c>
      <c r="E835" s="723" t="s">
        <v>585</v>
      </c>
      <c r="F835" s="725">
        <v>45219</v>
      </c>
      <c r="G835" s="725"/>
      <c r="H835" s="724" t="s">
        <v>23</v>
      </c>
      <c r="I835" s="441"/>
      <c r="J835" s="442"/>
      <c r="K835" s="720"/>
      <c r="L835" s="744">
        <v>0</v>
      </c>
      <c r="M835" s="767"/>
      <c r="N835" s="767"/>
      <c r="O835" s="728" t="s">
        <v>870</v>
      </c>
      <c r="P835" s="721"/>
      <c r="Q835" s="729" t="s">
        <v>446</v>
      </c>
      <c r="R835" s="721"/>
      <c r="S835" s="721"/>
      <c r="T835" s="721"/>
      <c r="U835" s="721"/>
      <c r="V835" s="721"/>
      <c r="W835" s="721"/>
      <c r="X835" s="721"/>
      <c r="Y835" s="857"/>
    </row>
    <row r="836" spans="1:25" ht="14.45" customHeight="1" x14ac:dyDescent="0.25">
      <c r="A836" s="437" t="s">
        <v>4678</v>
      </c>
      <c r="B836" s="438" t="s">
        <v>4500</v>
      </c>
      <c r="C836" s="438"/>
      <c r="D836" s="439" t="s">
        <v>13</v>
      </c>
      <c r="E836" s="438" t="s">
        <v>585</v>
      </c>
      <c r="F836" s="440">
        <v>45219</v>
      </c>
      <c r="G836" s="440"/>
      <c r="H836" s="439" t="s">
        <v>23</v>
      </c>
      <c r="I836" s="449"/>
      <c r="J836" s="450"/>
      <c r="K836" s="443"/>
      <c r="L836" s="444">
        <v>0</v>
      </c>
      <c r="M836" s="463"/>
      <c r="N836" s="463"/>
      <c r="O836" s="445" t="s">
        <v>713</v>
      </c>
      <c r="P836" s="447"/>
      <c r="Q836" s="451" t="s">
        <v>1815</v>
      </c>
      <c r="R836" s="447"/>
      <c r="S836" s="447"/>
      <c r="T836" s="447"/>
      <c r="U836" s="447"/>
      <c r="V836" s="447"/>
      <c r="W836" s="447"/>
      <c r="X836" s="447"/>
      <c r="Y836" s="858"/>
    </row>
    <row r="837" spans="1:25" ht="14.45" customHeight="1" x14ac:dyDescent="0.25">
      <c r="A837" s="722" t="s">
        <v>4678</v>
      </c>
      <c r="B837" s="723" t="s">
        <v>4500</v>
      </c>
      <c r="C837" s="723"/>
      <c r="D837" s="724" t="s">
        <v>13</v>
      </c>
      <c r="E837" s="723" t="s">
        <v>585</v>
      </c>
      <c r="F837" s="725">
        <v>45219</v>
      </c>
      <c r="G837" s="725"/>
      <c r="H837" s="724" t="s">
        <v>23</v>
      </c>
      <c r="I837" s="441"/>
      <c r="J837" s="442"/>
      <c r="K837" s="720"/>
      <c r="L837" s="744">
        <v>0</v>
      </c>
      <c r="M837" s="767"/>
      <c r="N837" s="767"/>
      <c r="O837" s="728" t="s">
        <v>714</v>
      </c>
      <c r="P837" s="721"/>
      <c r="Q837" s="729" t="s">
        <v>226</v>
      </c>
      <c r="R837" s="721"/>
      <c r="S837" s="721"/>
      <c r="T837" s="721"/>
      <c r="U837" s="721"/>
      <c r="V837" s="721"/>
      <c r="W837" s="721"/>
      <c r="X837" s="721"/>
      <c r="Y837" s="857"/>
    </row>
    <row r="838" spans="1:25" ht="14.45" customHeight="1" x14ac:dyDescent="0.25">
      <c r="A838" s="437" t="s">
        <v>4678</v>
      </c>
      <c r="B838" s="438" t="s">
        <v>4500</v>
      </c>
      <c r="C838" s="438"/>
      <c r="D838" s="439" t="s">
        <v>13</v>
      </c>
      <c r="E838" s="438" t="s">
        <v>585</v>
      </c>
      <c r="F838" s="440">
        <v>45219</v>
      </c>
      <c r="G838" s="440"/>
      <c r="H838" s="439" t="s">
        <v>23</v>
      </c>
      <c r="I838" s="449"/>
      <c r="J838" s="450"/>
      <c r="K838" s="443"/>
      <c r="L838" s="444">
        <v>0</v>
      </c>
      <c r="M838" s="463"/>
      <c r="N838" s="463"/>
      <c r="O838" s="445" t="s">
        <v>715</v>
      </c>
      <c r="P838" s="447"/>
      <c r="Q838" s="451" t="s">
        <v>3133</v>
      </c>
      <c r="R838" s="447"/>
      <c r="S838" s="447"/>
      <c r="T838" s="447"/>
      <c r="U838" s="447"/>
      <c r="V838" s="447"/>
      <c r="W838" s="447"/>
      <c r="X838" s="447"/>
      <c r="Y838" s="858"/>
    </row>
    <row r="839" spans="1:25" ht="14.45" customHeight="1" x14ac:dyDescent="0.25">
      <c r="A839" s="722" t="s">
        <v>4678</v>
      </c>
      <c r="B839" s="723" t="s">
        <v>4500</v>
      </c>
      <c r="C839" s="723"/>
      <c r="D839" s="724" t="s">
        <v>13</v>
      </c>
      <c r="E839" s="723" t="s">
        <v>585</v>
      </c>
      <c r="F839" s="725">
        <v>45219</v>
      </c>
      <c r="G839" s="725"/>
      <c r="H839" s="724" t="s">
        <v>23</v>
      </c>
      <c r="I839" s="441"/>
      <c r="J839" s="442"/>
      <c r="K839" s="720"/>
      <c r="L839" s="744">
        <v>0</v>
      </c>
      <c r="M839" s="767"/>
      <c r="N839" s="767"/>
      <c r="O839" s="728" t="s">
        <v>716</v>
      </c>
      <c r="P839" s="721"/>
      <c r="Q839" s="729" t="s">
        <v>411</v>
      </c>
      <c r="R839" s="721"/>
      <c r="S839" s="721"/>
      <c r="T839" s="721"/>
      <c r="U839" s="721"/>
      <c r="V839" s="721"/>
      <c r="W839" s="721"/>
      <c r="X839" s="721"/>
      <c r="Y839" s="857"/>
    </row>
    <row r="840" spans="1:25" ht="14.45" customHeight="1" x14ac:dyDescent="0.25">
      <c r="A840" s="437" t="s">
        <v>4678</v>
      </c>
      <c r="B840" s="438" t="s">
        <v>4500</v>
      </c>
      <c r="C840" s="438"/>
      <c r="D840" s="439" t="s">
        <v>13</v>
      </c>
      <c r="E840" s="438" t="s">
        <v>585</v>
      </c>
      <c r="F840" s="440">
        <v>45219</v>
      </c>
      <c r="G840" s="440"/>
      <c r="H840" s="439" t="s">
        <v>23</v>
      </c>
      <c r="I840" s="449"/>
      <c r="J840" s="450"/>
      <c r="K840" s="443"/>
      <c r="L840" s="444">
        <v>0</v>
      </c>
      <c r="M840" s="463"/>
      <c r="N840" s="463"/>
      <c r="O840" s="445" t="s">
        <v>717</v>
      </c>
      <c r="P840" s="447"/>
      <c r="Q840" s="451" t="s">
        <v>411</v>
      </c>
      <c r="R840" s="447"/>
      <c r="S840" s="447"/>
      <c r="T840" s="447"/>
      <c r="U840" s="447"/>
      <c r="V840" s="447"/>
      <c r="W840" s="447"/>
      <c r="X840" s="447"/>
      <c r="Y840" s="858"/>
    </row>
    <row r="841" spans="1:25" ht="14.45" customHeight="1" x14ac:dyDescent="0.25">
      <c r="A841" s="722" t="s">
        <v>4678</v>
      </c>
      <c r="B841" s="723" t="s">
        <v>4500</v>
      </c>
      <c r="C841" s="723"/>
      <c r="D841" s="724" t="s">
        <v>13</v>
      </c>
      <c r="E841" s="723" t="s">
        <v>585</v>
      </c>
      <c r="F841" s="725">
        <v>45219</v>
      </c>
      <c r="G841" s="725"/>
      <c r="H841" s="724" t="s">
        <v>23</v>
      </c>
      <c r="I841" s="441"/>
      <c r="J841" s="442"/>
      <c r="K841" s="720"/>
      <c r="L841" s="744">
        <v>0</v>
      </c>
      <c r="M841" s="767"/>
      <c r="N841" s="767"/>
      <c r="O841" s="728" t="s">
        <v>718</v>
      </c>
      <c r="P841" s="721"/>
      <c r="Q841" s="729" t="s">
        <v>193</v>
      </c>
      <c r="R841" s="721"/>
      <c r="S841" s="721"/>
      <c r="T841" s="721"/>
      <c r="U841" s="721"/>
      <c r="V841" s="721"/>
      <c r="W841" s="721"/>
      <c r="X841" s="721"/>
      <c r="Y841" s="857"/>
    </row>
    <row r="842" spans="1:25" ht="14.45" customHeight="1" x14ac:dyDescent="0.25">
      <c r="A842" s="437" t="s">
        <v>4678</v>
      </c>
      <c r="B842" s="438" t="s">
        <v>4500</v>
      </c>
      <c r="C842" s="438"/>
      <c r="D842" s="439" t="s">
        <v>13</v>
      </c>
      <c r="E842" s="438" t="s">
        <v>585</v>
      </c>
      <c r="F842" s="440">
        <v>45219</v>
      </c>
      <c r="G842" s="440"/>
      <c r="H842" s="439" t="s">
        <v>23</v>
      </c>
      <c r="I842" s="449"/>
      <c r="J842" s="450"/>
      <c r="K842" s="443"/>
      <c r="L842" s="444">
        <v>0</v>
      </c>
      <c r="M842" s="463"/>
      <c r="N842" s="463"/>
      <c r="O842" s="445" t="s">
        <v>719</v>
      </c>
      <c r="P842" s="447"/>
      <c r="Q842" s="451" t="s">
        <v>123</v>
      </c>
      <c r="R842" s="447"/>
      <c r="S842" s="447"/>
      <c r="T842" s="447"/>
      <c r="U842" s="447"/>
      <c r="V842" s="447"/>
      <c r="W842" s="447"/>
      <c r="X842" s="447"/>
      <c r="Y842" s="858"/>
    </row>
    <row r="843" spans="1:25" ht="14.45" customHeight="1" x14ac:dyDescent="0.25">
      <c r="A843" s="722" t="s">
        <v>4678</v>
      </c>
      <c r="B843" s="723" t="s">
        <v>4552</v>
      </c>
      <c r="C843" s="723"/>
      <c r="D843" s="724" t="s">
        <v>34</v>
      </c>
      <c r="E843" s="724" t="s">
        <v>16</v>
      </c>
      <c r="F843" s="725">
        <v>45231</v>
      </c>
      <c r="G843" s="725"/>
      <c r="H843" s="724" t="s">
        <v>23</v>
      </c>
      <c r="I843" s="441"/>
      <c r="J843" s="442">
        <v>518</v>
      </c>
      <c r="K843" s="720">
        <v>0</v>
      </c>
      <c r="L843" s="744">
        <v>0</v>
      </c>
      <c r="M843" s="767" t="s">
        <v>5038</v>
      </c>
      <c r="N843" s="767" t="s">
        <v>4822</v>
      </c>
      <c r="O843" s="728" t="s">
        <v>2845</v>
      </c>
      <c r="P843" s="721">
        <v>3108</v>
      </c>
      <c r="Q843" s="729">
        <v>518</v>
      </c>
      <c r="R843" s="721">
        <v>0.15909999999999999</v>
      </c>
      <c r="S843" s="721">
        <v>0.26</v>
      </c>
      <c r="T843" s="721">
        <v>494.4828</v>
      </c>
      <c r="U843" s="721">
        <v>808.08</v>
      </c>
      <c r="V843" s="721">
        <v>64.28</v>
      </c>
      <c r="W843" s="721">
        <v>74.78</v>
      </c>
      <c r="X843" s="721">
        <v>470</v>
      </c>
      <c r="Y843" s="857">
        <v>232406.92</v>
      </c>
    </row>
    <row r="844" spans="1:25" ht="14.45" customHeight="1" x14ac:dyDescent="0.25">
      <c r="A844" s="437" t="s">
        <v>4678</v>
      </c>
      <c r="B844" s="438" t="s">
        <v>4551</v>
      </c>
      <c r="C844" s="438"/>
      <c r="D844" s="439" t="s">
        <v>34</v>
      </c>
      <c r="E844" s="439" t="s">
        <v>16</v>
      </c>
      <c r="F844" s="440">
        <v>45231</v>
      </c>
      <c r="G844" s="440"/>
      <c r="H844" s="439" t="s">
        <v>23</v>
      </c>
      <c r="I844" s="449"/>
      <c r="J844" s="450">
        <v>84</v>
      </c>
      <c r="K844" s="443">
        <v>4</v>
      </c>
      <c r="L844" s="444">
        <v>6.5962285714285711</v>
      </c>
      <c r="M844" s="463"/>
      <c r="N844" s="463"/>
      <c r="O844" s="445" t="s">
        <v>2730</v>
      </c>
      <c r="P844" s="447">
        <v>528</v>
      </c>
      <c r="Q844" s="451">
        <v>88</v>
      </c>
      <c r="R844" s="447">
        <v>0.3498</v>
      </c>
      <c r="S844" s="447">
        <v>1.425</v>
      </c>
      <c r="T844" s="447">
        <v>184.6944</v>
      </c>
      <c r="U844" s="447">
        <v>752.4</v>
      </c>
      <c r="V844" s="447">
        <v>24.01</v>
      </c>
      <c r="W844" s="447">
        <v>127.68</v>
      </c>
      <c r="X844" s="447">
        <v>365</v>
      </c>
      <c r="Y844" s="858">
        <v>67413.460000000006</v>
      </c>
    </row>
    <row r="845" spans="1:25" ht="14.45" customHeight="1" x14ac:dyDescent="0.25">
      <c r="A845" s="722" t="s">
        <v>4678</v>
      </c>
      <c r="B845" s="723" t="s">
        <v>4506</v>
      </c>
      <c r="C845" s="723"/>
      <c r="D845" s="723" t="s">
        <v>13</v>
      </c>
      <c r="E845" s="723" t="s">
        <v>3765</v>
      </c>
      <c r="F845" s="725">
        <v>45222</v>
      </c>
      <c r="G845" s="725"/>
      <c r="H845" s="724" t="s">
        <v>23</v>
      </c>
      <c r="I845" s="456"/>
      <c r="J845" s="457"/>
      <c r="K845" s="720">
        <v>12</v>
      </c>
      <c r="L845" s="744">
        <v>0</v>
      </c>
      <c r="M845" s="833"/>
      <c r="N845" s="833"/>
      <c r="O845" s="724" t="s">
        <v>4504</v>
      </c>
      <c r="P845" s="726"/>
      <c r="Q845" s="729">
        <v>12</v>
      </c>
      <c r="R845" s="721"/>
      <c r="S845" s="721"/>
      <c r="T845" s="721"/>
      <c r="U845" s="721"/>
      <c r="V845" s="721"/>
      <c r="W845" s="721"/>
      <c r="X845" s="721"/>
      <c r="Y845" s="857" t="s">
        <v>4505</v>
      </c>
    </row>
    <row r="846" spans="1:25" ht="14.45" customHeight="1" x14ac:dyDescent="0.25">
      <c r="A846" s="437" t="s">
        <v>4678</v>
      </c>
      <c r="B846" s="438">
        <v>514</v>
      </c>
      <c r="C846" s="438"/>
      <c r="D846" s="439" t="s">
        <v>13</v>
      </c>
      <c r="E846" s="439" t="s">
        <v>4514</v>
      </c>
      <c r="F846" s="440">
        <v>45218</v>
      </c>
      <c r="G846" s="440"/>
      <c r="H846" s="439" t="s">
        <v>23</v>
      </c>
      <c r="I846" s="461"/>
      <c r="J846" s="462"/>
      <c r="K846" s="443">
        <v>50</v>
      </c>
      <c r="L846" s="444">
        <v>1.6191964285714284</v>
      </c>
      <c r="M846" s="495"/>
      <c r="N846" s="495"/>
      <c r="O846" s="439" t="s">
        <v>4512</v>
      </c>
      <c r="P846" s="458">
        <v>325</v>
      </c>
      <c r="Q846" s="451">
        <v>50</v>
      </c>
      <c r="R846" s="447">
        <v>0.13950000000000001</v>
      </c>
      <c r="S846" s="447">
        <v>0.47399999999999998</v>
      </c>
      <c r="T846" s="447">
        <v>45.337499999999999</v>
      </c>
      <c r="U846" s="447">
        <v>154.05000000000001</v>
      </c>
      <c r="V846" s="447">
        <v>5.89</v>
      </c>
      <c r="W846" s="447">
        <v>69.47</v>
      </c>
      <c r="X846" s="447">
        <v>498</v>
      </c>
      <c r="Y846" s="858">
        <v>22578.080000000002</v>
      </c>
    </row>
    <row r="847" spans="1:25" ht="14.45" customHeight="1" x14ac:dyDescent="0.25">
      <c r="A847" s="722" t="s">
        <v>4678</v>
      </c>
      <c r="B847" s="723">
        <v>514</v>
      </c>
      <c r="C847" s="723"/>
      <c r="D847" s="724" t="s">
        <v>13</v>
      </c>
      <c r="E847" s="724" t="s">
        <v>4514</v>
      </c>
      <c r="F847" s="725">
        <v>45218</v>
      </c>
      <c r="G847" s="725"/>
      <c r="H847" s="724" t="s">
        <v>23</v>
      </c>
      <c r="I847" s="456"/>
      <c r="J847" s="457"/>
      <c r="K847" s="720">
        <v>10</v>
      </c>
      <c r="L847" s="744">
        <v>0.33753571428571433</v>
      </c>
      <c r="M847" s="833"/>
      <c r="N847" s="833"/>
      <c r="O847" s="724" t="s">
        <v>4513</v>
      </c>
      <c r="P847" s="726">
        <v>65</v>
      </c>
      <c r="Q847" s="729">
        <v>10</v>
      </c>
      <c r="R847" s="721">
        <v>0.1454</v>
      </c>
      <c r="S847" s="721">
        <v>0.65100000000000002</v>
      </c>
      <c r="T847" s="721">
        <v>9.4510000000000005</v>
      </c>
      <c r="U847" s="721">
        <v>42.314999999999998</v>
      </c>
      <c r="V847" s="721">
        <v>1.23</v>
      </c>
      <c r="W847" s="721">
        <v>72.41</v>
      </c>
      <c r="X847" s="721">
        <v>498</v>
      </c>
      <c r="Y847" s="857">
        <v>4706.6000000000004</v>
      </c>
    </row>
    <row r="848" spans="1:25" ht="14.45" customHeight="1" x14ac:dyDescent="0.25">
      <c r="A848" s="437" t="s">
        <v>4678</v>
      </c>
      <c r="B848" s="438" t="s">
        <v>4553</v>
      </c>
      <c r="C848" s="438"/>
      <c r="D848" s="439" t="s">
        <v>34</v>
      </c>
      <c r="E848" s="439" t="s">
        <v>16</v>
      </c>
      <c r="F848" s="440">
        <v>45231</v>
      </c>
      <c r="G848" s="440"/>
      <c r="H848" s="439" t="s">
        <v>23</v>
      </c>
      <c r="I848" s="461"/>
      <c r="J848" s="462">
        <v>56</v>
      </c>
      <c r="K848" s="443">
        <v>35</v>
      </c>
      <c r="L848" s="444">
        <v>5.3115000000000006</v>
      </c>
      <c r="M848" s="463"/>
      <c r="N848" s="463" t="s">
        <v>4822</v>
      </c>
      <c r="O848" s="439" t="s">
        <v>2469</v>
      </c>
      <c r="P848" s="458">
        <v>546</v>
      </c>
      <c r="Q848" s="451">
        <v>91</v>
      </c>
      <c r="R848" s="447">
        <v>0.70820000000000005</v>
      </c>
      <c r="S848" s="447">
        <v>3.4609999999999999</v>
      </c>
      <c r="T848" s="447">
        <v>386.67720000000003</v>
      </c>
      <c r="U848" s="447">
        <v>1889.7059999999999</v>
      </c>
      <c r="V848" s="447">
        <v>50.27</v>
      </c>
      <c r="W848" s="447">
        <v>258.49</v>
      </c>
      <c r="X848" s="447">
        <v>365</v>
      </c>
      <c r="Y848" s="858">
        <v>141137.18</v>
      </c>
    </row>
    <row r="849" spans="1:25" ht="14.45" customHeight="1" x14ac:dyDescent="0.25">
      <c r="A849" s="722" t="s">
        <v>4678</v>
      </c>
      <c r="B849" s="723" t="s">
        <v>4580</v>
      </c>
      <c r="C849" s="723"/>
      <c r="D849" s="724" t="s">
        <v>34</v>
      </c>
      <c r="E849" s="724" t="s">
        <v>16</v>
      </c>
      <c r="F849" s="725">
        <v>45243</v>
      </c>
      <c r="G849" s="725"/>
      <c r="H849" s="724" t="s">
        <v>23</v>
      </c>
      <c r="I849" s="456"/>
      <c r="J849" s="457">
        <v>73</v>
      </c>
      <c r="K849" s="720">
        <v>27</v>
      </c>
      <c r="L849" s="744">
        <v>15.175714285714287</v>
      </c>
      <c r="M849" s="833"/>
      <c r="N849" s="833"/>
      <c r="O849" s="724" t="s">
        <v>2469</v>
      </c>
      <c r="P849" s="726">
        <v>600</v>
      </c>
      <c r="Q849" s="729">
        <v>100</v>
      </c>
      <c r="R849" s="721">
        <v>0.70820000000000005</v>
      </c>
      <c r="S849" s="721">
        <v>3.4609999999999999</v>
      </c>
      <c r="T849" s="721">
        <v>424.92</v>
      </c>
      <c r="U849" s="721">
        <v>2076.6</v>
      </c>
      <c r="V849" s="721">
        <v>55.24</v>
      </c>
      <c r="W849" s="721">
        <v>258.49</v>
      </c>
      <c r="X849" s="721">
        <v>365</v>
      </c>
      <c r="Y849" s="857">
        <v>155094</v>
      </c>
    </row>
    <row r="850" spans="1:25" ht="14.45" customHeight="1" x14ac:dyDescent="0.25">
      <c r="A850" s="437" t="s">
        <v>4678</v>
      </c>
      <c r="B850" s="438" t="s">
        <v>4581</v>
      </c>
      <c r="C850" s="438"/>
      <c r="D850" s="439" t="s">
        <v>34</v>
      </c>
      <c r="E850" s="439" t="s">
        <v>16</v>
      </c>
      <c r="F850" s="440">
        <v>45243</v>
      </c>
      <c r="G850" s="440"/>
      <c r="H850" s="439" t="s">
        <v>23</v>
      </c>
      <c r="I850" s="461"/>
      <c r="J850" s="462">
        <v>142</v>
      </c>
      <c r="K850" s="443">
        <v>5</v>
      </c>
      <c r="L850" s="444">
        <v>0.37478571428571428</v>
      </c>
      <c r="M850" s="495" t="s">
        <v>3116</v>
      </c>
      <c r="N850" s="495" t="s">
        <v>4822</v>
      </c>
      <c r="O850" s="439" t="s">
        <v>2730</v>
      </c>
      <c r="P850" s="458">
        <v>882</v>
      </c>
      <c r="Q850" s="451">
        <v>147</v>
      </c>
      <c r="R850" s="447">
        <v>0.3498</v>
      </c>
      <c r="S850" s="447">
        <v>1.425</v>
      </c>
      <c r="T850" s="447">
        <v>308.52359999999999</v>
      </c>
      <c r="U850" s="447">
        <v>1256.8499999999999</v>
      </c>
      <c r="V850" s="447">
        <v>40.11</v>
      </c>
      <c r="W850" s="447">
        <v>127.68</v>
      </c>
      <c r="X850" s="447">
        <v>365</v>
      </c>
      <c r="Y850" s="858">
        <v>112613.75999999999</v>
      </c>
    </row>
    <row r="851" spans="1:25" ht="14.45" customHeight="1" x14ac:dyDescent="0.25">
      <c r="A851" s="722" t="s">
        <v>4678</v>
      </c>
      <c r="B851" s="723" t="s">
        <v>3559</v>
      </c>
      <c r="C851" s="723"/>
      <c r="D851" s="724" t="s">
        <v>13</v>
      </c>
      <c r="E851" s="724" t="s">
        <v>3918</v>
      </c>
      <c r="F851" s="725">
        <v>45215</v>
      </c>
      <c r="G851" s="725"/>
      <c r="H851" s="724" t="s">
        <v>23</v>
      </c>
      <c r="I851" s="456"/>
      <c r="J851" s="457"/>
      <c r="K851" s="720">
        <v>0</v>
      </c>
      <c r="L851" s="744">
        <v>0</v>
      </c>
      <c r="M851" s="833"/>
      <c r="N851" s="833"/>
      <c r="O851" s="724" t="s">
        <v>4160</v>
      </c>
      <c r="P851" s="726" t="s">
        <v>31</v>
      </c>
      <c r="Q851" s="729"/>
      <c r="R851" s="721"/>
      <c r="S851" s="721"/>
      <c r="T851" s="721"/>
      <c r="U851" s="721"/>
      <c r="V851" s="721"/>
      <c r="W851" s="721"/>
      <c r="X851" s="721"/>
      <c r="Y851" s="857"/>
    </row>
    <row r="852" spans="1:25" ht="14.45" customHeight="1" x14ac:dyDescent="0.25">
      <c r="A852" s="437" t="s">
        <v>4678</v>
      </c>
      <c r="B852" s="438" t="s">
        <v>3559</v>
      </c>
      <c r="C852" s="438"/>
      <c r="D852" s="439" t="s">
        <v>13</v>
      </c>
      <c r="E852" s="439" t="s">
        <v>3918</v>
      </c>
      <c r="F852" s="440">
        <v>45215</v>
      </c>
      <c r="G852" s="440"/>
      <c r="H852" s="439" t="s">
        <v>23</v>
      </c>
      <c r="I852" s="461"/>
      <c r="J852" s="462"/>
      <c r="K852" s="443">
        <v>0</v>
      </c>
      <c r="L852" s="444">
        <v>0</v>
      </c>
      <c r="M852" s="495"/>
      <c r="N852" s="495"/>
      <c r="O852" s="439" t="s">
        <v>4161</v>
      </c>
      <c r="P852" s="458" t="s">
        <v>62</v>
      </c>
      <c r="Q852" s="451"/>
      <c r="R852" s="447"/>
      <c r="S852" s="447"/>
      <c r="T852" s="447"/>
      <c r="U852" s="447"/>
      <c r="V852" s="447"/>
      <c r="W852" s="447"/>
      <c r="X852" s="447"/>
      <c r="Y852" s="858"/>
    </row>
    <row r="853" spans="1:25" ht="14.45" customHeight="1" x14ac:dyDescent="0.25">
      <c r="A853" s="722" t="s">
        <v>4678</v>
      </c>
      <c r="B853" s="723" t="s">
        <v>3559</v>
      </c>
      <c r="C853" s="723"/>
      <c r="D853" s="724" t="s">
        <v>13</v>
      </c>
      <c r="E853" s="724" t="s">
        <v>3918</v>
      </c>
      <c r="F853" s="725">
        <v>45215</v>
      </c>
      <c r="G853" s="725"/>
      <c r="H853" s="724" t="s">
        <v>23</v>
      </c>
      <c r="I853" s="456"/>
      <c r="J853" s="457"/>
      <c r="K853" s="720">
        <v>0</v>
      </c>
      <c r="L853" s="744">
        <v>0</v>
      </c>
      <c r="M853" s="833"/>
      <c r="N853" s="833"/>
      <c r="O853" s="724" t="s">
        <v>4575</v>
      </c>
      <c r="P853" s="726" t="s">
        <v>96</v>
      </c>
      <c r="Q853" s="729"/>
      <c r="R853" s="721"/>
      <c r="S853" s="721"/>
      <c r="T853" s="721"/>
      <c r="U853" s="721"/>
      <c r="V853" s="721"/>
      <c r="W853" s="721"/>
      <c r="X853" s="721"/>
      <c r="Y853" s="857"/>
    </row>
    <row r="854" spans="1:25" ht="14.45" customHeight="1" x14ac:dyDescent="0.25">
      <c r="A854" s="437" t="s">
        <v>4678</v>
      </c>
      <c r="B854" s="438" t="s">
        <v>3559</v>
      </c>
      <c r="C854" s="438"/>
      <c r="D854" s="439" t="s">
        <v>13</v>
      </c>
      <c r="E854" s="439" t="s">
        <v>3918</v>
      </c>
      <c r="F854" s="440">
        <v>45215</v>
      </c>
      <c r="G854" s="440"/>
      <c r="H854" s="439" t="s">
        <v>23</v>
      </c>
      <c r="I854" s="456"/>
      <c r="J854" s="457"/>
      <c r="K854" s="443">
        <v>0</v>
      </c>
      <c r="L854" s="444">
        <v>0</v>
      </c>
      <c r="M854" s="495"/>
      <c r="N854" s="495"/>
      <c r="O854" s="439" t="s">
        <v>4576</v>
      </c>
      <c r="P854" s="458" t="s">
        <v>96</v>
      </c>
      <c r="Q854" s="451"/>
      <c r="R854" s="447"/>
      <c r="S854" s="447"/>
      <c r="T854" s="447"/>
      <c r="U854" s="447"/>
      <c r="V854" s="447"/>
      <c r="W854" s="447"/>
      <c r="X854" s="447"/>
      <c r="Y854" s="858"/>
    </row>
    <row r="855" spans="1:25" ht="14.45" customHeight="1" x14ac:dyDescent="0.25">
      <c r="A855" s="722" t="s">
        <v>4678</v>
      </c>
      <c r="B855" s="723" t="s">
        <v>3559</v>
      </c>
      <c r="C855" s="723"/>
      <c r="D855" s="724" t="s">
        <v>13</v>
      </c>
      <c r="E855" s="724" t="s">
        <v>3918</v>
      </c>
      <c r="F855" s="725">
        <v>45215</v>
      </c>
      <c r="G855" s="725"/>
      <c r="H855" s="724" t="s">
        <v>23</v>
      </c>
      <c r="I855" s="456"/>
      <c r="J855" s="457"/>
      <c r="K855" s="720">
        <v>0</v>
      </c>
      <c r="L855" s="744">
        <v>0</v>
      </c>
      <c r="M855" s="833"/>
      <c r="N855" s="833"/>
      <c r="O855" s="724" t="s">
        <v>4577</v>
      </c>
      <c r="P855" s="726" t="s">
        <v>248</v>
      </c>
      <c r="Q855" s="729"/>
      <c r="R855" s="721"/>
      <c r="S855" s="721"/>
      <c r="T855" s="721"/>
      <c r="U855" s="721"/>
      <c r="V855" s="721"/>
      <c r="W855" s="721"/>
      <c r="X855" s="721"/>
      <c r="Y855" s="857"/>
    </row>
    <row r="856" spans="1:25" ht="14.45" customHeight="1" x14ac:dyDescent="0.25">
      <c r="A856" s="437" t="s">
        <v>4678</v>
      </c>
      <c r="B856" s="438" t="s">
        <v>3559</v>
      </c>
      <c r="C856" s="438"/>
      <c r="D856" s="439" t="s">
        <v>13</v>
      </c>
      <c r="E856" s="439" t="s">
        <v>3918</v>
      </c>
      <c r="F856" s="440">
        <v>45215</v>
      </c>
      <c r="G856" s="440"/>
      <c r="H856" s="439" t="s">
        <v>23</v>
      </c>
      <c r="I856" s="456"/>
      <c r="J856" s="457"/>
      <c r="K856" s="443">
        <v>0</v>
      </c>
      <c r="L856" s="444">
        <v>0</v>
      </c>
      <c r="M856" s="495"/>
      <c r="N856" s="495"/>
      <c r="O856" s="439" t="s">
        <v>4578</v>
      </c>
      <c r="P856" s="458" t="s">
        <v>4288</v>
      </c>
      <c r="Q856" s="451"/>
      <c r="R856" s="447"/>
      <c r="S856" s="447"/>
      <c r="T856" s="447"/>
      <c r="U856" s="447"/>
      <c r="V856" s="447"/>
      <c r="W856" s="447"/>
      <c r="X856" s="447"/>
      <c r="Y856" s="858"/>
    </row>
    <row r="857" spans="1:25" ht="14.45" customHeight="1" x14ac:dyDescent="0.25">
      <c r="A857" s="722" t="s">
        <v>4678</v>
      </c>
      <c r="B857" s="723" t="s">
        <v>4496</v>
      </c>
      <c r="C857" s="723"/>
      <c r="D857" s="724" t="s">
        <v>13</v>
      </c>
      <c r="E857" s="724" t="s">
        <v>43</v>
      </c>
      <c r="F857" s="725">
        <v>45217</v>
      </c>
      <c r="G857" s="725"/>
      <c r="H857" s="724" t="s">
        <v>23</v>
      </c>
      <c r="I857" s="456"/>
      <c r="J857" s="457"/>
      <c r="K857" s="720">
        <v>0</v>
      </c>
      <c r="L857" s="744">
        <v>0</v>
      </c>
      <c r="M857" s="833"/>
      <c r="N857" s="833"/>
      <c r="O857" s="724" t="s">
        <v>1514</v>
      </c>
      <c r="P857" s="726" t="s">
        <v>1515</v>
      </c>
      <c r="Q857" s="729"/>
      <c r="R857" s="721"/>
      <c r="S857" s="721"/>
      <c r="T857" s="721"/>
      <c r="U857" s="721"/>
      <c r="V857" s="721"/>
      <c r="W857" s="721"/>
      <c r="X857" s="721"/>
      <c r="Y857" s="857" t="s">
        <v>4497</v>
      </c>
    </row>
    <row r="858" spans="1:25" ht="14.45" customHeight="1" x14ac:dyDescent="0.25">
      <c r="A858" s="437" t="s">
        <v>4678</v>
      </c>
      <c r="B858" s="438">
        <v>494</v>
      </c>
      <c r="C858" s="438"/>
      <c r="D858" s="439" t="s">
        <v>34</v>
      </c>
      <c r="E858" s="439" t="s">
        <v>19</v>
      </c>
      <c r="F858" s="440">
        <v>45211</v>
      </c>
      <c r="G858" s="440"/>
      <c r="H858" s="464" t="s">
        <v>677</v>
      </c>
      <c r="I858" s="456"/>
      <c r="J858" s="457">
        <v>126</v>
      </c>
      <c r="K858" s="443">
        <v>250</v>
      </c>
      <c r="L858" s="444">
        <v>13.933621428571428</v>
      </c>
      <c r="M858" s="495" t="s">
        <v>4589</v>
      </c>
      <c r="N858" s="495"/>
      <c r="O858" s="439" t="s">
        <v>4475</v>
      </c>
      <c r="P858" s="458">
        <v>1146.8</v>
      </c>
      <c r="Q858" s="451">
        <v>376</v>
      </c>
      <c r="R858" s="447">
        <v>0.3402</v>
      </c>
      <c r="S858" s="447">
        <v>1.4530000000000001</v>
      </c>
      <c r="T858" s="447">
        <v>390.14139999999998</v>
      </c>
      <c r="U858" s="447">
        <v>1666.3004000000001</v>
      </c>
      <c r="V858" s="447">
        <v>50.72</v>
      </c>
      <c r="W858" s="447">
        <v>88.45</v>
      </c>
      <c r="X858" s="447">
        <v>260</v>
      </c>
      <c r="Y858" s="858">
        <v>101436.75</v>
      </c>
    </row>
    <row r="859" spans="1:25" ht="14.45" customHeight="1" x14ac:dyDescent="0.25">
      <c r="A859" s="722" t="s">
        <v>4678</v>
      </c>
      <c r="B859" s="723">
        <v>527</v>
      </c>
      <c r="C859" s="723"/>
      <c r="D859" s="724" t="s">
        <v>34</v>
      </c>
      <c r="E859" s="724" t="s">
        <v>19</v>
      </c>
      <c r="F859" s="725">
        <v>45225</v>
      </c>
      <c r="G859" s="725"/>
      <c r="H859" s="724" t="s">
        <v>23</v>
      </c>
      <c r="I859" s="456"/>
      <c r="J859" s="457"/>
      <c r="K859" s="720">
        <v>46</v>
      </c>
      <c r="L859" s="744">
        <v>1.6509392857142857</v>
      </c>
      <c r="M859" s="833" t="s">
        <v>4789</v>
      </c>
      <c r="N859" s="833"/>
      <c r="O859" s="724" t="s">
        <v>3094</v>
      </c>
      <c r="P859" s="726">
        <v>170.2</v>
      </c>
      <c r="Q859" s="729">
        <v>46</v>
      </c>
      <c r="R859" s="721">
        <v>0.27160000000000001</v>
      </c>
      <c r="S859" s="721">
        <v>0.72799999999999998</v>
      </c>
      <c r="T859" s="721">
        <v>46.226300000000002</v>
      </c>
      <c r="U859" s="721">
        <v>123.90560000000001</v>
      </c>
      <c r="V859" s="721">
        <v>6.01</v>
      </c>
      <c r="W859" s="721">
        <v>103.21</v>
      </c>
      <c r="X859" s="721">
        <v>380</v>
      </c>
      <c r="Y859" s="857">
        <v>17566.34</v>
      </c>
    </row>
    <row r="860" spans="1:25" ht="14.45" customHeight="1" x14ac:dyDescent="0.25">
      <c r="A860" s="437" t="s">
        <v>4678</v>
      </c>
      <c r="B860" s="438">
        <v>543</v>
      </c>
      <c r="C860" s="438"/>
      <c r="D860" s="439" t="s">
        <v>34</v>
      </c>
      <c r="E860" s="439" t="s">
        <v>4554</v>
      </c>
      <c r="F860" s="440">
        <v>45231</v>
      </c>
      <c r="G860" s="440"/>
      <c r="H860" s="439" t="s">
        <v>23</v>
      </c>
      <c r="I860" s="456"/>
      <c r="J860" s="457"/>
      <c r="K860" s="443">
        <v>256</v>
      </c>
      <c r="L860" s="444">
        <v>5.682467857142858</v>
      </c>
      <c r="M860" s="495"/>
      <c r="N860" s="495"/>
      <c r="O860" s="439" t="s">
        <v>4555</v>
      </c>
      <c r="P860" s="458">
        <v>870.4</v>
      </c>
      <c r="Q860" s="451">
        <v>256</v>
      </c>
      <c r="R860" s="447">
        <v>0.18279999999999999</v>
      </c>
      <c r="S860" s="447">
        <v>0.59099999999999997</v>
      </c>
      <c r="T860" s="447">
        <v>159.10910000000001</v>
      </c>
      <c r="U860" s="447">
        <v>514.40639999999996</v>
      </c>
      <c r="V860" s="447">
        <v>20.68</v>
      </c>
      <c r="W860" s="447">
        <v>57.58</v>
      </c>
      <c r="X860" s="447">
        <v>315</v>
      </c>
      <c r="Y860" s="858">
        <v>50119.37</v>
      </c>
    </row>
    <row r="861" spans="1:25" ht="14.45" customHeight="1" x14ac:dyDescent="0.25">
      <c r="A861" s="722" t="s">
        <v>4678</v>
      </c>
      <c r="B861" s="723">
        <v>504</v>
      </c>
      <c r="C861" s="723"/>
      <c r="D861" s="724" t="s">
        <v>34</v>
      </c>
      <c r="E861" s="724" t="s">
        <v>79</v>
      </c>
      <c r="F861" s="725">
        <v>45215</v>
      </c>
      <c r="G861" s="725"/>
      <c r="H861" s="724" t="s">
        <v>23</v>
      </c>
      <c r="I861" s="441"/>
      <c r="J861" s="442"/>
      <c r="K861" s="720">
        <v>815</v>
      </c>
      <c r="L861" s="744">
        <v>35.330249999999999</v>
      </c>
      <c r="M861" s="767"/>
      <c r="N861" s="767"/>
      <c r="O861" s="728" t="s">
        <v>78</v>
      </c>
      <c r="P861" s="721">
        <v>4890</v>
      </c>
      <c r="Q861" s="729">
        <v>815</v>
      </c>
      <c r="R861" s="721">
        <v>0.20230000000000001</v>
      </c>
      <c r="S861" s="721">
        <v>0.499</v>
      </c>
      <c r="T861" s="721">
        <v>989.24699999999996</v>
      </c>
      <c r="U861" s="721">
        <v>2440.11</v>
      </c>
      <c r="V861" s="721">
        <v>128.6</v>
      </c>
      <c r="W861" s="721">
        <v>58.67</v>
      </c>
      <c r="X861" s="721">
        <v>290</v>
      </c>
      <c r="Y861" s="857">
        <v>286881.63</v>
      </c>
    </row>
    <row r="862" spans="1:25" ht="14.45" customHeight="1" x14ac:dyDescent="0.25">
      <c r="A862" s="437" t="s">
        <v>4678</v>
      </c>
      <c r="B862" s="438">
        <v>530</v>
      </c>
      <c r="C862" s="438"/>
      <c r="D862" s="439" t="s">
        <v>34</v>
      </c>
      <c r="E862" s="439" t="s">
        <v>79</v>
      </c>
      <c r="F862" s="440">
        <v>45226</v>
      </c>
      <c r="G862" s="440"/>
      <c r="H862" s="439" t="s">
        <v>23</v>
      </c>
      <c r="I862" s="441"/>
      <c r="J862" s="442"/>
      <c r="K862" s="443">
        <v>260</v>
      </c>
      <c r="L862" s="444">
        <v>11.271000000000001</v>
      </c>
      <c r="M862" s="463"/>
      <c r="N862" s="463"/>
      <c r="O862" s="445" t="s">
        <v>78</v>
      </c>
      <c r="P862" s="447">
        <v>1560</v>
      </c>
      <c r="Q862" s="451">
        <v>260</v>
      </c>
      <c r="R862" s="447">
        <v>0.20230000000000001</v>
      </c>
      <c r="S862" s="447">
        <v>0.499</v>
      </c>
      <c r="T862" s="447">
        <v>315.58800000000002</v>
      </c>
      <c r="U862" s="447">
        <v>778.44</v>
      </c>
      <c r="V862" s="447">
        <v>41.03</v>
      </c>
      <c r="W862" s="447">
        <v>58.67</v>
      </c>
      <c r="X862" s="447">
        <v>290</v>
      </c>
      <c r="Y862" s="858">
        <v>91525.2</v>
      </c>
    </row>
    <row r="863" spans="1:25" ht="14.45" customHeight="1" x14ac:dyDescent="0.25">
      <c r="A863" s="878" t="s">
        <v>4678</v>
      </c>
      <c r="B863" s="831" t="s">
        <v>3576</v>
      </c>
      <c r="C863" s="770" t="s">
        <v>4753</v>
      </c>
      <c r="D863" s="807" t="s">
        <v>13</v>
      </c>
      <c r="E863" s="751" t="s">
        <v>4879</v>
      </c>
      <c r="F863" s="790">
        <v>45218</v>
      </c>
      <c r="G863" s="790"/>
      <c r="H863" s="807" t="s">
        <v>677</v>
      </c>
      <c r="I863" s="358"/>
      <c r="J863" s="359"/>
      <c r="K863" s="720">
        <v>52</v>
      </c>
      <c r="L863" s="744">
        <v>0</v>
      </c>
      <c r="M863" s="832"/>
      <c r="N863" s="832" t="s">
        <v>4936</v>
      </c>
      <c r="O863" s="787" t="s">
        <v>4523</v>
      </c>
      <c r="P863" s="787">
        <v>314.60000000000002</v>
      </c>
      <c r="Q863" s="788">
        <v>52</v>
      </c>
      <c r="R863" s="787"/>
      <c r="S863" s="787"/>
      <c r="T863" s="787"/>
      <c r="U863" s="787"/>
      <c r="V863" s="787"/>
      <c r="W863" s="787"/>
      <c r="X863" s="787"/>
      <c r="Y863" s="879" t="s">
        <v>4534</v>
      </c>
    </row>
    <row r="864" spans="1:25" ht="14.45" customHeight="1" x14ac:dyDescent="0.25">
      <c r="A864" s="880" t="s">
        <v>4678</v>
      </c>
      <c r="B864" s="734" t="s">
        <v>3576</v>
      </c>
      <c r="C864" s="812" t="s">
        <v>4753</v>
      </c>
      <c r="D864" s="815" t="s">
        <v>13</v>
      </c>
      <c r="E864" s="815" t="s">
        <v>4765</v>
      </c>
      <c r="F864" s="816">
        <v>45218</v>
      </c>
      <c r="G864" s="816"/>
      <c r="H864" s="815" t="s">
        <v>23</v>
      </c>
      <c r="I864" s="384"/>
      <c r="J864" s="385">
        <v>52</v>
      </c>
      <c r="K864" s="443">
        <v>0</v>
      </c>
      <c r="L864" s="808"/>
      <c r="M864" s="821" t="s">
        <v>4638</v>
      </c>
      <c r="N864" s="821"/>
      <c r="O864" s="759" t="s">
        <v>4532</v>
      </c>
      <c r="P864" s="759">
        <v>314.60000000000002</v>
      </c>
      <c r="Q864" s="783">
        <v>52</v>
      </c>
      <c r="R864" s="759"/>
      <c r="S864" s="759"/>
      <c r="T864" s="759"/>
      <c r="U864" s="759"/>
      <c r="V864" s="759"/>
      <c r="W864" s="759"/>
      <c r="X864" s="759"/>
      <c r="Y864" s="881" t="s">
        <v>4534</v>
      </c>
    </row>
    <row r="865" spans="1:25" ht="14.45" customHeight="1" x14ac:dyDescent="0.25">
      <c r="A865" s="722" t="s">
        <v>4678</v>
      </c>
      <c r="B865" s="723">
        <v>391</v>
      </c>
      <c r="C865" s="723"/>
      <c r="D865" s="724" t="s">
        <v>34</v>
      </c>
      <c r="E865" s="724" t="s">
        <v>46</v>
      </c>
      <c r="F865" s="725">
        <v>45167</v>
      </c>
      <c r="G865" s="725"/>
      <c r="H865" s="724" t="s">
        <v>23</v>
      </c>
      <c r="I865" s="441"/>
      <c r="J865" s="442"/>
      <c r="K865" s="720">
        <v>40</v>
      </c>
      <c r="L865" s="744">
        <v>3.7354285714285713</v>
      </c>
      <c r="M865" s="767"/>
      <c r="N865" s="767"/>
      <c r="O865" s="784" t="s">
        <v>4377</v>
      </c>
      <c r="P865" s="721">
        <v>240</v>
      </c>
      <c r="Q865" s="729">
        <v>40</v>
      </c>
      <c r="R865" s="721">
        <v>0.43580000000000002</v>
      </c>
      <c r="S865" s="721">
        <v>2.3410000000000002</v>
      </c>
      <c r="T865" s="721">
        <v>104.592</v>
      </c>
      <c r="U865" s="721">
        <v>561.84</v>
      </c>
      <c r="V865" s="721">
        <v>13.6</v>
      </c>
      <c r="W865" s="721">
        <v>145.99</v>
      </c>
      <c r="X865" s="721">
        <v>335</v>
      </c>
      <c r="Y865" s="857">
        <v>35038.32</v>
      </c>
    </row>
    <row r="866" spans="1:25" ht="14.45" customHeight="1" x14ac:dyDescent="0.25">
      <c r="A866" s="437" t="s">
        <v>4678</v>
      </c>
      <c r="B866" s="438">
        <v>473</v>
      </c>
      <c r="C866" s="438"/>
      <c r="D866" s="439" t="s">
        <v>34</v>
      </c>
      <c r="E866" s="439" t="s">
        <v>46</v>
      </c>
      <c r="F866" s="440">
        <v>45202</v>
      </c>
      <c r="G866" s="440"/>
      <c r="H866" s="439" t="s">
        <v>23</v>
      </c>
      <c r="I866" s="441"/>
      <c r="J866" s="442"/>
      <c r="K866" s="443">
        <v>11</v>
      </c>
      <c r="L866" s="444">
        <v>0.84527142857142856</v>
      </c>
      <c r="M866" s="463"/>
      <c r="N866" s="463"/>
      <c r="O866" s="445" t="s">
        <v>639</v>
      </c>
      <c r="P866" s="447">
        <v>66</v>
      </c>
      <c r="Q866" s="451">
        <v>11</v>
      </c>
      <c r="R866" s="447">
        <v>0.35859999999999997</v>
      </c>
      <c r="S866" s="447">
        <v>1.518</v>
      </c>
      <c r="T866" s="447">
        <v>23.6676</v>
      </c>
      <c r="U866" s="447">
        <v>100.188</v>
      </c>
      <c r="V866" s="447">
        <v>3.08</v>
      </c>
      <c r="W866" s="447">
        <v>120.13</v>
      </c>
      <c r="X866" s="447">
        <v>335</v>
      </c>
      <c r="Y866" s="858">
        <v>7928.65</v>
      </c>
    </row>
    <row r="867" spans="1:25" ht="14.45" customHeight="1" x14ac:dyDescent="0.25">
      <c r="A867" s="722" t="s">
        <v>4678</v>
      </c>
      <c r="B867" s="723">
        <v>483</v>
      </c>
      <c r="C867" s="723"/>
      <c r="D867" s="724" t="s">
        <v>34</v>
      </c>
      <c r="E867" s="724" t="s">
        <v>46</v>
      </c>
      <c r="F867" s="725">
        <v>45208</v>
      </c>
      <c r="G867" s="725"/>
      <c r="H867" s="724" t="s">
        <v>23</v>
      </c>
      <c r="I867" s="441"/>
      <c r="J867" s="442">
        <v>72</v>
      </c>
      <c r="K867" s="720">
        <v>-23</v>
      </c>
      <c r="L867" s="744">
        <v>3.7652999999999999</v>
      </c>
      <c r="M867" s="767"/>
      <c r="N867" s="767"/>
      <c r="O867" s="728" t="s">
        <v>639</v>
      </c>
      <c r="P867" s="721">
        <v>294</v>
      </c>
      <c r="Q867" s="729">
        <v>49</v>
      </c>
      <c r="R867" s="721">
        <v>0.35859999999999997</v>
      </c>
      <c r="S867" s="721">
        <v>1.518</v>
      </c>
      <c r="T867" s="721">
        <v>105.4284</v>
      </c>
      <c r="U867" s="721">
        <v>446.29199999999997</v>
      </c>
      <c r="V867" s="721">
        <v>13.71</v>
      </c>
      <c r="W867" s="721">
        <v>120.13</v>
      </c>
      <c r="X867" s="721">
        <v>335</v>
      </c>
      <c r="Y867" s="857">
        <v>35318.22</v>
      </c>
    </row>
    <row r="868" spans="1:25" ht="14.45" customHeight="1" x14ac:dyDescent="0.25">
      <c r="A868" s="437" t="s">
        <v>4678</v>
      </c>
      <c r="B868" s="438" t="s">
        <v>4558</v>
      </c>
      <c r="C868" s="438"/>
      <c r="D868" s="439" t="s">
        <v>34</v>
      </c>
      <c r="E868" s="439" t="s">
        <v>4559</v>
      </c>
      <c r="F868" s="440">
        <v>45231</v>
      </c>
      <c r="G868" s="440"/>
      <c r="H868" s="439" t="s">
        <v>23</v>
      </c>
      <c r="I868" s="441"/>
      <c r="J868" s="442"/>
      <c r="K868" s="443">
        <v>0</v>
      </c>
      <c r="L868" s="444">
        <v>0</v>
      </c>
      <c r="M868" s="463" t="s">
        <v>4561</v>
      </c>
      <c r="N868" s="463"/>
      <c r="O868" s="445" t="s">
        <v>4560</v>
      </c>
      <c r="P868" s="447"/>
      <c r="Q868" s="451"/>
      <c r="R868" s="447"/>
      <c r="S868" s="447"/>
      <c r="T868" s="447"/>
      <c r="U868" s="447"/>
      <c r="V868" s="447"/>
      <c r="W868" s="447"/>
      <c r="X868" s="447"/>
      <c r="Y868" s="858"/>
    </row>
    <row r="869" spans="1:25" ht="14.45" customHeight="1" x14ac:dyDescent="0.25">
      <c r="A869" s="878" t="s">
        <v>4678</v>
      </c>
      <c r="B869" s="831" t="s">
        <v>3576</v>
      </c>
      <c r="C869" s="770" t="s">
        <v>4753</v>
      </c>
      <c r="D869" s="807" t="s">
        <v>13</v>
      </c>
      <c r="E869" s="751" t="s">
        <v>4879</v>
      </c>
      <c r="F869" s="790">
        <v>45218</v>
      </c>
      <c r="G869" s="790"/>
      <c r="H869" s="807" t="s">
        <v>677</v>
      </c>
      <c r="I869" s="358"/>
      <c r="J869" s="359"/>
      <c r="K869" s="720">
        <v>120</v>
      </c>
      <c r="L869" s="744">
        <v>0</v>
      </c>
      <c r="M869" s="832"/>
      <c r="N869" s="832" t="s">
        <v>4936</v>
      </c>
      <c r="O869" s="787" t="s">
        <v>4522</v>
      </c>
      <c r="P869" s="787">
        <v>826</v>
      </c>
      <c r="Q869" s="788">
        <v>120</v>
      </c>
      <c r="R869" s="787"/>
      <c r="S869" s="787"/>
      <c r="T869" s="787"/>
      <c r="U869" s="787"/>
      <c r="V869" s="787"/>
      <c r="W869" s="787"/>
      <c r="X869" s="787"/>
      <c r="Y869" s="879" t="s">
        <v>4535</v>
      </c>
    </row>
    <row r="870" spans="1:25" ht="14.45" customHeight="1" x14ac:dyDescent="0.25">
      <c r="A870" s="880" t="s">
        <v>4678</v>
      </c>
      <c r="B870" s="812" t="s">
        <v>3576</v>
      </c>
      <c r="C870" s="812" t="s">
        <v>4753</v>
      </c>
      <c r="D870" s="782" t="s">
        <v>13</v>
      </c>
      <c r="E870" s="815" t="s">
        <v>4765</v>
      </c>
      <c r="F870" s="816">
        <v>45218</v>
      </c>
      <c r="G870" s="816"/>
      <c r="H870" s="815" t="s">
        <v>23</v>
      </c>
      <c r="I870" s="497"/>
      <c r="J870" s="498">
        <v>294</v>
      </c>
      <c r="K870" s="443">
        <v>6</v>
      </c>
      <c r="L870" s="808"/>
      <c r="M870" s="830" t="s">
        <v>4816</v>
      </c>
      <c r="N870" s="830"/>
      <c r="O870" s="782" t="s">
        <v>4533</v>
      </c>
      <c r="P870" s="759">
        <v>1980</v>
      </c>
      <c r="Q870" s="783">
        <v>300</v>
      </c>
      <c r="R870" s="759"/>
      <c r="S870" s="759"/>
      <c r="T870" s="759"/>
      <c r="U870" s="759"/>
      <c r="V870" s="759"/>
      <c r="W870" s="759"/>
      <c r="X870" s="759"/>
      <c r="Y870" s="881" t="s">
        <v>4536</v>
      </c>
    </row>
    <row r="871" spans="1:25" ht="14.45" customHeight="1" x14ac:dyDescent="0.25">
      <c r="A871" s="722" t="s">
        <v>4678</v>
      </c>
      <c r="B871" s="723">
        <v>512</v>
      </c>
      <c r="C871" s="723"/>
      <c r="D871" s="724" t="s">
        <v>34</v>
      </c>
      <c r="E871" s="724" t="s">
        <v>79</v>
      </c>
      <c r="F871" s="725">
        <v>45218</v>
      </c>
      <c r="G871" s="725"/>
      <c r="H871" s="724" t="s">
        <v>23</v>
      </c>
      <c r="I871" s="441"/>
      <c r="J871" s="442"/>
      <c r="K871" s="720">
        <v>558</v>
      </c>
      <c r="L871" s="744">
        <v>24.189299999999999</v>
      </c>
      <c r="M871" s="767"/>
      <c r="N871" s="767"/>
      <c r="O871" s="728" t="s">
        <v>78</v>
      </c>
      <c r="P871" s="721">
        <v>3348</v>
      </c>
      <c r="Q871" s="729">
        <v>558</v>
      </c>
      <c r="R871" s="721">
        <v>0.20230000000000001</v>
      </c>
      <c r="S871" s="721">
        <v>0.499</v>
      </c>
      <c r="T871" s="721">
        <v>677.30039999999997</v>
      </c>
      <c r="U871" s="721">
        <v>1670.652</v>
      </c>
      <c r="V871" s="721">
        <v>88.05</v>
      </c>
      <c r="W871" s="721">
        <v>58.67</v>
      </c>
      <c r="X871" s="721">
        <v>290</v>
      </c>
      <c r="Y871" s="857">
        <v>196427.16</v>
      </c>
    </row>
    <row r="872" spans="1:25" ht="14.45" customHeight="1" x14ac:dyDescent="0.25">
      <c r="A872" s="869" t="s">
        <v>4678</v>
      </c>
      <c r="B872" s="760" t="s">
        <v>4517</v>
      </c>
      <c r="C872" s="760" t="s">
        <v>4753</v>
      </c>
      <c r="D872" s="761" t="s">
        <v>13</v>
      </c>
      <c r="E872" s="761" t="s">
        <v>43</v>
      </c>
      <c r="F872" s="762">
        <v>45219</v>
      </c>
      <c r="G872" s="762"/>
      <c r="H872" s="761" t="s">
        <v>23</v>
      </c>
      <c r="I872" s="388"/>
      <c r="J872" s="364"/>
      <c r="K872" s="443">
        <v>0</v>
      </c>
      <c r="L872" s="763"/>
      <c r="M872" s="829" t="s">
        <v>4735</v>
      </c>
      <c r="N872" s="829"/>
      <c r="O872" s="764" t="s">
        <v>4515</v>
      </c>
      <c r="P872" s="764" t="s">
        <v>4516</v>
      </c>
      <c r="Q872" s="765"/>
      <c r="R872" s="764"/>
      <c r="S872" s="764"/>
      <c r="T872" s="764"/>
      <c r="U872" s="764"/>
      <c r="V872" s="764"/>
      <c r="W872" s="764"/>
      <c r="X872" s="764"/>
      <c r="Y872" s="870"/>
    </row>
    <row r="873" spans="1:25" ht="14.45" customHeight="1" x14ac:dyDescent="0.25">
      <c r="A873" s="722" t="s">
        <v>4678</v>
      </c>
      <c r="B873" s="723" t="s">
        <v>3587</v>
      </c>
      <c r="C873" s="723"/>
      <c r="D873" s="724" t="s">
        <v>13</v>
      </c>
      <c r="E873" s="724" t="s">
        <v>799</v>
      </c>
      <c r="F873" s="725">
        <v>45222</v>
      </c>
      <c r="G873" s="725"/>
      <c r="H873" s="724" t="s">
        <v>23</v>
      </c>
      <c r="I873" s="441"/>
      <c r="J873" s="442"/>
      <c r="K873" s="720">
        <v>0</v>
      </c>
      <c r="L873" s="744">
        <v>0</v>
      </c>
      <c r="M873" s="767"/>
      <c r="N873" s="767"/>
      <c r="O873" s="728" t="s">
        <v>4501</v>
      </c>
      <c r="P873" s="721" t="s">
        <v>4502</v>
      </c>
      <c r="Q873" s="729"/>
      <c r="R873" s="721"/>
      <c r="S873" s="721"/>
      <c r="T873" s="721"/>
      <c r="U873" s="721"/>
      <c r="V873" s="721"/>
      <c r="W873" s="721"/>
      <c r="X873" s="721"/>
      <c r="Y873" s="857" t="s">
        <v>4503</v>
      </c>
    </row>
    <row r="874" spans="1:25" ht="14.45" customHeight="1" x14ac:dyDescent="0.25">
      <c r="A874" s="437" t="s">
        <v>4678</v>
      </c>
      <c r="B874" s="438" t="s">
        <v>3593</v>
      </c>
      <c r="C874" s="438"/>
      <c r="D874" s="439" t="s">
        <v>13</v>
      </c>
      <c r="E874" s="438" t="s">
        <v>585</v>
      </c>
      <c r="F874" s="440">
        <v>45224</v>
      </c>
      <c r="G874" s="440"/>
      <c r="H874" s="439" t="s">
        <v>23</v>
      </c>
      <c r="I874" s="441"/>
      <c r="J874" s="442"/>
      <c r="K874" s="443">
        <v>12</v>
      </c>
      <c r="L874" s="444">
        <v>0</v>
      </c>
      <c r="M874" s="463"/>
      <c r="N874" s="463"/>
      <c r="O874" s="445" t="s">
        <v>214</v>
      </c>
      <c r="P874" s="447"/>
      <c r="Q874" s="451">
        <v>12</v>
      </c>
      <c r="R874" s="447"/>
      <c r="S874" s="447"/>
      <c r="T874" s="447"/>
      <c r="U874" s="447"/>
      <c r="V874" s="447"/>
      <c r="W874" s="447"/>
      <c r="X874" s="447"/>
      <c r="Y874" s="858" t="s">
        <v>470</v>
      </c>
    </row>
    <row r="875" spans="1:25" ht="14.45" customHeight="1" x14ac:dyDescent="0.25">
      <c r="A875" s="722" t="s">
        <v>4678</v>
      </c>
      <c r="B875" s="723" t="s">
        <v>3593</v>
      </c>
      <c r="C875" s="723"/>
      <c r="D875" s="724" t="s">
        <v>13</v>
      </c>
      <c r="E875" s="723" t="s">
        <v>585</v>
      </c>
      <c r="F875" s="725">
        <v>45224</v>
      </c>
      <c r="G875" s="725"/>
      <c r="H875" s="724" t="s">
        <v>23</v>
      </c>
      <c r="I875" s="441"/>
      <c r="J875" s="442"/>
      <c r="K875" s="720">
        <v>12</v>
      </c>
      <c r="L875" s="744">
        <v>0</v>
      </c>
      <c r="M875" s="767"/>
      <c r="N875" s="767"/>
      <c r="O875" s="728" t="s">
        <v>215</v>
      </c>
      <c r="P875" s="721"/>
      <c r="Q875" s="729">
        <v>12</v>
      </c>
      <c r="R875" s="721"/>
      <c r="S875" s="721"/>
      <c r="T875" s="721"/>
      <c r="U875" s="721"/>
      <c r="V875" s="721"/>
      <c r="W875" s="721"/>
      <c r="X875" s="721"/>
      <c r="Y875" s="857" t="s">
        <v>470</v>
      </c>
    </row>
    <row r="876" spans="1:25" ht="14.45" customHeight="1" x14ac:dyDescent="0.25">
      <c r="A876" s="437" t="s">
        <v>4678</v>
      </c>
      <c r="B876" s="438" t="s">
        <v>3593</v>
      </c>
      <c r="C876" s="438"/>
      <c r="D876" s="439" t="s">
        <v>13</v>
      </c>
      <c r="E876" s="438" t="s">
        <v>585</v>
      </c>
      <c r="F876" s="440">
        <v>45224</v>
      </c>
      <c r="G876" s="440"/>
      <c r="H876" s="439" t="s">
        <v>23</v>
      </c>
      <c r="I876" s="441"/>
      <c r="J876" s="442"/>
      <c r="K876" s="443">
        <v>12</v>
      </c>
      <c r="L876" s="444">
        <v>0</v>
      </c>
      <c r="M876" s="463"/>
      <c r="N876" s="463"/>
      <c r="O876" s="445" t="s">
        <v>216</v>
      </c>
      <c r="P876" s="447"/>
      <c r="Q876" s="451">
        <v>12</v>
      </c>
      <c r="R876" s="447"/>
      <c r="S876" s="447"/>
      <c r="T876" s="447"/>
      <c r="U876" s="447"/>
      <c r="V876" s="447"/>
      <c r="W876" s="447"/>
      <c r="X876" s="447"/>
      <c r="Y876" s="858" t="s">
        <v>4354</v>
      </c>
    </row>
    <row r="877" spans="1:25" ht="14.45" customHeight="1" x14ac:dyDescent="0.25">
      <c r="A877" s="722" t="s">
        <v>4678</v>
      </c>
      <c r="B877" s="723" t="s">
        <v>3593</v>
      </c>
      <c r="C877" s="723"/>
      <c r="D877" s="724" t="s">
        <v>13</v>
      </c>
      <c r="E877" s="723" t="s">
        <v>585</v>
      </c>
      <c r="F877" s="725">
        <v>45224</v>
      </c>
      <c r="G877" s="725"/>
      <c r="H877" s="724" t="s">
        <v>23</v>
      </c>
      <c r="I877" s="441"/>
      <c r="J877" s="442"/>
      <c r="K877" s="720">
        <v>12</v>
      </c>
      <c r="L877" s="744">
        <v>0</v>
      </c>
      <c r="M877" s="767"/>
      <c r="N877" s="767"/>
      <c r="O877" s="728" t="s">
        <v>219</v>
      </c>
      <c r="P877" s="721"/>
      <c r="Q877" s="729">
        <v>12</v>
      </c>
      <c r="R877" s="721"/>
      <c r="S877" s="721"/>
      <c r="T877" s="721"/>
      <c r="U877" s="721"/>
      <c r="V877" s="721"/>
      <c r="W877" s="721"/>
      <c r="X877" s="721"/>
      <c r="Y877" s="857" t="s">
        <v>4355</v>
      </c>
    </row>
    <row r="878" spans="1:25" ht="14.45" customHeight="1" x14ac:dyDescent="0.25">
      <c r="A878" s="437" t="s">
        <v>4678</v>
      </c>
      <c r="B878" s="438" t="s">
        <v>3593</v>
      </c>
      <c r="C878" s="438"/>
      <c r="D878" s="439" t="s">
        <v>13</v>
      </c>
      <c r="E878" s="438" t="s">
        <v>585</v>
      </c>
      <c r="F878" s="440">
        <v>45224</v>
      </c>
      <c r="G878" s="440"/>
      <c r="H878" s="439" t="s">
        <v>23</v>
      </c>
      <c r="I878" s="441"/>
      <c r="J878" s="442"/>
      <c r="K878" s="443">
        <v>12</v>
      </c>
      <c r="L878" s="444">
        <v>0</v>
      </c>
      <c r="M878" s="463"/>
      <c r="N878" s="463"/>
      <c r="O878" s="445" t="s">
        <v>220</v>
      </c>
      <c r="P878" s="447"/>
      <c r="Q878" s="451">
        <v>12</v>
      </c>
      <c r="R878" s="447"/>
      <c r="S878" s="447"/>
      <c r="T878" s="447"/>
      <c r="U878" s="447"/>
      <c r="V878" s="447"/>
      <c r="W878" s="447"/>
      <c r="X878" s="447"/>
      <c r="Y878" s="858" t="s">
        <v>4355</v>
      </c>
    </row>
    <row r="879" spans="1:25" ht="14.45" customHeight="1" x14ac:dyDescent="0.25">
      <c r="A879" s="722" t="s">
        <v>4678</v>
      </c>
      <c r="B879" s="723" t="s">
        <v>2154</v>
      </c>
      <c r="C879" s="723"/>
      <c r="D879" s="724" t="s">
        <v>13</v>
      </c>
      <c r="E879" s="724" t="s">
        <v>799</v>
      </c>
      <c r="F879" s="725">
        <v>45223</v>
      </c>
      <c r="G879" s="725"/>
      <c r="H879" s="724" t="s">
        <v>23</v>
      </c>
      <c r="I879" s="441">
        <v>526</v>
      </c>
      <c r="J879" s="442">
        <v>132</v>
      </c>
      <c r="K879" s="720">
        <v>24</v>
      </c>
      <c r="L879" s="744">
        <v>0</v>
      </c>
      <c r="M879" s="767" t="s">
        <v>4715</v>
      </c>
      <c r="N879" s="767"/>
      <c r="O879" s="728" t="s">
        <v>4285</v>
      </c>
      <c r="P879" s="721"/>
      <c r="Q879" s="729">
        <v>682</v>
      </c>
      <c r="R879" s="721"/>
      <c r="S879" s="721"/>
      <c r="T879" s="721"/>
      <c r="U879" s="721"/>
      <c r="V879" s="721"/>
      <c r="W879" s="721"/>
      <c r="X879" s="721"/>
      <c r="Y879" s="857" t="s">
        <v>4539</v>
      </c>
    </row>
    <row r="880" spans="1:25" ht="14.45" customHeight="1" x14ac:dyDescent="0.25">
      <c r="A880" s="437" t="s">
        <v>4678</v>
      </c>
      <c r="B880" s="438" t="s">
        <v>2153</v>
      </c>
      <c r="C880" s="438"/>
      <c r="D880" s="439" t="s">
        <v>13</v>
      </c>
      <c r="E880" s="439" t="s">
        <v>799</v>
      </c>
      <c r="F880" s="440">
        <v>45223</v>
      </c>
      <c r="G880" s="440"/>
      <c r="H880" s="439" t="s">
        <v>23</v>
      </c>
      <c r="I880" s="441">
        <v>721</v>
      </c>
      <c r="J880" s="442">
        <v>492</v>
      </c>
      <c r="K880" s="443">
        <v>115</v>
      </c>
      <c r="L880" s="444">
        <v>0</v>
      </c>
      <c r="M880" s="463" t="s">
        <v>4716</v>
      </c>
      <c r="N880" s="463"/>
      <c r="O880" s="445" t="s">
        <v>4379</v>
      </c>
      <c r="P880" s="447"/>
      <c r="Q880" s="451">
        <v>1328</v>
      </c>
      <c r="R880" s="447"/>
      <c r="S880" s="447"/>
      <c r="T880" s="447"/>
      <c r="U880" s="447"/>
      <c r="V880" s="447"/>
      <c r="W880" s="447"/>
      <c r="X880" s="447"/>
      <c r="Y880" s="858" t="s">
        <v>4540</v>
      </c>
    </row>
    <row r="881" spans="1:25" ht="14.45" customHeight="1" x14ac:dyDescent="0.25">
      <c r="A881" s="722" t="s">
        <v>4678</v>
      </c>
      <c r="B881" s="723">
        <v>520</v>
      </c>
      <c r="C881" s="723"/>
      <c r="D881" s="724" t="s">
        <v>13</v>
      </c>
      <c r="E881" s="724" t="s">
        <v>3764</v>
      </c>
      <c r="F881" s="725">
        <v>45224</v>
      </c>
      <c r="G881" s="725"/>
      <c r="H881" s="724" t="s">
        <v>23</v>
      </c>
      <c r="I881" s="441"/>
      <c r="J881" s="442"/>
      <c r="K881" s="720">
        <v>64</v>
      </c>
      <c r="L881" s="744">
        <v>1.8587071428571427</v>
      </c>
      <c r="M881" s="767"/>
      <c r="N881" s="767"/>
      <c r="O881" s="728" t="s">
        <v>1975</v>
      </c>
      <c r="P881" s="721">
        <v>329.6</v>
      </c>
      <c r="Q881" s="729">
        <v>64</v>
      </c>
      <c r="R881" s="721">
        <v>0.15790000000000001</v>
      </c>
      <c r="S881" s="721">
        <v>0.309</v>
      </c>
      <c r="T881" s="721">
        <v>52.043799999999997</v>
      </c>
      <c r="U881" s="721">
        <v>101.8464</v>
      </c>
      <c r="V881" s="721">
        <v>6.77</v>
      </c>
      <c r="W881" s="721">
        <v>54.16</v>
      </c>
      <c r="X881" s="721">
        <v>343</v>
      </c>
      <c r="Y881" s="857">
        <v>17851.04</v>
      </c>
    </row>
    <row r="882" spans="1:25" ht="14.45" customHeight="1" x14ac:dyDescent="0.25">
      <c r="A882" s="437" t="s">
        <v>4678</v>
      </c>
      <c r="B882" s="438">
        <v>522</v>
      </c>
      <c r="C882" s="438"/>
      <c r="D882" s="439" t="s">
        <v>13</v>
      </c>
      <c r="E882" s="439" t="s">
        <v>672</v>
      </c>
      <c r="F882" s="440">
        <v>45224</v>
      </c>
      <c r="G882" s="440"/>
      <c r="H882" s="439" t="s">
        <v>23</v>
      </c>
      <c r="I882" s="441"/>
      <c r="J882" s="442"/>
      <c r="K882" s="443">
        <v>8</v>
      </c>
      <c r="L882" s="444">
        <v>1.0037857142857143</v>
      </c>
      <c r="M882" s="463"/>
      <c r="N882" s="463"/>
      <c r="O882" s="445" t="s">
        <v>4491</v>
      </c>
      <c r="P882" s="447">
        <v>52</v>
      </c>
      <c r="Q882" s="451">
        <v>8</v>
      </c>
      <c r="R882" s="447">
        <v>0.54049999999999998</v>
      </c>
      <c r="S882" s="447">
        <v>2.0979999999999999</v>
      </c>
      <c r="T882" s="447">
        <v>28.106000000000002</v>
      </c>
      <c r="U882" s="447">
        <v>109.096</v>
      </c>
      <c r="V882" s="447">
        <v>3.65</v>
      </c>
      <c r="W882" s="447">
        <v>178.37</v>
      </c>
      <c r="X882" s="447">
        <v>330</v>
      </c>
      <c r="Y882" s="858">
        <v>9274.98</v>
      </c>
    </row>
    <row r="883" spans="1:25" ht="14.45" customHeight="1" x14ac:dyDescent="0.25">
      <c r="A883" s="722" t="s">
        <v>4678</v>
      </c>
      <c r="B883" s="723">
        <v>522</v>
      </c>
      <c r="C883" s="723"/>
      <c r="D883" s="724" t="s">
        <v>13</v>
      </c>
      <c r="E883" s="724" t="s">
        <v>672</v>
      </c>
      <c r="F883" s="725">
        <v>45224</v>
      </c>
      <c r="G883" s="725"/>
      <c r="H883" s="724" t="s">
        <v>23</v>
      </c>
      <c r="I883" s="441"/>
      <c r="J883" s="442"/>
      <c r="K883" s="720">
        <v>46</v>
      </c>
      <c r="L883" s="744">
        <v>6.6847857142857148</v>
      </c>
      <c r="M883" s="767"/>
      <c r="N883" s="767"/>
      <c r="O883" s="728" t="s">
        <v>999</v>
      </c>
      <c r="P883" s="721">
        <v>299</v>
      </c>
      <c r="Q883" s="729">
        <v>46</v>
      </c>
      <c r="R883" s="721">
        <v>0.626</v>
      </c>
      <c r="S883" s="721">
        <v>2.1869999999999998</v>
      </c>
      <c r="T883" s="721">
        <v>187.17400000000001</v>
      </c>
      <c r="U883" s="721">
        <v>653.91300000000001</v>
      </c>
      <c r="V883" s="721">
        <v>24.33</v>
      </c>
      <c r="W883" s="721">
        <v>206.58</v>
      </c>
      <c r="X883" s="721">
        <v>330</v>
      </c>
      <c r="Y883" s="857">
        <v>61767.42</v>
      </c>
    </row>
    <row r="884" spans="1:25" ht="14.45" customHeight="1" x14ac:dyDescent="0.25">
      <c r="A884" s="437" t="s">
        <v>4678</v>
      </c>
      <c r="B884" s="438">
        <v>523</v>
      </c>
      <c r="C884" s="438"/>
      <c r="D884" s="439" t="s">
        <v>34</v>
      </c>
      <c r="E884" s="439" t="s">
        <v>201</v>
      </c>
      <c r="F884" s="440">
        <v>45225</v>
      </c>
      <c r="G884" s="440"/>
      <c r="H884" s="439" t="s">
        <v>23</v>
      </c>
      <c r="I884" s="441"/>
      <c r="J884" s="442"/>
      <c r="K884" s="443">
        <v>70</v>
      </c>
      <c r="L884" s="444">
        <v>4.6665000000000001</v>
      </c>
      <c r="M884" s="463"/>
      <c r="N884" s="463"/>
      <c r="O884" s="445" t="s">
        <v>2561</v>
      </c>
      <c r="P884" s="447">
        <v>420</v>
      </c>
      <c r="Q884" s="451">
        <v>70</v>
      </c>
      <c r="R884" s="447">
        <v>0.31109999999999999</v>
      </c>
      <c r="S884" s="447">
        <v>1.7769999999999999</v>
      </c>
      <c r="T884" s="447">
        <v>130.66200000000001</v>
      </c>
      <c r="U884" s="447">
        <v>746.34</v>
      </c>
      <c r="V884" s="447">
        <v>16.989999999999998</v>
      </c>
      <c r="W884" s="447">
        <v>113.55</v>
      </c>
      <c r="X884" s="447">
        <v>365</v>
      </c>
      <c r="Y884" s="858">
        <v>47691.63</v>
      </c>
    </row>
    <row r="885" spans="1:25" ht="14.45" customHeight="1" x14ac:dyDescent="0.25">
      <c r="A885" s="722" t="s">
        <v>4678</v>
      </c>
      <c r="B885" s="723">
        <v>474</v>
      </c>
      <c r="C885" s="723"/>
      <c r="D885" s="724" t="s">
        <v>13</v>
      </c>
      <c r="E885" s="724" t="s">
        <v>591</v>
      </c>
      <c r="F885" s="725">
        <v>45202</v>
      </c>
      <c r="G885" s="725"/>
      <c r="H885" s="724" t="s">
        <v>23</v>
      </c>
      <c r="I885" s="441"/>
      <c r="J885" s="442"/>
      <c r="K885" s="720">
        <v>1160</v>
      </c>
      <c r="L885" s="744">
        <v>8.0164285714285715</v>
      </c>
      <c r="M885" s="767" t="s">
        <v>4546</v>
      </c>
      <c r="N885" s="767"/>
      <c r="O885" s="728" t="s">
        <v>38</v>
      </c>
      <c r="P885" s="721">
        <v>3480</v>
      </c>
      <c r="Q885" s="729">
        <v>1160</v>
      </c>
      <c r="R885" s="721">
        <v>6.4500000000000002E-2</v>
      </c>
      <c r="S885" s="721">
        <v>8.5000000000000006E-2</v>
      </c>
      <c r="T885" s="721">
        <v>224.46</v>
      </c>
      <c r="U885" s="721">
        <v>295.8</v>
      </c>
      <c r="V885" s="721">
        <v>29.18</v>
      </c>
      <c r="W885" s="721">
        <v>20.32</v>
      </c>
      <c r="X885" s="721">
        <v>315</v>
      </c>
      <c r="Y885" s="857">
        <v>70704.899999999994</v>
      </c>
    </row>
    <row r="886" spans="1:25" ht="14.45" customHeight="1" x14ac:dyDescent="0.25">
      <c r="A886" s="437" t="s">
        <v>4678</v>
      </c>
      <c r="B886" s="438">
        <v>484</v>
      </c>
      <c r="C886" s="438"/>
      <c r="D886" s="439" t="s">
        <v>13</v>
      </c>
      <c r="E886" s="439" t="s">
        <v>591</v>
      </c>
      <c r="F886" s="440">
        <v>45208</v>
      </c>
      <c r="G886" s="440"/>
      <c r="H886" s="439" t="s">
        <v>23</v>
      </c>
      <c r="I886" s="441"/>
      <c r="J886" s="442"/>
      <c r="K886" s="443">
        <v>1080</v>
      </c>
      <c r="L886" s="444">
        <v>7.4635714285714281</v>
      </c>
      <c r="M886" s="463"/>
      <c r="N886" s="463"/>
      <c r="O886" s="445" t="s">
        <v>38</v>
      </c>
      <c r="P886" s="447">
        <v>3240</v>
      </c>
      <c r="Q886" s="451">
        <v>1080</v>
      </c>
      <c r="R886" s="447">
        <v>6.4500000000000002E-2</v>
      </c>
      <c r="S886" s="447">
        <v>8.5000000000000006E-2</v>
      </c>
      <c r="T886" s="447">
        <v>208.98</v>
      </c>
      <c r="U886" s="447">
        <v>275.39999999999998</v>
      </c>
      <c r="V886" s="447">
        <v>27.17</v>
      </c>
      <c r="W886" s="447">
        <v>20.32</v>
      </c>
      <c r="X886" s="447">
        <v>315</v>
      </c>
      <c r="Y886" s="858">
        <v>65836.800000000003</v>
      </c>
    </row>
    <row r="887" spans="1:25" ht="14.45" customHeight="1" x14ac:dyDescent="0.25">
      <c r="A887" s="722" t="s">
        <v>4678</v>
      </c>
      <c r="B887" s="723" t="s">
        <v>4537</v>
      </c>
      <c r="C887" s="723"/>
      <c r="D887" s="724" t="s">
        <v>13</v>
      </c>
      <c r="E887" s="724" t="s">
        <v>43</v>
      </c>
      <c r="F887" s="725">
        <v>45223</v>
      </c>
      <c r="G887" s="725"/>
      <c r="H887" s="724" t="s">
        <v>23</v>
      </c>
      <c r="I887" s="441"/>
      <c r="J887" s="442"/>
      <c r="K887" s="720">
        <v>0</v>
      </c>
      <c r="L887" s="744">
        <v>0</v>
      </c>
      <c r="M887" s="767" t="s">
        <v>4541</v>
      </c>
      <c r="N887" s="767"/>
      <c r="O887" s="728" t="s">
        <v>4538</v>
      </c>
      <c r="P887" s="721" t="s">
        <v>2313</v>
      </c>
      <c r="Q887" s="729"/>
      <c r="R887" s="721"/>
      <c r="S887" s="721"/>
      <c r="T887" s="721"/>
      <c r="U887" s="721"/>
      <c r="V887" s="721"/>
      <c r="W887" s="721"/>
      <c r="X887" s="721"/>
      <c r="Y887" s="857" t="s">
        <v>4503</v>
      </c>
    </row>
    <row r="888" spans="1:25" ht="14.45" customHeight="1" x14ac:dyDescent="0.25">
      <c r="A888" s="437" t="s">
        <v>4678</v>
      </c>
      <c r="B888" s="438" t="s">
        <v>3592</v>
      </c>
      <c r="C888" s="438"/>
      <c r="D888" s="439" t="s">
        <v>13</v>
      </c>
      <c r="E888" s="439" t="s">
        <v>1696</v>
      </c>
      <c r="F888" s="440">
        <v>45223</v>
      </c>
      <c r="G888" s="440"/>
      <c r="H888" s="439" t="s">
        <v>23</v>
      </c>
      <c r="I888" s="441"/>
      <c r="J888" s="442"/>
      <c r="K888" s="443">
        <v>0</v>
      </c>
      <c r="L888" s="444">
        <v>0</v>
      </c>
      <c r="M888" s="463" t="s">
        <v>4542</v>
      </c>
      <c r="N888" s="463"/>
      <c r="O888" s="439" t="s">
        <v>2568</v>
      </c>
      <c r="P888" s="458" t="s">
        <v>348</v>
      </c>
      <c r="Q888" s="459"/>
      <c r="R888" s="458"/>
      <c r="S888" s="447"/>
      <c r="T888" s="447"/>
      <c r="U888" s="447"/>
      <c r="V888" s="447"/>
      <c r="W888" s="447"/>
      <c r="X888" s="447"/>
      <c r="Y888" s="858"/>
    </row>
    <row r="889" spans="1:25" ht="14.45" customHeight="1" x14ac:dyDescent="0.25">
      <c r="A889" s="722" t="s">
        <v>4678</v>
      </c>
      <c r="B889" s="723" t="s">
        <v>3592</v>
      </c>
      <c r="C889" s="723"/>
      <c r="D889" s="724" t="s">
        <v>13</v>
      </c>
      <c r="E889" s="724" t="s">
        <v>1696</v>
      </c>
      <c r="F889" s="725">
        <v>45223</v>
      </c>
      <c r="G889" s="725"/>
      <c r="H889" s="724" t="s">
        <v>23</v>
      </c>
      <c r="I889" s="441"/>
      <c r="J889" s="442"/>
      <c r="K889" s="720">
        <v>0</v>
      </c>
      <c r="L889" s="744">
        <v>0</v>
      </c>
      <c r="M889" s="767" t="s">
        <v>4542</v>
      </c>
      <c r="N889" s="767"/>
      <c r="O889" s="724" t="s">
        <v>1915</v>
      </c>
      <c r="P889" s="726" t="s">
        <v>100</v>
      </c>
      <c r="Q889" s="727"/>
      <c r="R889" s="726"/>
      <c r="S889" s="721"/>
      <c r="T889" s="721"/>
      <c r="U889" s="721"/>
      <c r="V889" s="721"/>
      <c r="W889" s="721"/>
      <c r="X889" s="721"/>
      <c r="Y889" s="857"/>
    </row>
    <row r="890" spans="1:25" ht="14.45" customHeight="1" x14ac:dyDescent="0.25">
      <c r="A890" s="437" t="s">
        <v>4678</v>
      </c>
      <c r="B890" s="438" t="s">
        <v>3592</v>
      </c>
      <c r="C890" s="438"/>
      <c r="D890" s="439" t="s">
        <v>13</v>
      </c>
      <c r="E890" s="439" t="s">
        <v>1696</v>
      </c>
      <c r="F890" s="440">
        <v>45223</v>
      </c>
      <c r="G890" s="440"/>
      <c r="H890" s="439" t="s">
        <v>677</v>
      </c>
      <c r="I890" s="441"/>
      <c r="J890" s="442"/>
      <c r="K890" s="443">
        <v>0</v>
      </c>
      <c r="L890" s="444">
        <v>0</v>
      </c>
      <c r="M890" s="463" t="s">
        <v>4542</v>
      </c>
      <c r="N890" s="463"/>
      <c r="O890" s="439" t="s">
        <v>2985</v>
      </c>
      <c r="P890" s="458" t="s">
        <v>1282</v>
      </c>
      <c r="Q890" s="459"/>
      <c r="R890" s="458"/>
      <c r="S890" s="447"/>
      <c r="T890" s="447"/>
      <c r="U890" s="447"/>
      <c r="V890" s="447"/>
      <c r="W890" s="447"/>
      <c r="X890" s="447"/>
      <c r="Y890" s="858"/>
    </row>
    <row r="891" spans="1:25" ht="14.45" customHeight="1" x14ac:dyDescent="0.25">
      <c r="A891" s="722" t="s">
        <v>4678</v>
      </c>
      <c r="B891" s="723" t="s">
        <v>3592</v>
      </c>
      <c r="C891" s="723"/>
      <c r="D891" s="724" t="s">
        <v>13</v>
      </c>
      <c r="E891" s="724" t="s">
        <v>1696</v>
      </c>
      <c r="F891" s="725">
        <v>45223</v>
      </c>
      <c r="G891" s="725"/>
      <c r="H891" s="724" t="s">
        <v>23</v>
      </c>
      <c r="I891" s="441"/>
      <c r="J891" s="442"/>
      <c r="K891" s="720">
        <v>0</v>
      </c>
      <c r="L891" s="744">
        <v>0</v>
      </c>
      <c r="M891" s="767" t="s">
        <v>4542</v>
      </c>
      <c r="N891" s="767"/>
      <c r="O891" s="724" t="s">
        <v>3294</v>
      </c>
      <c r="P891" s="726" t="s">
        <v>53</v>
      </c>
      <c r="Q891" s="727"/>
      <c r="R891" s="726"/>
      <c r="S891" s="721"/>
      <c r="T891" s="721"/>
      <c r="U891" s="721"/>
      <c r="V891" s="721"/>
      <c r="W891" s="721"/>
      <c r="X891" s="721"/>
      <c r="Y891" s="857"/>
    </row>
    <row r="892" spans="1:25" ht="14.45" customHeight="1" x14ac:dyDescent="0.25">
      <c r="A892" s="437" t="s">
        <v>4678</v>
      </c>
      <c r="B892" s="438">
        <v>518</v>
      </c>
      <c r="C892" s="438"/>
      <c r="D892" s="439" t="s">
        <v>13</v>
      </c>
      <c r="E892" s="439" t="s">
        <v>45</v>
      </c>
      <c r="F892" s="440">
        <v>45224</v>
      </c>
      <c r="G892" s="440"/>
      <c r="H892" s="439" t="s">
        <v>23</v>
      </c>
      <c r="I892" s="441"/>
      <c r="J892" s="442"/>
      <c r="K892" s="443">
        <v>40</v>
      </c>
      <c r="L892" s="444">
        <v>4.3971285714285715</v>
      </c>
      <c r="M892" s="463"/>
      <c r="N892" s="463"/>
      <c r="O892" s="439" t="s">
        <v>2840</v>
      </c>
      <c r="P892" s="458">
        <v>124</v>
      </c>
      <c r="Q892" s="459">
        <v>40</v>
      </c>
      <c r="R892" s="458">
        <v>0.9929</v>
      </c>
      <c r="S892" s="447">
        <v>4.5880000000000001</v>
      </c>
      <c r="T892" s="447">
        <v>123.11960000000001</v>
      </c>
      <c r="U892" s="447">
        <v>568.91200000000003</v>
      </c>
      <c r="V892" s="447">
        <v>16.010000000000002</v>
      </c>
      <c r="W892" s="447">
        <v>332.62</v>
      </c>
      <c r="X892" s="447">
        <v>335</v>
      </c>
      <c r="Y892" s="858">
        <v>41245.07</v>
      </c>
    </row>
    <row r="893" spans="1:25" ht="14.45" customHeight="1" x14ac:dyDescent="0.25">
      <c r="A893" s="499" t="s">
        <v>4939</v>
      </c>
      <c r="B893" s="467">
        <v>530</v>
      </c>
      <c r="C893" s="467" t="s">
        <v>4753</v>
      </c>
      <c r="D893" s="468" t="s">
        <v>13</v>
      </c>
      <c r="E893" s="468" t="s">
        <v>4879</v>
      </c>
      <c r="F893" s="469">
        <v>45226</v>
      </c>
      <c r="G893" s="755"/>
      <c r="H893" s="468" t="s">
        <v>23</v>
      </c>
      <c r="I893" s="476">
        <v>59</v>
      </c>
      <c r="J893" s="500">
        <v>408</v>
      </c>
      <c r="K893" s="501">
        <v>0</v>
      </c>
      <c r="L893" s="744">
        <v>0</v>
      </c>
      <c r="M893" s="487" t="s">
        <v>4963</v>
      </c>
      <c r="N893" s="487" t="s">
        <v>4911</v>
      </c>
      <c r="O893" s="756" t="s">
        <v>5021</v>
      </c>
      <c r="P893" s="757">
        <v>3119.56</v>
      </c>
      <c r="Q893" s="758">
        <v>467</v>
      </c>
      <c r="R893" s="757">
        <v>0.105</v>
      </c>
      <c r="S893" s="757">
        <v>0.182</v>
      </c>
      <c r="T893" s="757">
        <v>0</v>
      </c>
      <c r="U893" s="757">
        <v>0</v>
      </c>
      <c r="V893" s="757">
        <v>42.58</v>
      </c>
      <c r="W893" s="757">
        <v>32.03</v>
      </c>
      <c r="X893" s="757">
        <v>305</v>
      </c>
      <c r="Y893" s="866">
        <v>99903.91</v>
      </c>
    </row>
    <row r="894" spans="1:25" ht="14.45" customHeight="1" x14ac:dyDescent="0.25">
      <c r="A894" s="437" t="s">
        <v>4678</v>
      </c>
      <c r="B894" s="438">
        <v>529</v>
      </c>
      <c r="C894" s="438"/>
      <c r="D894" s="439" t="s">
        <v>13</v>
      </c>
      <c r="E894" s="439" t="s">
        <v>3764</v>
      </c>
      <c r="F894" s="440">
        <v>45226</v>
      </c>
      <c r="G894" s="440"/>
      <c r="H894" s="439" t="s">
        <v>23</v>
      </c>
      <c r="I894" s="441"/>
      <c r="J894" s="442">
        <v>315</v>
      </c>
      <c r="K894" s="443">
        <v>5</v>
      </c>
      <c r="L894" s="444">
        <v>15.300057142857142</v>
      </c>
      <c r="M894" s="463" t="s">
        <v>4761</v>
      </c>
      <c r="N894" s="463"/>
      <c r="O894" s="439" t="s">
        <v>4275</v>
      </c>
      <c r="P894" s="458">
        <v>1616</v>
      </c>
      <c r="Q894" s="459">
        <v>320</v>
      </c>
      <c r="R894" s="458">
        <v>0.2651</v>
      </c>
      <c r="S894" s="447">
        <v>0.82099999999999995</v>
      </c>
      <c r="T894" s="447">
        <v>428.40159999999997</v>
      </c>
      <c r="U894" s="447">
        <v>1326.7360000000001</v>
      </c>
      <c r="V894" s="447">
        <v>55.69</v>
      </c>
      <c r="W894" s="447">
        <v>90.93</v>
      </c>
      <c r="X894" s="447">
        <v>343</v>
      </c>
      <c r="Y894" s="858">
        <v>146942.88</v>
      </c>
    </row>
    <row r="895" spans="1:25" ht="14.45" customHeight="1" x14ac:dyDescent="0.25">
      <c r="A895" s="722" t="s">
        <v>4678</v>
      </c>
      <c r="B895" s="723" t="s">
        <v>2186</v>
      </c>
      <c r="C895" s="723"/>
      <c r="D895" s="724" t="s">
        <v>13</v>
      </c>
      <c r="E895" s="724" t="s">
        <v>3762</v>
      </c>
      <c r="F895" s="725">
        <v>45230</v>
      </c>
      <c r="G895" s="725"/>
      <c r="H895" s="724" t="s">
        <v>23</v>
      </c>
      <c r="I895" s="441"/>
      <c r="J895" s="442"/>
      <c r="K895" s="720">
        <v>74</v>
      </c>
      <c r="L895" s="744">
        <v>0</v>
      </c>
      <c r="M895" s="767"/>
      <c r="N895" s="767"/>
      <c r="O895" s="728" t="s">
        <v>4547</v>
      </c>
      <c r="P895" s="721"/>
      <c r="Q895" s="729">
        <v>74</v>
      </c>
      <c r="R895" s="721"/>
      <c r="S895" s="721"/>
      <c r="T895" s="721"/>
      <c r="U895" s="721"/>
      <c r="V895" s="721"/>
      <c r="W895" s="721"/>
      <c r="X895" s="721"/>
      <c r="Y895" s="857"/>
    </row>
    <row r="896" spans="1:25" ht="14.45" customHeight="1" x14ac:dyDescent="0.25">
      <c r="A896" s="437" t="s">
        <v>4678</v>
      </c>
      <c r="B896" s="438">
        <v>533</v>
      </c>
      <c r="C896" s="438"/>
      <c r="D896" s="439" t="s">
        <v>13</v>
      </c>
      <c r="E896" s="439" t="s">
        <v>3764</v>
      </c>
      <c r="F896" s="440">
        <v>45230</v>
      </c>
      <c r="G896" s="440"/>
      <c r="H896" s="439" t="s">
        <v>23</v>
      </c>
      <c r="I896" s="441"/>
      <c r="J896" s="442">
        <v>430</v>
      </c>
      <c r="K896" s="443">
        <v>0</v>
      </c>
      <c r="L896" s="444">
        <v>0</v>
      </c>
      <c r="M896" s="463" t="s">
        <v>4833</v>
      </c>
      <c r="N896" s="447">
        <v>4.45</v>
      </c>
      <c r="O896" s="439" t="s">
        <v>4276</v>
      </c>
      <c r="P896" s="458">
        <v>1913.5</v>
      </c>
      <c r="Q896" s="459">
        <v>430</v>
      </c>
      <c r="R896" s="458">
        <v>0.2651</v>
      </c>
      <c r="S896" s="447">
        <v>0.82099999999999995</v>
      </c>
      <c r="T896" s="447">
        <v>507.26889999999997</v>
      </c>
      <c r="U896" s="447">
        <v>1570.9835</v>
      </c>
      <c r="V896" s="447">
        <v>65.95</v>
      </c>
      <c r="W896" s="447">
        <v>90.93</v>
      </c>
      <c r="X896" s="447">
        <v>343</v>
      </c>
      <c r="Y896" s="858">
        <v>173994.56</v>
      </c>
    </row>
    <row r="897" spans="1:25" ht="14.45" customHeight="1" x14ac:dyDescent="0.25">
      <c r="A897" s="722" t="s">
        <v>4678</v>
      </c>
      <c r="B897" s="723">
        <v>533</v>
      </c>
      <c r="C897" s="723"/>
      <c r="D897" s="724" t="s">
        <v>13</v>
      </c>
      <c r="E897" s="724" t="s">
        <v>3764</v>
      </c>
      <c r="F897" s="725">
        <v>45230</v>
      </c>
      <c r="G897" s="725"/>
      <c r="H897" s="724" t="s">
        <v>23</v>
      </c>
      <c r="I897" s="441"/>
      <c r="J897" s="466">
        <v>159</v>
      </c>
      <c r="K897" s="720">
        <v>1</v>
      </c>
      <c r="L897" s="744">
        <v>4.7812678571428568E-2</v>
      </c>
      <c r="M897" s="767" t="s">
        <v>4626</v>
      </c>
      <c r="N897" s="721">
        <v>5.05</v>
      </c>
      <c r="O897" s="724" t="s">
        <v>4275</v>
      </c>
      <c r="P897" s="726">
        <v>808</v>
      </c>
      <c r="Q897" s="727">
        <v>160</v>
      </c>
      <c r="R897" s="726">
        <v>0.2651</v>
      </c>
      <c r="S897" s="721">
        <v>0.82099999999999995</v>
      </c>
      <c r="T897" s="721">
        <v>214.20079999999999</v>
      </c>
      <c r="U897" s="721">
        <v>663.36800000000005</v>
      </c>
      <c r="V897" s="721">
        <v>27.85</v>
      </c>
      <c r="W897" s="721">
        <v>90.93</v>
      </c>
      <c r="X897" s="721">
        <v>343</v>
      </c>
      <c r="Y897" s="857">
        <v>73471.44</v>
      </c>
    </row>
    <row r="898" spans="1:25" ht="14.45" customHeight="1" x14ac:dyDescent="0.25">
      <c r="A898" s="437" t="s">
        <v>4678</v>
      </c>
      <c r="B898" s="438">
        <v>535</v>
      </c>
      <c r="C898" s="438"/>
      <c r="D898" s="439" t="s">
        <v>13</v>
      </c>
      <c r="E898" s="439" t="s">
        <v>3764</v>
      </c>
      <c r="F898" s="440">
        <v>45230</v>
      </c>
      <c r="G898" s="440"/>
      <c r="H898" s="439" t="s">
        <v>23</v>
      </c>
      <c r="I898" s="441"/>
      <c r="J898" s="442"/>
      <c r="K898" s="443">
        <v>96</v>
      </c>
      <c r="L898" s="444">
        <v>2.7880642857142854</v>
      </c>
      <c r="M898" s="463" t="s">
        <v>2522</v>
      </c>
      <c r="N898" s="463"/>
      <c r="O898" s="439" t="s">
        <v>1975</v>
      </c>
      <c r="P898" s="458">
        <v>494.4</v>
      </c>
      <c r="Q898" s="459">
        <v>96</v>
      </c>
      <c r="R898" s="458">
        <v>0.15790000000000001</v>
      </c>
      <c r="S898" s="447">
        <v>0.309</v>
      </c>
      <c r="T898" s="447">
        <v>78.065799999999996</v>
      </c>
      <c r="U898" s="447">
        <v>152.7696</v>
      </c>
      <c r="V898" s="447">
        <v>10.15</v>
      </c>
      <c r="W898" s="447">
        <v>54.16</v>
      </c>
      <c r="X898" s="447">
        <v>343</v>
      </c>
      <c r="Y898" s="858">
        <v>26776.560000000001</v>
      </c>
    </row>
    <row r="899" spans="1:25" ht="14.45" customHeight="1" x14ac:dyDescent="0.25">
      <c r="A899" s="722" t="s">
        <v>4678</v>
      </c>
      <c r="B899" s="723" t="s">
        <v>3580</v>
      </c>
      <c r="C899" s="723"/>
      <c r="D899" s="724" t="s">
        <v>34</v>
      </c>
      <c r="E899" s="724" t="s">
        <v>16</v>
      </c>
      <c r="F899" s="725">
        <v>45230</v>
      </c>
      <c r="G899" s="725"/>
      <c r="H899" s="724" t="s">
        <v>23</v>
      </c>
      <c r="I899" s="441"/>
      <c r="J899" s="442"/>
      <c r="K899" s="720">
        <v>185</v>
      </c>
      <c r="L899" s="744">
        <v>28.075071428571427</v>
      </c>
      <c r="M899" s="767"/>
      <c r="N899" s="767"/>
      <c r="O899" s="728" t="s">
        <v>2469</v>
      </c>
      <c r="P899" s="721">
        <v>1110</v>
      </c>
      <c r="Q899" s="729">
        <v>185</v>
      </c>
      <c r="R899" s="721">
        <v>0.70820000000000005</v>
      </c>
      <c r="S899" s="721">
        <v>3.4609999999999999</v>
      </c>
      <c r="T899" s="721">
        <v>786.10199999999998</v>
      </c>
      <c r="U899" s="721">
        <v>3841.71</v>
      </c>
      <c r="V899" s="721">
        <v>102.19</v>
      </c>
      <c r="W899" s="721">
        <v>242.91</v>
      </c>
      <c r="X899" s="721">
        <v>343</v>
      </c>
      <c r="Y899" s="857">
        <v>269630.09999999998</v>
      </c>
    </row>
    <row r="900" spans="1:25" ht="14.45" customHeight="1" x14ac:dyDescent="0.25">
      <c r="A900" s="499" t="s">
        <v>4678</v>
      </c>
      <c r="B900" s="438">
        <v>538</v>
      </c>
      <c r="C900" s="438"/>
      <c r="D900" s="439" t="s">
        <v>13</v>
      </c>
      <c r="E900" s="439" t="s">
        <v>3863</v>
      </c>
      <c r="F900" s="440">
        <v>45231</v>
      </c>
      <c r="G900" s="440">
        <v>45415</v>
      </c>
      <c r="H900" s="439" t="s">
        <v>23</v>
      </c>
      <c r="I900" s="465"/>
      <c r="J900" s="457">
        <v>90</v>
      </c>
      <c r="K900" s="443">
        <v>0</v>
      </c>
      <c r="L900" s="444">
        <v>0</v>
      </c>
      <c r="M900" s="487"/>
      <c r="N900" s="447">
        <v>5</v>
      </c>
      <c r="O900" s="439" t="s">
        <v>117</v>
      </c>
      <c r="P900" s="458">
        <v>450</v>
      </c>
      <c r="Q900" s="459">
        <v>90</v>
      </c>
      <c r="R900" s="458">
        <v>0.1734</v>
      </c>
      <c r="S900" s="447">
        <v>0.35099999999999998</v>
      </c>
      <c r="T900" s="447">
        <v>78.03</v>
      </c>
      <c r="U900" s="447">
        <v>157.94999999999999</v>
      </c>
      <c r="V900" s="447">
        <v>10.14</v>
      </c>
      <c r="W900" s="447">
        <v>63.29</v>
      </c>
      <c r="X900" s="447">
        <v>365</v>
      </c>
      <c r="Y900" s="858">
        <v>28480.95</v>
      </c>
    </row>
    <row r="901" spans="1:25" ht="14.45" customHeight="1" x14ac:dyDescent="0.25">
      <c r="A901" s="722" t="s">
        <v>4678</v>
      </c>
      <c r="B901" s="723">
        <v>540</v>
      </c>
      <c r="C901" s="723"/>
      <c r="D901" s="724" t="s">
        <v>13</v>
      </c>
      <c r="E901" s="724" t="s">
        <v>4548</v>
      </c>
      <c r="F901" s="725">
        <v>45231</v>
      </c>
      <c r="G901" s="725"/>
      <c r="H901" s="724" t="s">
        <v>23</v>
      </c>
      <c r="I901" s="441"/>
      <c r="J901" s="442"/>
      <c r="K901" s="720">
        <v>73</v>
      </c>
      <c r="L901" s="744">
        <v>6.4511142857142856</v>
      </c>
      <c r="M901" s="767"/>
      <c r="N901" s="767"/>
      <c r="O901" s="724" t="s">
        <v>1472</v>
      </c>
      <c r="P901" s="726">
        <v>438</v>
      </c>
      <c r="Q901" s="727">
        <v>73</v>
      </c>
      <c r="R901" s="726">
        <v>0.41239999999999999</v>
      </c>
      <c r="S901" s="721">
        <v>1.1619999999999999</v>
      </c>
      <c r="T901" s="721">
        <v>180.63120000000001</v>
      </c>
      <c r="U901" s="721">
        <v>508.95600000000002</v>
      </c>
      <c r="V901" s="721">
        <v>23.48</v>
      </c>
      <c r="W901" s="721">
        <v>150.53</v>
      </c>
      <c r="X901" s="721">
        <v>365</v>
      </c>
      <c r="Y901" s="857">
        <v>65932.14</v>
      </c>
    </row>
    <row r="902" spans="1:25" ht="14.45" customHeight="1" x14ac:dyDescent="0.25">
      <c r="A902" s="437" t="s">
        <v>4678</v>
      </c>
      <c r="B902" s="438">
        <v>546</v>
      </c>
      <c r="C902" s="438"/>
      <c r="D902" s="439" t="s">
        <v>13</v>
      </c>
      <c r="E902" s="439" t="s">
        <v>3863</v>
      </c>
      <c r="F902" s="440">
        <v>45232</v>
      </c>
      <c r="G902" s="440">
        <v>45386</v>
      </c>
      <c r="H902" s="439" t="s">
        <v>23</v>
      </c>
      <c r="I902" s="441"/>
      <c r="J902" s="442">
        <v>100</v>
      </c>
      <c r="K902" s="443">
        <v>0</v>
      </c>
      <c r="L902" s="486">
        <v>0</v>
      </c>
      <c r="M902" s="487"/>
      <c r="N902" s="447">
        <v>5</v>
      </c>
      <c r="O902" s="439" t="s">
        <v>149</v>
      </c>
      <c r="P902" s="458">
        <v>600</v>
      </c>
      <c r="Q902" s="459">
        <v>100</v>
      </c>
      <c r="R902" s="458">
        <v>0.18360000000000001</v>
      </c>
      <c r="S902" s="447">
        <v>0.39400000000000002</v>
      </c>
      <c r="T902" s="447">
        <v>110.16000000000001</v>
      </c>
      <c r="U902" s="447">
        <v>354.6</v>
      </c>
      <c r="V902" s="447">
        <v>21.48</v>
      </c>
      <c r="W902" s="447">
        <v>63.29</v>
      </c>
      <c r="X902" s="447">
        <v>365</v>
      </c>
      <c r="Y902" s="858">
        <v>56961</v>
      </c>
    </row>
    <row r="903" spans="1:25" ht="14.45" customHeight="1" x14ac:dyDescent="0.25">
      <c r="A903" s="722" t="s">
        <v>4678</v>
      </c>
      <c r="B903" s="723">
        <v>547</v>
      </c>
      <c r="C903" s="723"/>
      <c r="D903" s="724" t="s">
        <v>13</v>
      </c>
      <c r="E903" s="724" t="s">
        <v>3863</v>
      </c>
      <c r="F903" s="725">
        <v>45232</v>
      </c>
      <c r="G903" s="725"/>
      <c r="H903" s="724" t="s">
        <v>23</v>
      </c>
      <c r="I903" s="441">
        <v>180</v>
      </c>
      <c r="J903" s="442"/>
      <c r="K903" s="720">
        <v>0</v>
      </c>
      <c r="L903" s="744">
        <v>5.8725000000000005</v>
      </c>
      <c r="M903" s="767"/>
      <c r="N903" s="767"/>
      <c r="O903" s="724" t="s">
        <v>119</v>
      </c>
      <c r="P903" s="726">
        <v>900</v>
      </c>
      <c r="Q903" s="727">
        <v>180</v>
      </c>
      <c r="R903" s="726">
        <v>0.1827</v>
      </c>
      <c r="S903" s="721">
        <v>0.36899999999999999</v>
      </c>
      <c r="T903" s="721">
        <v>164.43</v>
      </c>
      <c r="U903" s="721">
        <v>332.1</v>
      </c>
      <c r="V903" s="721">
        <v>21.38</v>
      </c>
      <c r="W903" s="721">
        <v>63.29</v>
      </c>
      <c r="X903" s="721">
        <v>365</v>
      </c>
      <c r="Y903" s="857">
        <v>56961</v>
      </c>
    </row>
    <row r="904" spans="1:25" ht="14.45" customHeight="1" x14ac:dyDescent="0.25">
      <c r="A904" s="437" t="s">
        <v>4678</v>
      </c>
      <c r="B904" s="438">
        <v>548</v>
      </c>
      <c r="C904" s="438"/>
      <c r="D904" s="439" t="s">
        <v>13</v>
      </c>
      <c r="E904" s="439" t="s">
        <v>3863</v>
      </c>
      <c r="F904" s="440">
        <v>45232</v>
      </c>
      <c r="G904" s="440"/>
      <c r="H904" s="439"/>
      <c r="I904" s="441"/>
      <c r="J904" s="442">
        <v>40</v>
      </c>
      <c r="K904" s="443">
        <v>120</v>
      </c>
      <c r="L904" s="486">
        <v>5.8264285714285711</v>
      </c>
      <c r="M904" s="487"/>
      <c r="N904" s="447">
        <v>5</v>
      </c>
      <c r="O904" s="439" t="s">
        <v>151</v>
      </c>
      <c r="P904" s="458">
        <v>800</v>
      </c>
      <c r="Q904" s="459">
        <v>160</v>
      </c>
      <c r="R904" s="458">
        <v>0.27189999999999998</v>
      </c>
      <c r="S904" s="447">
        <v>0.50600000000000001</v>
      </c>
      <c r="T904" s="447">
        <v>217.52</v>
      </c>
      <c r="U904" s="447">
        <v>404.8</v>
      </c>
      <c r="V904" s="447">
        <v>28.28</v>
      </c>
      <c r="W904" s="447">
        <v>63.29</v>
      </c>
      <c r="X904" s="447">
        <v>365</v>
      </c>
      <c r="Y904" s="858">
        <v>50632</v>
      </c>
    </row>
    <row r="905" spans="1:25" ht="14.45" customHeight="1" x14ac:dyDescent="0.25">
      <c r="A905" s="722" t="s">
        <v>4678</v>
      </c>
      <c r="B905" s="467">
        <v>553</v>
      </c>
      <c r="C905" s="467"/>
      <c r="D905" s="468" t="s">
        <v>13</v>
      </c>
      <c r="E905" s="468" t="s">
        <v>3765</v>
      </c>
      <c r="F905" s="469">
        <v>45237</v>
      </c>
      <c r="G905" s="469">
        <v>45331</v>
      </c>
      <c r="H905" s="724" t="s">
        <v>23</v>
      </c>
      <c r="I905" s="441"/>
      <c r="J905" s="442"/>
      <c r="K905" s="720">
        <v>167</v>
      </c>
      <c r="L905" s="744">
        <v>1.7874964285714285</v>
      </c>
      <c r="M905" s="767"/>
      <c r="N905" s="721">
        <v>3</v>
      </c>
      <c r="O905" s="724" t="s">
        <v>2357</v>
      </c>
      <c r="P905" s="726">
        <v>501</v>
      </c>
      <c r="Q905" s="727">
        <v>167</v>
      </c>
      <c r="R905" s="726">
        <v>9.9900000000000003E-2</v>
      </c>
      <c r="S905" s="721">
        <v>0.28599999999999998</v>
      </c>
      <c r="T905" s="721">
        <v>50.049900000000001</v>
      </c>
      <c r="U905" s="721">
        <v>143.286</v>
      </c>
      <c r="V905" s="721">
        <v>6.51</v>
      </c>
      <c r="W905" s="721">
        <v>56.65</v>
      </c>
      <c r="X905" s="721">
        <v>567.07000000000005</v>
      </c>
      <c r="Y905" s="857">
        <v>28381.65</v>
      </c>
    </row>
    <row r="906" spans="1:25" ht="14.45" customHeight="1" x14ac:dyDescent="0.25">
      <c r="A906" s="437" t="s">
        <v>4678</v>
      </c>
      <c r="B906" s="438" t="s">
        <v>2199</v>
      </c>
      <c r="C906" s="438"/>
      <c r="D906" s="439" t="s">
        <v>13</v>
      </c>
      <c r="E906" s="439" t="s">
        <v>3765</v>
      </c>
      <c r="F906" s="440">
        <v>45237</v>
      </c>
      <c r="G906" s="440"/>
      <c r="H906" s="439" t="s">
        <v>23</v>
      </c>
      <c r="I906" s="441"/>
      <c r="J906" s="442">
        <v>12</v>
      </c>
      <c r="K906" s="443">
        <v>0</v>
      </c>
      <c r="L906" s="444">
        <v>0</v>
      </c>
      <c r="M906" s="463"/>
      <c r="N906" s="463"/>
      <c r="O906" s="439" t="s">
        <v>4568</v>
      </c>
      <c r="P906" s="458"/>
      <c r="Q906" s="459">
        <v>12</v>
      </c>
      <c r="R906" s="458"/>
      <c r="S906" s="447"/>
      <c r="T906" s="447"/>
      <c r="U906" s="447"/>
      <c r="V906" s="447"/>
      <c r="W906" s="447"/>
      <c r="X906" s="447"/>
      <c r="Y906" s="858"/>
    </row>
    <row r="907" spans="1:25" ht="14.45" customHeight="1" x14ac:dyDescent="0.25">
      <c r="A907" s="722" t="s">
        <v>4678</v>
      </c>
      <c r="B907" s="723">
        <v>508</v>
      </c>
      <c r="C907" s="723"/>
      <c r="D907" s="724" t="s">
        <v>34</v>
      </c>
      <c r="E907" s="724" t="s">
        <v>201</v>
      </c>
      <c r="F907" s="725">
        <v>45217</v>
      </c>
      <c r="G907" s="725"/>
      <c r="H907" s="724" t="s">
        <v>23</v>
      </c>
      <c r="I907" s="441"/>
      <c r="J907" s="442"/>
      <c r="K907" s="720">
        <v>320</v>
      </c>
      <c r="L907" s="744">
        <v>10.909714285714285</v>
      </c>
      <c r="M907" s="767" t="s">
        <v>4668</v>
      </c>
      <c r="N907" s="767"/>
      <c r="O907" s="728" t="s">
        <v>3403</v>
      </c>
      <c r="P907" s="721">
        <v>1920</v>
      </c>
      <c r="Q907" s="729">
        <v>320</v>
      </c>
      <c r="R907" s="721">
        <v>0.15909999999999999</v>
      </c>
      <c r="S907" s="721">
        <v>0.26100000000000001</v>
      </c>
      <c r="T907" s="721">
        <v>305.47199999999998</v>
      </c>
      <c r="U907" s="721">
        <v>501.12</v>
      </c>
      <c r="V907" s="721">
        <v>39.71</v>
      </c>
      <c r="W907" s="721">
        <v>58.07</v>
      </c>
      <c r="X907" s="721">
        <v>365</v>
      </c>
      <c r="Y907" s="857">
        <v>111497.28</v>
      </c>
    </row>
    <row r="908" spans="1:25" ht="14.45" customHeight="1" x14ac:dyDescent="0.25">
      <c r="A908" s="437" t="s">
        <v>4678</v>
      </c>
      <c r="B908" s="438">
        <v>524</v>
      </c>
      <c r="C908" s="438"/>
      <c r="D908" s="439" t="s">
        <v>34</v>
      </c>
      <c r="E908" s="439" t="s">
        <v>201</v>
      </c>
      <c r="F908" s="440">
        <v>45225</v>
      </c>
      <c r="G908" s="440"/>
      <c r="H908" s="439" t="s">
        <v>23</v>
      </c>
      <c r="I908" s="441">
        <v>235</v>
      </c>
      <c r="J908" s="442"/>
      <c r="K908" s="443">
        <v>0</v>
      </c>
      <c r="L908" s="444">
        <v>0</v>
      </c>
      <c r="M908" s="463"/>
      <c r="N908" s="463" t="s">
        <v>4822</v>
      </c>
      <c r="O908" s="445" t="s">
        <v>3403</v>
      </c>
      <c r="P908" s="447">
        <v>1410</v>
      </c>
      <c r="Q908" s="451">
        <v>235</v>
      </c>
      <c r="R908" s="447">
        <v>0.15909999999999999</v>
      </c>
      <c r="S908" s="447">
        <v>0.26100000000000001</v>
      </c>
      <c r="T908" s="447">
        <v>224.33099999999999</v>
      </c>
      <c r="U908" s="447">
        <v>368.01</v>
      </c>
      <c r="V908" s="447">
        <v>29.16</v>
      </c>
      <c r="W908" s="447">
        <v>58.07</v>
      </c>
      <c r="X908" s="447">
        <v>365</v>
      </c>
      <c r="Y908" s="858">
        <v>81878.7</v>
      </c>
    </row>
    <row r="909" spans="1:25" ht="14.45" customHeight="1" x14ac:dyDescent="0.25">
      <c r="A909" s="722" t="s">
        <v>4678</v>
      </c>
      <c r="B909" s="723">
        <v>525</v>
      </c>
      <c r="C909" s="723"/>
      <c r="D909" s="724" t="s">
        <v>34</v>
      </c>
      <c r="E909" s="724" t="s">
        <v>201</v>
      </c>
      <c r="F909" s="725">
        <v>45225</v>
      </c>
      <c r="G909" s="725"/>
      <c r="H909" s="724" t="s">
        <v>23</v>
      </c>
      <c r="I909" s="441">
        <v>56</v>
      </c>
      <c r="J909" s="442"/>
      <c r="K909" s="720">
        <v>0</v>
      </c>
      <c r="L909" s="744">
        <v>0</v>
      </c>
      <c r="M909" s="767"/>
      <c r="N909" s="767" t="s">
        <v>4822</v>
      </c>
      <c r="O909" s="728" t="s">
        <v>2719</v>
      </c>
      <c r="P909" s="721">
        <v>336</v>
      </c>
      <c r="Q909" s="729">
        <v>56</v>
      </c>
      <c r="R909" s="721">
        <v>0.68820000000000003</v>
      </c>
      <c r="S909" s="721">
        <v>3.2480000000000002</v>
      </c>
      <c r="T909" s="721">
        <v>231.23519999999999</v>
      </c>
      <c r="U909" s="721">
        <v>1091.328</v>
      </c>
      <c r="V909" s="721">
        <v>30.06</v>
      </c>
      <c r="W909" s="721">
        <v>251.19</v>
      </c>
      <c r="X909" s="721">
        <v>365</v>
      </c>
      <c r="Y909" s="857">
        <v>84400.85</v>
      </c>
    </row>
    <row r="910" spans="1:25" ht="14.45" customHeight="1" x14ac:dyDescent="0.25">
      <c r="A910" s="437" t="s">
        <v>4678</v>
      </c>
      <c r="B910" s="438">
        <v>544</v>
      </c>
      <c r="C910" s="438"/>
      <c r="D910" s="439" t="s">
        <v>34</v>
      </c>
      <c r="E910" s="439" t="s">
        <v>201</v>
      </c>
      <c r="F910" s="440">
        <v>45231</v>
      </c>
      <c r="G910" s="440"/>
      <c r="H910" s="439" t="s">
        <v>23</v>
      </c>
      <c r="I910" s="441">
        <v>80</v>
      </c>
      <c r="J910" s="442">
        <v>32</v>
      </c>
      <c r="K910" s="443">
        <v>0</v>
      </c>
      <c r="L910" s="444">
        <v>0</v>
      </c>
      <c r="M910" s="463"/>
      <c r="N910" s="463" t="s">
        <v>4822</v>
      </c>
      <c r="O910" s="445" t="s">
        <v>2202</v>
      </c>
      <c r="P910" s="447">
        <v>672</v>
      </c>
      <c r="Q910" s="451">
        <v>112</v>
      </c>
      <c r="R910" s="447">
        <v>0.28760000000000002</v>
      </c>
      <c r="S910" s="447">
        <v>0.76700000000000002</v>
      </c>
      <c r="T910" s="447">
        <v>193.2672</v>
      </c>
      <c r="U910" s="447">
        <v>515.42399999999998</v>
      </c>
      <c r="V910" s="447">
        <v>25.12</v>
      </c>
      <c r="W910" s="447">
        <v>104.97</v>
      </c>
      <c r="X910" s="447">
        <v>365</v>
      </c>
      <c r="Y910" s="858">
        <v>70542.53</v>
      </c>
    </row>
    <row r="911" spans="1:25" ht="14.45" customHeight="1" x14ac:dyDescent="0.25">
      <c r="A911" s="722" t="s">
        <v>4678</v>
      </c>
      <c r="B911" s="467" t="s">
        <v>2199</v>
      </c>
      <c r="C911" s="467"/>
      <c r="D911" s="468" t="s">
        <v>13</v>
      </c>
      <c r="E911" s="468" t="s">
        <v>3765</v>
      </c>
      <c r="F911" s="725">
        <v>45237</v>
      </c>
      <c r="G911" s="725"/>
      <c r="H911" s="724" t="s">
        <v>23</v>
      </c>
      <c r="I911" s="441"/>
      <c r="J911" s="442"/>
      <c r="K911" s="720">
        <v>12</v>
      </c>
      <c r="L911" s="744">
        <v>0</v>
      </c>
      <c r="M911" s="767" t="s">
        <v>4569</v>
      </c>
      <c r="N911" s="767"/>
      <c r="O911" s="724" t="s">
        <v>4504</v>
      </c>
      <c r="P911" s="726"/>
      <c r="Q911" s="727">
        <v>12</v>
      </c>
      <c r="R911" s="726"/>
      <c r="S911" s="721"/>
      <c r="T911" s="721"/>
      <c r="U911" s="721"/>
      <c r="V911" s="721"/>
      <c r="W911" s="721"/>
      <c r="X911" s="721"/>
      <c r="Y911" s="857"/>
    </row>
    <row r="912" spans="1:25" ht="14.45" customHeight="1" x14ac:dyDescent="0.25">
      <c r="A912" s="437" t="s">
        <v>4678</v>
      </c>
      <c r="B912" s="438">
        <v>556</v>
      </c>
      <c r="C912" s="438"/>
      <c r="D912" s="439" t="s">
        <v>13</v>
      </c>
      <c r="E912" s="439" t="s">
        <v>672</v>
      </c>
      <c r="F912" s="440">
        <v>45237</v>
      </c>
      <c r="G912" s="440"/>
      <c r="H912" s="439" t="s">
        <v>23</v>
      </c>
      <c r="I912" s="441">
        <v>300</v>
      </c>
      <c r="J912" s="442"/>
      <c r="K912" s="443">
        <v>19</v>
      </c>
      <c r="L912" s="444">
        <v>20.343085714285714</v>
      </c>
      <c r="M912" s="463" t="s">
        <v>4614</v>
      </c>
      <c r="N912" s="463"/>
      <c r="O912" s="439" t="s">
        <v>4567</v>
      </c>
      <c r="P912" s="458">
        <v>1914</v>
      </c>
      <c r="Q912" s="459">
        <v>319</v>
      </c>
      <c r="R912" s="458">
        <v>0.29759999999999998</v>
      </c>
      <c r="S912" s="447">
        <v>0.67600000000000005</v>
      </c>
      <c r="T912" s="447">
        <v>569.60640000000001</v>
      </c>
      <c r="U912" s="447">
        <v>1293.864</v>
      </c>
      <c r="V912" s="447">
        <v>74.05</v>
      </c>
      <c r="W912" s="447">
        <v>98.21</v>
      </c>
      <c r="X912" s="447">
        <v>330</v>
      </c>
      <c r="Y912" s="858">
        <v>187973.94</v>
      </c>
    </row>
    <row r="913" spans="1:25" ht="14.45" customHeight="1" x14ac:dyDescent="0.25">
      <c r="A913" s="722" t="s">
        <v>4678</v>
      </c>
      <c r="B913" s="723">
        <v>551</v>
      </c>
      <c r="C913" s="723"/>
      <c r="D913" s="724" t="s">
        <v>13</v>
      </c>
      <c r="E913" s="724" t="s">
        <v>672</v>
      </c>
      <c r="F913" s="725">
        <v>45237</v>
      </c>
      <c r="G913" s="725"/>
      <c r="H913" s="724" t="s">
        <v>23</v>
      </c>
      <c r="I913" s="441"/>
      <c r="J913" s="442"/>
      <c r="K913" s="720">
        <v>74</v>
      </c>
      <c r="L913" s="744">
        <v>10.753785714285714</v>
      </c>
      <c r="M913" s="767"/>
      <c r="N913" s="767"/>
      <c r="O913" s="724" t="s">
        <v>999</v>
      </c>
      <c r="P913" s="726">
        <v>481</v>
      </c>
      <c r="Q913" s="727">
        <v>74</v>
      </c>
      <c r="R913" s="726">
        <v>0.626</v>
      </c>
      <c r="S913" s="721">
        <v>2.1869999999999998</v>
      </c>
      <c r="T913" s="721">
        <v>301.10599999999999</v>
      </c>
      <c r="U913" s="721">
        <v>1051.9469999999999</v>
      </c>
      <c r="V913" s="721">
        <v>39.14</v>
      </c>
      <c r="W913" s="721">
        <v>209.71</v>
      </c>
      <c r="X913" s="721">
        <v>335</v>
      </c>
      <c r="Y913" s="857">
        <v>100870.51</v>
      </c>
    </row>
    <row r="914" spans="1:25" ht="14.45" customHeight="1" x14ac:dyDescent="0.25">
      <c r="A914" s="437" t="s">
        <v>4678</v>
      </c>
      <c r="B914" s="438">
        <v>557</v>
      </c>
      <c r="C914" s="438"/>
      <c r="D914" s="439" t="s">
        <v>13</v>
      </c>
      <c r="E914" s="439" t="s">
        <v>3764</v>
      </c>
      <c r="F914" s="440">
        <v>45237</v>
      </c>
      <c r="G914" s="440">
        <v>45334</v>
      </c>
      <c r="H914" s="439" t="s">
        <v>23</v>
      </c>
      <c r="I914" s="441"/>
      <c r="J914" s="442">
        <v>798</v>
      </c>
      <c r="K914" s="443">
        <v>0</v>
      </c>
      <c r="L914" s="444">
        <v>0</v>
      </c>
      <c r="M914" s="463"/>
      <c r="N914" s="447">
        <v>4.1500000000000004</v>
      </c>
      <c r="O914" s="439" t="s">
        <v>3110</v>
      </c>
      <c r="P914" s="458">
        <v>3311.7</v>
      </c>
      <c r="Q914" s="459">
        <v>798</v>
      </c>
      <c r="R914" s="458">
        <v>6.1400000000000003E-2</v>
      </c>
      <c r="S914" s="447">
        <v>0.157</v>
      </c>
      <c r="T914" s="447">
        <v>203.33840000000001</v>
      </c>
      <c r="U914" s="447">
        <v>519.93690000000004</v>
      </c>
      <c r="V914" s="447">
        <v>26.43</v>
      </c>
      <c r="W914" s="447">
        <v>60.54</v>
      </c>
      <c r="X914" s="447">
        <v>343</v>
      </c>
      <c r="Y914" s="858">
        <v>200490.32</v>
      </c>
    </row>
    <row r="915" spans="1:25" ht="14.45" customHeight="1" x14ac:dyDescent="0.25">
      <c r="A915" s="722" t="s">
        <v>4678</v>
      </c>
      <c r="B915" s="723">
        <v>557</v>
      </c>
      <c r="C915" s="723"/>
      <c r="D915" s="724" t="s">
        <v>13</v>
      </c>
      <c r="E915" s="724" t="s">
        <v>3764</v>
      </c>
      <c r="F915" s="725">
        <v>45237</v>
      </c>
      <c r="G915" s="725"/>
      <c r="H915" s="724" t="s">
        <v>23</v>
      </c>
      <c r="I915" s="441"/>
      <c r="J915" s="442">
        <v>35</v>
      </c>
      <c r="K915" s="720">
        <v>7</v>
      </c>
      <c r="L915" s="744">
        <v>1.2449785714285715</v>
      </c>
      <c r="M915" s="767"/>
      <c r="N915" s="767"/>
      <c r="O915" s="724" t="s">
        <v>4446</v>
      </c>
      <c r="P915" s="726">
        <v>237.3</v>
      </c>
      <c r="Q915" s="727">
        <v>42</v>
      </c>
      <c r="R915" s="726">
        <v>0.1469</v>
      </c>
      <c r="S915" s="721">
        <v>1.3859999999999999</v>
      </c>
      <c r="T915" s="721">
        <v>34.859400000000001</v>
      </c>
      <c r="U915" s="721">
        <v>328.89780000000002</v>
      </c>
      <c r="V915" s="721">
        <v>4.53</v>
      </c>
      <c r="W915" s="721">
        <v>50.39</v>
      </c>
      <c r="X915" s="721">
        <v>343</v>
      </c>
      <c r="Y915" s="857">
        <v>11956.76</v>
      </c>
    </row>
    <row r="916" spans="1:25" ht="14.45" customHeight="1" x14ac:dyDescent="0.25">
      <c r="A916" s="869" t="s">
        <v>4678</v>
      </c>
      <c r="B916" s="769" t="s">
        <v>3626</v>
      </c>
      <c r="C916" s="769" t="s">
        <v>4753</v>
      </c>
      <c r="D916" s="754" t="s">
        <v>13</v>
      </c>
      <c r="E916" s="754" t="s">
        <v>4677</v>
      </c>
      <c r="F916" s="762">
        <v>45238</v>
      </c>
      <c r="G916" s="762"/>
      <c r="H916" s="761" t="s">
        <v>23</v>
      </c>
      <c r="I916" s="504"/>
      <c r="J916" s="505"/>
      <c r="K916" s="443">
        <v>140</v>
      </c>
      <c r="L916" s="763">
        <v>8</v>
      </c>
      <c r="M916" s="824" t="s">
        <v>4756</v>
      </c>
      <c r="N916" s="824"/>
      <c r="O916" s="761" t="s">
        <v>4570</v>
      </c>
      <c r="P916" s="761">
        <v>890.4</v>
      </c>
      <c r="Q916" s="825">
        <v>140</v>
      </c>
      <c r="R916" s="761"/>
      <c r="S916" s="764"/>
      <c r="T916" s="764"/>
      <c r="U916" s="764"/>
      <c r="V916" s="764"/>
      <c r="W916" s="764"/>
      <c r="X916" s="764"/>
      <c r="Y916" s="870"/>
    </row>
    <row r="917" spans="1:25" ht="14.45" customHeight="1" x14ac:dyDescent="0.25">
      <c r="A917" s="722" t="s">
        <v>4678</v>
      </c>
      <c r="B917" s="723">
        <v>549</v>
      </c>
      <c r="C917" s="723"/>
      <c r="D917" s="724" t="s">
        <v>13</v>
      </c>
      <c r="E917" s="724" t="s">
        <v>3819</v>
      </c>
      <c r="F917" s="725">
        <v>45237</v>
      </c>
      <c r="G917" s="725"/>
      <c r="H917" s="724" t="s">
        <v>23</v>
      </c>
      <c r="I917" s="441"/>
      <c r="J917" s="442"/>
      <c r="K917" s="720">
        <v>42</v>
      </c>
      <c r="L917" s="744">
        <v>6.0245249999999997</v>
      </c>
      <c r="M917" s="767"/>
      <c r="N917" s="767"/>
      <c r="O917" s="728" t="s">
        <v>4402</v>
      </c>
      <c r="P917" s="721">
        <v>273</v>
      </c>
      <c r="Q917" s="729">
        <v>42</v>
      </c>
      <c r="R917" s="721">
        <v>0.6179</v>
      </c>
      <c r="S917" s="721">
        <v>2.117</v>
      </c>
      <c r="T917" s="721">
        <v>168.6867</v>
      </c>
      <c r="U917" s="721">
        <v>577.94100000000003</v>
      </c>
      <c r="V917" s="721">
        <v>21.93</v>
      </c>
      <c r="W917" s="721">
        <v>225.53</v>
      </c>
      <c r="X917" s="721">
        <v>365</v>
      </c>
      <c r="Y917" s="857">
        <v>61570.65</v>
      </c>
    </row>
    <row r="918" spans="1:25" ht="14.45" customHeight="1" x14ac:dyDescent="0.25">
      <c r="A918" s="437" t="s">
        <v>4678</v>
      </c>
      <c r="B918" s="438">
        <v>520</v>
      </c>
      <c r="C918" s="438"/>
      <c r="D918" s="439" t="s">
        <v>13</v>
      </c>
      <c r="E918" s="439" t="s">
        <v>3764</v>
      </c>
      <c r="F918" s="440">
        <v>45224</v>
      </c>
      <c r="G918" s="440"/>
      <c r="H918" s="439" t="s">
        <v>23</v>
      </c>
      <c r="I918" s="441"/>
      <c r="J918" s="441">
        <v>400</v>
      </c>
      <c r="K918" s="443">
        <v>0</v>
      </c>
      <c r="L918" s="444">
        <v>6.6237142857142857</v>
      </c>
      <c r="M918" s="463"/>
      <c r="N918" s="463"/>
      <c r="O918" s="445" t="s">
        <v>2841</v>
      </c>
      <c r="P918" s="447">
        <v>1940</v>
      </c>
      <c r="Q918" s="451">
        <v>400</v>
      </c>
      <c r="R918" s="447">
        <v>9.5600000000000004E-2</v>
      </c>
      <c r="S918" s="447">
        <v>0.16</v>
      </c>
      <c r="T918" s="447">
        <v>185.464</v>
      </c>
      <c r="U918" s="447">
        <v>310.39999999999998</v>
      </c>
      <c r="V918" s="447">
        <v>24.11</v>
      </c>
      <c r="W918" s="447">
        <v>32.79</v>
      </c>
      <c r="X918" s="447">
        <v>343</v>
      </c>
      <c r="Y918" s="858">
        <v>63612.6</v>
      </c>
    </row>
    <row r="919" spans="1:25" ht="14.45" customHeight="1" x14ac:dyDescent="0.25">
      <c r="A919" s="722" t="s">
        <v>4678</v>
      </c>
      <c r="B919" s="723">
        <v>501</v>
      </c>
      <c r="C919" s="723"/>
      <c r="D919" s="724" t="s">
        <v>13</v>
      </c>
      <c r="E919" s="724" t="s">
        <v>3764</v>
      </c>
      <c r="F919" s="725">
        <v>45212</v>
      </c>
      <c r="G919" s="725"/>
      <c r="H919" s="724" t="s">
        <v>23</v>
      </c>
      <c r="I919" s="441"/>
      <c r="J919" s="442">
        <v>405</v>
      </c>
      <c r="K919" s="720">
        <v>246</v>
      </c>
      <c r="L919" s="744">
        <v>27.427907142857144</v>
      </c>
      <c r="M919" s="767"/>
      <c r="N919" s="767"/>
      <c r="O919" s="728" t="s">
        <v>4276</v>
      </c>
      <c r="P919" s="721">
        <v>2896.95</v>
      </c>
      <c r="Q919" s="729">
        <v>651</v>
      </c>
      <c r="R919" s="721">
        <v>0.2651</v>
      </c>
      <c r="S919" s="721">
        <v>0.82099999999999995</v>
      </c>
      <c r="T919" s="721">
        <v>767.98140000000001</v>
      </c>
      <c r="U919" s="721">
        <v>2378.3960000000002</v>
      </c>
      <c r="V919" s="721">
        <v>99.84</v>
      </c>
      <c r="W919" s="721">
        <v>90.93</v>
      </c>
      <c r="X919" s="721">
        <v>343</v>
      </c>
      <c r="Y919" s="857">
        <v>263417.64</v>
      </c>
    </row>
    <row r="920" spans="1:25" ht="14.45" customHeight="1" x14ac:dyDescent="0.25">
      <c r="A920" s="874" t="s">
        <v>4678</v>
      </c>
      <c r="B920" s="769" t="s">
        <v>3626</v>
      </c>
      <c r="C920" s="770" t="s">
        <v>4753</v>
      </c>
      <c r="D920" s="754" t="s">
        <v>13</v>
      </c>
      <c r="E920" s="754" t="s">
        <v>4677</v>
      </c>
      <c r="F920" s="762">
        <v>45238</v>
      </c>
      <c r="G920" s="762"/>
      <c r="H920" s="761" t="s">
        <v>23</v>
      </c>
      <c r="I920" s="504"/>
      <c r="J920" s="505"/>
      <c r="K920" s="443">
        <v>972</v>
      </c>
      <c r="L920" s="763">
        <v>10</v>
      </c>
      <c r="M920" s="823" t="s">
        <v>4755</v>
      </c>
      <c r="N920" s="824"/>
      <c r="O920" s="761" t="s">
        <v>4571</v>
      </c>
      <c r="P920" s="761">
        <v>3645</v>
      </c>
      <c r="Q920" s="825">
        <v>972</v>
      </c>
      <c r="R920" s="761"/>
      <c r="S920" s="764"/>
      <c r="T920" s="764"/>
      <c r="U920" s="764"/>
      <c r="V920" s="764"/>
      <c r="W920" s="764"/>
      <c r="X920" s="764"/>
      <c r="Y920" s="870"/>
    </row>
    <row r="921" spans="1:25" ht="14.45" customHeight="1" x14ac:dyDescent="0.25">
      <c r="A921" s="882" t="s">
        <v>4678</v>
      </c>
      <c r="B921" s="773" t="s">
        <v>3628</v>
      </c>
      <c r="C921" s="811" t="s">
        <v>4753</v>
      </c>
      <c r="D921" s="777" t="s">
        <v>13</v>
      </c>
      <c r="E921" s="777" t="s">
        <v>4766</v>
      </c>
      <c r="F921" s="778">
        <v>45239</v>
      </c>
      <c r="G921" s="778"/>
      <c r="H921" s="777" t="s">
        <v>677</v>
      </c>
      <c r="I921" s="384"/>
      <c r="J921" s="385"/>
      <c r="K921" s="720">
        <v>60</v>
      </c>
      <c r="L921" s="805"/>
      <c r="M921" s="826"/>
      <c r="N921" s="827"/>
      <c r="O921" s="777" t="s">
        <v>4572</v>
      </c>
      <c r="P921" s="777">
        <v>360</v>
      </c>
      <c r="Q921" s="828">
        <v>60</v>
      </c>
      <c r="R921" s="777"/>
      <c r="S921" s="766"/>
      <c r="T921" s="766"/>
      <c r="U921" s="766"/>
      <c r="V921" s="766"/>
      <c r="W921" s="766"/>
      <c r="X921" s="766"/>
      <c r="Y921" s="877"/>
    </row>
    <row r="922" spans="1:25" ht="14.45" customHeight="1" x14ac:dyDescent="0.25">
      <c r="A922" s="880" t="s">
        <v>4678</v>
      </c>
      <c r="B922" s="734" t="s">
        <v>3628</v>
      </c>
      <c r="C922" s="812" t="s">
        <v>4753</v>
      </c>
      <c r="D922" s="815" t="s">
        <v>13</v>
      </c>
      <c r="E922" s="815" t="s">
        <v>4766</v>
      </c>
      <c r="F922" s="816">
        <v>45239</v>
      </c>
      <c r="G922" s="816"/>
      <c r="H922" s="815" t="s">
        <v>677</v>
      </c>
      <c r="I922" s="384"/>
      <c r="J922" s="385"/>
      <c r="K922" s="443">
        <v>80</v>
      </c>
      <c r="L922" s="808"/>
      <c r="M922" s="821"/>
      <c r="N922" s="821"/>
      <c r="O922" s="815" t="s">
        <v>4573</v>
      </c>
      <c r="P922" s="815">
        <v>480</v>
      </c>
      <c r="Q922" s="822">
        <v>80</v>
      </c>
      <c r="R922" s="815"/>
      <c r="S922" s="759"/>
      <c r="T922" s="759"/>
      <c r="U922" s="759"/>
      <c r="V922" s="759"/>
      <c r="W922" s="759"/>
      <c r="X922" s="759"/>
      <c r="Y922" s="881"/>
    </row>
    <row r="923" spans="1:25" ht="14.45" customHeight="1" x14ac:dyDescent="0.25">
      <c r="A923" s="722" t="s">
        <v>4678</v>
      </c>
      <c r="B923" s="723" t="s">
        <v>2204</v>
      </c>
      <c r="C923" s="723"/>
      <c r="D923" s="724" t="s">
        <v>13</v>
      </c>
      <c r="E923" s="724" t="s">
        <v>289</v>
      </c>
      <c r="F923" s="725">
        <v>45239</v>
      </c>
      <c r="G923" s="725"/>
      <c r="H923" s="724" t="s">
        <v>23</v>
      </c>
      <c r="I923" s="441"/>
      <c r="J923" s="442"/>
      <c r="K923" s="720">
        <v>0</v>
      </c>
      <c r="L923" s="744">
        <v>0</v>
      </c>
      <c r="M923" s="767" t="s">
        <v>4579</v>
      </c>
      <c r="N923" s="767"/>
      <c r="O923" s="724" t="s">
        <v>4710</v>
      </c>
      <c r="P923" s="726">
        <v>12</v>
      </c>
      <c r="Q923" s="727"/>
      <c r="R923" s="726"/>
      <c r="S923" s="721"/>
      <c r="T923" s="721"/>
      <c r="U923" s="721"/>
      <c r="V923" s="721"/>
      <c r="W923" s="721"/>
      <c r="X923" s="721"/>
      <c r="Y923" s="857"/>
    </row>
    <row r="924" spans="1:25" ht="14.45" customHeight="1" x14ac:dyDescent="0.25">
      <c r="A924" s="437" t="s">
        <v>4678</v>
      </c>
      <c r="B924" s="467">
        <v>542</v>
      </c>
      <c r="C924" s="467"/>
      <c r="D924" s="468" t="s">
        <v>13</v>
      </c>
      <c r="E924" s="468" t="s">
        <v>3765</v>
      </c>
      <c r="F924" s="440">
        <v>45239</v>
      </c>
      <c r="G924" s="440"/>
      <c r="H924" s="439" t="s">
        <v>23</v>
      </c>
      <c r="I924" s="441"/>
      <c r="J924" s="442">
        <v>24</v>
      </c>
      <c r="K924" s="443">
        <v>24</v>
      </c>
      <c r="L924" s="444">
        <v>0</v>
      </c>
      <c r="M924" s="463"/>
      <c r="N924" s="463"/>
      <c r="O924" s="439" t="s">
        <v>4504</v>
      </c>
      <c r="P924" s="458"/>
      <c r="Q924" s="459">
        <v>48</v>
      </c>
      <c r="R924" s="458"/>
      <c r="S924" s="447"/>
      <c r="T924" s="447"/>
      <c r="U924" s="447"/>
      <c r="V924" s="447"/>
      <c r="W924" s="447"/>
      <c r="X924" s="447"/>
      <c r="Y924" s="858"/>
    </row>
    <row r="925" spans="1:25" ht="14.45" customHeight="1" x14ac:dyDescent="0.25">
      <c r="A925" s="722" t="s">
        <v>4678</v>
      </c>
      <c r="B925" s="723" t="s">
        <v>2218</v>
      </c>
      <c r="C925" s="723"/>
      <c r="D925" s="724" t="s">
        <v>13</v>
      </c>
      <c r="E925" s="724" t="s">
        <v>4591</v>
      </c>
      <c r="F925" s="725">
        <v>45243</v>
      </c>
      <c r="G925" s="725"/>
      <c r="H925" s="724" t="s">
        <v>23</v>
      </c>
      <c r="I925" s="441">
        <v>4</v>
      </c>
      <c r="J925" s="442"/>
      <c r="K925" s="720">
        <v>0</v>
      </c>
      <c r="L925" s="744">
        <v>0</v>
      </c>
      <c r="M925" s="767" t="s">
        <v>4599</v>
      </c>
      <c r="N925" s="767"/>
      <c r="O925" s="724" t="s">
        <v>3749</v>
      </c>
      <c r="P925" s="726"/>
      <c r="Q925" s="727">
        <v>4</v>
      </c>
      <c r="R925" s="726"/>
      <c r="S925" s="721"/>
      <c r="T925" s="721"/>
      <c r="U925" s="721"/>
      <c r="V925" s="721"/>
      <c r="W925" s="721"/>
      <c r="X925" s="721"/>
      <c r="Y925" s="857"/>
    </row>
    <row r="926" spans="1:25" ht="14.45" customHeight="1" x14ac:dyDescent="0.25">
      <c r="A926" s="437" t="s">
        <v>4678</v>
      </c>
      <c r="B926" s="438">
        <v>370</v>
      </c>
      <c r="C926" s="438"/>
      <c r="D926" s="439" t="s">
        <v>34</v>
      </c>
      <c r="E926" s="439" t="s">
        <v>328</v>
      </c>
      <c r="F926" s="440">
        <v>45156</v>
      </c>
      <c r="G926" s="440"/>
      <c r="H926" s="439" t="s">
        <v>23</v>
      </c>
      <c r="I926" s="441">
        <v>58</v>
      </c>
      <c r="J926" s="442"/>
      <c r="K926" s="443">
        <v>0</v>
      </c>
      <c r="L926" s="444">
        <v>0</v>
      </c>
      <c r="M926" s="463"/>
      <c r="N926" s="463" t="s">
        <v>4823</v>
      </c>
      <c r="O926" s="445" t="s">
        <v>4359</v>
      </c>
      <c r="P926" s="447">
        <v>174</v>
      </c>
      <c r="Q926" s="451">
        <v>58</v>
      </c>
      <c r="R926" s="447">
        <v>0.58379999999999999</v>
      </c>
      <c r="S926" s="447">
        <v>1.5449999999999999</v>
      </c>
      <c r="T926" s="447">
        <v>101.5812</v>
      </c>
      <c r="U926" s="447">
        <v>268.83</v>
      </c>
      <c r="V926" s="447">
        <v>13.21</v>
      </c>
      <c r="W926" s="447">
        <v>183.9</v>
      </c>
      <c r="X926" s="447">
        <v>315</v>
      </c>
      <c r="Y926" s="858">
        <v>31998.080000000002</v>
      </c>
    </row>
    <row r="927" spans="1:25" ht="14.45" customHeight="1" x14ac:dyDescent="0.25">
      <c r="A927" s="722" t="s">
        <v>4678</v>
      </c>
      <c r="B927" s="723">
        <v>394</v>
      </c>
      <c r="C927" s="723"/>
      <c r="D927" s="724" t="s">
        <v>34</v>
      </c>
      <c r="E927" s="724" t="s">
        <v>328</v>
      </c>
      <c r="F927" s="725">
        <v>45167</v>
      </c>
      <c r="G927" s="725"/>
      <c r="H927" s="724" t="s">
        <v>23</v>
      </c>
      <c r="I927" s="441">
        <v>19</v>
      </c>
      <c r="J927" s="442"/>
      <c r="K927" s="720">
        <v>0</v>
      </c>
      <c r="L927" s="744">
        <v>0</v>
      </c>
      <c r="M927" s="767"/>
      <c r="N927" s="767" t="s">
        <v>4823</v>
      </c>
      <c r="O927" s="784" t="s">
        <v>4359</v>
      </c>
      <c r="P927" s="721">
        <v>57</v>
      </c>
      <c r="Q927" s="729">
        <v>19</v>
      </c>
      <c r="R927" s="721">
        <v>0.58379999999999999</v>
      </c>
      <c r="S927" s="721">
        <v>1.5449999999999999</v>
      </c>
      <c r="T927" s="721">
        <v>33.276600000000002</v>
      </c>
      <c r="U927" s="721">
        <v>88.064999999999998</v>
      </c>
      <c r="V927" s="721">
        <v>4.33</v>
      </c>
      <c r="W927" s="721">
        <v>195.57</v>
      </c>
      <c r="X927" s="721">
        <v>335</v>
      </c>
      <c r="Y927" s="857">
        <v>11147.66</v>
      </c>
    </row>
    <row r="928" spans="1:25" ht="14.45" customHeight="1" x14ac:dyDescent="0.25">
      <c r="A928" s="437" t="s">
        <v>4678</v>
      </c>
      <c r="B928" s="438">
        <v>395</v>
      </c>
      <c r="C928" s="438"/>
      <c r="D928" s="439" t="s">
        <v>34</v>
      </c>
      <c r="E928" s="439" t="s">
        <v>328</v>
      </c>
      <c r="F928" s="440">
        <v>45167</v>
      </c>
      <c r="G928" s="440"/>
      <c r="H928" s="439" t="s">
        <v>23</v>
      </c>
      <c r="I928" s="441"/>
      <c r="J928" s="442"/>
      <c r="K928" s="443">
        <v>225</v>
      </c>
      <c r="L928" s="444">
        <v>14.907857142857143</v>
      </c>
      <c r="M928" s="463">
        <v>390</v>
      </c>
      <c r="N928" s="463"/>
      <c r="O928" s="453" t="s">
        <v>650</v>
      </c>
      <c r="P928" s="447">
        <v>1350</v>
      </c>
      <c r="Q928" s="451">
        <v>225</v>
      </c>
      <c r="R928" s="447">
        <v>0.30919999999999997</v>
      </c>
      <c r="S928" s="447">
        <v>1.1000000000000001</v>
      </c>
      <c r="T928" s="447">
        <v>417.42</v>
      </c>
      <c r="U928" s="447">
        <v>1485</v>
      </c>
      <c r="V928" s="447">
        <v>54.26</v>
      </c>
      <c r="W928" s="447">
        <v>112.86</v>
      </c>
      <c r="X928" s="447">
        <v>365</v>
      </c>
      <c r="Y928" s="858">
        <v>152358.29999999999</v>
      </c>
    </row>
    <row r="929" spans="1:25" ht="14.45" customHeight="1" x14ac:dyDescent="0.25">
      <c r="A929" s="722" t="s">
        <v>4678</v>
      </c>
      <c r="B929" s="723">
        <v>423</v>
      </c>
      <c r="C929" s="723"/>
      <c r="D929" s="724" t="s">
        <v>34</v>
      </c>
      <c r="E929" s="724" t="s">
        <v>328</v>
      </c>
      <c r="F929" s="725">
        <v>45177</v>
      </c>
      <c r="G929" s="725"/>
      <c r="H929" s="724" t="s">
        <v>23</v>
      </c>
      <c r="I929" s="441">
        <v>39</v>
      </c>
      <c r="J929" s="442"/>
      <c r="K929" s="720">
        <v>0</v>
      </c>
      <c r="L929" s="744">
        <v>0</v>
      </c>
      <c r="M929" s="767"/>
      <c r="N929" s="767" t="s">
        <v>4823</v>
      </c>
      <c r="O929" s="728" t="s">
        <v>4359</v>
      </c>
      <c r="P929" s="721">
        <v>117</v>
      </c>
      <c r="Q929" s="729">
        <v>39</v>
      </c>
      <c r="R929" s="721">
        <v>0.58379999999999999</v>
      </c>
      <c r="S929" s="721">
        <v>1.5449999999999999</v>
      </c>
      <c r="T929" s="721">
        <v>68.304599999999994</v>
      </c>
      <c r="U929" s="721">
        <v>180.76499999999999</v>
      </c>
      <c r="V929" s="721">
        <v>8.8800000000000008</v>
      </c>
      <c r="W929" s="721">
        <v>195.57</v>
      </c>
      <c r="X929" s="721">
        <v>335</v>
      </c>
      <c r="Y929" s="857">
        <v>22881.69</v>
      </c>
    </row>
    <row r="930" spans="1:25" ht="14.45" customHeight="1" x14ac:dyDescent="0.25">
      <c r="A930" s="437" t="s">
        <v>4678</v>
      </c>
      <c r="B930" s="438">
        <v>550</v>
      </c>
      <c r="C930" s="438"/>
      <c r="D930" s="439" t="s">
        <v>13</v>
      </c>
      <c r="E930" s="439" t="s">
        <v>3819</v>
      </c>
      <c r="F930" s="440">
        <v>45239</v>
      </c>
      <c r="G930" s="440"/>
      <c r="H930" s="439" t="s">
        <v>23</v>
      </c>
      <c r="I930" s="441"/>
      <c r="J930" s="442"/>
      <c r="K930" s="443">
        <v>36</v>
      </c>
      <c r="L930" s="444">
        <v>0</v>
      </c>
      <c r="M930" s="463"/>
      <c r="N930" s="463"/>
      <c r="O930" s="445" t="s">
        <v>4402</v>
      </c>
      <c r="P930" s="447">
        <v>234</v>
      </c>
      <c r="Q930" s="451">
        <v>36</v>
      </c>
      <c r="R930" s="447"/>
      <c r="S930" s="447"/>
      <c r="T930" s="447"/>
      <c r="U930" s="447"/>
      <c r="V930" s="447"/>
      <c r="W930" s="447"/>
      <c r="X930" s="447"/>
      <c r="Y930" s="858"/>
    </row>
    <row r="931" spans="1:25" ht="14.45" customHeight="1" x14ac:dyDescent="0.25">
      <c r="A931" s="722" t="s">
        <v>4678</v>
      </c>
      <c r="B931" s="723">
        <v>454</v>
      </c>
      <c r="C931" s="723"/>
      <c r="D931" s="724" t="s">
        <v>34</v>
      </c>
      <c r="E931" s="724" t="s">
        <v>328</v>
      </c>
      <c r="F931" s="725">
        <v>45190</v>
      </c>
      <c r="G931" s="725"/>
      <c r="H931" s="724" t="s">
        <v>23</v>
      </c>
      <c r="I931" s="441"/>
      <c r="J931" s="442"/>
      <c r="K931" s="720">
        <v>50</v>
      </c>
      <c r="L931" s="744">
        <v>3.3128571428571432</v>
      </c>
      <c r="M931" s="767"/>
      <c r="N931" s="767"/>
      <c r="O931" s="728" t="s">
        <v>650</v>
      </c>
      <c r="P931" s="721">
        <v>300</v>
      </c>
      <c r="Q931" s="729">
        <v>50</v>
      </c>
      <c r="R931" s="721">
        <v>0.30919999999999997</v>
      </c>
      <c r="S931" s="721">
        <v>1.1000000000000001</v>
      </c>
      <c r="T931" s="721">
        <v>92.76</v>
      </c>
      <c r="U931" s="721">
        <v>330</v>
      </c>
      <c r="V931" s="721">
        <v>12.06</v>
      </c>
      <c r="W931" s="721">
        <v>112.86</v>
      </c>
      <c r="X931" s="721">
        <v>365</v>
      </c>
      <c r="Y931" s="857">
        <v>33858</v>
      </c>
    </row>
    <row r="932" spans="1:25" ht="14.45" customHeight="1" x14ac:dyDescent="0.25">
      <c r="A932" s="437" t="s">
        <v>4678</v>
      </c>
      <c r="B932" s="438">
        <v>560</v>
      </c>
      <c r="C932" s="438"/>
      <c r="D932" s="439" t="s">
        <v>13</v>
      </c>
      <c r="E932" s="439" t="s">
        <v>3819</v>
      </c>
      <c r="F932" s="440">
        <v>45239</v>
      </c>
      <c r="G932" s="440"/>
      <c r="H932" s="439" t="s">
        <v>23</v>
      </c>
      <c r="I932" s="441"/>
      <c r="J932" s="442"/>
      <c r="K932" s="443">
        <v>0</v>
      </c>
      <c r="L932" s="444">
        <v>0</v>
      </c>
      <c r="M932" s="463"/>
      <c r="N932" s="463"/>
      <c r="O932" s="445" t="s">
        <v>4574</v>
      </c>
      <c r="P932" s="447">
        <v>42</v>
      </c>
      <c r="Q932" s="451"/>
      <c r="R932" s="447"/>
      <c r="S932" s="447"/>
      <c r="T932" s="447"/>
      <c r="U932" s="447"/>
      <c r="V932" s="447"/>
      <c r="W932" s="447"/>
      <c r="X932" s="447"/>
      <c r="Y932" s="858"/>
    </row>
    <row r="933" spans="1:25" ht="14.45" customHeight="1" x14ac:dyDescent="0.25">
      <c r="A933" s="722" t="s">
        <v>4678</v>
      </c>
      <c r="B933" s="723">
        <v>462</v>
      </c>
      <c r="C933" s="723"/>
      <c r="D933" s="724" t="s">
        <v>34</v>
      </c>
      <c r="E933" s="724" t="s">
        <v>328</v>
      </c>
      <c r="F933" s="725">
        <v>45196</v>
      </c>
      <c r="G933" s="725"/>
      <c r="H933" s="724" t="s">
        <v>23</v>
      </c>
      <c r="I933" s="441"/>
      <c r="J933" s="442"/>
      <c r="K933" s="720">
        <v>89</v>
      </c>
      <c r="L933" s="744">
        <v>5.8968857142857143</v>
      </c>
      <c r="M933" s="767" t="s">
        <v>4654</v>
      </c>
      <c r="N933" s="767"/>
      <c r="O933" s="728" t="s">
        <v>650</v>
      </c>
      <c r="P933" s="721">
        <v>534</v>
      </c>
      <c r="Q933" s="729">
        <v>89</v>
      </c>
      <c r="R933" s="721">
        <v>0.30919999999999997</v>
      </c>
      <c r="S933" s="721">
        <v>1.1000000000000001</v>
      </c>
      <c r="T933" s="721">
        <v>165.11279999999999</v>
      </c>
      <c r="U933" s="721">
        <v>587.4</v>
      </c>
      <c r="V933" s="721">
        <v>21.46</v>
      </c>
      <c r="W933" s="721">
        <v>112.86</v>
      </c>
      <c r="X933" s="721">
        <v>365</v>
      </c>
      <c r="Y933" s="857">
        <v>60267.24</v>
      </c>
    </row>
    <row r="934" spans="1:25" ht="14.45" customHeight="1" x14ac:dyDescent="0.25">
      <c r="A934" s="437" t="s">
        <v>4678</v>
      </c>
      <c r="B934" s="438">
        <v>489</v>
      </c>
      <c r="C934" s="438"/>
      <c r="D934" s="439" t="s">
        <v>34</v>
      </c>
      <c r="E934" s="439" t="s">
        <v>328</v>
      </c>
      <c r="F934" s="440">
        <v>45208</v>
      </c>
      <c r="G934" s="440"/>
      <c r="H934" s="439" t="s">
        <v>23</v>
      </c>
      <c r="I934" s="441"/>
      <c r="J934" s="442"/>
      <c r="K934" s="443">
        <v>64</v>
      </c>
      <c r="L934" s="444">
        <v>4.2404571428571431</v>
      </c>
      <c r="M934" s="463"/>
      <c r="N934" s="463"/>
      <c r="O934" s="445" t="s">
        <v>650</v>
      </c>
      <c r="P934" s="447">
        <v>384</v>
      </c>
      <c r="Q934" s="451">
        <v>64</v>
      </c>
      <c r="R934" s="447">
        <v>0.30919999999999997</v>
      </c>
      <c r="S934" s="447">
        <v>1.1000000000000001</v>
      </c>
      <c r="T934" s="447">
        <v>118.7328</v>
      </c>
      <c r="U934" s="447">
        <v>422.4</v>
      </c>
      <c r="V934" s="447">
        <v>15.44</v>
      </c>
      <c r="W934" s="447">
        <v>112.86</v>
      </c>
      <c r="X934" s="447">
        <v>365</v>
      </c>
      <c r="Y934" s="858">
        <v>43338.239999999998</v>
      </c>
    </row>
    <row r="935" spans="1:25" ht="14.45" customHeight="1" x14ac:dyDescent="0.25">
      <c r="A935" s="722" t="s">
        <v>4678</v>
      </c>
      <c r="B935" s="723">
        <v>439</v>
      </c>
      <c r="C935" s="723"/>
      <c r="D935" s="724" t="s">
        <v>34</v>
      </c>
      <c r="E935" s="724" t="s">
        <v>861</v>
      </c>
      <c r="F935" s="725">
        <v>45184</v>
      </c>
      <c r="G935" s="725"/>
      <c r="H935" s="724" t="s">
        <v>23</v>
      </c>
      <c r="I935" s="441"/>
      <c r="J935" s="442"/>
      <c r="K935" s="720">
        <v>477</v>
      </c>
      <c r="L935" s="744">
        <v>48.439349999999997</v>
      </c>
      <c r="M935" s="767" t="s">
        <v>4583</v>
      </c>
      <c r="N935" s="767"/>
      <c r="O935" s="728" t="s">
        <v>4393</v>
      </c>
      <c r="P935" s="721">
        <v>2862</v>
      </c>
      <c r="Q935" s="729">
        <v>477</v>
      </c>
      <c r="R935" s="721">
        <v>0.47389999999999999</v>
      </c>
      <c r="S935" s="721">
        <v>1.355</v>
      </c>
      <c r="T935" s="721">
        <v>1356.3018</v>
      </c>
      <c r="U935" s="721">
        <v>3878.01</v>
      </c>
      <c r="V935" s="721">
        <v>176.32</v>
      </c>
      <c r="W935" s="721">
        <v>158.76</v>
      </c>
      <c r="X935" s="721">
        <v>335</v>
      </c>
      <c r="Y935" s="857">
        <v>454371.12</v>
      </c>
    </row>
    <row r="936" spans="1:25" ht="14.45" customHeight="1" x14ac:dyDescent="0.25">
      <c r="A936" s="437" t="s">
        <v>4678</v>
      </c>
      <c r="B936" s="438">
        <v>500</v>
      </c>
      <c r="C936" s="438"/>
      <c r="D936" s="439" t="s">
        <v>34</v>
      </c>
      <c r="E936" s="439" t="s">
        <v>861</v>
      </c>
      <c r="F936" s="440">
        <v>45212</v>
      </c>
      <c r="G936" s="440"/>
      <c r="H936" s="439" t="s">
        <v>23</v>
      </c>
      <c r="I936" s="441"/>
      <c r="J936" s="442"/>
      <c r="K936" s="443">
        <v>200</v>
      </c>
      <c r="L936" s="444">
        <v>20.309999999999999</v>
      </c>
      <c r="M936" s="463"/>
      <c r="N936" s="463"/>
      <c r="O936" s="445" t="s">
        <v>4393</v>
      </c>
      <c r="P936" s="447">
        <v>1200</v>
      </c>
      <c r="Q936" s="451">
        <v>200</v>
      </c>
      <c r="R936" s="447">
        <v>0.47389999999999999</v>
      </c>
      <c r="S936" s="447">
        <v>1.355</v>
      </c>
      <c r="T936" s="447">
        <v>568.67999999999995</v>
      </c>
      <c r="U936" s="447">
        <v>1626</v>
      </c>
      <c r="V936" s="447">
        <v>73.930000000000007</v>
      </c>
      <c r="W936" s="447">
        <v>158.76</v>
      </c>
      <c r="X936" s="447">
        <v>335</v>
      </c>
      <c r="Y936" s="858">
        <v>190507.8</v>
      </c>
    </row>
    <row r="937" spans="1:25" ht="14.45" customHeight="1" x14ac:dyDescent="0.25">
      <c r="A937" s="722" t="s">
        <v>4678</v>
      </c>
      <c r="B937" s="723">
        <v>531</v>
      </c>
      <c r="C937" s="723"/>
      <c r="D937" s="724" t="s">
        <v>34</v>
      </c>
      <c r="E937" s="724" t="s">
        <v>861</v>
      </c>
      <c r="F937" s="725">
        <v>45226</v>
      </c>
      <c r="G937" s="725"/>
      <c r="H937" s="724" t="s">
        <v>23</v>
      </c>
      <c r="I937" s="441"/>
      <c r="J937" s="442">
        <v>350</v>
      </c>
      <c r="K937" s="720">
        <v>0</v>
      </c>
      <c r="L937" s="744">
        <v>0</v>
      </c>
      <c r="M937" s="767" t="s">
        <v>4818</v>
      </c>
      <c r="N937" s="767" t="s">
        <v>4822</v>
      </c>
      <c r="O937" s="728" t="s">
        <v>4393</v>
      </c>
      <c r="P937" s="721">
        <v>2100</v>
      </c>
      <c r="Q937" s="729">
        <v>350</v>
      </c>
      <c r="R937" s="721">
        <v>0.47389999999999999</v>
      </c>
      <c r="S937" s="721">
        <v>1.355</v>
      </c>
      <c r="T937" s="721">
        <v>995.18999999999994</v>
      </c>
      <c r="U937" s="721">
        <v>2845.5</v>
      </c>
      <c r="V937" s="721">
        <v>129.37</v>
      </c>
      <c r="W937" s="721">
        <v>158.76</v>
      </c>
      <c r="X937" s="721">
        <v>335</v>
      </c>
      <c r="Y937" s="857">
        <v>333388.65000000002</v>
      </c>
    </row>
    <row r="938" spans="1:25" ht="14.45" customHeight="1" x14ac:dyDescent="0.25">
      <c r="A938" s="437" t="s">
        <v>4678</v>
      </c>
      <c r="B938" s="705">
        <v>532</v>
      </c>
      <c r="C938" s="705"/>
      <c r="D938" s="706" t="s">
        <v>13</v>
      </c>
      <c r="E938" s="706" t="s">
        <v>28</v>
      </c>
      <c r="F938" s="707">
        <v>45226</v>
      </c>
      <c r="G938" s="707"/>
      <c r="H938" s="732" t="s">
        <v>23</v>
      </c>
      <c r="I938" s="441"/>
      <c r="J938" s="442">
        <v>1396</v>
      </c>
      <c r="K938" s="443">
        <v>4</v>
      </c>
      <c r="L938" s="486">
        <v>0.23249999999999998</v>
      </c>
      <c r="M938" s="487" t="s">
        <v>5086</v>
      </c>
      <c r="N938" s="447">
        <v>6</v>
      </c>
      <c r="O938" s="445" t="s">
        <v>2608</v>
      </c>
      <c r="P938" s="447">
        <v>8400</v>
      </c>
      <c r="Q938" s="451">
        <v>1400</v>
      </c>
      <c r="R938" s="447">
        <v>0.31</v>
      </c>
      <c r="S938" s="447">
        <v>0.69199999999999995</v>
      </c>
      <c r="T938" s="447">
        <v>2604</v>
      </c>
      <c r="U938" s="447">
        <v>5812.8</v>
      </c>
      <c r="V938" s="447">
        <v>338.52</v>
      </c>
      <c r="W938" s="447">
        <v>113.15</v>
      </c>
      <c r="X938" s="447">
        <v>365</v>
      </c>
      <c r="Y938" s="858">
        <v>950460</v>
      </c>
    </row>
    <row r="939" spans="1:25" ht="14.45" customHeight="1" x14ac:dyDescent="0.25">
      <c r="A939" s="722" t="s">
        <v>4678</v>
      </c>
      <c r="B939" s="723" t="s">
        <v>4609</v>
      </c>
      <c r="C939" s="723"/>
      <c r="D939" s="724" t="s">
        <v>34</v>
      </c>
      <c r="E939" s="724" t="s">
        <v>16</v>
      </c>
      <c r="F939" s="725">
        <v>45243</v>
      </c>
      <c r="G939" s="725"/>
      <c r="H939" s="724" t="s">
        <v>23</v>
      </c>
      <c r="I939" s="441"/>
      <c r="J939" s="442"/>
      <c r="K939" s="720">
        <v>107</v>
      </c>
      <c r="L939" s="744">
        <v>6.8716928571428566</v>
      </c>
      <c r="M939" s="767" t="s">
        <v>4610</v>
      </c>
      <c r="N939" s="767"/>
      <c r="O939" s="728" t="s">
        <v>2423</v>
      </c>
      <c r="P939" s="721">
        <v>642</v>
      </c>
      <c r="Q939" s="729">
        <v>107</v>
      </c>
      <c r="R939" s="721">
        <v>0.29970000000000002</v>
      </c>
      <c r="S939" s="721">
        <v>1.6739999999999999</v>
      </c>
      <c r="T939" s="721">
        <v>192.4074</v>
      </c>
      <c r="U939" s="721">
        <v>1074.7080000000001</v>
      </c>
      <c r="V939" s="721">
        <v>25.01</v>
      </c>
      <c r="W939" s="721">
        <v>109.39</v>
      </c>
      <c r="X939" s="721">
        <v>365</v>
      </c>
      <c r="Y939" s="857">
        <v>70228.7</v>
      </c>
    </row>
    <row r="940" spans="1:25" ht="14.45" customHeight="1" x14ac:dyDescent="0.25">
      <c r="A940" s="437" t="s">
        <v>4678</v>
      </c>
      <c r="B940" s="438" t="s">
        <v>2241</v>
      </c>
      <c r="C940" s="438"/>
      <c r="D940" s="439" t="s">
        <v>34</v>
      </c>
      <c r="E940" s="439" t="s">
        <v>4467</v>
      </c>
      <c r="F940" s="440">
        <v>45244</v>
      </c>
      <c r="G940" s="440"/>
      <c r="H940" s="439" t="s">
        <v>23</v>
      </c>
      <c r="I940" s="441"/>
      <c r="J940" s="442"/>
      <c r="K940" s="443">
        <v>30</v>
      </c>
      <c r="L940" s="444">
        <v>0</v>
      </c>
      <c r="M940" s="463"/>
      <c r="N940" s="463"/>
      <c r="O940" s="445" t="s">
        <v>4052</v>
      </c>
      <c r="P940" s="447">
        <v>181.5</v>
      </c>
      <c r="Q940" s="451">
        <v>30</v>
      </c>
      <c r="R940" s="447"/>
      <c r="S940" s="447"/>
      <c r="T940" s="447"/>
      <c r="U940" s="447"/>
      <c r="V940" s="447"/>
      <c r="W940" s="447"/>
      <c r="X940" s="447"/>
      <c r="Y940" s="858">
        <v>13268.16</v>
      </c>
    </row>
    <row r="941" spans="1:25" ht="14.45" customHeight="1" x14ac:dyDescent="0.25">
      <c r="A941" s="722" t="s">
        <v>4678</v>
      </c>
      <c r="B941" s="723" t="s">
        <v>2241</v>
      </c>
      <c r="C941" s="723"/>
      <c r="D941" s="724" t="s">
        <v>34</v>
      </c>
      <c r="E941" s="724" t="s">
        <v>4467</v>
      </c>
      <c r="F941" s="725">
        <v>45244</v>
      </c>
      <c r="G941" s="725"/>
      <c r="H941" s="724" t="s">
        <v>23</v>
      </c>
      <c r="I941" s="441"/>
      <c r="J941" s="442"/>
      <c r="K941" s="720">
        <v>10</v>
      </c>
      <c r="L941" s="744">
        <v>0</v>
      </c>
      <c r="M941" s="767"/>
      <c r="N941" s="767"/>
      <c r="O941" s="728" t="s">
        <v>3864</v>
      </c>
      <c r="P941" s="721">
        <v>60.5</v>
      </c>
      <c r="Q941" s="729">
        <v>10</v>
      </c>
      <c r="R941" s="721"/>
      <c r="S941" s="721"/>
      <c r="T941" s="721"/>
      <c r="U941" s="721"/>
      <c r="V941" s="721"/>
      <c r="W941" s="721"/>
      <c r="X941" s="721"/>
      <c r="Y941" s="857">
        <v>13420.62</v>
      </c>
    </row>
    <row r="942" spans="1:25" ht="14.45" customHeight="1" x14ac:dyDescent="0.25">
      <c r="A942" s="437" t="s">
        <v>4678</v>
      </c>
      <c r="B942" s="438" t="s">
        <v>2241</v>
      </c>
      <c r="C942" s="438"/>
      <c r="D942" s="439" t="s">
        <v>34</v>
      </c>
      <c r="E942" s="439" t="s">
        <v>4467</v>
      </c>
      <c r="F942" s="440">
        <v>45244</v>
      </c>
      <c r="G942" s="440"/>
      <c r="H942" s="439" t="s">
        <v>23</v>
      </c>
      <c r="I942" s="441"/>
      <c r="J942" s="442"/>
      <c r="K942" s="443">
        <v>14</v>
      </c>
      <c r="L942" s="444">
        <v>0</v>
      </c>
      <c r="M942" s="463"/>
      <c r="N942" s="463"/>
      <c r="O942" s="445" t="s">
        <v>3867</v>
      </c>
      <c r="P942" s="447">
        <v>84.7</v>
      </c>
      <c r="Q942" s="451">
        <v>14</v>
      </c>
      <c r="R942" s="447"/>
      <c r="S942" s="447"/>
      <c r="T942" s="447"/>
      <c r="U942" s="447"/>
      <c r="V942" s="447"/>
      <c r="W942" s="447"/>
      <c r="X942" s="447"/>
      <c r="Y942" s="858">
        <v>13494.96</v>
      </c>
    </row>
    <row r="943" spans="1:25" ht="14.45" customHeight="1" x14ac:dyDescent="0.25">
      <c r="A943" s="722" t="s">
        <v>4678</v>
      </c>
      <c r="B943" s="723" t="s">
        <v>2241</v>
      </c>
      <c r="C943" s="723"/>
      <c r="D943" s="724" t="s">
        <v>34</v>
      </c>
      <c r="E943" s="724" t="s">
        <v>4467</v>
      </c>
      <c r="F943" s="725">
        <v>45244</v>
      </c>
      <c r="G943" s="725"/>
      <c r="H943" s="724" t="s">
        <v>23</v>
      </c>
      <c r="I943" s="441"/>
      <c r="J943" s="442"/>
      <c r="K943" s="720">
        <v>9</v>
      </c>
      <c r="L943" s="744">
        <v>0</v>
      </c>
      <c r="M943" s="767"/>
      <c r="N943" s="767"/>
      <c r="O943" s="728" t="s">
        <v>4586</v>
      </c>
      <c r="P943" s="721">
        <v>54.45</v>
      </c>
      <c r="Q943" s="729">
        <v>9</v>
      </c>
      <c r="R943" s="721"/>
      <c r="S943" s="721"/>
      <c r="T943" s="721"/>
      <c r="U943" s="721"/>
      <c r="V943" s="721"/>
      <c r="W943" s="721"/>
      <c r="X943" s="721"/>
      <c r="Y943" s="857">
        <v>13448.17</v>
      </c>
    </row>
    <row r="944" spans="1:25" ht="14.45" customHeight="1" x14ac:dyDescent="0.25">
      <c r="A944" s="437" t="s">
        <v>4678</v>
      </c>
      <c r="B944" s="438" t="s">
        <v>3652</v>
      </c>
      <c r="C944" s="438"/>
      <c r="D944" s="439" t="s">
        <v>34</v>
      </c>
      <c r="E944" s="439" t="s">
        <v>861</v>
      </c>
      <c r="F944" s="440">
        <v>45244</v>
      </c>
      <c r="G944" s="440"/>
      <c r="H944" s="439" t="s">
        <v>23</v>
      </c>
      <c r="I944" s="441"/>
      <c r="J944" s="442">
        <v>72</v>
      </c>
      <c r="K944" s="443">
        <v>147</v>
      </c>
      <c r="L944" s="444">
        <v>0</v>
      </c>
      <c r="M944" s="463"/>
      <c r="N944" s="463"/>
      <c r="O944" s="445" t="s">
        <v>4587</v>
      </c>
      <c r="P944" s="447"/>
      <c r="Q944" s="451">
        <v>219</v>
      </c>
      <c r="R944" s="447"/>
      <c r="S944" s="447"/>
      <c r="T944" s="447"/>
      <c r="U944" s="447"/>
      <c r="V944" s="447"/>
      <c r="W944" s="447"/>
      <c r="X944" s="447"/>
      <c r="Y944" s="858">
        <v>87040.87</v>
      </c>
    </row>
    <row r="945" spans="1:25" ht="14.45" customHeight="1" x14ac:dyDescent="0.25">
      <c r="A945" s="722" t="s">
        <v>4678</v>
      </c>
      <c r="B945" s="723">
        <v>568</v>
      </c>
      <c r="C945" s="723"/>
      <c r="D945" s="724" t="s">
        <v>34</v>
      </c>
      <c r="E945" s="724" t="s">
        <v>79</v>
      </c>
      <c r="F945" s="725">
        <v>45245</v>
      </c>
      <c r="G945" s="725"/>
      <c r="H945" s="724" t="s">
        <v>23</v>
      </c>
      <c r="I945" s="441"/>
      <c r="J945" s="442"/>
      <c r="K945" s="720">
        <v>33</v>
      </c>
      <c r="L945" s="744">
        <v>2.147357142857143</v>
      </c>
      <c r="M945" s="767" t="s">
        <v>4588</v>
      </c>
      <c r="N945" s="767"/>
      <c r="O945" s="728" t="s">
        <v>3346</v>
      </c>
      <c r="P945" s="721">
        <v>132</v>
      </c>
      <c r="Q945" s="729">
        <v>33</v>
      </c>
      <c r="R945" s="721">
        <v>0.45550000000000002</v>
      </c>
      <c r="S945" s="721">
        <v>1.6990000000000001</v>
      </c>
      <c r="T945" s="721">
        <v>60.125999999999998</v>
      </c>
      <c r="U945" s="721">
        <v>224.268</v>
      </c>
      <c r="V945" s="721">
        <v>7.82</v>
      </c>
      <c r="W945" s="721">
        <v>132.1</v>
      </c>
      <c r="X945" s="721">
        <v>290</v>
      </c>
      <c r="Y945" s="857">
        <v>17436.54</v>
      </c>
    </row>
    <row r="946" spans="1:25" ht="14.45" customHeight="1" x14ac:dyDescent="0.25">
      <c r="A946" s="437" t="s">
        <v>4678</v>
      </c>
      <c r="B946" s="438">
        <v>568</v>
      </c>
      <c r="C946" s="438"/>
      <c r="D946" s="439" t="s">
        <v>34</v>
      </c>
      <c r="E946" s="439" t="s">
        <v>79</v>
      </c>
      <c r="F946" s="440">
        <v>45245</v>
      </c>
      <c r="G946" s="440"/>
      <c r="H946" s="439" t="s">
        <v>23</v>
      </c>
      <c r="I946" s="449"/>
      <c r="J946" s="450"/>
      <c r="K946" s="443">
        <v>110</v>
      </c>
      <c r="L946" s="444">
        <v>10.736785714285714</v>
      </c>
      <c r="M946" s="463" t="s">
        <v>4588</v>
      </c>
      <c r="N946" s="463"/>
      <c r="O946" s="445" t="s">
        <v>4590</v>
      </c>
      <c r="P946" s="447">
        <v>660</v>
      </c>
      <c r="Q946" s="451">
        <v>110</v>
      </c>
      <c r="R946" s="447">
        <v>0.45550000000000002</v>
      </c>
      <c r="S946" s="447">
        <v>1.6990000000000001</v>
      </c>
      <c r="T946" s="447">
        <v>300.63</v>
      </c>
      <c r="U946" s="447">
        <v>1121.3399999999999</v>
      </c>
      <c r="V946" s="447">
        <v>39.08</v>
      </c>
      <c r="W946" s="447">
        <v>132.1</v>
      </c>
      <c r="X946" s="447">
        <v>290</v>
      </c>
      <c r="Y946" s="858">
        <v>87182.7</v>
      </c>
    </row>
    <row r="947" spans="1:25" ht="14.45" customHeight="1" x14ac:dyDescent="0.25">
      <c r="A947" s="722" t="s">
        <v>4678</v>
      </c>
      <c r="B947" s="723">
        <v>569</v>
      </c>
      <c r="C947" s="723"/>
      <c r="D947" s="724" t="s">
        <v>34</v>
      </c>
      <c r="E947" s="724" t="s">
        <v>79</v>
      </c>
      <c r="F947" s="725">
        <v>45246</v>
      </c>
      <c r="G947" s="725"/>
      <c r="H947" s="724" t="s">
        <v>23</v>
      </c>
      <c r="I947" s="441">
        <v>244</v>
      </c>
      <c r="J947" s="442">
        <v>504</v>
      </c>
      <c r="K947" s="720">
        <v>3</v>
      </c>
      <c r="L947" s="744">
        <v>0.13005</v>
      </c>
      <c r="M947" s="767" t="s">
        <v>4949</v>
      </c>
      <c r="N947" s="767" t="s">
        <v>4822</v>
      </c>
      <c r="O947" s="728" t="s">
        <v>78</v>
      </c>
      <c r="P947" s="506">
        <v>4506</v>
      </c>
      <c r="Q947" s="729">
        <v>751</v>
      </c>
      <c r="R947" s="721">
        <v>0.20230000000000001</v>
      </c>
      <c r="S947" s="721">
        <v>0.499</v>
      </c>
      <c r="T947" s="721">
        <v>911.56380000000001</v>
      </c>
      <c r="U947" s="721">
        <v>2248.4940000000001</v>
      </c>
      <c r="V947" s="721">
        <v>118.5</v>
      </c>
      <c r="W947" s="721">
        <v>58.67</v>
      </c>
      <c r="X947" s="721">
        <v>290</v>
      </c>
      <c r="Y947" s="857">
        <v>264353.5</v>
      </c>
    </row>
    <row r="948" spans="1:25" ht="14.45" customHeight="1" x14ac:dyDescent="0.25">
      <c r="A948" s="437" t="s">
        <v>4678</v>
      </c>
      <c r="B948" s="438" t="s">
        <v>4615</v>
      </c>
      <c r="C948" s="438"/>
      <c r="D948" s="439" t="s">
        <v>13</v>
      </c>
      <c r="E948" s="439" t="s">
        <v>4616</v>
      </c>
      <c r="F948" s="440">
        <v>45244</v>
      </c>
      <c r="G948" s="440"/>
      <c r="H948" s="439" t="s">
        <v>23</v>
      </c>
      <c r="I948" s="449"/>
      <c r="J948" s="450"/>
      <c r="K948" s="443">
        <v>6</v>
      </c>
      <c r="L948" s="444">
        <v>0</v>
      </c>
      <c r="M948" s="445"/>
      <c r="N948" s="445"/>
      <c r="O948" s="445" t="s">
        <v>4617</v>
      </c>
      <c r="P948" s="447">
        <v>6</v>
      </c>
      <c r="Q948" s="451">
        <v>6</v>
      </c>
      <c r="R948" s="447"/>
      <c r="S948" s="447"/>
      <c r="T948" s="447"/>
      <c r="U948" s="447"/>
      <c r="V948" s="447"/>
      <c r="W948" s="447"/>
      <c r="X948" s="447"/>
      <c r="Y948" s="858"/>
    </row>
    <row r="949" spans="1:25" ht="14.45" customHeight="1" x14ac:dyDescent="0.25">
      <c r="A949" s="722" t="s">
        <v>4678</v>
      </c>
      <c r="B949" s="723" t="s">
        <v>4600</v>
      </c>
      <c r="C949" s="723"/>
      <c r="D949" s="724" t="s">
        <v>13</v>
      </c>
      <c r="E949" s="724" t="s">
        <v>4591</v>
      </c>
      <c r="F949" s="725">
        <v>45246</v>
      </c>
      <c r="G949" s="725"/>
      <c r="H949" s="724" t="s">
        <v>23</v>
      </c>
      <c r="I949" s="441">
        <v>2</v>
      </c>
      <c r="J949" s="442"/>
      <c r="K949" s="720">
        <v>0</v>
      </c>
      <c r="L949" s="744">
        <v>0</v>
      </c>
      <c r="M949" s="728"/>
      <c r="N949" s="728"/>
      <c r="O949" s="728" t="s">
        <v>4601</v>
      </c>
      <c r="P949" s="721"/>
      <c r="Q949" s="729">
        <v>2</v>
      </c>
      <c r="R949" s="721"/>
      <c r="S949" s="721"/>
      <c r="T949" s="721"/>
      <c r="U949" s="721"/>
      <c r="V949" s="721"/>
      <c r="W949" s="721"/>
      <c r="X949" s="721"/>
      <c r="Y949" s="857"/>
    </row>
    <row r="950" spans="1:25" ht="14.45" customHeight="1" x14ac:dyDescent="0.25">
      <c r="A950" s="437" t="s">
        <v>4678</v>
      </c>
      <c r="B950" s="438">
        <v>572</v>
      </c>
      <c r="C950" s="438"/>
      <c r="D950" s="439" t="s">
        <v>34</v>
      </c>
      <c r="E950" s="439" t="s">
        <v>201</v>
      </c>
      <c r="F950" s="440">
        <v>45250</v>
      </c>
      <c r="G950" s="440"/>
      <c r="H950" s="439" t="s">
        <v>23</v>
      </c>
      <c r="I950" s="449"/>
      <c r="J950" s="450">
        <v>142</v>
      </c>
      <c r="K950" s="443">
        <v>4</v>
      </c>
      <c r="L950" s="444">
        <v>9.7329857142857144</v>
      </c>
      <c r="M950" s="445" t="s">
        <v>4792</v>
      </c>
      <c r="N950" s="445"/>
      <c r="O950" s="445" t="s">
        <v>2561</v>
      </c>
      <c r="P950" s="447">
        <v>876</v>
      </c>
      <c r="Q950" s="451">
        <v>146</v>
      </c>
      <c r="R950" s="447">
        <v>0.31109999999999999</v>
      </c>
      <c r="S950" s="447">
        <v>1.7769999999999999</v>
      </c>
      <c r="T950" s="447">
        <v>272.52359999999999</v>
      </c>
      <c r="U950" s="447">
        <v>1556.652</v>
      </c>
      <c r="V950" s="447">
        <v>35.43</v>
      </c>
      <c r="W950" s="447">
        <v>113.55</v>
      </c>
      <c r="X950" s="447">
        <v>365</v>
      </c>
      <c r="Y950" s="858">
        <v>99471.11</v>
      </c>
    </row>
    <row r="951" spans="1:25" ht="14.45" customHeight="1" x14ac:dyDescent="0.25">
      <c r="A951" s="722" t="s">
        <v>4678</v>
      </c>
      <c r="B951" s="723" t="s">
        <v>4592</v>
      </c>
      <c r="C951" s="723"/>
      <c r="D951" s="724" t="s">
        <v>34</v>
      </c>
      <c r="E951" s="724" t="s">
        <v>16</v>
      </c>
      <c r="F951" s="725">
        <v>45250</v>
      </c>
      <c r="G951" s="725"/>
      <c r="H951" s="724" t="s">
        <v>23</v>
      </c>
      <c r="I951" s="441"/>
      <c r="J951" s="442"/>
      <c r="K951" s="720">
        <v>211</v>
      </c>
      <c r="L951" s="744">
        <v>13.55072142857143</v>
      </c>
      <c r="M951" s="728" t="s">
        <v>4713</v>
      </c>
      <c r="N951" s="728"/>
      <c r="O951" s="728" t="s">
        <v>2423</v>
      </c>
      <c r="P951" s="721">
        <v>1266</v>
      </c>
      <c r="Q951" s="729">
        <v>211</v>
      </c>
      <c r="R951" s="721">
        <v>0.29970000000000002</v>
      </c>
      <c r="S951" s="721">
        <v>1.6739999999999999</v>
      </c>
      <c r="T951" s="721">
        <v>379.42020000000002</v>
      </c>
      <c r="U951" s="721">
        <v>2119.2840000000001</v>
      </c>
      <c r="V951" s="721">
        <v>49.32</v>
      </c>
      <c r="W951" s="721">
        <v>109.39</v>
      </c>
      <c r="X951" s="721">
        <v>365</v>
      </c>
      <c r="Y951" s="857">
        <v>138488.37</v>
      </c>
    </row>
    <row r="952" spans="1:25" ht="14.45" customHeight="1" x14ac:dyDescent="0.25">
      <c r="A952" s="437" t="s">
        <v>4678</v>
      </c>
      <c r="B952" s="438" t="s">
        <v>2268</v>
      </c>
      <c r="C952" s="438"/>
      <c r="D952" s="439" t="s">
        <v>13</v>
      </c>
      <c r="E952" s="439" t="s">
        <v>585</v>
      </c>
      <c r="F952" s="440">
        <v>45247</v>
      </c>
      <c r="G952" s="440"/>
      <c r="H952" s="439" t="s">
        <v>23</v>
      </c>
      <c r="I952" s="449"/>
      <c r="J952" s="450"/>
      <c r="K952" s="443">
        <v>258</v>
      </c>
      <c r="L952" s="444">
        <v>0</v>
      </c>
      <c r="M952" s="445"/>
      <c r="N952" s="445"/>
      <c r="O952" s="445" t="s">
        <v>2728</v>
      </c>
      <c r="P952" s="447"/>
      <c r="Q952" s="451">
        <v>258</v>
      </c>
      <c r="R952" s="447"/>
      <c r="S952" s="447"/>
      <c r="T952" s="447"/>
      <c r="U952" s="447"/>
      <c r="V952" s="447"/>
      <c r="W952" s="447"/>
      <c r="X952" s="447"/>
      <c r="Y952" s="858"/>
    </row>
    <row r="953" spans="1:25" ht="14.45" customHeight="1" x14ac:dyDescent="0.25">
      <c r="A953" s="722" t="s">
        <v>4678</v>
      </c>
      <c r="B953" s="723" t="s">
        <v>2268</v>
      </c>
      <c r="C953" s="723"/>
      <c r="D953" s="724" t="s">
        <v>13</v>
      </c>
      <c r="E953" s="724" t="s">
        <v>585</v>
      </c>
      <c r="F953" s="725">
        <v>45247</v>
      </c>
      <c r="G953" s="725">
        <v>45373</v>
      </c>
      <c r="H953" s="724" t="s">
        <v>23</v>
      </c>
      <c r="I953" s="441"/>
      <c r="J953" s="442"/>
      <c r="K953" s="720">
        <v>3</v>
      </c>
      <c r="L953" s="744">
        <v>0</v>
      </c>
      <c r="M953" s="728"/>
      <c r="N953" s="728"/>
      <c r="O953" s="728" t="s">
        <v>4353</v>
      </c>
      <c r="P953" s="721"/>
      <c r="Q953" s="729">
        <v>3</v>
      </c>
      <c r="R953" s="721"/>
      <c r="S953" s="721"/>
      <c r="T953" s="721"/>
      <c r="U953" s="721"/>
      <c r="V953" s="721"/>
      <c r="W953" s="721"/>
      <c r="X953" s="721"/>
      <c r="Y953" s="857"/>
    </row>
    <row r="954" spans="1:25" ht="14.45" customHeight="1" x14ac:dyDescent="0.25">
      <c r="A954" s="437" t="s">
        <v>4678</v>
      </c>
      <c r="B954" s="438" t="s">
        <v>2270</v>
      </c>
      <c r="C954" s="438"/>
      <c r="D954" s="439" t="s">
        <v>13</v>
      </c>
      <c r="E954" s="439" t="s">
        <v>585</v>
      </c>
      <c r="F954" s="440">
        <v>45247</v>
      </c>
      <c r="G954" s="440"/>
      <c r="H954" s="439" t="s">
        <v>23</v>
      </c>
      <c r="I954" s="449"/>
      <c r="J954" s="450"/>
      <c r="K954" s="443"/>
      <c r="L954" s="444">
        <v>0</v>
      </c>
      <c r="M954" s="445"/>
      <c r="N954" s="445"/>
      <c r="O954" s="445" t="s">
        <v>731</v>
      </c>
      <c r="P954" s="447"/>
      <c r="Q954" s="451" t="s">
        <v>233</v>
      </c>
      <c r="R954" s="447"/>
      <c r="S954" s="447"/>
      <c r="T954" s="447"/>
      <c r="U954" s="447"/>
      <c r="V954" s="447"/>
      <c r="W954" s="447"/>
      <c r="X954" s="447"/>
      <c r="Y954" s="858"/>
    </row>
    <row r="955" spans="1:25" ht="14.45" customHeight="1" x14ac:dyDescent="0.25">
      <c r="A955" s="722" t="s">
        <v>4678</v>
      </c>
      <c r="B955" s="723" t="s">
        <v>2270</v>
      </c>
      <c r="C955" s="723"/>
      <c r="D955" s="724" t="s">
        <v>13</v>
      </c>
      <c r="E955" s="724" t="s">
        <v>585</v>
      </c>
      <c r="F955" s="725">
        <v>45247</v>
      </c>
      <c r="G955" s="725"/>
      <c r="H955" s="724" t="s">
        <v>23</v>
      </c>
      <c r="I955" s="441"/>
      <c r="J955" s="442"/>
      <c r="K955" s="720"/>
      <c r="L955" s="744">
        <v>0</v>
      </c>
      <c r="M955" s="728"/>
      <c r="N955" s="728"/>
      <c r="O955" s="728" t="s">
        <v>742</v>
      </c>
      <c r="P955" s="721"/>
      <c r="Q955" s="729" t="s">
        <v>96</v>
      </c>
      <c r="R955" s="721"/>
      <c r="S955" s="721"/>
      <c r="T955" s="721"/>
      <c r="U955" s="721"/>
      <c r="V955" s="721"/>
      <c r="W955" s="721"/>
      <c r="X955" s="721"/>
      <c r="Y955" s="857"/>
    </row>
    <row r="956" spans="1:25" ht="14.45" customHeight="1" x14ac:dyDescent="0.25">
      <c r="A956" s="437" t="s">
        <v>4678</v>
      </c>
      <c r="B956" s="438" t="s">
        <v>2270</v>
      </c>
      <c r="C956" s="438"/>
      <c r="D956" s="439" t="s">
        <v>13</v>
      </c>
      <c r="E956" s="439" t="s">
        <v>585</v>
      </c>
      <c r="F956" s="440">
        <v>45247</v>
      </c>
      <c r="G956" s="440"/>
      <c r="H956" s="439" t="s">
        <v>677</v>
      </c>
      <c r="I956" s="449"/>
      <c r="J956" s="450"/>
      <c r="K956" s="443"/>
      <c r="L956" s="444">
        <v>0</v>
      </c>
      <c r="M956" s="445"/>
      <c r="N956" s="445"/>
      <c r="O956" s="445" t="s">
        <v>730</v>
      </c>
      <c r="P956" s="447"/>
      <c r="Q956" s="451" t="s">
        <v>446</v>
      </c>
      <c r="R956" s="447"/>
      <c r="S956" s="447"/>
      <c r="T956" s="447"/>
      <c r="U956" s="447"/>
      <c r="V956" s="447"/>
      <c r="W956" s="447"/>
      <c r="X956" s="447"/>
      <c r="Y956" s="858"/>
    </row>
    <row r="957" spans="1:25" ht="14.45" customHeight="1" x14ac:dyDescent="0.25">
      <c r="A957" s="722" t="s">
        <v>4678</v>
      </c>
      <c r="B957" s="723" t="s">
        <v>2270</v>
      </c>
      <c r="C957" s="723"/>
      <c r="D957" s="724" t="s">
        <v>13</v>
      </c>
      <c r="E957" s="724" t="s">
        <v>585</v>
      </c>
      <c r="F957" s="725">
        <v>45247</v>
      </c>
      <c r="G957" s="725"/>
      <c r="H957" s="724" t="s">
        <v>23</v>
      </c>
      <c r="I957" s="441"/>
      <c r="J957" s="442"/>
      <c r="K957" s="720"/>
      <c r="L957" s="744">
        <v>0</v>
      </c>
      <c r="M957" s="728"/>
      <c r="N957" s="728"/>
      <c r="O957" s="728" t="s">
        <v>744</v>
      </c>
      <c r="P957" s="721"/>
      <c r="Q957" s="729" t="s">
        <v>397</v>
      </c>
      <c r="R957" s="721"/>
      <c r="S957" s="721"/>
      <c r="T957" s="721"/>
      <c r="U957" s="721"/>
      <c r="V957" s="721"/>
      <c r="W957" s="721"/>
      <c r="X957" s="721"/>
      <c r="Y957" s="857"/>
    </row>
    <row r="958" spans="1:25" ht="14.45" customHeight="1" x14ac:dyDescent="0.25">
      <c r="A958" s="437" t="s">
        <v>4678</v>
      </c>
      <c r="B958" s="438" t="s">
        <v>2270</v>
      </c>
      <c r="C958" s="438"/>
      <c r="D958" s="439" t="s">
        <v>13</v>
      </c>
      <c r="E958" s="439" t="s">
        <v>585</v>
      </c>
      <c r="F958" s="440">
        <v>45247</v>
      </c>
      <c r="G958" s="440"/>
      <c r="H958" s="439" t="s">
        <v>23</v>
      </c>
      <c r="I958" s="449"/>
      <c r="J958" s="450"/>
      <c r="K958" s="443"/>
      <c r="L958" s="444">
        <v>0</v>
      </c>
      <c r="M958" s="445"/>
      <c r="N958" s="445"/>
      <c r="O958" s="445" t="s">
        <v>733</v>
      </c>
      <c r="P958" s="447"/>
      <c r="Q958" s="451" t="s">
        <v>178</v>
      </c>
      <c r="R958" s="447"/>
      <c r="S958" s="447"/>
      <c r="T958" s="447"/>
      <c r="U958" s="447"/>
      <c r="V958" s="447"/>
      <c r="W958" s="447"/>
      <c r="X958" s="447"/>
      <c r="Y958" s="858"/>
    </row>
    <row r="959" spans="1:25" ht="14.45" customHeight="1" x14ac:dyDescent="0.25">
      <c r="A959" s="722" t="s">
        <v>4678</v>
      </c>
      <c r="B959" s="723" t="s">
        <v>2270</v>
      </c>
      <c r="C959" s="723"/>
      <c r="D959" s="724" t="s">
        <v>13</v>
      </c>
      <c r="E959" s="724" t="s">
        <v>585</v>
      </c>
      <c r="F959" s="725">
        <v>45247</v>
      </c>
      <c r="G959" s="725"/>
      <c r="H959" s="724" t="s">
        <v>23</v>
      </c>
      <c r="I959" s="441"/>
      <c r="J959" s="442"/>
      <c r="K959" s="720"/>
      <c r="L959" s="744">
        <v>0</v>
      </c>
      <c r="M959" s="728"/>
      <c r="N959" s="728"/>
      <c r="O959" s="728" t="s">
        <v>1255</v>
      </c>
      <c r="P959" s="721"/>
      <c r="Q959" s="729" t="s">
        <v>54</v>
      </c>
      <c r="R959" s="721"/>
      <c r="S959" s="721"/>
      <c r="T959" s="721"/>
      <c r="U959" s="721"/>
      <c r="V959" s="721"/>
      <c r="W959" s="721"/>
      <c r="X959" s="721"/>
      <c r="Y959" s="857"/>
    </row>
    <row r="960" spans="1:25" ht="14.45" customHeight="1" x14ac:dyDescent="0.25">
      <c r="A960" s="437" t="s">
        <v>4678</v>
      </c>
      <c r="B960" s="438" t="s">
        <v>2270</v>
      </c>
      <c r="C960" s="438"/>
      <c r="D960" s="439" t="s">
        <v>13</v>
      </c>
      <c r="E960" s="439" t="s">
        <v>585</v>
      </c>
      <c r="F960" s="440">
        <v>45247</v>
      </c>
      <c r="G960" s="440"/>
      <c r="H960" s="439" t="s">
        <v>23</v>
      </c>
      <c r="I960" s="449"/>
      <c r="J960" s="450"/>
      <c r="K960" s="443"/>
      <c r="L960" s="444">
        <v>0</v>
      </c>
      <c r="M960" s="445"/>
      <c r="N960" s="445"/>
      <c r="O960" s="445" t="s">
        <v>739</v>
      </c>
      <c r="P960" s="447"/>
      <c r="Q960" s="451" t="s">
        <v>446</v>
      </c>
      <c r="R960" s="447"/>
      <c r="S960" s="447"/>
      <c r="T960" s="447"/>
      <c r="U960" s="447"/>
      <c r="V960" s="447"/>
      <c r="W960" s="447"/>
      <c r="X960" s="447"/>
      <c r="Y960" s="858"/>
    </row>
    <row r="961" spans="1:25" ht="14.45" customHeight="1" x14ac:dyDescent="0.25">
      <c r="A961" s="722" t="s">
        <v>4678</v>
      </c>
      <c r="B961" s="723" t="s">
        <v>2270</v>
      </c>
      <c r="C961" s="723"/>
      <c r="D961" s="724" t="s">
        <v>13</v>
      </c>
      <c r="E961" s="724" t="s">
        <v>585</v>
      </c>
      <c r="F961" s="725">
        <v>45247</v>
      </c>
      <c r="G961" s="725"/>
      <c r="H961" s="724" t="s">
        <v>23</v>
      </c>
      <c r="I961" s="441"/>
      <c r="J961" s="442"/>
      <c r="K961" s="720"/>
      <c r="L961" s="744">
        <v>0</v>
      </c>
      <c r="M961" s="728"/>
      <c r="N961" s="728"/>
      <c r="O961" s="728" t="s">
        <v>740</v>
      </c>
      <c r="P961" s="721"/>
      <c r="Q961" s="729" t="s">
        <v>377</v>
      </c>
      <c r="R961" s="721"/>
      <c r="S961" s="721"/>
      <c r="T961" s="721"/>
      <c r="U961" s="721"/>
      <c r="V961" s="721"/>
      <c r="W961" s="721"/>
      <c r="X961" s="721"/>
      <c r="Y961" s="857"/>
    </row>
    <row r="962" spans="1:25" ht="14.45" customHeight="1" x14ac:dyDescent="0.25">
      <c r="A962" s="437" t="s">
        <v>4678</v>
      </c>
      <c r="B962" s="438" t="s">
        <v>2270</v>
      </c>
      <c r="C962" s="438"/>
      <c r="D962" s="439" t="s">
        <v>13</v>
      </c>
      <c r="E962" s="439" t="s">
        <v>585</v>
      </c>
      <c r="F962" s="440">
        <v>45247</v>
      </c>
      <c r="G962" s="440"/>
      <c r="H962" s="439" t="s">
        <v>23</v>
      </c>
      <c r="I962" s="449"/>
      <c r="J962" s="450"/>
      <c r="K962" s="443"/>
      <c r="L962" s="444">
        <v>0</v>
      </c>
      <c r="M962" s="445"/>
      <c r="N962" s="445"/>
      <c r="O962" s="445" t="s">
        <v>745</v>
      </c>
      <c r="P962" s="447"/>
      <c r="Q962" s="451" t="s">
        <v>178</v>
      </c>
      <c r="R962" s="447"/>
      <c r="S962" s="447"/>
      <c r="T962" s="447"/>
      <c r="U962" s="447"/>
      <c r="V962" s="447"/>
      <c r="W962" s="447"/>
      <c r="X962" s="447"/>
      <c r="Y962" s="858"/>
    </row>
    <row r="963" spans="1:25" ht="14.45" customHeight="1" x14ac:dyDescent="0.25">
      <c r="A963" s="722" t="s">
        <v>4678</v>
      </c>
      <c r="B963" s="723" t="s">
        <v>2270</v>
      </c>
      <c r="C963" s="723"/>
      <c r="D963" s="724" t="s">
        <v>13</v>
      </c>
      <c r="E963" s="724" t="s">
        <v>585</v>
      </c>
      <c r="F963" s="725">
        <v>45247</v>
      </c>
      <c r="G963" s="725"/>
      <c r="H963" s="724" t="s">
        <v>23</v>
      </c>
      <c r="I963" s="441"/>
      <c r="J963" s="442"/>
      <c r="K963" s="720"/>
      <c r="L963" s="744">
        <v>0</v>
      </c>
      <c r="M963" s="728"/>
      <c r="N963" s="728"/>
      <c r="O963" s="728" t="s">
        <v>1243</v>
      </c>
      <c r="P963" s="721"/>
      <c r="Q963" s="729" t="s">
        <v>446</v>
      </c>
      <c r="R963" s="721"/>
      <c r="S963" s="721"/>
      <c r="T963" s="721"/>
      <c r="U963" s="721"/>
      <c r="V963" s="721"/>
      <c r="W963" s="721"/>
      <c r="X963" s="721"/>
      <c r="Y963" s="857"/>
    </row>
    <row r="964" spans="1:25" ht="14.45" customHeight="1" x14ac:dyDescent="0.25">
      <c r="A964" s="437" t="s">
        <v>4678</v>
      </c>
      <c r="B964" s="438" t="s">
        <v>2270</v>
      </c>
      <c r="C964" s="438"/>
      <c r="D964" s="439" t="s">
        <v>13</v>
      </c>
      <c r="E964" s="439" t="s">
        <v>585</v>
      </c>
      <c r="F964" s="440">
        <v>45247</v>
      </c>
      <c r="G964" s="440"/>
      <c r="H964" s="439" t="s">
        <v>23</v>
      </c>
      <c r="I964" s="449"/>
      <c r="J964" s="450"/>
      <c r="K964" s="443"/>
      <c r="L964" s="444">
        <v>0</v>
      </c>
      <c r="M964" s="445"/>
      <c r="N964" s="445"/>
      <c r="O964" s="445" t="s">
        <v>741</v>
      </c>
      <c r="P964" s="447"/>
      <c r="Q964" s="451" t="s">
        <v>103</v>
      </c>
      <c r="R964" s="447"/>
      <c r="S964" s="447"/>
      <c r="T964" s="447"/>
      <c r="U964" s="447"/>
      <c r="V964" s="447"/>
      <c r="W964" s="447"/>
      <c r="X964" s="447"/>
      <c r="Y964" s="858"/>
    </row>
    <row r="965" spans="1:25" ht="14.45" customHeight="1" x14ac:dyDescent="0.25">
      <c r="A965" s="722" t="s">
        <v>4678</v>
      </c>
      <c r="B965" s="723" t="s">
        <v>2270</v>
      </c>
      <c r="C965" s="723"/>
      <c r="D965" s="724" t="s">
        <v>13</v>
      </c>
      <c r="E965" s="724" t="s">
        <v>585</v>
      </c>
      <c r="F965" s="725">
        <v>45247</v>
      </c>
      <c r="G965" s="725"/>
      <c r="H965" s="724" t="s">
        <v>23</v>
      </c>
      <c r="I965" s="441"/>
      <c r="J965" s="442"/>
      <c r="K965" s="720"/>
      <c r="L965" s="744">
        <v>0</v>
      </c>
      <c r="M965" s="728"/>
      <c r="N965" s="728"/>
      <c r="O965" s="728" t="s">
        <v>737</v>
      </c>
      <c r="P965" s="721"/>
      <c r="Q965" s="729" t="s">
        <v>446</v>
      </c>
      <c r="R965" s="721"/>
      <c r="S965" s="721"/>
      <c r="T965" s="721"/>
      <c r="U965" s="721"/>
      <c r="V965" s="721"/>
      <c r="W965" s="721"/>
      <c r="X965" s="721"/>
      <c r="Y965" s="857"/>
    </row>
    <row r="966" spans="1:25" ht="14.45" customHeight="1" x14ac:dyDescent="0.25">
      <c r="A966" s="437" t="s">
        <v>4678</v>
      </c>
      <c r="B966" s="438" t="s">
        <v>2270</v>
      </c>
      <c r="C966" s="438"/>
      <c r="D966" s="439" t="s">
        <v>13</v>
      </c>
      <c r="E966" s="439" t="s">
        <v>585</v>
      </c>
      <c r="F966" s="440">
        <v>45247</v>
      </c>
      <c r="G966" s="440"/>
      <c r="H966" s="439" t="s">
        <v>23</v>
      </c>
      <c r="I966" s="449"/>
      <c r="J966" s="450"/>
      <c r="K966" s="443"/>
      <c r="L966" s="444">
        <v>0</v>
      </c>
      <c r="M966" s="445"/>
      <c r="N966" s="445"/>
      <c r="O966" s="445" t="s">
        <v>3727</v>
      </c>
      <c r="P966" s="447"/>
      <c r="Q966" s="451" t="s">
        <v>446</v>
      </c>
      <c r="R966" s="447"/>
      <c r="S966" s="447"/>
      <c r="T966" s="447"/>
      <c r="U966" s="447"/>
      <c r="V966" s="447"/>
      <c r="W966" s="447"/>
      <c r="X966" s="447"/>
      <c r="Y966" s="858"/>
    </row>
    <row r="967" spans="1:25" ht="14.45" customHeight="1" x14ac:dyDescent="0.25">
      <c r="A967" s="722" t="s">
        <v>4678</v>
      </c>
      <c r="B967" s="723">
        <v>573</v>
      </c>
      <c r="C967" s="723"/>
      <c r="D967" s="724" t="s">
        <v>13</v>
      </c>
      <c r="E967" s="724" t="s">
        <v>3819</v>
      </c>
      <c r="F967" s="725">
        <v>45250</v>
      </c>
      <c r="G967" s="725"/>
      <c r="H967" s="724" t="s">
        <v>23</v>
      </c>
      <c r="I967" s="441">
        <v>56</v>
      </c>
      <c r="J967" s="442"/>
      <c r="K967" s="720">
        <v>0</v>
      </c>
      <c r="L967" s="744">
        <v>3.7199999999999998</v>
      </c>
      <c r="M967" s="728"/>
      <c r="N967" s="728"/>
      <c r="O967" s="728" t="s">
        <v>4593</v>
      </c>
      <c r="P967" s="721">
        <v>336</v>
      </c>
      <c r="Q967" s="729">
        <v>56</v>
      </c>
      <c r="R967" s="721">
        <v>0.31</v>
      </c>
      <c r="S967" s="721">
        <v>1.2010000000000001</v>
      </c>
      <c r="T967" s="721">
        <v>104.16</v>
      </c>
      <c r="U967" s="721">
        <v>403.536</v>
      </c>
      <c r="V967" s="721">
        <v>13.54</v>
      </c>
      <c r="W967" s="721">
        <v>102.3</v>
      </c>
      <c r="X967" s="721">
        <v>330</v>
      </c>
      <c r="Y967" s="857">
        <v>34372.800000000003</v>
      </c>
    </row>
    <row r="968" spans="1:25" ht="14.45" customHeight="1" x14ac:dyDescent="0.25">
      <c r="A968" s="437" t="s">
        <v>4678</v>
      </c>
      <c r="B968" s="714">
        <v>575</v>
      </c>
      <c r="C968" s="714"/>
      <c r="D968" s="464" t="s">
        <v>13</v>
      </c>
      <c r="E968" s="464" t="s">
        <v>28</v>
      </c>
      <c r="F968" s="715">
        <v>45250</v>
      </c>
      <c r="G968" s="715"/>
      <c r="H968" s="439"/>
      <c r="I968" s="449"/>
      <c r="J968" s="450">
        <v>330</v>
      </c>
      <c r="K968" s="443">
        <v>489</v>
      </c>
      <c r="L968" s="486">
        <v>7.3007699999999991</v>
      </c>
      <c r="M968" s="445" t="s">
        <v>4588</v>
      </c>
      <c r="N968" s="447">
        <v>3</v>
      </c>
      <c r="O968" s="445" t="s">
        <v>1734</v>
      </c>
      <c r="P968" s="447">
        <v>2457</v>
      </c>
      <c r="Q968" s="451">
        <v>819</v>
      </c>
      <c r="R968" s="447">
        <v>0.14929999999999999</v>
      </c>
      <c r="S968" s="447">
        <v>0.56599999999999995</v>
      </c>
      <c r="T968" s="447">
        <v>366.83010000000002</v>
      </c>
      <c r="U968" s="447">
        <v>1390.662</v>
      </c>
      <c r="V968" s="447">
        <v>47.69</v>
      </c>
      <c r="W968" s="447">
        <v>54.49</v>
      </c>
      <c r="X968" s="447">
        <v>365</v>
      </c>
      <c r="Y968" s="858">
        <v>133892.99</v>
      </c>
    </row>
    <row r="969" spans="1:25" ht="14.45" customHeight="1" x14ac:dyDescent="0.25">
      <c r="A969" s="722" t="s">
        <v>4678</v>
      </c>
      <c r="B969" s="723">
        <v>576</v>
      </c>
      <c r="C969" s="723"/>
      <c r="D969" s="724" t="s">
        <v>13</v>
      </c>
      <c r="E969" s="724" t="s">
        <v>3764</v>
      </c>
      <c r="F969" s="725">
        <v>45251</v>
      </c>
      <c r="G969" s="725"/>
      <c r="H969" s="724" t="s">
        <v>23</v>
      </c>
      <c r="I969" s="441"/>
      <c r="J969" s="442"/>
      <c r="K969" s="720">
        <v>112</v>
      </c>
      <c r="L969" s="744">
        <v>1.0524392857142857</v>
      </c>
      <c r="M969" s="728" t="s">
        <v>4588</v>
      </c>
      <c r="N969" s="728"/>
      <c r="O969" s="728" t="s">
        <v>3108</v>
      </c>
      <c r="P969" s="721">
        <v>464.8</v>
      </c>
      <c r="Q969" s="729">
        <v>112</v>
      </c>
      <c r="R969" s="721">
        <v>6.3399999999999998E-2</v>
      </c>
      <c r="S969" s="721">
        <v>0.16200000000000001</v>
      </c>
      <c r="T969" s="721">
        <v>29.468299999999999</v>
      </c>
      <c r="U969" s="721">
        <v>75.297600000000003</v>
      </c>
      <c r="V969" s="721">
        <v>3.83</v>
      </c>
      <c r="W969" s="721">
        <v>21.75</v>
      </c>
      <c r="X969" s="721">
        <v>343</v>
      </c>
      <c r="Y969" s="857">
        <v>10109.4</v>
      </c>
    </row>
    <row r="970" spans="1:25" ht="14.45" customHeight="1" x14ac:dyDescent="0.25">
      <c r="A970" s="507" t="s">
        <v>4978</v>
      </c>
      <c r="B970" s="508" t="s">
        <v>4799</v>
      </c>
      <c r="C970" s="508"/>
      <c r="D970" s="509" t="s">
        <v>13</v>
      </c>
      <c r="E970" s="509" t="s">
        <v>3764</v>
      </c>
      <c r="F970" s="510">
        <v>45251</v>
      </c>
      <c r="G970" s="510"/>
      <c r="H970" s="508" t="s">
        <v>23</v>
      </c>
      <c r="I970" s="511"/>
      <c r="J970" s="511">
        <v>83</v>
      </c>
      <c r="K970" s="443">
        <v>0</v>
      </c>
      <c r="L970" s="513"/>
      <c r="M970" s="514" t="s">
        <v>4800</v>
      </c>
      <c r="N970" s="514">
        <v>4.1500000000000004</v>
      </c>
      <c r="O970" s="515" t="s">
        <v>4673</v>
      </c>
      <c r="P970" s="516">
        <v>344.45</v>
      </c>
      <c r="Q970" s="517">
        <v>83</v>
      </c>
      <c r="R970" s="516">
        <v>0.17649999999999999</v>
      </c>
      <c r="S970" s="516">
        <v>1.3280000000000001</v>
      </c>
      <c r="T970" s="516">
        <v>60.795400000000001</v>
      </c>
      <c r="U970" s="516">
        <v>457.42959999999999</v>
      </c>
      <c r="V970" s="516">
        <v>7.9</v>
      </c>
      <c r="W970" s="516">
        <v>52.95</v>
      </c>
      <c r="X970" s="516">
        <v>300</v>
      </c>
      <c r="Y970" s="883">
        <v>18238.63</v>
      </c>
    </row>
    <row r="971" spans="1:25" ht="14.45" customHeight="1" x14ac:dyDescent="0.25">
      <c r="A971" s="722" t="s">
        <v>4678</v>
      </c>
      <c r="B971" s="723">
        <v>590</v>
      </c>
      <c r="C971" s="723"/>
      <c r="D971" s="724" t="s">
        <v>34</v>
      </c>
      <c r="E971" s="724" t="s">
        <v>3404</v>
      </c>
      <c r="F971" s="725">
        <v>45257</v>
      </c>
      <c r="G971" s="725"/>
      <c r="H971" s="724" t="s">
        <v>23</v>
      </c>
      <c r="I971" s="441"/>
      <c r="J971" s="442"/>
      <c r="K971" s="720">
        <v>458</v>
      </c>
      <c r="L971" s="744">
        <v>9.9124285714285723</v>
      </c>
      <c r="M971" s="728" t="s">
        <v>4642</v>
      </c>
      <c r="N971" s="728"/>
      <c r="O971" s="728" t="s">
        <v>4582</v>
      </c>
      <c r="P971" s="721">
        <v>2748</v>
      </c>
      <c r="Q971" s="729">
        <v>458</v>
      </c>
      <c r="R971" s="721">
        <v>0.10100000000000001</v>
      </c>
      <c r="S971" s="721">
        <v>0.30599999999999999</v>
      </c>
      <c r="T971" s="721">
        <v>277.548</v>
      </c>
      <c r="U971" s="721">
        <v>840.88800000000003</v>
      </c>
      <c r="V971" s="721">
        <v>36.08</v>
      </c>
      <c r="W971" s="721">
        <v>29.29</v>
      </c>
      <c r="X971" s="721">
        <v>290</v>
      </c>
      <c r="Y971" s="857">
        <v>80488.92</v>
      </c>
    </row>
    <row r="972" spans="1:25" ht="14.45" customHeight="1" x14ac:dyDescent="0.25">
      <c r="A972" s="437" t="s">
        <v>4678</v>
      </c>
      <c r="B972" s="438">
        <v>581</v>
      </c>
      <c r="C972" s="438"/>
      <c r="D972" s="439" t="s">
        <v>13</v>
      </c>
      <c r="E972" s="439" t="s">
        <v>4602</v>
      </c>
      <c r="F972" s="440">
        <v>45253</v>
      </c>
      <c r="G972" s="440"/>
      <c r="H972" s="439" t="s">
        <v>23</v>
      </c>
      <c r="I972" s="449"/>
      <c r="J972" s="450"/>
      <c r="K972" s="443">
        <v>26</v>
      </c>
      <c r="L972" s="444">
        <v>1.4023285714285714</v>
      </c>
      <c r="M972" s="445"/>
      <c r="N972" s="445"/>
      <c r="O972" s="445" t="s">
        <v>4378</v>
      </c>
      <c r="P972" s="447">
        <v>156</v>
      </c>
      <c r="Q972" s="451">
        <v>26</v>
      </c>
      <c r="R972" s="447">
        <v>0.25169999999999998</v>
      </c>
      <c r="S972" s="447">
        <v>0.56699999999999995</v>
      </c>
      <c r="T972" s="447">
        <v>39.2652</v>
      </c>
      <c r="U972" s="447">
        <v>88.451999999999998</v>
      </c>
      <c r="V972" s="447">
        <v>5.0999999999999996</v>
      </c>
      <c r="W972" s="447">
        <v>72.989999999999995</v>
      </c>
      <c r="X972" s="447">
        <v>290</v>
      </c>
      <c r="Y972" s="858">
        <v>11386.91</v>
      </c>
    </row>
    <row r="973" spans="1:25" ht="14.45" customHeight="1" x14ac:dyDescent="0.25">
      <c r="A973" s="722" t="s">
        <v>4678</v>
      </c>
      <c r="B973" s="723" t="s">
        <v>4603</v>
      </c>
      <c r="C973" s="723"/>
      <c r="D973" s="724" t="s">
        <v>34</v>
      </c>
      <c r="E973" s="724" t="s">
        <v>4559</v>
      </c>
      <c r="F973" s="725">
        <v>45253</v>
      </c>
      <c r="G973" s="725"/>
      <c r="H973" s="724" t="s">
        <v>23</v>
      </c>
      <c r="I973" s="441"/>
      <c r="J973" s="442"/>
      <c r="K973" s="720">
        <v>158</v>
      </c>
      <c r="L973" s="744">
        <v>0</v>
      </c>
      <c r="M973" s="728"/>
      <c r="N973" s="728"/>
      <c r="O973" s="728" t="s">
        <v>4560</v>
      </c>
      <c r="P973" s="721">
        <v>948</v>
      </c>
      <c r="Q973" s="729">
        <v>158</v>
      </c>
      <c r="R973" s="721"/>
      <c r="S973" s="721"/>
      <c r="T973" s="721"/>
      <c r="U973" s="721"/>
      <c r="V973" s="721"/>
      <c r="W973" s="721"/>
      <c r="X973" s="721"/>
      <c r="Y973" s="857">
        <v>31527.5</v>
      </c>
    </row>
    <row r="974" spans="1:25" ht="14.45" customHeight="1" x14ac:dyDescent="0.25">
      <c r="A974" s="437" t="s">
        <v>4678</v>
      </c>
      <c r="B974" s="467" t="s">
        <v>4768</v>
      </c>
      <c r="C974" s="467"/>
      <c r="D974" s="468" t="s">
        <v>13</v>
      </c>
      <c r="E974" s="468" t="s">
        <v>3765</v>
      </c>
      <c r="F974" s="469">
        <v>45254</v>
      </c>
      <c r="G974" s="469"/>
      <c r="H974" s="439" t="s">
        <v>23</v>
      </c>
      <c r="I974" s="449"/>
      <c r="J974" s="450"/>
      <c r="K974" s="443">
        <v>123</v>
      </c>
      <c r="L974" s="444">
        <v>7</v>
      </c>
      <c r="M974" s="445"/>
      <c r="N974" s="447">
        <v>3</v>
      </c>
      <c r="O974" s="445" t="s">
        <v>4769</v>
      </c>
      <c r="P974" s="447">
        <v>369</v>
      </c>
      <c r="Q974" s="451">
        <v>123</v>
      </c>
      <c r="R974" s="447"/>
      <c r="S974" s="447"/>
      <c r="T974" s="447"/>
      <c r="U974" s="447"/>
      <c r="V974" s="447"/>
      <c r="W974" s="447"/>
      <c r="X974" s="447"/>
      <c r="Y974" s="858"/>
    </row>
    <row r="975" spans="1:25" ht="14.45" customHeight="1" x14ac:dyDescent="0.25">
      <c r="A975" s="499" t="s">
        <v>4678</v>
      </c>
      <c r="B975" s="467" t="s">
        <v>4770</v>
      </c>
      <c r="C975" s="467"/>
      <c r="D975" s="468" t="s">
        <v>13</v>
      </c>
      <c r="E975" s="468" t="s">
        <v>3765</v>
      </c>
      <c r="F975" s="469">
        <v>45254</v>
      </c>
      <c r="G975" s="469"/>
      <c r="H975" s="468" t="s">
        <v>23</v>
      </c>
      <c r="I975" s="519"/>
      <c r="J975" s="520"/>
      <c r="K975" s="720">
        <v>97</v>
      </c>
      <c r="L975" s="478">
        <v>2</v>
      </c>
      <c r="M975" s="237"/>
      <c r="N975" s="470">
        <v>3</v>
      </c>
      <c r="O975" s="237" t="s">
        <v>4771</v>
      </c>
      <c r="P975" s="470">
        <v>291</v>
      </c>
      <c r="Q975" s="471">
        <v>97</v>
      </c>
      <c r="R975" s="470"/>
      <c r="S975" s="470"/>
      <c r="T975" s="470"/>
      <c r="U975" s="470"/>
      <c r="V975" s="470"/>
      <c r="W975" s="470"/>
      <c r="X975" s="470"/>
      <c r="Y975" s="861"/>
    </row>
    <row r="976" spans="1:25" ht="14.45" customHeight="1" x14ac:dyDescent="0.25">
      <c r="A976" s="437" t="s">
        <v>4678</v>
      </c>
      <c r="B976" s="438">
        <v>583</v>
      </c>
      <c r="C976" s="438"/>
      <c r="D976" s="439" t="s">
        <v>13</v>
      </c>
      <c r="E976" s="439" t="s">
        <v>672</v>
      </c>
      <c r="F976" s="440">
        <v>45254</v>
      </c>
      <c r="G976" s="440"/>
      <c r="H976" s="439" t="s">
        <v>23</v>
      </c>
      <c r="I976" s="449"/>
      <c r="J976" s="450"/>
      <c r="K976" s="443">
        <v>42</v>
      </c>
      <c r="L976" s="444">
        <v>6.1034999999999995</v>
      </c>
      <c r="M976" s="445" t="s">
        <v>4606</v>
      </c>
      <c r="N976" s="445"/>
      <c r="O976" s="445" t="s">
        <v>999</v>
      </c>
      <c r="P976" s="447">
        <v>273</v>
      </c>
      <c r="Q976" s="451">
        <v>42</v>
      </c>
      <c r="R976" s="447">
        <v>0.626</v>
      </c>
      <c r="S976" s="447">
        <v>2.1869999999999998</v>
      </c>
      <c r="T976" s="447">
        <v>170.898</v>
      </c>
      <c r="U976" s="447">
        <v>597.05100000000004</v>
      </c>
      <c r="V976" s="447">
        <v>22.22</v>
      </c>
      <c r="W976" s="447">
        <v>206.58</v>
      </c>
      <c r="X976" s="447">
        <v>330</v>
      </c>
      <c r="Y976" s="858">
        <v>56396.34</v>
      </c>
    </row>
    <row r="977" spans="1:25" ht="14.45" customHeight="1" x14ac:dyDescent="0.25">
      <c r="A977" s="722" t="s">
        <v>4678</v>
      </c>
      <c r="B977" s="467">
        <v>584</v>
      </c>
      <c r="C977" s="467"/>
      <c r="D977" s="468" t="s">
        <v>13</v>
      </c>
      <c r="E977" s="468" t="s">
        <v>3765</v>
      </c>
      <c r="F977" s="469">
        <v>45254</v>
      </c>
      <c r="G977" s="469"/>
      <c r="H977" s="468" t="s">
        <v>23</v>
      </c>
      <c r="I977" s="441"/>
      <c r="J977" s="442">
        <v>421</v>
      </c>
      <c r="K977" s="720">
        <v>75</v>
      </c>
      <c r="L977" s="744">
        <v>0.80276785714285714</v>
      </c>
      <c r="M977" s="728" t="s">
        <v>4872</v>
      </c>
      <c r="N977" s="721">
        <v>3</v>
      </c>
      <c r="O977" s="728" t="s">
        <v>2357</v>
      </c>
      <c r="P977" s="721">
        <v>1488</v>
      </c>
      <c r="Q977" s="729">
        <v>496</v>
      </c>
      <c r="R977" s="721">
        <v>9.9900000000000003E-2</v>
      </c>
      <c r="S977" s="721">
        <v>0.28599999999999998</v>
      </c>
      <c r="T977" s="721">
        <v>148.65119999999999</v>
      </c>
      <c r="U977" s="721">
        <v>425.56799999999998</v>
      </c>
      <c r="V977" s="721">
        <v>19.32</v>
      </c>
      <c r="W977" s="721">
        <v>56.65</v>
      </c>
      <c r="X977" s="721">
        <v>567.07000000000005</v>
      </c>
      <c r="Y977" s="857">
        <v>84295.64</v>
      </c>
    </row>
    <row r="978" spans="1:25" ht="14.45" customHeight="1" x14ac:dyDescent="0.25">
      <c r="A978" s="437" t="s">
        <v>4678</v>
      </c>
      <c r="B978" s="467">
        <v>585</v>
      </c>
      <c r="C978" s="467"/>
      <c r="D978" s="468" t="s">
        <v>13</v>
      </c>
      <c r="E978" s="468" t="s">
        <v>1433</v>
      </c>
      <c r="F978" s="440">
        <v>45254</v>
      </c>
      <c r="G978" s="440"/>
      <c r="H978" s="439" t="s">
        <v>23</v>
      </c>
      <c r="I978" s="449"/>
      <c r="J978" s="450"/>
      <c r="K978" s="443">
        <v>187</v>
      </c>
      <c r="L978" s="444">
        <v>10.286335714285714</v>
      </c>
      <c r="M978" s="445" t="s">
        <v>4606</v>
      </c>
      <c r="N978" s="445"/>
      <c r="O978" s="445" t="s">
        <v>1434</v>
      </c>
      <c r="P978" s="447">
        <v>1122</v>
      </c>
      <c r="Q978" s="451">
        <v>187</v>
      </c>
      <c r="R978" s="447">
        <v>0.25669999999999998</v>
      </c>
      <c r="S978" s="447">
        <v>0.51100000000000001</v>
      </c>
      <c r="T978" s="447">
        <v>288.01740000000001</v>
      </c>
      <c r="U978" s="447">
        <v>573.34199999999998</v>
      </c>
      <c r="V978" s="447">
        <v>37.44</v>
      </c>
      <c r="W978" s="447">
        <v>93.7</v>
      </c>
      <c r="X978" s="447">
        <v>365</v>
      </c>
      <c r="Y978" s="858">
        <v>105126.35</v>
      </c>
    </row>
    <row r="979" spans="1:25" ht="14.45" customHeight="1" x14ac:dyDescent="0.25">
      <c r="A979" s="722" t="s">
        <v>4678</v>
      </c>
      <c r="B979" s="723">
        <v>586</v>
      </c>
      <c r="C979" s="723"/>
      <c r="D979" s="724" t="s">
        <v>13</v>
      </c>
      <c r="E979" s="724" t="s">
        <v>557</v>
      </c>
      <c r="F979" s="725">
        <v>45254</v>
      </c>
      <c r="G979" s="725"/>
      <c r="H979" s="724" t="s">
        <v>23</v>
      </c>
      <c r="I979" s="441">
        <v>258</v>
      </c>
      <c r="J979" s="442"/>
      <c r="K979" s="720">
        <v>294</v>
      </c>
      <c r="L979" s="744">
        <v>12.416057142857143</v>
      </c>
      <c r="M979" s="728" t="s">
        <v>4606</v>
      </c>
      <c r="N979" s="728"/>
      <c r="O979" s="728" t="s">
        <v>4605</v>
      </c>
      <c r="P979" s="721">
        <v>2594.4</v>
      </c>
      <c r="Q979" s="729">
        <v>552</v>
      </c>
      <c r="R979" s="721">
        <v>0.13400000000000001</v>
      </c>
      <c r="S979" s="721">
        <v>0.23200000000000001</v>
      </c>
      <c r="T979" s="721">
        <v>347.64960000000002</v>
      </c>
      <c r="U979" s="721">
        <v>601.9008</v>
      </c>
      <c r="V979" s="721">
        <v>45.19</v>
      </c>
      <c r="W979" s="721">
        <v>48.91</v>
      </c>
      <c r="X979" s="721">
        <v>365</v>
      </c>
      <c r="Y979" s="857">
        <v>126892.1</v>
      </c>
    </row>
    <row r="980" spans="1:25" ht="14.45" customHeight="1" x14ac:dyDescent="0.25">
      <c r="A980" s="437" t="s">
        <v>4678</v>
      </c>
      <c r="B980" s="438" t="s">
        <v>4608</v>
      </c>
      <c r="C980" s="438"/>
      <c r="D980" s="439" t="s">
        <v>34</v>
      </c>
      <c r="E980" s="439" t="s">
        <v>16</v>
      </c>
      <c r="F980" s="440">
        <v>45254</v>
      </c>
      <c r="G980" s="440"/>
      <c r="H980" s="439" t="s">
        <v>23</v>
      </c>
      <c r="I980" s="449"/>
      <c r="J980" s="450"/>
      <c r="K980" s="443">
        <v>38</v>
      </c>
      <c r="L980" s="444">
        <v>2.4404142857142856</v>
      </c>
      <c r="M980" s="445" t="s">
        <v>4711</v>
      </c>
      <c r="N980" s="445"/>
      <c r="O980" s="445" t="s">
        <v>2423</v>
      </c>
      <c r="P980" s="447">
        <v>228</v>
      </c>
      <c r="Q980" s="451">
        <v>38</v>
      </c>
      <c r="R980" s="447">
        <v>0.29970000000000002</v>
      </c>
      <c r="S980" s="447">
        <v>1.6739999999999999</v>
      </c>
      <c r="T980" s="447">
        <v>68.331599999999995</v>
      </c>
      <c r="U980" s="447">
        <v>381.67200000000003</v>
      </c>
      <c r="V980" s="447">
        <v>8.8800000000000008</v>
      </c>
      <c r="W980" s="447">
        <v>134.27000000000001</v>
      </c>
      <c r="X980" s="447">
        <v>448</v>
      </c>
      <c r="Y980" s="858">
        <v>30612.560000000001</v>
      </c>
    </row>
    <row r="981" spans="1:25" ht="14.45" customHeight="1" x14ac:dyDescent="0.25">
      <c r="A981" s="722" t="s">
        <v>4678</v>
      </c>
      <c r="B981" s="467">
        <v>588</v>
      </c>
      <c r="C981" s="467"/>
      <c r="D981" s="468" t="s">
        <v>13</v>
      </c>
      <c r="E981" s="468" t="s">
        <v>3764</v>
      </c>
      <c r="F981" s="469">
        <v>45254</v>
      </c>
      <c r="G981" s="469">
        <v>45334</v>
      </c>
      <c r="H981" s="724" t="s">
        <v>23</v>
      </c>
      <c r="I981" s="441"/>
      <c r="J981" s="442">
        <v>590</v>
      </c>
      <c r="K981" s="720">
        <v>23</v>
      </c>
      <c r="L981" s="744">
        <v>0.2161260714285714</v>
      </c>
      <c r="M981" s="728" t="s">
        <v>4852</v>
      </c>
      <c r="N981" s="721">
        <v>4.1500000000000004</v>
      </c>
      <c r="O981" s="728" t="s">
        <v>3108</v>
      </c>
      <c r="P981" s="721">
        <v>2543.9499999999998</v>
      </c>
      <c r="Q981" s="729">
        <v>613</v>
      </c>
      <c r="R981" s="721">
        <v>6.3399999999999998E-2</v>
      </c>
      <c r="S981" s="721">
        <v>0.16200000000000001</v>
      </c>
      <c r="T981" s="721">
        <v>161.28639999999999</v>
      </c>
      <c r="U981" s="721">
        <v>412.11989999999997</v>
      </c>
      <c r="V981" s="721">
        <v>20.97</v>
      </c>
      <c r="W981" s="721">
        <v>21.75</v>
      </c>
      <c r="X981" s="721">
        <v>343</v>
      </c>
      <c r="Y981" s="857">
        <v>55321.25</v>
      </c>
    </row>
    <row r="982" spans="1:25" ht="14.45" customHeight="1" x14ac:dyDescent="0.25">
      <c r="A982" s="437" t="s">
        <v>4678</v>
      </c>
      <c r="B982" s="438">
        <v>589</v>
      </c>
      <c r="C982" s="438"/>
      <c r="D982" s="439" t="s">
        <v>34</v>
      </c>
      <c r="E982" s="439" t="s">
        <v>19</v>
      </c>
      <c r="F982" s="440">
        <v>45257</v>
      </c>
      <c r="G982" s="440"/>
      <c r="H982" s="439" t="s">
        <v>23</v>
      </c>
      <c r="I982" s="449"/>
      <c r="J982" s="450"/>
      <c r="K982" s="443">
        <v>340</v>
      </c>
      <c r="L982" s="444">
        <v>12.599549999999999</v>
      </c>
      <c r="M982" s="445"/>
      <c r="N982" s="445"/>
      <c r="O982" s="445" t="s">
        <v>4475</v>
      </c>
      <c r="P982" s="447">
        <v>1037</v>
      </c>
      <c r="Q982" s="451">
        <v>340</v>
      </c>
      <c r="R982" s="447">
        <v>0.3402</v>
      </c>
      <c r="S982" s="447">
        <v>1.4530000000000001</v>
      </c>
      <c r="T982" s="447">
        <v>352.78739999999999</v>
      </c>
      <c r="U982" s="447">
        <v>1506.761</v>
      </c>
      <c r="V982" s="447">
        <v>45.86</v>
      </c>
      <c r="W982" s="447">
        <v>88.45</v>
      </c>
      <c r="X982" s="447">
        <v>260</v>
      </c>
      <c r="Y982" s="858">
        <v>91722.65</v>
      </c>
    </row>
    <row r="983" spans="1:25" ht="14.45" customHeight="1" x14ac:dyDescent="0.25">
      <c r="A983" s="722" t="s">
        <v>4678</v>
      </c>
      <c r="B983" s="723">
        <v>579</v>
      </c>
      <c r="C983" s="723"/>
      <c r="D983" s="724" t="s">
        <v>34</v>
      </c>
      <c r="E983" s="724" t="s">
        <v>861</v>
      </c>
      <c r="F983" s="725">
        <v>45251</v>
      </c>
      <c r="G983" s="725"/>
      <c r="H983" s="724" t="s">
        <v>23</v>
      </c>
      <c r="I983" s="441">
        <v>12</v>
      </c>
      <c r="J983" s="442">
        <v>71</v>
      </c>
      <c r="K983" s="720">
        <v>0</v>
      </c>
      <c r="L983" s="744">
        <v>0</v>
      </c>
      <c r="M983" s="806"/>
      <c r="N983" s="728">
        <v>6</v>
      </c>
      <c r="O983" s="728" t="s">
        <v>4393</v>
      </c>
      <c r="P983" s="721">
        <v>498</v>
      </c>
      <c r="Q983" s="729">
        <v>83</v>
      </c>
      <c r="R983" s="721">
        <v>0.47389999999999999</v>
      </c>
      <c r="S983" s="721">
        <v>1.355</v>
      </c>
      <c r="T983" s="721">
        <v>236.00219999999999</v>
      </c>
      <c r="U983" s="721">
        <v>674.79</v>
      </c>
      <c r="V983" s="721">
        <v>30.68</v>
      </c>
      <c r="W983" s="721">
        <v>158.76</v>
      </c>
      <c r="X983" s="721">
        <v>335</v>
      </c>
      <c r="Y983" s="857">
        <v>79060.740000000005</v>
      </c>
    </row>
    <row r="984" spans="1:25" ht="14.45" customHeight="1" x14ac:dyDescent="0.25">
      <c r="A984" s="437" t="s">
        <v>4678</v>
      </c>
      <c r="B984" s="438">
        <v>590</v>
      </c>
      <c r="C984" s="438"/>
      <c r="D984" s="439" t="s">
        <v>34</v>
      </c>
      <c r="E984" s="439" t="s">
        <v>3404</v>
      </c>
      <c r="F984" s="440">
        <v>45257</v>
      </c>
      <c r="G984" s="440"/>
      <c r="H984" s="439" t="s">
        <v>23</v>
      </c>
      <c r="I984" s="449"/>
      <c r="J984" s="450"/>
      <c r="K984" s="443">
        <v>26</v>
      </c>
      <c r="L984" s="444">
        <v>1.4023285714285714</v>
      </c>
      <c r="M984" s="445"/>
      <c r="N984" s="445"/>
      <c r="O984" s="445" t="s">
        <v>4378</v>
      </c>
      <c r="P984" s="447">
        <v>156</v>
      </c>
      <c r="Q984" s="451">
        <v>26</v>
      </c>
      <c r="R984" s="447">
        <v>0.25169999999999998</v>
      </c>
      <c r="S984" s="447">
        <v>0.56699999999999995</v>
      </c>
      <c r="T984" s="447">
        <v>39.2652</v>
      </c>
      <c r="U984" s="447">
        <v>88.451999999999998</v>
      </c>
      <c r="V984" s="447">
        <v>5.0999999999999996</v>
      </c>
      <c r="W984" s="447">
        <v>72.989999999999995</v>
      </c>
      <c r="X984" s="447">
        <v>290</v>
      </c>
      <c r="Y984" s="858">
        <v>11386.91</v>
      </c>
    </row>
    <row r="985" spans="1:25" ht="14.45" customHeight="1" x14ac:dyDescent="0.25">
      <c r="A985" s="722" t="s">
        <v>4678</v>
      </c>
      <c r="B985" s="723" t="s">
        <v>4611</v>
      </c>
      <c r="C985" s="723"/>
      <c r="D985" s="724" t="s">
        <v>13</v>
      </c>
      <c r="E985" s="724" t="s">
        <v>3762</v>
      </c>
      <c r="F985" s="725">
        <v>45257</v>
      </c>
      <c r="G985" s="725"/>
      <c r="H985" s="724" t="s">
        <v>23</v>
      </c>
      <c r="I985" s="441"/>
      <c r="J985" s="442"/>
      <c r="K985" s="720">
        <v>600</v>
      </c>
      <c r="L985" s="744">
        <v>0</v>
      </c>
      <c r="M985" s="728"/>
      <c r="N985" s="728"/>
      <c r="O985" s="728" t="s">
        <v>4108</v>
      </c>
      <c r="P985" s="721"/>
      <c r="Q985" s="729">
        <v>600</v>
      </c>
      <c r="R985" s="721"/>
      <c r="S985" s="721"/>
      <c r="T985" s="721"/>
      <c r="U985" s="721"/>
      <c r="V985" s="721"/>
      <c r="W985" s="721"/>
      <c r="X985" s="721"/>
      <c r="Y985" s="857"/>
    </row>
    <row r="986" spans="1:25" ht="14.45" customHeight="1" x14ac:dyDescent="0.25">
      <c r="A986" s="869" t="s">
        <v>4678</v>
      </c>
      <c r="B986" s="760" t="s">
        <v>3666</v>
      </c>
      <c r="C986" s="769" t="s">
        <v>4753</v>
      </c>
      <c r="D986" s="761" t="s">
        <v>13</v>
      </c>
      <c r="E986" s="761" t="s">
        <v>4612</v>
      </c>
      <c r="F986" s="762">
        <v>45257</v>
      </c>
      <c r="G986" s="762"/>
      <c r="H986" s="761" t="s">
        <v>677</v>
      </c>
      <c r="I986" s="388"/>
      <c r="J986" s="364"/>
      <c r="K986" s="443">
        <v>100</v>
      </c>
      <c r="L986" s="763"/>
      <c r="M986" s="764"/>
      <c r="N986" s="764"/>
      <c r="O986" s="764" t="s">
        <v>4613</v>
      </c>
      <c r="P986" s="764"/>
      <c r="Q986" s="765">
        <v>100</v>
      </c>
      <c r="R986" s="764"/>
      <c r="S986" s="764"/>
      <c r="T986" s="764"/>
      <c r="U986" s="764"/>
      <c r="V986" s="764"/>
      <c r="W986" s="764"/>
      <c r="X986" s="764"/>
      <c r="Y986" s="870"/>
    </row>
    <row r="987" spans="1:25" ht="14.45" customHeight="1" x14ac:dyDescent="0.25">
      <c r="A987" s="722" t="s">
        <v>4678</v>
      </c>
      <c r="B987" s="467" t="s">
        <v>4636</v>
      </c>
      <c r="C987" s="467"/>
      <c r="D987" s="468" t="s">
        <v>13</v>
      </c>
      <c r="E987" s="468" t="s">
        <v>3765</v>
      </c>
      <c r="F987" s="725">
        <v>45259</v>
      </c>
      <c r="G987" s="725"/>
      <c r="H987" s="724" t="s">
        <v>23</v>
      </c>
      <c r="I987" s="441"/>
      <c r="J987" s="442"/>
      <c r="K987" s="720">
        <v>36</v>
      </c>
      <c r="L987" s="744">
        <v>0</v>
      </c>
      <c r="M987" s="728"/>
      <c r="N987" s="728"/>
      <c r="O987" s="728" t="s">
        <v>4465</v>
      </c>
      <c r="P987" s="721"/>
      <c r="Q987" s="729">
        <v>36</v>
      </c>
      <c r="R987" s="721"/>
      <c r="S987" s="721"/>
      <c r="T987" s="721"/>
      <c r="U987" s="721"/>
      <c r="V987" s="721"/>
      <c r="W987" s="721"/>
      <c r="X987" s="721"/>
      <c r="Y987" s="857"/>
    </row>
    <row r="988" spans="1:25" ht="14.45" customHeight="1" x14ac:dyDescent="0.25">
      <c r="A988" s="874" t="s">
        <v>4678</v>
      </c>
      <c r="B988" s="809" t="s">
        <v>4618</v>
      </c>
      <c r="C988" s="770" t="s">
        <v>4753</v>
      </c>
      <c r="D988" s="775" t="s">
        <v>13</v>
      </c>
      <c r="E988" s="775" t="s">
        <v>4619</v>
      </c>
      <c r="F988" s="776">
        <v>45259</v>
      </c>
      <c r="G988" s="776"/>
      <c r="H988" s="775" t="s">
        <v>23</v>
      </c>
      <c r="I988" s="388"/>
      <c r="J988" s="359"/>
      <c r="K988" s="443">
        <v>6</v>
      </c>
      <c r="L988" s="810"/>
      <c r="M988" s="752"/>
      <c r="N988" s="752"/>
      <c r="O988" s="752" t="s">
        <v>4620</v>
      </c>
      <c r="P988" s="752"/>
      <c r="Q988" s="753">
        <v>6</v>
      </c>
      <c r="R988" s="752"/>
      <c r="S988" s="752"/>
      <c r="T988" s="752">
        <v>7.2</v>
      </c>
      <c r="U988" s="752"/>
      <c r="V988" s="752"/>
      <c r="W988" s="752"/>
      <c r="X988" s="752"/>
      <c r="Y988" s="875"/>
    </row>
    <row r="989" spans="1:25" ht="14.45" customHeight="1" x14ac:dyDescent="0.25">
      <c r="A989" s="882" t="s">
        <v>4678</v>
      </c>
      <c r="B989" s="802" t="s">
        <v>4650</v>
      </c>
      <c r="C989" s="811" t="s">
        <v>4753</v>
      </c>
      <c r="D989" s="781" t="s">
        <v>13</v>
      </c>
      <c r="E989" s="781" t="s">
        <v>2353</v>
      </c>
      <c r="F989" s="774">
        <v>45260</v>
      </c>
      <c r="G989" s="774"/>
      <c r="H989" s="781" t="s">
        <v>677</v>
      </c>
      <c r="I989" s="384"/>
      <c r="J989" s="529"/>
      <c r="K989" s="720">
        <v>500</v>
      </c>
      <c r="L989" s="804"/>
      <c r="M989" s="730"/>
      <c r="N989" s="730"/>
      <c r="O989" s="730" t="s">
        <v>4651</v>
      </c>
      <c r="P989" s="730">
        <v>3300</v>
      </c>
      <c r="Q989" s="731">
        <v>500</v>
      </c>
      <c r="R989" s="730"/>
      <c r="S989" s="730"/>
      <c r="T989" s="730"/>
      <c r="U989" s="730"/>
      <c r="V989" s="730"/>
      <c r="W989" s="730"/>
      <c r="X989" s="730"/>
      <c r="Y989" s="884"/>
    </row>
    <row r="990" spans="1:25" ht="14.45" customHeight="1" x14ac:dyDescent="0.25">
      <c r="A990" s="880" t="s">
        <v>4678</v>
      </c>
      <c r="B990" s="734" t="s">
        <v>4623</v>
      </c>
      <c r="C990" s="812" t="s">
        <v>4753</v>
      </c>
      <c r="D990" s="815" t="s">
        <v>13</v>
      </c>
      <c r="E990" s="815" t="s">
        <v>295</v>
      </c>
      <c r="F990" s="816">
        <v>45260</v>
      </c>
      <c r="G990" s="816"/>
      <c r="H990" s="815" t="s">
        <v>677</v>
      </c>
      <c r="I990" s="388"/>
      <c r="J990" s="385"/>
      <c r="K990" s="443">
        <v>3</v>
      </c>
      <c r="L990" s="808"/>
      <c r="M990" s="759"/>
      <c r="N990" s="759"/>
      <c r="O990" s="759" t="s">
        <v>296</v>
      </c>
      <c r="P990" s="759">
        <v>720</v>
      </c>
      <c r="Q990" s="783">
        <v>3</v>
      </c>
      <c r="R990" s="759"/>
      <c r="S990" s="759"/>
      <c r="T990" s="759"/>
      <c r="U990" s="759"/>
      <c r="V990" s="759"/>
      <c r="W990" s="759"/>
      <c r="X990" s="759"/>
      <c r="Y990" s="881"/>
    </row>
    <row r="991" spans="1:25" ht="14.45" customHeight="1" x14ac:dyDescent="0.25">
      <c r="A991" s="722" t="s">
        <v>4678</v>
      </c>
      <c r="B991" s="723">
        <v>594</v>
      </c>
      <c r="C991" s="723"/>
      <c r="D991" s="724" t="s">
        <v>13</v>
      </c>
      <c r="E991" s="724" t="s">
        <v>3764</v>
      </c>
      <c r="F991" s="725">
        <v>45260</v>
      </c>
      <c r="G991" s="725">
        <v>45356</v>
      </c>
      <c r="H991" s="724" t="s">
        <v>23</v>
      </c>
      <c r="I991" s="441"/>
      <c r="J991" s="442">
        <v>642</v>
      </c>
      <c r="K991" s="720">
        <v>2</v>
      </c>
      <c r="L991" s="744">
        <v>3.3118571428571428E-2</v>
      </c>
      <c r="M991" s="728" t="s">
        <v>4937</v>
      </c>
      <c r="N991" s="721">
        <v>4.8499999999999996</v>
      </c>
      <c r="O991" s="728" t="s">
        <v>2841</v>
      </c>
      <c r="P991" s="721">
        <v>3123.4</v>
      </c>
      <c r="Q991" s="729">
        <v>644</v>
      </c>
      <c r="R991" s="721">
        <v>9.5600000000000004E-2</v>
      </c>
      <c r="S991" s="721">
        <v>0.16</v>
      </c>
      <c r="T991" s="721">
        <v>298.59699999999998</v>
      </c>
      <c r="U991" s="721">
        <v>499.74400000000003</v>
      </c>
      <c r="V991" s="721">
        <v>38.82</v>
      </c>
      <c r="W991" s="721">
        <v>32.79</v>
      </c>
      <c r="X991" s="721">
        <v>343</v>
      </c>
      <c r="Y991" s="857">
        <v>102418.78</v>
      </c>
    </row>
    <row r="992" spans="1:25" ht="14.45" customHeight="1" x14ac:dyDescent="0.25">
      <c r="A992" s="437" t="s">
        <v>4678</v>
      </c>
      <c r="B992" s="438">
        <v>596</v>
      </c>
      <c r="C992" s="438"/>
      <c r="D992" s="439" t="s">
        <v>34</v>
      </c>
      <c r="E992" s="439" t="s">
        <v>3404</v>
      </c>
      <c r="F992" s="440">
        <v>45260</v>
      </c>
      <c r="G992" s="440"/>
      <c r="H992" s="439" t="s">
        <v>23</v>
      </c>
      <c r="I992" s="449"/>
      <c r="J992" s="450"/>
      <c r="K992" s="443">
        <v>745</v>
      </c>
      <c r="L992" s="444">
        <v>16.123928571428571</v>
      </c>
      <c r="M992" s="768" t="s">
        <v>4698</v>
      </c>
      <c r="N992" s="768"/>
      <c r="O992" s="445" t="s">
        <v>4582</v>
      </c>
      <c r="P992" s="447">
        <v>4470</v>
      </c>
      <c r="Q992" s="451">
        <v>745</v>
      </c>
      <c r="R992" s="447">
        <v>0.10100000000000001</v>
      </c>
      <c r="S992" s="447">
        <v>0.30599999999999999</v>
      </c>
      <c r="T992" s="447">
        <v>451.47</v>
      </c>
      <c r="U992" s="447">
        <v>1367.82</v>
      </c>
      <c r="V992" s="447">
        <v>58.69</v>
      </c>
      <c r="W992" s="447">
        <v>29.29</v>
      </c>
      <c r="X992" s="447">
        <v>290</v>
      </c>
      <c r="Y992" s="858">
        <v>130926.3</v>
      </c>
    </row>
    <row r="993" spans="1:25" ht="14.45" customHeight="1" x14ac:dyDescent="0.25">
      <c r="A993" s="722" t="s">
        <v>4678</v>
      </c>
      <c r="B993" s="723">
        <v>596</v>
      </c>
      <c r="C993" s="723"/>
      <c r="D993" s="724" t="s">
        <v>34</v>
      </c>
      <c r="E993" s="724" t="s">
        <v>3404</v>
      </c>
      <c r="F993" s="725">
        <v>45260</v>
      </c>
      <c r="G993" s="725"/>
      <c r="H993" s="724" t="s">
        <v>23</v>
      </c>
      <c r="I993" s="441"/>
      <c r="J993" s="442"/>
      <c r="K993" s="720">
        <v>265</v>
      </c>
      <c r="L993" s="744">
        <v>14.292964285714286</v>
      </c>
      <c r="M993" s="820"/>
      <c r="N993" s="820"/>
      <c r="O993" s="728" t="s">
        <v>4378</v>
      </c>
      <c r="P993" s="721">
        <v>1590</v>
      </c>
      <c r="Q993" s="729">
        <v>265</v>
      </c>
      <c r="R993" s="721">
        <v>0.25169999999999998</v>
      </c>
      <c r="S993" s="721">
        <v>0.56699999999999995</v>
      </c>
      <c r="T993" s="721">
        <v>400.20299999999997</v>
      </c>
      <c r="U993" s="721">
        <v>901.53</v>
      </c>
      <c r="V993" s="721">
        <v>52.03</v>
      </c>
      <c r="W993" s="721">
        <v>72.989999999999995</v>
      </c>
      <c r="X993" s="721">
        <v>290</v>
      </c>
      <c r="Y993" s="857">
        <v>116054.1</v>
      </c>
    </row>
    <row r="994" spans="1:25" ht="14.45" customHeight="1" x14ac:dyDescent="0.25">
      <c r="A994" s="869" t="s">
        <v>4678</v>
      </c>
      <c r="B994" s="760" t="s">
        <v>4624</v>
      </c>
      <c r="C994" s="760" t="s">
        <v>4753</v>
      </c>
      <c r="D994" s="761" t="s">
        <v>13</v>
      </c>
      <c r="E994" s="761" t="s">
        <v>1696</v>
      </c>
      <c r="F994" s="762">
        <v>45261</v>
      </c>
      <c r="G994" s="762">
        <v>45330</v>
      </c>
      <c r="H994" s="819" t="s">
        <v>23</v>
      </c>
      <c r="I994" s="388">
        <v>1347</v>
      </c>
      <c r="J994" s="364"/>
      <c r="K994" s="443">
        <v>0</v>
      </c>
      <c r="L994" s="364">
        <v>8</v>
      </c>
      <c r="M994" s="772" t="s">
        <v>4817</v>
      </c>
      <c r="N994" s="772">
        <v>6</v>
      </c>
      <c r="O994" s="764" t="s">
        <v>1916</v>
      </c>
      <c r="P994" s="764">
        <v>8082</v>
      </c>
      <c r="Q994" s="765">
        <v>1347</v>
      </c>
      <c r="R994" s="764"/>
      <c r="S994" s="764"/>
      <c r="T994" s="764"/>
      <c r="U994" s="764"/>
      <c r="V994" s="764"/>
      <c r="W994" s="764"/>
      <c r="X994" s="764"/>
      <c r="Y994" s="870"/>
    </row>
    <row r="995" spans="1:25" ht="14.45" customHeight="1" x14ac:dyDescent="0.25">
      <c r="A995" s="722" t="s">
        <v>4678</v>
      </c>
      <c r="B995" s="723">
        <v>597</v>
      </c>
      <c r="C995" s="723"/>
      <c r="D995" s="724" t="s">
        <v>34</v>
      </c>
      <c r="E995" s="724" t="s">
        <v>4625</v>
      </c>
      <c r="F995" s="725">
        <v>45264</v>
      </c>
      <c r="G995" s="725"/>
      <c r="H995" s="724" t="s">
        <v>23</v>
      </c>
      <c r="I995" s="441"/>
      <c r="J995" s="442"/>
      <c r="K995" s="720">
        <v>80</v>
      </c>
      <c r="L995" s="744">
        <v>3.9589714285714286</v>
      </c>
      <c r="M995" s="728"/>
      <c r="N995" s="728"/>
      <c r="O995" s="728" t="s">
        <v>4375</v>
      </c>
      <c r="P995" s="721">
        <v>432</v>
      </c>
      <c r="Q995" s="729">
        <v>80</v>
      </c>
      <c r="R995" s="721">
        <v>0.25659999999999999</v>
      </c>
      <c r="S995" s="721">
        <v>0.68899999999999995</v>
      </c>
      <c r="T995" s="721">
        <v>110.85120000000001</v>
      </c>
      <c r="U995" s="721">
        <v>297.64800000000002</v>
      </c>
      <c r="V995" s="721">
        <v>14.41</v>
      </c>
      <c r="W995" s="721">
        <v>25.66</v>
      </c>
      <c r="X995" s="721">
        <v>100</v>
      </c>
      <c r="Y995" s="857">
        <v>11085.12</v>
      </c>
    </row>
    <row r="996" spans="1:25" ht="14.45" customHeight="1" x14ac:dyDescent="0.25">
      <c r="A996" s="437" t="s">
        <v>4678</v>
      </c>
      <c r="B996" s="438">
        <v>598</v>
      </c>
      <c r="C996" s="438"/>
      <c r="D996" s="439" t="s">
        <v>34</v>
      </c>
      <c r="E996" s="439" t="s">
        <v>328</v>
      </c>
      <c r="F996" s="440">
        <v>45264</v>
      </c>
      <c r="G996" s="440"/>
      <c r="H996" s="439" t="s">
        <v>23</v>
      </c>
      <c r="I996" s="449"/>
      <c r="J996" s="450"/>
      <c r="K996" s="443">
        <v>92</v>
      </c>
      <c r="L996" s="444">
        <v>6.0956571428571431</v>
      </c>
      <c r="M996" s="445"/>
      <c r="N996" s="445"/>
      <c r="O996" s="445" t="s">
        <v>650</v>
      </c>
      <c r="P996" s="447">
        <v>552</v>
      </c>
      <c r="Q996" s="451">
        <v>92</v>
      </c>
      <c r="R996" s="447">
        <v>0.30919999999999997</v>
      </c>
      <c r="S996" s="447">
        <v>1.1000000000000001</v>
      </c>
      <c r="T996" s="447">
        <v>170.67840000000001</v>
      </c>
      <c r="U996" s="447">
        <v>607.20000000000005</v>
      </c>
      <c r="V996" s="447">
        <v>22.19</v>
      </c>
      <c r="W996" s="447">
        <v>112.86</v>
      </c>
      <c r="X996" s="447">
        <v>365</v>
      </c>
      <c r="Y996" s="858">
        <v>62297.62</v>
      </c>
    </row>
    <row r="997" spans="1:25" ht="14.45" customHeight="1" x14ac:dyDescent="0.25">
      <c r="A997" s="722" t="s">
        <v>4678</v>
      </c>
      <c r="B997" s="723">
        <v>599</v>
      </c>
      <c r="C997" s="723"/>
      <c r="D997" s="724" t="s">
        <v>34</v>
      </c>
      <c r="E997" s="724" t="s">
        <v>19</v>
      </c>
      <c r="F997" s="725">
        <v>45264</v>
      </c>
      <c r="G997" s="725"/>
      <c r="H997" s="724" t="s">
        <v>677</v>
      </c>
      <c r="I997" s="441"/>
      <c r="J997" s="442">
        <v>8</v>
      </c>
      <c r="K997" s="720">
        <v>136</v>
      </c>
      <c r="L997" s="744">
        <v>5.1681607142857136</v>
      </c>
      <c r="M997" s="728"/>
      <c r="N997" s="728"/>
      <c r="O997" s="728" t="s">
        <v>3094</v>
      </c>
      <c r="P997" s="721">
        <v>532.79999999999995</v>
      </c>
      <c r="Q997" s="729">
        <v>144</v>
      </c>
      <c r="R997" s="721">
        <v>0.27160000000000001</v>
      </c>
      <c r="S997" s="721">
        <v>0.72799999999999998</v>
      </c>
      <c r="T997" s="721">
        <v>144.70849999999999</v>
      </c>
      <c r="U997" s="721">
        <v>387.8784</v>
      </c>
      <c r="V997" s="721">
        <v>18.809999999999999</v>
      </c>
      <c r="W997" s="721">
        <v>103.21</v>
      </c>
      <c r="X997" s="721">
        <v>380</v>
      </c>
      <c r="Y997" s="857">
        <v>54989.22</v>
      </c>
    </row>
    <row r="998" spans="1:25" ht="14.45" customHeight="1" x14ac:dyDescent="0.25">
      <c r="A998" s="437" t="s">
        <v>4678</v>
      </c>
      <c r="B998" s="438">
        <v>600</v>
      </c>
      <c r="C998" s="438"/>
      <c r="D998" s="439" t="s">
        <v>34</v>
      </c>
      <c r="E998" s="439" t="s">
        <v>3404</v>
      </c>
      <c r="F998" s="440">
        <v>45264</v>
      </c>
      <c r="G998" s="440"/>
      <c r="H998" s="464" t="s">
        <v>677</v>
      </c>
      <c r="I998" s="449"/>
      <c r="J998" s="450"/>
      <c r="K998" s="443">
        <v>0</v>
      </c>
      <c r="L998" s="444">
        <v>0</v>
      </c>
      <c r="M998" s="445"/>
      <c r="N998" s="445"/>
      <c r="O998" s="445"/>
      <c r="P998" s="447"/>
      <c r="Q998" s="451"/>
      <c r="R998" s="447"/>
      <c r="S998" s="447"/>
      <c r="T998" s="447"/>
      <c r="U998" s="447"/>
      <c r="V998" s="447"/>
      <c r="W998" s="447"/>
      <c r="X998" s="447"/>
      <c r="Y998" s="858"/>
    </row>
    <row r="999" spans="1:25" ht="14.45" customHeight="1" x14ac:dyDescent="0.25">
      <c r="A999" s="722" t="s">
        <v>4678</v>
      </c>
      <c r="B999" s="723">
        <v>600</v>
      </c>
      <c r="C999" s="723"/>
      <c r="D999" s="724" t="s">
        <v>34</v>
      </c>
      <c r="E999" s="724" t="s">
        <v>3404</v>
      </c>
      <c r="F999" s="725">
        <v>45264</v>
      </c>
      <c r="G999" s="725"/>
      <c r="H999" s="464" t="s">
        <v>677</v>
      </c>
      <c r="I999" s="441"/>
      <c r="J999" s="442"/>
      <c r="K999" s="720">
        <v>0</v>
      </c>
      <c r="L999" s="744">
        <v>0</v>
      </c>
      <c r="M999" s="728"/>
      <c r="N999" s="728"/>
      <c r="O999" s="728"/>
      <c r="P999" s="721"/>
      <c r="Q999" s="729"/>
      <c r="R999" s="721"/>
      <c r="S999" s="721"/>
      <c r="T999" s="721"/>
      <c r="U999" s="721"/>
      <c r="V999" s="721"/>
      <c r="W999" s="721"/>
      <c r="X999" s="721"/>
      <c r="Y999" s="857"/>
    </row>
    <row r="1000" spans="1:25" ht="14.45" customHeight="1" x14ac:dyDescent="0.25">
      <c r="A1000" s="437" t="s">
        <v>4678</v>
      </c>
      <c r="B1000" s="438">
        <v>601</v>
      </c>
      <c r="C1000" s="438"/>
      <c r="D1000" s="439" t="s">
        <v>34</v>
      </c>
      <c r="E1000" s="439" t="s">
        <v>643</v>
      </c>
      <c r="F1000" s="440">
        <v>45264</v>
      </c>
      <c r="G1000" s="440"/>
      <c r="H1000" s="439" t="s">
        <v>23</v>
      </c>
      <c r="I1000" s="449"/>
      <c r="J1000" s="450">
        <v>60</v>
      </c>
      <c r="K1000" s="443">
        <v>60</v>
      </c>
      <c r="L1000" s="444">
        <v>2.3297142857142856</v>
      </c>
      <c r="M1000" s="439" t="s">
        <v>4627</v>
      </c>
      <c r="N1000" s="768">
        <v>4.8</v>
      </c>
      <c r="O1000" s="445" t="s">
        <v>3476</v>
      </c>
      <c r="P1000" s="447">
        <v>576</v>
      </c>
      <c r="Q1000" s="451">
        <v>120</v>
      </c>
      <c r="R1000" s="447">
        <v>0.22650000000000001</v>
      </c>
      <c r="S1000" s="447">
        <v>0.52700000000000002</v>
      </c>
      <c r="T1000" s="447">
        <v>130.464</v>
      </c>
      <c r="U1000" s="447">
        <v>303.55200000000002</v>
      </c>
      <c r="V1000" s="447">
        <v>16.96</v>
      </c>
      <c r="W1000" s="447">
        <v>64.55</v>
      </c>
      <c r="X1000" s="447">
        <v>285</v>
      </c>
      <c r="Y1000" s="858">
        <v>37182.239999999998</v>
      </c>
    </row>
    <row r="1001" spans="1:25" ht="14.45" customHeight="1" x14ac:dyDescent="0.25">
      <c r="A1001" s="722" t="s">
        <v>4678</v>
      </c>
      <c r="B1001" s="467">
        <v>602</v>
      </c>
      <c r="C1001" s="467"/>
      <c r="D1001" s="468" t="s">
        <v>13</v>
      </c>
      <c r="E1001" s="468" t="s">
        <v>3764</v>
      </c>
      <c r="F1001" s="469">
        <v>45265</v>
      </c>
      <c r="G1001" s="725">
        <v>45379</v>
      </c>
      <c r="H1001" s="724" t="s">
        <v>677</v>
      </c>
      <c r="I1001" s="441"/>
      <c r="J1001" s="442"/>
      <c r="K1001" s="720">
        <v>4</v>
      </c>
      <c r="L1001" s="744">
        <v>0.19125071428571427</v>
      </c>
      <c r="M1001" s="728" t="s">
        <v>4974</v>
      </c>
      <c r="N1001" s="721">
        <v>5.05</v>
      </c>
      <c r="O1001" s="728" t="s">
        <v>4275</v>
      </c>
      <c r="P1001" s="721">
        <v>20.2</v>
      </c>
      <c r="Q1001" s="729">
        <v>4</v>
      </c>
      <c r="R1001" s="721">
        <v>0.2651</v>
      </c>
      <c r="S1001" s="721">
        <v>0.82099999999999995</v>
      </c>
      <c r="T1001" s="721">
        <v>5.3550000000000004</v>
      </c>
      <c r="U1001" s="721">
        <v>16.584199999999999</v>
      </c>
      <c r="V1001" s="721">
        <v>0.7</v>
      </c>
      <c r="W1001" s="721">
        <v>90.93</v>
      </c>
      <c r="X1001" s="721">
        <v>343</v>
      </c>
      <c r="Y1001" s="857">
        <v>1836.79</v>
      </c>
    </row>
    <row r="1002" spans="1:25" ht="14.45" customHeight="1" x14ac:dyDescent="0.25">
      <c r="A1002" s="437" t="s">
        <v>4678</v>
      </c>
      <c r="B1002" s="438">
        <v>604</v>
      </c>
      <c r="C1002" s="438"/>
      <c r="D1002" s="439" t="s">
        <v>13</v>
      </c>
      <c r="E1002" s="439" t="s">
        <v>672</v>
      </c>
      <c r="F1002" s="440">
        <v>45266</v>
      </c>
      <c r="G1002" s="440"/>
      <c r="H1002" s="439" t="s">
        <v>23</v>
      </c>
      <c r="I1002" s="449"/>
      <c r="J1002" s="450"/>
      <c r="K1002" s="443">
        <v>92</v>
      </c>
      <c r="L1002" s="444">
        <v>13.36957142857143</v>
      </c>
      <c r="M1002" s="445" t="s">
        <v>4633</v>
      </c>
      <c r="N1002" s="445"/>
      <c r="O1002" s="445" t="s">
        <v>999</v>
      </c>
      <c r="P1002" s="447">
        <v>598</v>
      </c>
      <c r="Q1002" s="451">
        <v>92</v>
      </c>
      <c r="R1002" s="447">
        <v>0.626</v>
      </c>
      <c r="S1002" s="447">
        <v>2.1869999999999998</v>
      </c>
      <c r="T1002" s="447">
        <v>374.34800000000001</v>
      </c>
      <c r="U1002" s="447">
        <v>1307.826</v>
      </c>
      <c r="V1002" s="447">
        <v>48.67</v>
      </c>
      <c r="W1002" s="447">
        <v>206.58</v>
      </c>
      <c r="X1002" s="447">
        <v>330</v>
      </c>
      <c r="Y1002" s="858">
        <v>123534.84</v>
      </c>
    </row>
    <row r="1003" spans="1:25" ht="14.45" customHeight="1" x14ac:dyDescent="0.25">
      <c r="A1003" s="722" t="s">
        <v>4678</v>
      </c>
      <c r="B1003" s="467">
        <v>604</v>
      </c>
      <c r="C1003" s="467"/>
      <c r="D1003" s="468" t="s">
        <v>13</v>
      </c>
      <c r="E1003" s="468" t="s">
        <v>672</v>
      </c>
      <c r="F1003" s="725">
        <v>45266</v>
      </c>
      <c r="G1003" s="725"/>
      <c r="H1003" s="724" t="s">
        <v>23</v>
      </c>
      <c r="I1003" s="441"/>
      <c r="J1003" s="442">
        <v>200</v>
      </c>
      <c r="K1003" s="720">
        <v>0</v>
      </c>
      <c r="L1003" s="744">
        <v>25.094642857142855</v>
      </c>
      <c r="M1003" s="728"/>
      <c r="N1003" s="728"/>
      <c r="O1003" s="728" t="s">
        <v>4491</v>
      </c>
      <c r="P1003" s="721">
        <v>1300</v>
      </c>
      <c r="Q1003" s="729">
        <v>200</v>
      </c>
      <c r="R1003" s="721">
        <v>0.54049999999999998</v>
      </c>
      <c r="S1003" s="721">
        <v>2.0979999999999999</v>
      </c>
      <c r="T1003" s="721">
        <v>702.65</v>
      </c>
      <c r="U1003" s="721">
        <v>2727.4</v>
      </c>
      <c r="V1003" s="721">
        <v>91.34</v>
      </c>
      <c r="W1003" s="721">
        <v>178.37</v>
      </c>
      <c r="X1003" s="721">
        <v>330</v>
      </c>
      <c r="Y1003" s="857">
        <v>231874.5</v>
      </c>
    </row>
    <row r="1004" spans="1:25" ht="14.45" customHeight="1" x14ac:dyDescent="0.25">
      <c r="A1004" s="437" t="s">
        <v>4678</v>
      </c>
      <c r="B1004" s="531">
        <v>605</v>
      </c>
      <c r="C1004" s="531"/>
      <c r="D1004" s="532" t="s">
        <v>13</v>
      </c>
      <c r="E1004" s="532" t="s">
        <v>1433</v>
      </c>
      <c r="F1004" s="440">
        <v>45266</v>
      </c>
      <c r="G1004" s="440"/>
      <c r="H1004" s="439" t="s">
        <v>23</v>
      </c>
      <c r="I1004" s="449"/>
      <c r="J1004" s="450"/>
      <c r="K1004" s="443">
        <v>171</v>
      </c>
      <c r="L1004" s="444">
        <v>15.111514285714287</v>
      </c>
      <c r="M1004" s="445"/>
      <c r="N1004" s="445"/>
      <c r="O1004" s="445" t="s">
        <v>1472</v>
      </c>
      <c r="P1004" s="447">
        <v>1026</v>
      </c>
      <c r="Q1004" s="451">
        <v>171</v>
      </c>
      <c r="R1004" s="447">
        <v>0.41239999999999999</v>
      </c>
      <c r="S1004" s="447">
        <v>1.1619999999999999</v>
      </c>
      <c r="T1004" s="447">
        <v>423.12240000000003</v>
      </c>
      <c r="U1004" s="447">
        <v>1192.212</v>
      </c>
      <c r="V1004" s="447">
        <v>55.01</v>
      </c>
      <c r="W1004" s="447">
        <v>150.53</v>
      </c>
      <c r="X1004" s="447">
        <v>365</v>
      </c>
      <c r="Y1004" s="858">
        <v>154439.67999999999</v>
      </c>
    </row>
    <row r="1005" spans="1:25" ht="14.45" customHeight="1" x14ac:dyDescent="0.25">
      <c r="A1005" s="864" t="s">
        <v>4678</v>
      </c>
      <c r="B1005" s="769" t="s">
        <v>4628</v>
      </c>
      <c r="C1005" s="769" t="s">
        <v>4753</v>
      </c>
      <c r="D1005" s="754" t="s">
        <v>13</v>
      </c>
      <c r="E1005" s="754" t="s">
        <v>3765</v>
      </c>
      <c r="F1005" s="755">
        <v>45266</v>
      </c>
      <c r="G1005" s="755"/>
      <c r="H1005" s="754" t="s">
        <v>23</v>
      </c>
      <c r="I1005" s="388">
        <v>2296</v>
      </c>
      <c r="J1005" s="364"/>
      <c r="K1005" s="501">
        <v>0</v>
      </c>
      <c r="L1005" s="364">
        <v>14</v>
      </c>
      <c r="M1005" s="772"/>
      <c r="N1005" s="772">
        <v>3</v>
      </c>
      <c r="O1005" s="772" t="s">
        <v>4299</v>
      </c>
      <c r="P1005" s="772">
        <v>6888</v>
      </c>
      <c r="Q1005" s="363">
        <v>2296</v>
      </c>
      <c r="R1005" s="772"/>
      <c r="S1005" s="772"/>
      <c r="T1005" s="772"/>
      <c r="U1005" s="772"/>
      <c r="V1005" s="772"/>
      <c r="W1005" s="772"/>
      <c r="X1005" s="772"/>
      <c r="Y1005" s="885"/>
    </row>
    <row r="1006" spans="1:25" ht="14.45" customHeight="1" x14ac:dyDescent="0.25">
      <c r="A1006" s="437" t="s">
        <v>4678</v>
      </c>
      <c r="B1006" s="438" t="s">
        <v>4629</v>
      </c>
      <c r="C1006" s="438"/>
      <c r="D1006" s="439" t="s">
        <v>13</v>
      </c>
      <c r="E1006" s="439" t="s">
        <v>3762</v>
      </c>
      <c r="F1006" s="440">
        <v>45267</v>
      </c>
      <c r="G1006" s="440"/>
      <c r="H1006" s="439" t="s">
        <v>23</v>
      </c>
      <c r="I1006" s="449"/>
      <c r="J1006" s="450"/>
      <c r="K1006" s="443">
        <v>70</v>
      </c>
      <c r="L1006" s="444">
        <v>0</v>
      </c>
      <c r="M1006" s="445"/>
      <c r="N1006" s="445"/>
      <c r="O1006" s="445" t="s">
        <v>4630</v>
      </c>
      <c r="P1006" s="447">
        <v>119.2</v>
      </c>
      <c r="Q1006" s="451">
        <v>70</v>
      </c>
      <c r="R1006" s="447"/>
      <c r="S1006" s="447"/>
      <c r="T1006" s="447"/>
      <c r="U1006" s="447"/>
      <c r="V1006" s="447"/>
      <c r="W1006" s="447"/>
      <c r="X1006" s="447"/>
      <c r="Y1006" s="858"/>
    </row>
    <row r="1007" spans="1:25" ht="14.45" customHeight="1" x14ac:dyDescent="0.25">
      <c r="A1007" s="499" t="s">
        <v>4678</v>
      </c>
      <c r="B1007" s="467">
        <v>606</v>
      </c>
      <c r="C1007" s="467"/>
      <c r="D1007" s="468" t="s">
        <v>13</v>
      </c>
      <c r="E1007" s="468" t="s">
        <v>3764</v>
      </c>
      <c r="F1007" s="469">
        <v>45267</v>
      </c>
      <c r="G1007" s="469">
        <v>45356</v>
      </c>
      <c r="H1007" s="468" t="s">
        <v>23</v>
      </c>
      <c r="I1007" s="519"/>
      <c r="J1007" s="533">
        <v>134</v>
      </c>
      <c r="K1007" s="720">
        <v>0</v>
      </c>
      <c r="L1007" s="478">
        <v>0</v>
      </c>
      <c r="M1007" s="237" t="s">
        <v>4901</v>
      </c>
      <c r="N1007" s="470">
        <v>5.65</v>
      </c>
      <c r="O1007" s="237" t="s">
        <v>4403</v>
      </c>
      <c r="P1007" s="470">
        <v>676.7</v>
      </c>
      <c r="Q1007" s="471">
        <v>134</v>
      </c>
      <c r="R1007" s="470">
        <v>0.1469</v>
      </c>
      <c r="S1007" s="470">
        <v>1.3859999999999999</v>
      </c>
      <c r="T1007" s="470">
        <v>99.407200000000003</v>
      </c>
      <c r="U1007" s="470">
        <v>937.90620000000001</v>
      </c>
      <c r="V1007" s="470">
        <v>12.92</v>
      </c>
      <c r="W1007" s="470">
        <v>50.39</v>
      </c>
      <c r="X1007" s="470">
        <v>343</v>
      </c>
      <c r="Y1007" s="861">
        <v>34096.68</v>
      </c>
    </row>
    <row r="1008" spans="1:25" ht="14.45" customHeight="1" x14ac:dyDescent="0.25">
      <c r="A1008" s="499" t="s">
        <v>4678</v>
      </c>
      <c r="B1008" s="467">
        <v>606</v>
      </c>
      <c r="C1008" s="467"/>
      <c r="D1008" s="468" t="s">
        <v>13</v>
      </c>
      <c r="E1008" s="468" t="s">
        <v>3764</v>
      </c>
      <c r="F1008" s="469">
        <v>45267</v>
      </c>
      <c r="G1008" s="469">
        <v>45356</v>
      </c>
      <c r="H1008" s="468" t="s">
        <v>23</v>
      </c>
      <c r="I1008" s="476"/>
      <c r="J1008" s="534">
        <v>80</v>
      </c>
      <c r="K1008" s="443">
        <v>0</v>
      </c>
      <c r="L1008" s="478">
        <v>0</v>
      </c>
      <c r="M1008" s="237" t="s">
        <v>4900</v>
      </c>
      <c r="N1008" s="470">
        <v>5.15</v>
      </c>
      <c r="O1008" s="237" t="s">
        <v>4446</v>
      </c>
      <c r="P1008" s="470">
        <v>452</v>
      </c>
      <c r="Q1008" s="471">
        <v>80</v>
      </c>
      <c r="R1008" s="470">
        <v>0.1469</v>
      </c>
      <c r="S1008" s="470">
        <v>1.3859999999999999</v>
      </c>
      <c r="T1008" s="470">
        <v>66.398799999999994</v>
      </c>
      <c r="U1008" s="470">
        <v>626.47199999999998</v>
      </c>
      <c r="V1008" s="470">
        <v>8.6300000000000008</v>
      </c>
      <c r="W1008" s="470">
        <v>50.39</v>
      </c>
      <c r="X1008" s="470">
        <v>343</v>
      </c>
      <c r="Y1008" s="861">
        <v>22774.79</v>
      </c>
    </row>
    <row r="1009" spans="1:25" ht="14.45" customHeight="1" x14ac:dyDescent="0.25">
      <c r="A1009" s="722" t="s">
        <v>4678</v>
      </c>
      <c r="B1009" s="723">
        <v>610</v>
      </c>
      <c r="C1009" s="723"/>
      <c r="D1009" s="724" t="s">
        <v>34</v>
      </c>
      <c r="E1009" s="724" t="s">
        <v>2205</v>
      </c>
      <c r="F1009" s="725">
        <v>45268</v>
      </c>
      <c r="G1009" s="725"/>
      <c r="H1009" s="724" t="s">
        <v>23</v>
      </c>
      <c r="I1009" s="441">
        <v>17</v>
      </c>
      <c r="J1009" s="442">
        <v>1</v>
      </c>
      <c r="K1009" s="720">
        <v>0</v>
      </c>
      <c r="L1009" s="744" t="s">
        <v>17</v>
      </c>
      <c r="M1009" s="728"/>
      <c r="N1009" s="728">
        <v>3.05</v>
      </c>
      <c r="O1009" s="728" t="s">
        <v>1362</v>
      </c>
      <c r="P1009" s="721">
        <v>54.9</v>
      </c>
      <c r="Q1009" s="729">
        <v>18</v>
      </c>
      <c r="R1009" s="721">
        <v>0.91269999999999996</v>
      </c>
      <c r="S1009" s="721">
        <v>4.5439999999999996</v>
      </c>
      <c r="T1009" s="721">
        <v>50.107199999999999</v>
      </c>
      <c r="U1009" s="721">
        <v>249.46559999999999</v>
      </c>
      <c r="V1009" s="721">
        <v>6.51</v>
      </c>
      <c r="W1009" s="721">
        <v>384.44</v>
      </c>
      <c r="X1009" s="721">
        <v>421.22</v>
      </c>
      <c r="Y1009" s="857">
        <v>21105.759999999998</v>
      </c>
    </row>
    <row r="1010" spans="1:25" ht="14.45" customHeight="1" x14ac:dyDescent="0.25">
      <c r="A1010" s="886" t="s">
        <v>4678</v>
      </c>
      <c r="B1010" s="770" t="s">
        <v>4634</v>
      </c>
      <c r="C1010" s="770" t="s">
        <v>4753</v>
      </c>
      <c r="D1010" s="751" t="s">
        <v>13</v>
      </c>
      <c r="E1010" s="751" t="s">
        <v>3918</v>
      </c>
      <c r="F1010" s="791">
        <v>45266</v>
      </c>
      <c r="G1010" s="776">
        <v>45331</v>
      </c>
      <c r="H1010" s="775" t="s">
        <v>23</v>
      </c>
      <c r="I1010" s="388"/>
      <c r="J1010" s="359"/>
      <c r="K1010" s="443">
        <v>9</v>
      </c>
      <c r="L1010" s="810">
        <v>2</v>
      </c>
      <c r="M1010" s="752"/>
      <c r="N1010" s="752"/>
      <c r="O1010" s="752" t="s">
        <v>4853</v>
      </c>
      <c r="P1010" s="752">
        <v>54</v>
      </c>
      <c r="Q1010" s="753">
        <v>9</v>
      </c>
      <c r="R1010" s="752"/>
      <c r="S1010" s="752"/>
      <c r="T1010" s="752"/>
      <c r="U1010" s="752"/>
      <c r="V1010" s="752"/>
      <c r="W1010" s="752"/>
      <c r="X1010" s="752"/>
      <c r="Y1010" s="875"/>
    </row>
    <row r="1011" spans="1:25" ht="14.45" customHeight="1" x14ac:dyDescent="0.25">
      <c r="A1011" s="20" t="s">
        <v>4678</v>
      </c>
      <c r="B1011" s="811" t="s">
        <v>4634</v>
      </c>
      <c r="C1011" s="811" t="s">
        <v>4753</v>
      </c>
      <c r="D1011" s="786" t="s">
        <v>13</v>
      </c>
      <c r="E1011" s="786" t="s">
        <v>3918</v>
      </c>
      <c r="F1011" s="789">
        <v>45266</v>
      </c>
      <c r="G1011" s="790">
        <v>45331</v>
      </c>
      <c r="H1011" s="807" t="s">
        <v>23</v>
      </c>
      <c r="I1011" s="384"/>
      <c r="J1011" s="529"/>
      <c r="K1011" s="720">
        <v>2</v>
      </c>
      <c r="L1011" s="804"/>
      <c r="M1011" s="730" t="s">
        <v>4835</v>
      </c>
      <c r="N1011" s="730"/>
      <c r="O1011" s="730" t="s">
        <v>4575</v>
      </c>
      <c r="P1011" s="730">
        <v>12</v>
      </c>
      <c r="Q1011" s="731">
        <v>2</v>
      </c>
      <c r="R1011" s="730"/>
      <c r="S1011" s="730"/>
      <c r="T1011" s="730"/>
      <c r="U1011" s="730"/>
      <c r="V1011" s="730"/>
      <c r="W1011" s="730"/>
      <c r="X1011" s="730"/>
      <c r="Y1011" s="884"/>
    </row>
    <row r="1012" spans="1:25" ht="14.45" customHeight="1" x14ac:dyDescent="0.25">
      <c r="A1012" s="20" t="s">
        <v>4678</v>
      </c>
      <c r="B1012" s="811" t="s">
        <v>4634</v>
      </c>
      <c r="C1012" s="811" t="s">
        <v>4753</v>
      </c>
      <c r="D1012" s="786" t="s">
        <v>13</v>
      </c>
      <c r="E1012" s="786" t="s">
        <v>3918</v>
      </c>
      <c r="F1012" s="789">
        <v>45266</v>
      </c>
      <c r="G1012" s="776">
        <v>45331</v>
      </c>
      <c r="H1012" s="775" t="s">
        <v>23</v>
      </c>
      <c r="I1012" s="384"/>
      <c r="J1012" s="529"/>
      <c r="K1012" s="443">
        <v>6</v>
      </c>
      <c r="L1012" s="801"/>
      <c r="M1012" s="732" t="s">
        <v>4836</v>
      </c>
      <c r="N1012" s="732"/>
      <c r="O1012" s="732" t="s">
        <v>4576</v>
      </c>
      <c r="P1012" s="732">
        <v>36</v>
      </c>
      <c r="Q1012" s="733">
        <v>6</v>
      </c>
      <c r="R1012" s="732"/>
      <c r="S1012" s="732"/>
      <c r="T1012" s="732"/>
      <c r="U1012" s="732"/>
      <c r="V1012" s="732"/>
      <c r="W1012" s="732"/>
      <c r="X1012" s="732"/>
      <c r="Y1012" s="887"/>
    </row>
    <row r="1013" spans="1:25" ht="14.45" customHeight="1" x14ac:dyDescent="0.25">
      <c r="A1013" s="20" t="s">
        <v>4678</v>
      </c>
      <c r="B1013" s="811" t="s">
        <v>4634</v>
      </c>
      <c r="C1013" s="811" t="s">
        <v>4753</v>
      </c>
      <c r="D1013" s="786" t="s">
        <v>13</v>
      </c>
      <c r="E1013" s="786" t="s">
        <v>3918</v>
      </c>
      <c r="F1013" s="789">
        <v>45266</v>
      </c>
      <c r="G1013" s="790">
        <v>45331</v>
      </c>
      <c r="H1013" s="807" t="s">
        <v>23</v>
      </c>
      <c r="I1013" s="384"/>
      <c r="J1013" s="529"/>
      <c r="K1013" s="720">
        <v>3</v>
      </c>
      <c r="L1013" s="804"/>
      <c r="M1013" s="730" t="s">
        <v>4837</v>
      </c>
      <c r="N1013" s="730"/>
      <c r="O1013" s="730" t="s">
        <v>4635</v>
      </c>
      <c r="P1013" s="730">
        <v>18</v>
      </c>
      <c r="Q1013" s="731">
        <v>3</v>
      </c>
      <c r="R1013" s="730"/>
      <c r="S1013" s="730"/>
      <c r="T1013" s="730"/>
      <c r="U1013" s="730"/>
      <c r="V1013" s="730"/>
      <c r="W1013" s="730"/>
      <c r="X1013" s="730"/>
      <c r="Y1013" s="884"/>
    </row>
    <row r="1014" spans="1:25" ht="14.45" customHeight="1" x14ac:dyDescent="0.25">
      <c r="A1014" s="437" t="s">
        <v>4678</v>
      </c>
      <c r="B1014" s="438" t="s">
        <v>4640</v>
      </c>
      <c r="C1014" s="438"/>
      <c r="D1014" s="439" t="s">
        <v>13</v>
      </c>
      <c r="E1014" s="439" t="s">
        <v>4659</v>
      </c>
      <c r="F1014" s="440">
        <v>45272</v>
      </c>
      <c r="G1014" s="440"/>
      <c r="H1014" s="439" t="s">
        <v>23</v>
      </c>
      <c r="I1014" s="449">
        <v>28</v>
      </c>
      <c r="J1014" s="450"/>
      <c r="K1014" s="443">
        <v>0</v>
      </c>
      <c r="L1014" s="444">
        <v>0</v>
      </c>
      <c r="M1014" s="445"/>
      <c r="N1014" s="445"/>
      <c r="O1014" s="445" t="s">
        <v>4532</v>
      </c>
      <c r="P1014" s="447">
        <v>6.05</v>
      </c>
      <c r="Q1014" s="451">
        <v>28</v>
      </c>
      <c r="R1014" s="447"/>
      <c r="S1014" s="447"/>
      <c r="T1014" s="447"/>
      <c r="U1014" s="447"/>
      <c r="V1014" s="447"/>
      <c r="W1014" s="447"/>
      <c r="X1014" s="447"/>
      <c r="Y1014" s="858"/>
    </row>
    <row r="1015" spans="1:25" ht="14.45" customHeight="1" x14ac:dyDescent="0.25">
      <c r="A1015" s="722" t="s">
        <v>4939</v>
      </c>
      <c r="B1015" s="467">
        <v>621</v>
      </c>
      <c r="C1015" s="467"/>
      <c r="D1015" s="724" t="s">
        <v>13</v>
      </c>
      <c r="E1015" s="468" t="s">
        <v>3764</v>
      </c>
      <c r="F1015" s="469">
        <v>45272</v>
      </c>
      <c r="G1015" s="469"/>
      <c r="H1015" s="468" t="s">
        <v>23</v>
      </c>
      <c r="I1015" s="441"/>
      <c r="J1015" s="442">
        <v>559</v>
      </c>
      <c r="K1015" s="720">
        <v>0</v>
      </c>
      <c r="L1015" s="478">
        <v>23.551767857142856</v>
      </c>
      <c r="M1015" s="237"/>
      <c r="N1015" s="237"/>
      <c r="O1015" s="237" t="s">
        <v>4276</v>
      </c>
      <c r="P1015" s="470">
        <v>2487.5500000000002</v>
      </c>
      <c r="Q1015" s="471">
        <v>559</v>
      </c>
      <c r="R1015" s="470">
        <v>0.2651</v>
      </c>
      <c r="S1015" s="470">
        <v>0.82099999999999995</v>
      </c>
      <c r="T1015" s="470">
        <v>659.44949999999994</v>
      </c>
      <c r="U1015" s="470">
        <v>2042.2786000000001</v>
      </c>
      <c r="V1015" s="470">
        <v>85.73</v>
      </c>
      <c r="W1015" s="470">
        <v>79.53</v>
      </c>
      <c r="X1015" s="470">
        <v>300</v>
      </c>
      <c r="Y1015" s="861">
        <v>197834.85</v>
      </c>
    </row>
    <row r="1016" spans="1:25" ht="14.45" customHeight="1" x14ac:dyDescent="0.25">
      <c r="A1016" s="437" t="s">
        <v>4939</v>
      </c>
      <c r="B1016" s="467">
        <v>621</v>
      </c>
      <c r="C1016" s="467"/>
      <c r="D1016" s="439" t="s">
        <v>13</v>
      </c>
      <c r="E1016" s="468" t="s">
        <v>3764</v>
      </c>
      <c r="F1016" s="469">
        <v>45272</v>
      </c>
      <c r="G1016" s="469"/>
      <c r="H1016" s="468" t="s">
        <v>23</v>
      </c>
      <c r="I1016" s="449"/>
      <c r="J1016" s="450">
        <v>230</v>
      </c>
      <c r="K1016" s="443">
        <v>0</v>
      </c>
      <c r="L1016" s="478">
        <v>10.996917857142858</v>
      </c>
      <c r="M1016" s="237"/>
      <c r="N1016" s="237"/>
      <c r="O1016" s="237" t="s">
        <v>4275</v>
      </c>
      <c r="P1016" s="470">
        <v>1161.5</v>
      </c>
      <c r="Q1016" s="471">
        <v>230</v>
      </c>
      <c r="R1016" s="470">
        <v>0.2651</v>
      </c>
      <c r="S1016" s="470">
        <v>0.82099999999999995</v>
      </c>
      <c r="T1016" s="470">
        <v>307.91370000000001</v>
      </c>
      <c r="U1016" s="470">
        <v>953.5915</v>
      </c>
      <c r="V1016" s="470">
        <v>40.03</v>
      </c>
      <c r="W1016" s="470">
        <v>79.53</v>
      </c>
      <c r="X1016" s="470">
        <v>300</v>
      </c>
      <c r="Y1016" s="861">
        <v>92374.1</v>
      </c>
    </row>
    <row r="1017" spans="1:25" ht="14.45" customHeight="1" x14ac:dyDescent="0.25">
      <c r="A1017" s="722" t="s">
        <v>4678</v>
      </c>
      <c r="B1017" s="723">
        <v>552</v>
      </c>
      <c r="C1017" s="723"/>
      <c r="D1017" s="724" t="s">
        <v>13</v>
      </c>
      <c r="E1017" s="724" t="s">
        <v>672</v>
      </c>
      <c r="F1017" s="725">
        <v>45273</v>
      </c>
      <c r="G1017" s="725"/>
      <c r="H1017" s="724" t="s">
        <v>23</v>
      </c>
      <c r="I1017" s="441"/>
      <c r="J1017" s="442"/>
      <c r="K1017" s="720">
        <v>56</v>
      </c>
      <c r="L1017" s="744">
        <v>8.1379999999999999</v>
      </c>
      <c r="M1017" s="728"/>
      <c r="N1017" s="728"/>
      <c r="O1017" s="728" t="s">
        <v>999</v>
      </c>
      <c r="P1017" s="721">
        <v>364</v>
      </c>
      <c r="Q1017" s="729">
        <v>56</v>
      </c>
      <c r="R1017" s="721">
        <v>0.626</v>
      </c>
      <c r="S1017" s="721">
        <v>2.1869999999999998</v>
      </c>
      <c r="T1017" s="721">
        <v>227.864</v>
      </c>
      <c r="U1017" s="721">
        <v>796.06799999999998</v>
      </c>
      <c r="V1017" s="721">
        <v>29.62</v>
      </c>
      <c r="W1017" s="721">
        <v>209.71</v>
      </c>
      <c r="X1017" s="721">
        <v>335</v>
      </c>
      <c r="Y1017" s="857">
        <v>76334.44</v>
      </c>
    </row>
    <row r="1018" spans="1:25" ht="14.45" customHeight="1" x14ac:dyDescent="0.25">
      <c r="A1018" s="437" t="s">
        <v>4678</v>
      </c>
      <c r="B1018" s="438">
        <v>611</v>
      </c>
      <c r="C1018" s="438"/>
      <c r="D1018" s="439" t="s">
        <v>13</v>
      </c>
      <c r="E1018" s="439" t="s">
        <v>80</v>
      </c>
      <c r="F1018" s="440">
        <v>45273</v>
      </c>
      <c r="G1018" s="440"/>
      <c r="H1018" s="439" t="s">
        <v>23</v>
      </c>
      <c r="I1018" s="449"/>
      <c r="J1018" s="450"/>
      <c r="K1018" s="443">
        <v>85</v>
      </c>
      <c r="L1018" s="444">
        <v>5.7097071428571429</v>
      </c>
      <c r="M1018" s="445"/>
      <c r="N1018" s="445"/>
      <c r="O1018" s="445" t="s">
        <v>271</v>
      </c>
      <c r="P1018" s="447">
        <v>310.25</v>
      </c>
      <c r="Q1018" s="451">
        <v>85</v>
      </c>
      <c r="R1018" s="447">
        <v>0.51529999999999998</v>
      </c>
      <c r="S1018" s="447">
        <v>1.3759999999999999</v>
      </c>
      <c r="T1018" s="447">
        <v>159.87180000000001</v>
      </c>
      <c r="U1018" s="447">
        <v>426.904</v>
      </c>
      <c r="V1018" s="447">
        <v>20.78</v>
      </c>
      <c r="W1018" s="447">
        <v>172.63</v>
      </c>
      <c r="X1018" s="447">
        <v>335</v>
      </c>
      <c r="Y1018" s="858">
        <v>53557.06</v>
      </c>
    </row>
    <row r="1019" spans="1:25" ht="14.45" customHeight="1" x14ac:dyDescent="0.25">
      <c r="A1019" s="722" t="s">
        <v>4678</v>
      </c>
      <c r="B1019" s="723">
        <v>611</v>
      </c>
      <c r="C1019" s="723"/>
      <c r="D1019" s="724" t="s">
        <v>13</v>
      </c>
      <c r="E1019" s="724" t="s">
        <v>80</v>
      </c>
      <c r="F1019" s="725">
        <v>45273</v>
      </c>
      <c r="G1019" s="725"/>
      <c r="H1019" s="724" t="s">
        <v>23</v>
      </c>
      <c r="I1019" s="441"/>
      <c r="J1019" s="442"/>
      <c r="K1019" s="720">
        <v>40</v>
      </c>
      <c r="L1019" s="744">
        <v>2.3556571428571429</v>
      </c>
      <c r="M1019" s="728"/>
      <c r="N1019" s="728"/>
      <c r="O1019" s="728" t="s">
        <v>381</v>
      </c>
      <c r="P1019" s="721">
        <v>128</v>
      </c>
      <c r="Q1019" s="729">
        <v>40</v>
      </c>
      <c r="R1019" s="721">
        <v>0.51529999999999998</v>
      </c>
      <c r="S1019" s="721">
        <v>1.3759999999999999</v>
      </c>
      <c r="T1019" s="721">
        <v>65.958399999999997</v>
      </c>
      <c r="U1019" s="721">
        <v>176.12799999999999</v>
      </c>
      <c r="V1019" s="721">
        <v>8.57</v>
      </c>
      <c r="W1019" s="721">
        <v>172.63</v>
      </c>
      <c r="X1019" s="721">
        <v>335</v>
      </c>
      <c r="Y1019" s="857">
        <v>22096.06</v>
      </c>
    </row>
    <row r="1020" spans="1:25" ht="14.45" customHeight="1" x14ac:dyDescent="0.25">
      <c r="A1020" s="499" t="s">
        <v>4678</v>
      </c>
      <c r="B1020" s="467">
        <v>615</v>
      </c>
      <c r="C1020" s="467"/>
      <c r="D1020" s="468" t="s">
        <v>13</v>
      </c>
      <c r="E1020" s="468" t="s">
        <v>557</v>
      </c>
      <c r="F1020" s="469">
        <v>45273</v>
      </c>
      <c r="G1020" s="469"/>
      <c r="H1020" s="468" t="s">
        <v>23</v>
      </c>
      <c r="I1020" s="449">
        <v>267</v>
      </c>
      <c r="J1020" s="450"/>
      <c r="K1020" s="443">
        <v>2</v>
      </c>
      <c r="L1020" s="444">
        <v>5.1464999999999997E-2</v>
      </c>
      <c r="M1020" s="237" t="s">
        <v>4819</v>
      </c>
      <c r="N1020" s="237">
        <v>4.7</v>
      </c>
      <c r="O1020" s="237" t="s">
        <v>4643</v>
      </c>
      <c r="P1020" s="470">
        <v>1264.3</v>
      </c>
      <c r="Q1020" s="471">
        <v>269</v>
      </c>
      <c r="R1020" s="470">
        <v>0.15329999999999999</v>
      </c>
      <c r="S1020" s="470">
        <v>0.26600000000000001</v>
      </c>
      <c r="T1020" s="470">
        <v>193.81720000000001</v>
      </c>
      <c r="U1020" s="470">
        <v>336.30380000000002</v>
      </c>
      <c r="V1020" s="470">
        <v>25.2</v>
      </c>
      <c r="W1020" s="470">
        <v>55.95</v>
      </c>
      <c r="X1020" s="470">
        <v>365</v>
      </c>
      <c r="Y1020" s="861">
        <v>70743.27</v>
      </c>
    </row>
    <row r="1021" spans="1:25" ht="14.45" customHeight="1" x14ac:dyDescent="0.25">
      <c r="A1021" s="499" t="s">
        <v>4678</v>
      </c>
      <c r="B1021" s="723">
        <v>616</v>
      </c>
      <c r="C1021" s="723"/>
      <c r="D1021" s="724" t="s">
        <v>13</v>
      </c>
      <c r="E1021" s="724" t="s">
        <v>3863</v>
      </c>
      <c r="F1021" s="725">
        <v>45273</v>
      </c>
      <c r="G1021" s="725"/>
      <c r="H1021" s="724"/>
      <c r="I1021" s="720"/>
      <c r="J1021" s="720"/>
      <c r="K1021" s="720">
        <v>326</v>
      </c>
      <c r="L1021" s="486">
        <v>7.1021428571428569</v>
      </c>
      <c r="M1021" s="728" t="s">
        <v>4899</v>
      </c>
      <c r="N1021" s="721">
        <v>5</v>
      </c>
      <c r="O1021" s="728" t="s">
        <v>4404</v>
      </c>
      <c r="P1021" s="721">
        <v>1630</v>
      </c>
      <c r="Q1021" s="729">
        <v>326</v>
      </c>
      <c r="R1021" s="721">
        <v>0.122</v>
      </c>
      <c r="S1021" s="721">
        <v>0.17899999999999999</v>
      </c>
      <c r="T1021" s="721">
        <v>198.86</v>
      </c>
      <c r="U1021" s="721">
        <v>291.77</v>
      </c>
      <c r="V1021" s="721">
        <v>25.85</v>
      </c>
      <c r="W1021" s="721">
        <v>44.53</v>
      </c>
      <c r="X1021" s="721">
        <v>365</v>
      </c>
      <c r="Y1021" s="857">
        <v>72583.899999999994</v>
      </c>
    </row>
    <row r="1022" spans="1:25" ht="14.45" customHeight="1" x14ac:dyDescent="0.25">
      <c r="A1022" s="499" t="s">
        <v>4678</v>
      </c>
      <c r="B1022" s="438">
        <v>616</v>
      </c>
      <c r="C1022" s="438"/>
      <c r="D1022" s="439" t="s">
        <v>13</v>
      </c>
      <c r="E1022" s="439" t="s">
        <v>3863</v>
      </c>
      <c r="F1022" s="440">
        <v>45273</v>
      </c>
      <c r="G1022" s="440"/>
      <c r="H1022" s="439" t="s">
        <v>23</v>
      </c>
      <c r="I1022" s="449"/>
      <c r="J1022" s="450">
        <v>137</v>
      </c>
      <c r="K1022" s="443">
        <v>4</v>
      </c>
      <c r="L1022" s="444">
        <v>0.13114285714285714</v>
      </c>
      <c r="M1022" s="445" t="s">
        <v>5086</v>
      </c>
      <c r="N1022" s="447">
        <v>5</v>
      </c>
      <c r="O1022" s="445" t="s">
        <v>149</v>
      </c>
      <c r="P1022" s="447">
        <v>705</v>
      </c>
      <c r="Q1022" s="451">
        <v>141</v>
      </c>
      <c r="R1022" s="447">
        <v>0.18360000000000001</v>
      </c>
      <c r="S1022" s="447">
        <v>0.39400000000000002</v>
      </c>
      <c r="T1022" s="447">
        <v>129.43799999999999</v>
      </c>
      <c r="U1022" s="447">
        <v>277.77</v>
      </c>
      <c r="V1022" s="447">
        <v>16.829999999999998</v>
      </c>
      <c r="W1022" s="447">
        <v>67.010000000000005</v>
      </c>
      <c r="X1022" s="447">
        <v>365</v>
      </c>
      <c r="Y1022" s="858">
        <v>47244.87</v>
      </c>
    </row>
    <row r="1023" spans="1:25" ht="14.45" customHeight="1" x14ac:dyDescent="0.25">
      <c r="A1023" s="499" t="s">
        <v>4678</v>
      </c>
      <c r="B1023" s="723">
        <v>616</v>
      </c>
      <c r="C1023" s="723"/>
      <c r="D1023" s="724" t="s">
        <v>13</v>
      </c>
      <c r="E1023" s="724" t="s">
        <v>3863</v>
      </c>
      <c r="F1023" s="725">
        <v>45273</v>
      </c>
      <c r="G1023" s="725">
        <v>45447</v>
      </c>
      <c r="H1023" s="706"/>
      <c r="I1023" s="720"/>
      <c r="J1023" s="720"/>
      <c r="K1023" s="720">
        <v>208</v>
      </c>
      <c r="L1023" s="486">
        <v>5.129428571428571</v>
      </c>
      <c r="M1023" s="728"/>
      <c r="N1023" s="721">
        <v>5</v>
      </c>
      <c r="O1023" s="728" t="s">
        <v>299</v>
      </c>
      <c r="P1023" s="721">
        <v>1040</v>
      </c>
      <c r="Q1023" s="729">
        <v>208</v>
      </c>
      <c r="R1023" s="721">
        <v>0.1381</v>
      </c>
      <c r="S1023" s="721">
        <v>0.35199999999999998</v>
      </c>
      <c r="T1023" s="721">
        <v>143.624</v>
      </c>
      <c r="U1023" s="721">
        <v>366.08</v>
      </c>
      <c r="V1023" s="721">
        <v>18.670000000000002</v>
      </c>
      <c r="W1023" s="721">
        <v>50.41</v>
      </c>
      <c r="X1023" s="721">
        <v>365</v>
      </c>
      <c r="Y1023" s="857">
        <v>52426.400000000001</v>
      </c>
    </row>
    <row r="1024" spans="1:25" ht="14.45" customHeight="1" x14ac:dyDescent="0.25">
      <c r="A1024" s="499" t="s">
        <v>4678</v>
      </c>
      <c r="B1024" s="438">
        <v>619</v>
      </c>
      <c r="C1024" s="438"/>
      <c r="D1024" s="439" t="s">
        <v>13</v>
      </c>
      <c r="E1024" s="439" t="s">
        <v>3764</v>
      </c>
      <c r="F1024" s="440">
        <v>45273</v>
      </c>
      <c r="G1024" s="440">
        <v>45356</v>
      </c>
      <c r="H1024" s="439" t="s">
        <v>23</v>
      </c>
      <c r="I1024" s="449"/>
      <c r="J1024" s="450">
        <v>453</v>
      </c>
      <c r="K1024" s="443">
        <v>16</v>
      </c>
      <c r="L1024" s="444">
        <v>0.46467714285714296</v>
      </c>
      <c r="M1024" s="445" t="s">
        <v>4938</v>
      </c>
      <c r="N1024" s="447">
        <v>5.15</v>
      </c>
      <c r="O1024" s="445" t="s">
        <v>1975</v>
      </c>
      <c r="P1024" s="447">
        <v>2415.35</v>
      </c>
      <c r="Q1024" s="451">
        <v>469</v>
      </c>
      <c r="R1024" s="447">
        <v>0.15790000000000001</v>
      </c>
      <c r="S1024" s="447">
        <v>0.309</v>
      </c>
      <c r="T1024" s="447">
        <v>381.38380000000001</v>
      </c>
      <c r="U1024" s="447">
        <v>746.34320000000002</v>
      </c>
      <c r="V1024" s="447">
        <v>49.58</v>
      </c>
      <c r="W1024" s="447">
        <v>57.63</v>
      </c>
      <c r="X1024" s="447">
        <v>365</v>
      </c>
      <c r="Y1024" s="858">
        <v>139205.07</v>
      </c>
    </row>
    <row r="1025" spans="1:25" ht="14.45" customHeight="1" x14ac:dyDescent="0.25">
      <c r="A1025" s="499" t="s">
        <v>4678</v>
      </c>
      <c r="B1025" s="723">
        <v>619</v>
      </c>
      <c r="C1025" s="723"/>
      <c r="D1025" s="724" t="s">
        <v>13</v>
      </c>
      <c r="E1025" s="724" t="s">
        <v>3764</v>
      </c>
      <c r="F1025" s="725">
        <v>45273</v>
      </c>
      <c r="G1025" s="725">
        <v>45334</v>
      </c>
      <c r="H1025" s="724" t="s">
        <v>23</v>
      </c>
      <c r="I1025" s="441"/>
      <c r="J1025" s="441">
        <v>9</v>
      </c>
      <c r="K1025" s="720">
        <v>11</v>
      </c>
      <c r="L1025" s="744">
        <v>0.29143910714285715</v>
      </c>
      <c r="M1025" s="728" t="s">
        <v>2255</v>
      </c>
      <c r="N1025" s="721">
        <v>5.05</v>
      </c>
      <c r="O1025" s="728" t="s">
        <v>4403</v>
      </c>
      <c r="P1025" s="721">
        <v>101</v>
      </c>
      <c r="Q1025" s="729">
        <v>20</v>
      </c>
      <c r="R1025" s="721">
        <v>0.1469</v>
      </c>
      <c r="S1025" s="721">
        <v>1.3859999999999999</v>
      </c>
      <c r="T1025" s="721">
        <v>14.8369</v>
      </c>
      <c r="U1025" s="721">
        <v>139.98599999999999</v>
      </c>
      <c r="V1025" s="721">
        <v>1.93</v>
      </c>
      <c r="W1025" s="721">
        <v>53.62</v>
      </c>
      <c r="X1025" s="721">
        <v>365</v>
      </c>
      <c r="Y1025" s="857">
        <v>5415.47</v>
      </c>
    </row>
    <row r="1026" spans="1:25" ht="14.45" customHeight="1" x14ac:dyDescent="0.25">
      <c r="A1026" s="886" t="s">
        <v>4939</v>
      </c>
      <c r="B1026" s="769">
        <v>598</v>
      </c>
      <c r="C1026" s="770" t="s">
        <v>4753</v>
      </c>
      <c r="D1026" s="751" t="s">
        <v>13</v>
      </c>
      <c r="E1026" s="754" t="s">
        <v>4879</v>
      </c>
      <c r="F1026" s="755">
        <v>45273</v>
      </c>
      <c r="G1026" s="755">
        <v>45390</v>
      </c>
      <c r="H1026" s="468" t="s">
        <v>23</v>
      </c>
      <c r="I1026" s="476"/>
      <c r="J1026" s="771">
        <v>111</v>
      </c>
      <c r="K1026" s="477">
        <v>1</v>
      </c>
      <c r="L1026" s="478">
        <v>8.4260000000000002E-2</v>
      </c>
      <c r="M1026" s="754" t="s">
        <v>4964</v>
      </c>
      <c r="N1026" s="772">
        <v>6.16</v>
      </c>
      <c r="O1026" s="756" t="s">
        <v>5022</v>
      </c>
      <c r="P1026" s="757">
        <v>689.92</v>
      </c>
      <c r="Q1026" s="758">
        <v>112</v>
      </c>
      <c r="R1026" s="757">
        <v>0.38300000000000001</v>
      </c>
      <c r="S1026" s="757">
        <v>1.2350000000000001</v>
      </c>
      <c r="T1026" s="757">
        <v>2.35928</v>
      </c>
      <c r="U1026" s="757">
        <v>7.6076000000000006</v>
      </c>
      <c r="V1026" s="757">
        <v>34.35</v>
      </c>
      <c r="W1026" s="757">
        <v>116.81</v>
      </c>
      <c r="X1026" s="757">
        <v>305</v>
      </c>
      <c r="Y1026" s="866">
        <v>80593</v>
      </c>
    </row>
    <row r="1027" spans="1:25" ht="14.45" customHeight="1" x14ac:dyDescent="0.25">
      <c r="A1027" s="886" t="s">
        <v>4939</v>
      </c>
      <c r="B1027" s="811">
        <v>598</v>
      </c>
      <c r="C1027" s="811" t="s">
        <v>4753</v>
      </c>
      <c r="D1027" s="786" t="s">
        <v>13</v>
      </c>
      <c r="E1027" s="754" t="s">
        <v>4879</v>
      </c>
      <c r="F1027" s="789">
        <v>45273</v>
      </c>
      <c r="G1027" s="755">
        <v>45364</v>
      </c>
      <c r="H1027" s="468" t="s">
        <v>23</v>
      </c>
      <c r="I1027" s="476"/>
      <c r="J1027" s="785">
        <v>123</v>
      </c>
      <c r="K1027" s="501">
        <v>0</v>
      </c>
      <c r="L1027" s="478">
        <v>0</v>
      </c>
      <c r="M1027" s="786" t="s">
        <v>4965</v>
      </c>
      <c r="N1027" s="756">
        <v>6.16</v>
      </c>
      <c r="O1027" s="756" t="s">
        <v>4907</v>
      </c>
      <c r="P1027" s="757">
        <v>757.68</v>
      </c>
      <c r="Q1027" s="758">
        <v>123</v>
      </c>
      <c r="R1027" s="757">
        <v>0.3</v>
      </c>
      <c r="S1027" s="757">
        <v>1.071</v>
      </c>
      <c r="T1027" s="757">
        <v>0</v>
      </c>
      <c r="U1027" s="757">
        <v>0</v>
      </c>
      <c r="V1027" s="757">
        <v>29.55</v>
      </c>
      <c r="W1027" s="757">
        <v>91.5</v>
      </c>
      <c r="X1027" s="757">
        <v>305</v>
      </c>
      <c r="Y1027" s="866">
        <v>69327.72</v>
      </c>
    </row>
    <row r="1028" spans="1:25" ht="14.45" customHeight="1" x14ac:dyDescent="0.25">
      <c r="A1028" s="886" t="s">
        <v>4939</v>
      </c>
      <c r="B1028" s="812">
        <v>598</v>
      </c>
      <c r="C1028" s="812" t="s">
        <v>4753</v>
      </c>
      <c r="D1028" s="782" t="s">
        <v>13</v>
      </c>
      <c r="E1028" s="754" t="s">
        <v>4879</v>
      </c>
      <c r="F1028" s="813">
        <v>45273</v>
      </c>
      <c r="G1028" s="755">
        <v>45364</v>
      </c>
      <c r="H1028" s="468" t="s">
        <v>23</v>
      </c>
      <c r="I1028" s="476"/>
      <c r="J1028" s="785">
        <v>170</v>
      </c>
      <c r="K1028" s="501">
        <v>0</v>
      </c>
      <c r="L1028" s="478">
        <v>0</v>
      </c>
      <c r="M1028" s="814" t="s">
        <v>4966</v>
      </c>
      <c r="N1028" s="814">
        <v>6.16</v>
      </c>
      <c r="O1028" s="756" t="s">
        <v>4908</v>
      </c>
      <c r="P1028" s="757">
        <v>1047.2</v>
      </c>
      <c r="Q1028" s="758">
        <v>170</v>
      </c>
      <c r="R1028" s="757">
        <v>0.442</v>
      </c>
      <c r="S1028" s="757">
        <v>1.623</v>
      </c>
      <c r="T1028" s="757">
        <v>0</v>
      </c>
      <c r="U1028" s="757">
        <v>0</v>
      </c>
      <c r="V1028" s="757">
        <v>60.17</v>
      </c>
      <c r="W1028" s="757">
        <v>134.81</v>
      </c>
      <c r="X1028" s="757">
        <v>305</v>
      </c>
      <c r="Y1028" s="866">
        <v>141173.03</v>
      </c>
    </row>
    <row r="1029" spans="1:25" ht="14.45" customHeight="1" x14ac:dyDescent="0.25">
      <c r="A1029" s="722" t="s">
        <v>4678</v>
      </c>
      <c r="B1029" s="723">
        <v>601</v>
      </c>
      <c r="C1029" s="812" t="s">
        <v>4753</v>
      </c>
      <c r="D1029" s="724" t="s">
        <v>13</v>
      </c>
      <c r="E1029" s="724" t="s">
        <v>3762</v>
      </c>
      <c r="F1029" s="725">
        <v>45273</v>
      </c>
      <c r="G1029" s="725"/>
      <c r="H1029" s="724" t="s">
        <v>23</v>
      </c>
      <c r="I1029" s="441"/>
      <c r="J1029" s="442"/>
      <c r="K1029" s="720">
        <v>129</v>
      </c>
      <c r="L1029" s="744">
        <v>0</v>
      </c>
      <c r="M1029" s="728"/>
      <c r="N1029" s="728"/>
      <c r="O1029" s="728" t="s">
        <v>3569</v>
      </c>
      <c r="P1029" s="721"/>
      <c r="Q1029" s="729">
        <v>129</v>
      </c>
      <c r="R1029" s="721"/>
      <c r="S1029" s="721"/>
      <c r="T1029" s="721"/>
      <c r="U1029" s="721"/>
      <c r="V1029" s="721"/>
      <c r="W1029" s="721"/>
      <c r="X1029" s="721"/>
      <c r="Y1029" s="857"/>
    </row>
    <row r="1030" spans="1:25" ht="14.45" customHeight="1" x14ac:dyDescent="0.25">
      <c r="A1030" s="437" t="s">
        <v>4678</v>
      </c>
      <c r="B1030" s="438">
        <v>599</v>
      </c>
      <c r="C1030" s="812" t="s">
        <v>4753</v>
      </c>
      <c r="D1030" s="439" t="s">
        <v>34</v>
      </c>
      <c r="E1030" s="439" t="s">
        <v>4467</v>
      </c>
      <c r="F1030" s="440">
        <v>45273</v>
      </c>
      <c r="G1030" s="440"/>
      <c r="H1030" s="439" t="s">
        <v>23</v>
      </c>
      <c r="I1030" s="441"/>
      <c r="J1030" s="442"/>
      <c r="K1030" s="443">
        <v>0</v>
      </c>
      <c r="L1030" s="444">
        <v>0</v>
      </c>
      <c r="M1030" s="445"/>
      <c r="N1030" s="445"/>
      <c r="O1030" s="445" t="s">
        <v>4052</v>
      </c>
      <c r="P1030" s="447" t="s">
        <v>4055</v>
      </c>
      <c r="Q1030" s="451"/>
      <c r="R1030" s="447"/>
      <c r="S1030" s="447"/>
      <c r="T1030" s="447"/>
      <c r="U1030" s="447"/>
      <c r="V1030" s="447"/>
      <c r="W1030" s="447"/>
      <c r="X1030" s="447"/>
      <c r="Y1030" s="858" t="s">
        <v>4645</v>
      </c>
    </row>
    <row r="1031" spans="1:25" ht="14.45" customHeight="1" x14ac:dyDescent="0.25">
      <c r="A1031" s="722" t="s">
        <v>4678</v>
      </c>
      <c r="B1031" s="723">
        <v>599</v>
      </c>
      <c r="C1031" s="812" t="s">
        <v>4753</v>
      </c>
      <c r="D1031" s="724" t="s">
        <v>34</v>
      </c>
      <c r="E1031" s="724" t="s">
        <v>4467</v>
      </c>
      <c r="F1031" s="725">
        <v>45273</v>
      </c>
      <c r="G1031" s="725"/>
      <c r="H1031" s="724" t="s">
        <v>23</v>
      </c>
      <c r="I1031" s="441"/>
      <c r="J1031" s="442"/>
      <c r="K1031" s="720">
        <v>0</v>
      </c>
      <c r="L1031" s="744">
        <v>0</v>
      </c>
      <c r="M1031" s="728"/>
      <c r="N1031" s="728"/>
      <c r="O1031" s="728" t="s">
        <v>3929</v>
      </c>
      <c r="P1031" s="721" t="s">
        <v>4056</v>
      </c>
      <c r="Q1031" s="729"/>
      <c r="R1031" s="721"/>
      <c r="S1031" s="721"/>
      <c r="T1031" s="721"/>
      <c r="U1031" s="721"/>
      <c r="V1031" s="721"/>
      <c r="W1031" s="721"/>
      <c r="X1031" s="721"/>
      <c r="Y1031" s="857" t="s">
        <v>4646</v>
      </c>
    </row>
    <row r="1032" spans="1:25" ht="14.45" customHeight="1" x14ac:dyDescent="0.25">
      <c r="A1032" s="437" t="s">
        <v>4678</v>
      </c>
      <c r="B1032" s="438">
        <v>599</v>
      </c>
      <c r="C1032" s="812" t="s">
        <v>4753</v>
      </c>
      <c r="D1032" s="439" t="s">
        <v>34</v>
      </c>
      <c r="E1032" s="439" t="s">
        <v>4467</v>
      </c>
      <c r="F1032" s="440">
        <v>45273</v>
      </c>
      <c r="G1032" s="440"/>
      <c r="H1032" s="439" t="s">
        <v>23</v>
      </c>
      <c r="I1032" s="441"/>
      <c r="J1032" s="442"/>
      <c r="K1032" s="443">
        <v>0</v>
      </c>
      <c r="L1032" s="444">
        <v>0</v>
      </c>
      <c r="M1032" s="445"/>
      <c r="N1032" s="445"/>
      <c r="O1032" s="445" t="s">
        <v>4053</v>
      </c>
      <c r="P1032" s="447" t="s">
        <v>3333</v>
      </c>
      <c r="Q1032" s="451"/>
      <c r="R1032" s="447"/>
      <c r="S1032" s="447"/>
      <c r="T1032" s="447"/>
      <c r="U1032" s="447"/>
      <c r="V1032" s="447"/>
      <c r="W1032" s="447"/>
      <c r="X1032" s="447"/>
      <c r="Y1032" s="858" t="s">
        <v>4647</v>
      </c>
    </row>
    <row r="1033" spans="1:25" ht="14.45" customHeight="1" x14ac:dyDescent="0.25">
      <c r="A1033" s="722" t="s">
        <v>4678</v>
      </c>
      <c r="B1033" s="723">
        <v>599</v>
      </c>
      <c r="C1033" s="812" t="s">
        <v>4753</v>
      </c>
      <c r="D1033" s="724" t="s">
        <v>34</v>
      </c>
      <c r="E1033" s="724" t="s">
        <v>4467</v>
      </c>
      <c r="F1033" s="725">
        <v>45273</v>
      </c>
      <c r="G1033" s="725"/>
      <c r="H1033" s="724" t="s">
        <v>23</v>
      </c>
      <c r="I1033" s="441"/>
      <c r="J1033" s="442"/>
      <c r="K1033" s="720">
        <v>0</v>
      </c>
      <c r="L1033" s="744">
        <v>0</v>
      </c>
      <c r="M1033" s="728"/>
      <c r="N1033" s="728"/>
      <c r="O1033" s="728" t="s">
        <v>3866</v>
      </c>
      <c r="P1033" s="721" t="s">
        <v>4644</v>
      </c>
      <c r="Q1033" s="729"/>
      <c r="R1033" s="721"/>
      <c r="S1033" s="721"/>
      <c r="T1033" s="721"/>
      <c r="U1033" s="721"/>
      <c r="V1033" s="721"/>
      <c r="W1033" s="721"/>
      <c r="X1033" s="721"/>
      <c r="Y1033" s="857" t="s">
        <v>4648</v>
      </c>
    </row>
    <row r="1034" spans="1:25" ht="14.45" customHeight="1" x14ac:dyDescent="0.25">
      <c r="A1034" s="437" t="s">
        <v>4678</v>
      </c>
      <c r="B1034" s="438">
        <v>599</v>
      </c>
      <c r="C1034" s="812" t="s">
        <v>4753</v>
      </c>
      <c r="D1034" s="439" t="s">
        <v>34</v>
      </c>
      <c r="E1034" s="439" t="s">
        <v>4467</v>
      </c>
      <c r="F1034" s="440">
        <v>45273</v>
      </c>
      <c r="G1034" s="440"/>
      <c r="H1034" s="439" t="s">
        <v>23</v>
      </c>
      <c r="I1034" s="441"/>
      <c r="J1034" s="442"/>
      <c r="K1034" s="443">
        <v>0</v>
      </c>
      <c r="L1034" s="444">
        <v>0</v>
      </c>
      <c r="M1034" s="445"/>
      <c r="N1034" s="445"/>
      <c r="O1034" s="445" t="s">
        <v>3864</v>
      </c>
      <c r="P1034" s="447" t="s">
        <v>4058</v>
      </c>
      <c r="Q1034" s="451"/>
      <c r="R1034" s="447"/>
      <c r="S1034" s="447"/>
      <c r="T1034" s="447"/>
      <c r="U1034" s="447"/>
      <c r="V1034" s="447"/>
      <c r="W1034" s="447"/>
      <c r="X1034" s="447"/>
      <c r="Y1034" s="858" t="s">
        <v>4649</v>
      </c>
    </row>
    <row r="1035" spans="1:25" ht="14.45" customHeight="1" x14ac:dyDescent="0.25">
      <c r="A1035" s="722" t="s">
        <v>4678</v>
      </c>
      <c r="B1035" s="723">
        <v>624</v>
      </c>
      <c r="C1035" s="723"/>
      <c r="D1035" s="724" t="s">
        <v>34</v>
      </c>
      <c r="E1035" s="724" t="s">
        <v>643</v>
      </c>
      <c r="F1035" s="725">
        <v>45273</v>
      </c>
      <c r="G1035" s="725"/>
      <c r="H1035" s="724" t="s">
        <v>23</v>
      </c>
      <c r="I1035" s="441"/>
      <c r="J1035" s="442">
        <v>66</v>
      </c>
      <c r="K1035" s="720">
        <v>97</v>
      </c>
      <c r="L1035" s="744">
        <v>3.2955750000000004</v>
      </c>
      <c r="M1035" s="728"/>
      <c r="N1035" s="728">
        <v>4.2</v>
      </c>
      <c r="O1035" s="728" t="s">
        <v>888</v>
      </c>
      <c r="P1035" s="721">
        <v>684.6</v>
      </c>
      <c r="Q1035" s="729">
        <v>163</v>
      </c>
      <c r="R1035" s="721">
        <v>0.22650000000000001</v>
      </c>
      <c r="S1035" s="721">
        <v>0.52700000000000002</v>
      </c>
      <c r="T1035" s="721">
        <v>155.06190000000001</v>
      </c>
      <c r="U1035" s="721">
        <v>360.7842</v>
      </c>
      <c r="V1035" s="721">
        <v>20.16</v>
      </c>
      <c r="W1035" s="721">
        <v>64.55</v>
      </c>
      <c r="X1035" s="721">
        <v>285</v>
      </c>
      <c r="Y1035" s="857">
        <v>44190.93</v>
      </c>
    </row>
    <row r="1036" spans="1:25" ht="14.45" customHeight="1" x14ac:dyDescent="0.25">
      <c r="A1036" s="437" t="s">
        <v>4678</v>
      </c>
      <c r="B1036" s="438">
        <v>625</v>
      </c>
      <c r="C1036" s="438"/>
      <c r="D1036" s="439" t="s">
        <v>34</v>
      </c>
      <c r="E1036" s="439" t="s">
        <v>328</v>
      </c>
      <c r="F1036" s="440">
        <v>45273</v>
      </c>
      <c r="G1036" s="440"/>
      <c r="H1036" s="439" t="s">
        <v>23</v>
      </c>
      <c r="I1036" s="441"/>
      <c r="J1036" s="442"/>
      <c r="K1036" s="443">
        <v>162</v>
      </c>
      <c r="L1036" s="444">
        <v>10.733657142857142</v>
      </c>
      <c r="M1036" s="445" t="s">
        <v>4714</v>
      </c>
      <c r="N1036" s="445"/>
      <c r="O1036" s="445" t="s">
        <v>650</v>
      </c>
      <c r="P1036" s="447">
        <v>972</v>
      </c>
      <c r="Q1036" s="451">
        <v>162</v>
      </c>
      <c r="R1036" s="447">
        <v>0.30919999999999997</v>
      </c>
      <c r="S1036" s="447">
        <v>1.1000000000000001</v>
      </c>
      <c r="T1036" s="447">
        <v>300.54239999999999</v>
      </c>
      <c r="U1036" s="447">
        <v>1069.2</v>
      </c>
      <c r="V1036" s="447">
        <v>39.07</v>
      </c>
      <c r="W1036" s="447">
        <v>112.86</v>
      </c>
      <c r="X1036" s="447">
        <v>365</v>
      </c>
      <c r="Y1036" s="858">
        <v>109699.92</v>
      </c>
    </row>
    <row r="1037" spans="1:25" ht="14.45" customHeight="1" x14ac:dyDescent="0.25">
      <c r="A1037" s="722" t="s">
        <v>4678</v>
      </c>
      <c r="B1037" s="723">
        <v>626</v>
      </c>
      <c r="C1037" s="723"/>
      <c r="D1037" s="724" t="s">
        <v>34</v>
      </c>
      <c r="E1037" s="724" t="s">
        <v>19</v>
      </c>
      <c r="F1037" s="725">
        <v>45273</v>
      </c>
      <c r="G1037" s="725"/>
      <c r="H1037" s="724" t="s">
        <v>677</v>
      </c>
      <c r="I1037" s="441"/>
      <c r="J1037" s="442"/>
      <c r="K1037" s="720">
        <v>415</v>
      </c>
      <c r="L1037" s="744">
        <v>14.894350000000001</v>
      </c>
      <c r="M1037" s="728"/>
      <c r="N1037" s="728"/>
      <c r="O1037" s="728" t="s">
        <v>3094</v>
      </c>
      <c r="P1037" s="721">
        <v>1535.5</v>
      </c>
      <c r="Q1037" s="729">
        <v>415</v>
      </c>
      <c r="R1037" s="721">
        <v>0.27160000000000001</v>
      </c>
      <c r="S1037" s="721">
        <v>0.72799999999999998</v>
      </c>
      <c r="T1037" s="721">
        <v>417.04180000000002</v>
      </c>
      <c r="U1037" s="721">
        <v>1117.8440000000001</v>
      </c>
      <c r="V1037" s="721">
        <v>54.22</v>
      </c>
      <c r="W1037" s="721">
        <v>103.21</v>
      </c>
      <c r="X1037" s="721">
        <v>380</v>
      </c>
      <c r="Y1037" s="857">
        <v>158478.96</v>
      </c>
    </row>
    <row r="1038" spans="1:25" ht="14.45" customHeight="1" x14ac:dyDescent="0.25">
      <c r="A1038" s="437" t="s">
        <v>4678</v>
      </c>
      <c r="B1038" s="438">
        <v>627</v>
      </c>
      <c r="C1038" s="438"/>
      <c r="D1038" s="439" t="s">
        <v>34</v>
      </c>
      <c r="E1038" s="439" t="s">
        <v>3404</v>
      </c>
      <c r="F1038" s="440">
        <v>45273</v>
      </c>
      <c r="G1038" s="440"/>
      <c r="H1038" s="439" t="s">
        <v>23</v>
      </c>
      <c r="I1038" s="441"/>
      <c r="J1038" s="442"/>
      <c r="K1038" s="443">
        <v>364</v>
      </c>
      <c r="L1038" s="444">
        <v>7.8780000000000001</v>
      </c>
      <c r="M1038" s="445"/>
      <c r="N1038" s="445"/>
      <c r="O1038" s="445" t="s">
        <v>4582</v>
      </c>
      <c r="P1038" s="447">
        <v>2184</v>
      </c>
      <c r="Q1038" s="451">
        <v>364</v>
      </c>
      <c r="R1038" s="447">
        <v>0.10100000000000001</v>
      </c>
      <c r="S1038" s="447">
        <v>0.30599999999999999</v>
      </c>
      <c r="T1038" s="447">
        <v>220.584</v>
      </c>
      <c r="U1038" s="447">
        <v>668.30399999999997</v>
      </c>
      <c r="V1038" s="447">
        <v>28.68</v>
      </c>
      <c r="W1038" s="447">
        <v>31.82</v>
      </c>
      <c r="X1038" s="447">
        <v>315</v>
      </c>
      <c r="Y1038" s="858">
        <v>69494.880000000005</v>
      </c>
    </row>
    <row r="1039" spans="1:25" ht="14.45" customHeight="1" x14ac:dyDescent="0.25">
      <c r="A1039" s="499" t="s">
        <v>4678</v>
      </c>
      <c r="B1039" s="467">
        <v>628</v>
      </c>
      <c r="C1039" s="467"/>
      <c r="D1039" s="468" t="s">
        <v>13</v>
      </c>
      <c r="E1039" s="468" t="s">
        <v>28</v>
      </c>
      <c r="F1039" s="469">
        <v>45274</v>
      </c>
      <c r="G1039" s="469">
        <v>45432</v>
      </c>
      <c r="H1039" s="730" t="s">
        <v>23</v>
      </c>
      <c r="I1039" s="441"/>
      <c r="J1039" s="442">
        <v>53</v>
      </c>
      <c r="K1039" s="720">
        <v>0</v>
      </c>
      <c r="L1039" s="486">
        <v>0</v>
      </c>
      <c r="M1039" s="728"/>
      <c r="N1039" s="721">
        <v>6</v>
      </c>
      <c r="O1039" s="728" t="s">
        <v>2608</v>
      </c>
      <c r="P1039" s="721">
        <v>318</v>
      </c>
      <c r="Q1039" s="729">
        <v>53</v>
      </c>
      <c r="R1039" s="721">
        <v>0.31</v>
      </c>
      <c r="S1039" s="721">
        <v>0.69199999999999995</v>
      </c>
      <c r="T1039" s="721">
        <v>98.58</v>
      </c>
      <c r="U1039" s="721">
        <v>220.05600000000001</v>
      </c>
      <c r="V1039" s="721">
        <v>12.82</v>
      </c>
      <c r="W1039" s="721">
        <v>113.15</v>
      </c>
      <c r="X1039" s="721">
        <v>365</v>
      </c>
      <c r="Y1039" s="857">
        <v>35981.699999999997</v>
      </c>
    </row>
    <row r="1040" spans="1:25" ht="14.45" customHeight="1" x14ac:dyDescent="0.25">
      <c r="A1040" s="437" t="s">
        <v>4678</v>
      </c>
      <c r="B1040" s="438">
        <v>629</v>
      </c>
      <c r="C1040" s="438"/>
      <c r="D1040" s="439" t="s">
        <v>13</v>
      </c>
      <c r="E1040" s="439" t="s">
        <v>4653</v>
      </c>
      <c r="F1040" s="440">
        <v>45274</v>
      </c>
      <c r="G1040" s="440"/>
      <c r="H1040" s="439" t="s">
        <v>23</v>
      </c>
      <c r="I1040" s="441"/>
      <c r="J1040" s="442"/>
      <c r="K1040" s="443">
        <v>172</v>
      </c>
      <c r="L1040" s="444">
        <v>3.2987142857142859</v>
      </c>
      <c r="M1040" s="445"/>
      <c r="N1040" s="445"/>
      <c r="O1040" s="445" t="s">
        <v>2553</v>
      </c>
      <c r="P1040" s="447">
        <v>1032</v>
      </c>
      <c r="Q1040" s="451">
        <v>172</v>
      </c>
      <c r="R1040" s="447">
        <v>8.9499999999999996E-2</v>
      </c>
      <c r="S1040" s="447">
        <v>0.26500000000000001</v>
      </c>
      <c r="T1040" s="447">
        <v>92.364000000000004</v>
      </c>
      <c r="U1040" s="447">
        <v>273.48</v>
      </c>
      <c r="V1040" s="447">
        <v>12.01</v>
      </c>
      <c r="W1040" s="447">
        <v>32.67</v>
      </c>
      <c r="X1040" s="447">
        <v>365</v>
      </c>
      <c r="Y1040" s="858">
        <v>33715.440000000002</v>
      </c>
    </row>
    <row r="1041" spans="1:25" ht="14.45" customHeight="1" x14ac:dyDescent="0.25">
      <c r="A1041" s="871" t="s">
        <v>4678</v>
      </c>
      <c r="B1041" s="792">
        <v>481</v>
      </c>
      <c r="C1041" s="818" t="s">
        <v>4753</v>
      </c>
      <c r="D1041" s="793" t="s">
        <v>34</v>
      </c>
      <c r="E1041" s="793" t="s">
        <v>4656</v>
      </c>
      <c r="F1041" s="794">
        <v>45266</v>
      </c>
      <c r="G1041" s="794"/>
      <c r="H1041" s="793" t="s">
        <v>23</v>
      </c>
      <c r="I1041" s="388"/>
      <c r="J1041" s="364">
        <v>18</v>
      </c>
      <c r="K1041" s="720">
        <v>132</v>
      </c>
      <c r="L1041" s="795">
        <v>0</v>
      </c>
      <c r="M1041" s="796"/>
      <c r="N1041" s="796"/>
      <c r="O1041" s="796" t="s">
        <v>4658</v>
      </c>
      <c r="P1041" s="796">
        <v>542.9</v>
      </c>
      <c r="Q1041" s="797">
        <v>150</v>
      </c>
      <c r="R1041" s="796"/>
      <c r="S1041" s="796"/>
      <c r="T1041" s="796"/>
      <c r="U1041" s="796"/>
      <c r="V1041" s="796"/>
      <c r="W1041" s="796"/>
      <c r="X1041" s="796"/>
      <c r="Y1041" s="872"/>
    </row>
    <row r="1042" spans="1:25" ht="14.45" customHeight="1" x14ac:dyDescent="0.25">
      <c r="A1042" s="437" t="s">
        <v>4678</v>
      </c>
      <c r="B1042" s="438">
        <v>631</v>
      </c>
      <c r="C1042" s="438"/>
      <c r="D1042" s="439" t="s">
        <v>34</v>
      </c>
      <c r="E1042" s="439" t="s">
        <v>19</v>
      </c>
      <c r="F1042" s="440">
        <v>45278</v>
      </c>
      <c r="G1042" s="440"/>
      <c r="H1042" s="439" t="s">
        <v>677</v>
      </c>
      <c r="I1042" s="441"/>
      <c r="J1042" s="442"/>
      <c r="K1042" s="443">
        <v>45</v>
      </c>
      <c r="L1042" s="444">
        <v>1.6150500000000001</v>
      </c>
      <c r="M1042" s="445"/>
      <c r="N1042" s="445"/>
      <c r="O1042" s="445" t="s">
        <v>3094</v>
      </c>
      <c r="P1042" s="447">
        <v>166.5</v>
      </c>
      <c r="Q1042" s="451">
        <v>45</v>
      </c>
      <c r="R1042" s="447">
        <v>0.27160000000000001</v>
      </c>
      <c r="S1042" s="447">
        <v>0.72799999999999998</v>
      </c>
      <c r="T1042" s="447">
        <v>45.221400000000003</v>
      </c>
      <c r="U1042" s="447">
        <v>121.212</v>
      </c>
      <c r="V1042" s="447">
        <v>5.88</v>
      </c>
      <c r="W1042" s="447">
        <v>103.21</v>
      </c>
      <c r="X1042" s="447">
        <v>380</v>
      </c>
      <c r="Y1042" s="858">
        <v>17184.47</v>
      </c>
    </row>
    <row r="1043" spans="1:25" ht="14.45" customHeight="1" x14ac:dyDescent="0.25">
      <c r="A1043" s="722" t="s">
        <v>4678</v>
      </c>
      <c r="B1043" s="723">
        <v>632</v>
      </c>
      <c r="C1043" s="723"/>
      <c r="D1043" s="724" t="s">
        <v>34</v>
      </c>
      <c r="E1043" s="724" t="s">
        <v>3404</v>
      </c>
      <c r="F1043" s="725">
        <v>45278</v>
      </c>
      <c r="G1043" s="725"/>
      <c r="H1043" s="724" t="s">
        <v>23</v>
      </c>
      <c r="I1043" s="441">
        <v>96</v>
      </c>
      <c r="J1043" s="442">
        <v>263</v>
      </c>
      <c r="K1043" s="720">
        <v>0</v>
      </c>
      <c r="L1043" s="744">
        <v>0</v>
      </c>
      <c r="M1043" s="728"/>
      <c r="N1043" s="728">
        <v>6</v>
      </c>
      <c r="O1043" s="728" t="s">
        <v>4582</v>
      </c>
      <c r="P1043" s="721">
        <v>2154</v>
      </c>
      <c r="Q1043" s="729">
        <v>359</v>
      </c>
      <c r="R1043" s="721">
        <v>0.10100000000000001</v>
      </c>
      <c r="S1043" s="721">
        <v>0.30599999999999999</v>
      </c>
      <c r="T1043" s="721">
        <v>217.554</v>
      </c>
      <c r="U1043" s="721">
        <v>659.12400000000002</v>
      </c>
      <c r="V1043" s="721">
        <v>28.28</v>
      </c>
      <c r="W1043" s="721">
        <v>31.82</v>
      </c>
      <c r="X1043" s="721">
        <v>315</v>
      </c>
      <c r="Y1043" s="857">
        <v>68529.509999999995</v>
      </c>
    </row>
    <row r="1044" spans="1:25" ht="14.45" customHeight="1" x14ac:dyDescent="0.25">
      <c r="A1044" s="437" t="s">
        <v>4678</v>
      </c>
      <c r="B1044" s="438">
        <v>632</v>
      </c>
      <c r="C1044" s="438"/>
      <c r="D1044" s="439" t="s">
        <v>34</v>
      </c>
      <c r="E1044" s="439" t="s">
        <v>3404</v>
      </c>
      <c r="F1044" s="440">
        <v>45278</v>
      </c>
      <c r="G1044" s="440"/>
      <c r="H1044" s="439" t="s">
        <v>23</v>
      </c>
      <c r="I1044" s="441"/>
      <c r="J1044" s="442"/>
      <c r="K1044" s="443">
        <v>92</v>
      </c>
      <c r="L1044" s="444">
        <v>4.3292571428571431</v>
      </c>
      <c r="M1044" s="445"/>
      <c r="N1044" s="445"/>
      <c r="O1044" s="445" t="s">
        <v>4657</v>
      </c>
      <c r="P1044" s="447">
        <v>552</v>
      </c>
      <c r="Q1044" s="451">
        <v>92</v>
      </c>
      <c r="R1044" s="447">
        <v>0.21959999999999999</v>
      </c>
      <c r="S1044" s="447">
        <v>0.35</v>
      </c>
      <c r="T1044" s="447">
        <v>121.2192</v>
      </c>
      <c r="U1044" s="447">
        <v>193.2</v>
      </c>
      <c r="V1044" s="447">
        <v>15.76</v>
      </c>
      <c r="W1044" s="447">
        <v>69.17</v>
      </c>
      <c r="X1044" s="447">
        <v>315</v>
      </c>
      <c r="Y1044" s="858">
        <v>38184.050000000003</v>
      </c>
    </row>
    <row r="1045" spans="1:25" ht="14.45" customHeight="1" x14ac:dyDescent="0.25">
      <c r="A1045" s="722" t="s">
        <v>4678</v>
      </c>
      <c r="B1045" s="723">
        <v>632</v>
      </c>
      <c r="C1045" s="723"/>
      <c r="D1045" s="724" t="s">
        <v>34</v>
      </c>
      <c r="E1045" s="724" t="s">
        <v>3404</v>
      </c>
      <c r="F1045" s="725">
        <v>45278</v>
      </c>
      <c r="G1045" s="725"/>
      <c r="H1045" s="724" t="s">
        <v>23</v>
      </c>
      <c r="I1045" s="441"/>
      <c r="J1045" s="442"/>
      <c r="K1045" s="720">
        <v>156</v>
      </c>
      <c r="L1045" s="744">
        <v>8.4139714285714273</v>
      </c>
      <c r="M1045" s="728"/>
      <c r="N1045" s="728"/>
      <c r="O1045" s="728" t="s">
        <v>4378</v>
      </c>
      <c r="P1045" s="721">
        <v>936</v>
      </c>
      <c r="Q1045" s="729">
        <v>156</v>
      </c>
      <c r="R1045" s="721">
        <v>0.25169999999999998</v>
      </c>
      <c r="S1045" s="721">
        <v>0.56699999999999995</v>
      </c>
      <c r="T1045" s="721">
        <v>235.59119999999999</v>
      </c>
      <c r="U1045" s="721">
        <v>530.71199999999999</v>
      </c>
      <c r="V1045" s="721">
        <v>30.63</v>
      </c>
      <c r="W1045" s="721">
        <v>79.290000000000006</v>
      </c>
      <c r="X1045" s="721">
        <v>315</v>
      </c>
      <c r="Y1045" s="857">
        <v>74211.23</v>
      </c>
    </row>
    <row r="1046" spans="1:25" ht="14.45" customHeight="1" x14ac:dyDescent="0.25">
      <c r="A1046" s="869" t="s">
        <v>4678</v>
      </c>
      <c r="B1046" s="760">
        <v>608</v>
      </c>
      <c r="C1046" s="769" t="s">
        <v>4753</v>
      </c>
      <c r="D1046" s="761" t="s">
        <v>13</v>
      </c>
      <c r="E1046" s="761" t="s">
        <v>4660</v>
      </c>
      <c r="F1046" s="762">
        <v>45278</v>
      </c>
      <c r="G1046" s="762"/>
      <c r="H1046" s="761" t="s">
        <v>677</v>
      </c>
      <c r="I1046" s="388"/>
      <c r="J1046" s="364"/>
      <c r="K1046" s="443">
        <v>2</v>
      </c>
      <c r="L1046" s="763">
        <v>1</v>
      </c>
      <c r="M1046" s="764"/>
      <c r="N1046" s="764"/>
      <c r="O1046" s="764" t="s">
        <v>4661</v>
      </c>
      <c r="P1046" s="764"/>
      <c r="Q1046" s="765">
        <v>2</v>
      </c>
      <c r="R1046" s="764"/>
      <c r="S1046" s="764"/>
      <c r="T1046" s="764"/>
      <c r="U1046" s="764"/>
      <c r="V1046" s="764"/>
      <c r="W1046" s="764"/>
      <c r="X1046" s="764"/>
      <c r="Y1046" s="870"/>
    </row>
    <row r="1047" spans="1:25" ht="14.45" customHeight="1" x14ac:dyDescent="0.25">
      <c r="A1047" s="722" t="s">
        <v>4678</v>
      </c>
      <c r="B1047" s="723">
        <v>622</v>
      </c>
      <c r="C1047" s="723"/>
      <c r="D1047" s="724" t="s">
        <v>13</v>
      </c>
      <c r="E1047" s="724" t="s">
        <v>4247</v>
      </c>
      <c r="F1047" s="725">
        <v>45278</v>
      </c>
      <c r="G1047" s="725"/>
      <c r="H1047" s="724" t="s">
        <v>23</v>
      </c>
      <c r="I1047" s="441"/>
      <c r="J1047" s="442"/>
      <c r="K1047" s="720">
        <v>103</v>
      </c>
      <c r="L1047" s="744">
        <v>5.0175714285714283</v>
      </c>
      <c r="M1047" s="728"/>
      <c r="N1047" s="728"/>
      <c r="O1047" s="728" t="s">
        <v>4662</v>
      </c>
      <c r="P1047" s="721">
        <v>453.2</v>
      </c>
      <c r="Q1047" s="729">
        <v>103</v>
      </c>
      <c r="R1047" s="721">
        <v>0.31</v>
      </c>
      <c r="S1047" s="721">
        <v>1.2010000000000001</v>
      </c>
      <c r="T1047" s="721">
        <v>140.49199999999999</v>
      </c>
      <c r="U1047" s="721">
        <v>544.29319999999996</v>
      </c>
      <c r="V1047" s="721">
        <v>18.260000000000002</v>
      </c>
      <c r="W1047" s="721">
        <v>103.85</v>
      </c>
      <c r="X1047" s="721">
        <v>335</v>
      </c>
      <c r="Y1047" s="857">
        <v>47064.82</v>
      </c>
    </row>
    <row r="1048" spans="1:25" ht="14.45" customHeight="1" x14ac:dyDescent="0.25">
      <c r="A1048" s="437" t="s">
        <v>4678</v>
      </c>
      <c r="B1048" s="438">
        <v>630</v>
      </c>
      <c r="C1048" s="438"/>
      <c r="D1048" s="439" t="s">
        <v>13</v>
      </c>
      <c r="E1048" s="439" t="s">
        <v>80</v>
      </c>
      <c r="F1048" s="440">
        <v>45275</v>
      </c>
      <c r="G1048" s="440"/>
      <c r="H1048" s="439" t="s">
        <v>23</v>
      </c>
      <c r="I1048" s="441">
        <v>179</v>
      </c>
      <c r="J1048" s="442"/>
      <c r="K1048" s="443">
        <v>3</v>
      </c>
      <c r="L1048" s="444">
        <v>12.225492857142857</v>
      </c>
      <c r="M1048" s="445" t="s">
        <v>4790</v>
      </c>
      <c r="N1048" s="445"/>
      <c r="O1048" s="445" t="s">
        <v>271</v>
      </c>
      <c r="P1048" s="447">
        <v>664.3</v>
      </c>
      <c r="Q1048" s="451">
        <v>182</v>
      </c>
      <c r="R1048" s="447">
        <v>0.51529999999999998</v>
      </c>
      <c r="S1048" s="447">
        <v>1.3759999999999999</v>
      </c>
      <c r="T1048" s="447">
        <v>342.31380000000001</v>
      </c>
      <c r="U1048" s="447">
        <v>914.07680000000005</v>
      </c>
      <c r="V1048" s="447">
        <v>44.5</v>
      </c>
      <c r="W1048" s="447">
        <v>172.63</v>
      </c>
      <c r="X1048" s="447">
        <v>335</v>
      </c>
      <c r="Y1048" s="858">
        <v>114675.12</v>
      </c>
    </row>
    <row r="1049" spans="1:25" ht="14.45" customHeight="1" x14ac:dyDescent="0.25">
      <c r="A1049" s="722" t="s">
        <v>4678</v>
      </c>
      <c r="B1049" s="723">
        <v>630</v>
      </c>
      <c r="C1049" s="723"/>
      <c r="D1049" s="724" t="s">
        <v>13</v>
      </c>
      <c r="E1049" s="724" t="s">
        <v>80</v>
      </c>
      <c r="F1049" s="725">
        <v>45275</v>
      </c>
      <c r="G1049" s="725"/>
      <c r="H1049" s="724" t="s">
        <v>23</v>
      </c>
      <c r="I1049" s="441">
        <v>136</v>
      </c>
      <c r="J1049" s="442"/>
      <c r="K1049" s="720">
        <v>1</v>
      </c>
      <c r="L1049" s="744">
        <v>8.0681250000000002</v>
      </c>
      <c r="M1049" s="728"/>
      <c r="N1049" s="728"/>
      <c r="O1049" s="728" t="s">
        <v>381</v>
      </c>
      <c r="P1049" s="721">
        <v>438.4</v>
      </c>
      <c r="Q1049" s="729">
        <v>137</v>
      </c>
      <c r="R1049" s="721">
        <v>0.51529999999999998</v>
      </c>
      <c r="S1049" s="721">
        <v>1.3759999999999999</v>
      </c>
      <c r="T1049" s="721">
        <v>225.9075</v>
      </c>
      <c r="U1049" s="721">
        <v>603.23839999999996</v>
      </c>
      <c r="V1049" s="721">
        <v>29.37</v>
      </c>
      <c r="W1049" s="721">
        <v>172.63</v>
      </c>
      <c r="X1049" s="721">
        <v>335</v>
      </c>
      <c r="Y1049" s="857">
        <v>75679.02</v>
      </c>
    </row>
    <row r="1050" spans="1:25" ht="14.45" customHeight="1" x14ac:dyDescent="0.25">
      <c r="A1050" s="437" t="s">
        <v>4678</v>
      </c>
      <c r="B1050" s="467">
        <v>640</v>
      </c>
      <c r="C1050" s="467"/>
      <c r="D1050" s="439" t="s">
        <v>13</v>
      </c>
      <c r="E1050" s="468" t="s">
        <v>4676</v>
      </c>
      <c r="F1050" s="440">
        <v>45278</v>
      </c>
      <c r="G1050" s="440"/>
      <c r="H1050" s="439" t="s">
        <v>23</v>
      </c>
      <c r="I1050" s="441"/>
      <c r="J1050" s="442"/>
      <c r="K1050" s="443">
        <v>17</v>
      </c>
      <c r="L1050" s="444">
        <v>0.67247142857142861</v>
      </c>
      <c r="M1050" s="445"/>
      <c r="N1050" s="445"/>
      <c r="O1050" s="445" t="s">
        <v>4664</v>
      </c>
      <c r="P1050" s="447">
        <v>102</v>
      </c>
      <c r="Q1050" s="451">
        <v>17</v>
      </c>
      <c r="R1050" s="447">
        <v>0.18459999999999999</v>
      </c>
      <c r="S1050" s="447">
        <v>0.98399999999999999</v>
      </c>
      <c r="T1050" s="447">
        <v>18.8292</v>
      </c>
      <c r="U1050" s="447">
        <v>100.36799999999999</v>
      </c>
      <c r="V1050" s="447">
        <v>2.4500000000000002</v>
      </c>
      <c r="W1050" s="447">
        <v>61.84</v>
      </c>
      <c r="X1050" s="447">
        <v>335</v>
      </c>
      <c r="Y1050" s="858">
        <v>6307.78</v>
      </c>
    </row>
    <row r="1051" spans="1:25" ht="14.45" customHeight="1" x14ac:dyDescent="0.25">
      <c r="A1051" s="722" t="s">
        <v>4678</v>
      </c>
      <c r="B1051" s="723">
        <v>633</v>
      </c>
      <c r="C1051" s="723"/>
      <c r="D1051" s="724" t="s">
        <v>13</v>
      </c>
      <c r="E1051" s="724" t="s">
        <v>672</v>
      </c>
      <c r="F1051" s="725">
        <v>45278</v>
      </c>
      <c r="G1051" s="725"/>
      <c r="H1051" s="724" t="s">
        <v>23</v>
      </c>
      <c r="I1051" s="441"/>
      <c r="J1051" s="442">
        <v>50</v>
      </c>
      <c r="K1051" s="720">
        <v>0</v>
      </c>
      <c r="L1051" s="744">
        <v>7.2660714285714283</v>
      </c>
      <c r="M1051" s="728"/>
      <c r="N1051" s="728"/>
      <c r="O1051" s="728" t="s">
        <v>999</v>
      </c>
      <c r="P1051" s="721">
        <v>325</v>
      </c>
      <c r="Q1051" s="729">
        <v>50</v>
      </c>
      <c r="R1051" s="721">
        <v>0.626</v>
      </c>
      <c r="S1051" s="721">
        <v>2.1869999999999998</v>
      </c>
      <c r="T1051" s="721">
        <v>203.45</v>
      </c>
      <c r="U1051" s="721">
        <v>710.77499999999998</v>
      </c>
      <c r="V1051" s="721">
        <v>26.45</v>
      </c>
      <c r="W1051" s="721">
        <v>206.58</v>
      </c>
      <c r="X1051" s="721">
        <v>330</v>
      </c>
      <c r="Y1051" s="857">
        <v>67138.5</v>
      </c>
    </row>
    <row r="1052" spans="1:25" ht="14.45" customHeight="1" x14ac:dyDescent="0.25">
      <c r="A1052" s="535" t="s">
        <v>4678</v>
      </c>
      <c r="B1052" s="536">
        <v>634</v>
      </c>
      <c r="C1052" s="536"/>
      <c r="D1052" s="537" t="s">
        <v>13</v>
      </c>
      <c r="E1052" s="537" t="s">
        <v>80</v>
      </c>
      <c r="F1052" s="538">
        <v>45278</v>
      </c>
      <c r="G1052" s="538"/>
      <c r="H1052" s="537" t="s">
        <v>677</v>
      </c>
      <c r="I1052" s="441"/>
      <c r="J1052" s="442"/>
      <c r="K1052" s="443">
        <v>182</v>
      </c>
      <c r="L1052" s="444">
        <v>12.225492857142857</v>
      </c>
      <c r="M1052" s="539" t="s">
        <v>4665</v>
      </c>
      <c r="N1052" s="539"/>
      <c r="O1052" s="539" t="s">
        <v>271</v>
      </c>
      <c r="P1052" s="540">
        <v>664.3</v>
      </c>
      <c r="Q1052" s="541">
        <v>182</v>
      </c>
      <c r="R1052" s="540">
        <v>0.51529999999999998</v>
      </c>
      <c r="S1052" s="540">
        <v>1.3759999999999999</v>
      </c>
      <c r="T1052" s="540">
        <v>342.31380000000001</v>
      </c>
      <c r="U1052" s="540">
        <v>914.07680000000005</v>
      </c>
      <c r="V1052" s="540">
        <v>44.5</v>
      </c>
      <c r="W1052" s="540">
        <v>172.63</v>
      </c>
      <c r="X1052" s="540">
        <v>335</v>
      </c>
      <c r="Y1052" s="888">
        <v>114675.12</v>
      </c>
    </row>
    <row r="1053" spans="1:25" ht="14.45" customHeight="1" x14ac:dyDescent="0.25">
      <c r="A1053" s="535" t="s">
        <v>4678</v>
      </c>
      <c r="B1053" s="536">
        <v>634</v>
      </c>
      <c r="C1053" s="536"/>
      <c r="D1053" s="537" t="s">
        <v>13</v>
      </c>
      <c r="E1053" s="537" t="s">
        <v>80</v>
      </c>
      <c r="F1053" s="538">
        <v>45278</v>
      </c>
      <c r="G1053" s="538"/>
      <c r="H1053" s="537" t="s">
        <v>677</v>
      </c>
      <c r="I1053" s="441"/>
      <c r="J1053" s="442"/>
      <c r="K1053" s="720">
        <v>137</v>
      </c>
      <c r="L1053" s="744">
        <v>8.0681250000000002</v>
      </c>
      <c r="M1053" s="539" t="s">
        <v>4665</v>
      </c>
      <c r="N1053" s="539"/>
      <c r="O1053" s="539" t="s">
        <v>381</v>
      </c>
      <c r="P1053" s="540">
        <v>438.4</v>
      </c>
      <c r="Q1053" s="541">
        <v>137</v>
      </c>
      <c r="R1053" s="540">
        <v>0.51529999999999998</v>
      </c>
      <c r="S1053" s="540">
        <v>1.3759999999999999</v>
      </c>
      <c r="T1053" s="540">
        <v>225.9075</v>
      </c>
      <c r="U1053" s="540">
        <v>603.23839999999996</v>
      </c>
      <c r="V1053" s="540">
        <v>29.37</v>
      </c>
      <c r="W1053" s="540">
        <v>172.63</v>
      </c>
      <c r="X1053" s="540">
        <v>335</v>
      </c>
      <c r="Y1053" s="888">
        <v>75679.02</v>
      </c>
    </row>
    <row r="1054" spans="1:25" ht="14.45" customHeight="1" x14ac:dyDescent="0.25">
      <c r="A1054" s="499" t="s">
        <v>4678</v>
      </c>
      <c r="B1054" s="467">
        <v>636</v>
      </c>
      <c r="C1054" s="467"/>
      <c r="D1054" s="468" t="s">
        <v>13</v>
      </c>
      <c r="E1054" s="468" t="s">
        <v>557</v>
      </c>
      <c r="F1054" s="469">
        <v>45278</v>
      </c>
      <c r="G1054" s="469"/>
      <c r="H1054" s="439" t="s">
        <v>23</v>
      </c>
      <c r="I1054" s="456">
        <v>144</v>
      </c>
      <c r="J1054" s="457"/>
      <c r="K1054" s="443">
        <v>0</v>
      </c>
      <c r="L1054" s="444">
        <v>0</v>
      </c>
      <c r="M1054" s="439"/>
      <c r="N1054" s="439">
        <v>4.7</v>
      </c>
      <c r="O1054" s="439" t="s">
        <v>4643</v>
      </c>
      <c r="P1054" s="458">
        <v>676.8</v>
      </c>
      <c r="Q1054" s="459">
        <v>144</v>
      </c>
      <c r="R1054" s="458">
        <v>0.15329999999999999</v>
      </c>
      <c r="S1054" s="458">
        <v>0.26600000000000001</v>
      </c>
      <c r="T1054" s="458">
        <v>103.7534</v>
      </c>
      <c r="U1054" s="458">
        <v>180.02879999999999</v>
      </c>
      <c r="V1054" s="458">
        <v>13.49</v>
      </c>
      <c r="W1054" s="458">
        <v>55.95</v>
      </c>
      <c r="X1054" s="458">
        <v>365</v>
      </c>
      <c r="Y1054" s="860">
        <v>37870.01</v>
      </c>
    </row>
    <row r="1055" spans="1:25" ht="14.45" customHeight="1" x14ac:dyDescent="0.25">
      <c r="A1055" s="499" t="s">
        <v>4678</v>
      </c>
      <c r="B1055" s="467">
        <v>643</v>
      </c>
      <c r="C1055" s="467"/>
      <c r="D1055" s="468" t="s">
        <v>13</v>
      </c>
      <c r="E1055" s="468" t="s">
        <v>3764</v>
      </c>
      <c r="F1055" s="469">
        <v>45279</v>
      </c>
      <c r="G1055" s="469"/>
      <c r="H1055" s="468" t="s">
        <v>23</v>
      </c>
      <c r="I1055" s="476"/>
      <c r="J1055" s="542">
        <v>33</v>
      </c>
      <c r="K1055" s="720">
        <v>0</v>
      </c>
      <c r="L1055" s="478">
        <v>0</v>
      </c>
      <c r="M1055" s="237" t="s">
        <v>4902</v>
      </c>
      <c r="N1055" s="470">
        <v>5.65</v>
      </c>
      <c r="O1055" s="237" t="s">
        <v>4446</v>
      </c>
      <c r="P1055" s="470">
        <v>186.45</v>
      </c>
      <c r="Q1055" s="471">
        <v>33</v>
      </c>
      <c r="R1055" s="470">
        <v>0.1469</v>
      </c>
      <c r="S1055" s="470">
        <v>1.3859999999999999</v>
      </c>
      <c r="T1055" s="470">
        <v>27.389500000000002</v>
      </c>
      <c r="U1055" s="470">
        <v>258.41969999999998</v>
      </c>
      <c r="V1055" s="470">
        <v>3.56</v>
      </c>
      <c r="W1055" s="470">
        <v>53.62</v>
      </c>
      <c r="X1055" s="470">
        <v>365</v>
      </c>
      <c r="Y1055" s="861">
        <v>9997.17</v>
      </c>
    </row>
    <row r="1056" spans="1:25" ht="14.45" customHeight="1" x14ac:dyDescent="0.25">
      <c r="A1056" s="437" t="s">
        <v>4678</v>
      </c>
      <c r="B1056" s="438">
        <v>644</v>
      </c>
      <c r="C1056" s="438"/>
      <c r="D1056" s="439" t="s">
        <v>34</v>
      </c>
      <c r="E1056" s="439" t="s">
        <v>19</v>
      </c>
      <c r="F1056" s="440">
        <v>45280</v>
      </c>
      <c r="G1056" s="440"/>
      <c r="H1056" s="439" t="s">
        <v>23</v>
      </c>
      <c r="I1056" s="441"/>
      <c r="J1056" s="442">
        <v>308</v>
      </c>
      <c r="K1056" s="443">
        <v>313</v>
      </c>
      <c r="L1056" s="444">
        <v>7.3746153571428579</v>
      </c>
      <c r="M1056" s="445"/>
      <c r="N1056" s="445">
        <v>3.7</v>
      </c>
      <c r="O1056" s="445" t="s">
        <v>1455</v>
      </c>
      <c r="P1056" s="447">
        <v>2297.6999999999998</v>
      </c>
      <c r="Q1056" s="451">
        <v>621</v>
      </c>
      <c r="R1056" s="447">
        <v>0.17829999999999999</v>
      </c>
      <c r="S1056" s="447">
        <v>0.47499999999999998</v>
      </c>
      <c r="T1056" s="447">
        <v>409.67989999999998</v>
      </c>
      <c r="U1056" s="447">
        <v>1091.4075</v>
      </c>
      <c r="V1056" s="447">
        <v>53.26</v>
      </c>
      <c r="W1056" s="447">
        <v>67.75</v>
      </c>
      <c r="X1056" s="447">
        <v>380</v>
      </c>
      <c r="Y1056" s="858">
        <v>155678.37</v>
      </c>
    </row>
    <row r="1057" spans="1:25" ht="14.45" customHeight="1" x14ac:dyDescent="0.25">
      <c r="A1057" s="722" t="s">
        <v>4678</v>
      </c>
      <c r="B1057" s="723">
        <v>645</v>
      </c>
      <c r="C1057" s="723"/>
      <c r="D1057" s="724" t="s">
        <v>34</v>
      </c>
      <c r="E1057" s="724" t="s">
        <v>861</v>
      </c>
      <c r="F1057" s="725">
        <v>45280</v>
      </c>
      <c r="G1057" s="725"/>
      <c r="H1057" s="724" t="s">
        <v>23</v>
      </c>
      <c r="I1057" s="441">
        <v>473</v>
      </c>
      <c r="J1057" s="442">
        <v>132</v>
      </c>
      <c r="K1057" s="720">
        <v>0</v>
      </c>
      <c r="L1057" s="744">
        <v>0</v>
      </c>
      <c r="M1057" s="728" t="s">
        <v>3080</v>
      </c>
      <c r="N1057" s="728">
        <v>6</v>
      </c>
      <c r="O1057" s="728" t="s">
        <v>4393</v>
      </c>
      <c r="P1057" s="721">
        <v>3630</v>
      </c>
      <c r="Q1057" s="729">
        <v>605</v>
      </c>
      <c r="R1057" s="721">
        <v>0.47389999999999999</v>
      </c>
      <c r="S1057" s="721">
        <v>1.355</v>
      </c>
      <c r="T1057" s="721">
        <v>1720.2570000000001</v>
      </c>
      <c r="U1057" s="721">
        <v>4918.6499999999996</v>
      </c>
      <c r="V1057" s="721">
        <v>223.63</v>
      </c>
      <c r="W1057" s="721">
        <v>158.76</v>
      </c>
      <c r="X1057" s="721">
        <v>335</v>
      </c>
      <c r="Y1057" s="857">
        <v>576298.80000000005</v>
      </c>
    </row>
    <row r="1058" spans="1:25" ht="14.45" customHeight="1" x14ac:dyDescent="0.25">
      <c r="A1058" s="864" t="s">
        <v>4678</v>
      </c>
      <c r="B1058" s="769">
        <v>614</v>
      </c>
      <c r="C1058" s="769" t="s">
        <v>4753</v>
      </c>
      <c r="D1058" s="754" t="s">
        <v>13</v>
      </c>
      <c r="E1058" s="782" t="s">
        <v>4831</v>
      </c>
      <c r="F1058" s="755">
        <v>45280</v>
      </c>
      <c r="G1058" s="755">
        <v>45343</v>
      </c>
      <c r="H1058" s="754" t="s">
        <v>23</v>
      </c>
      <c r="I1058" s="476">
        <v>86</v>
      </c>
      <c r="J1058" s="500"/>
      <c r="K1058" s="443">
        <v>14</v>
      </c>
      <c r="L1058" s="364">
        <v>6</v>
      </c>
      <c r="M1058" s="772" t="s">
        <v>4934</v>
      </c>
      <c r="N1058" s="772"/>
      <c r="O1058" s="772" t="s">
        <v>4666</v>
      </c>
      <c r="P1058" s="772">
        <v>668</v>
      </c>
      <c r="Q1058" s="363">
        <v>100</v>
      </c>
      <c r="R1058" s="772"/>
      <c r="S1058" s="772"/>
      <c r="T1058" s="772"/>
      <c r="U1058" s="772"/>
      <c r="V1058" s="772"/>
      <c r="W1058" s="772"/>
      <c r="X1058" s="772"/>
      <c r="Y1058" s="885"/>
    </row>
    <row r="1059" spans="1:25" ht="14.45" customHeight="1" x14ac:dyDescent="0.25">
      <c r="A1059" s="722" t="s">
        <v>4678</v>
      </c>
      <c r="B1059" s="467">
        <v>639</v>
      </c>
      <c r="C1059" s="467"/>
      <c r="D1059" s="468" t="s">
        <v>13</v>
      </c>
      <c r="E1059" s="468" t="s">
        <v>4734</v>
      </c>
      <c r="F1059" s="469">
        <v>45280</v>
      </c>
      <c r="G1059" s="469"/>
      <c r="H1059" s="468" t="s">
        <v>23</v>
      </c>
      <c r="I1059" s="441"/>
      <c r="J1059" s="442">
        <v>48</v>
      </c>
      <c r="K1059" s="720">
        <v>0</v>
      </c>
      <c r="L1059" s="744">
        <v>0</v>
      </c>
      <c r="M1059" s="728"/>
      <c r="N1059" s="721">
        <v>6</v>
      </c>
      <c r="O1059" s="728" t="s">
        <v>4461</v>
      </c>
      <c r="P1059" s="721">
        <v>288</v>
      </c>
      <c r="Q1059" s="729">
        <v>48</v>
      </c>
      <c r="R1059" s="721">
        <v>0.31</v>
      </c>
      <c r="S1059" s="721">
        <v>1.2010000000000001</v>
      </c>
      <c r="T1059" s="721">
        <v>89.28</v>
      </c>
      <c r="U1059" s="721">
        <v>345.88799999999998</v>
      </c>
      <c r="V1059" s="721">
        <v>11.61</v>
      </c>
      <c r="W1059" s="721">
        <v>113.15</v>
      </c>
      <c r="X1059" s="721">
        <v>365</v>
      </c>
      <c r="Y1059" s="857">
        <v>32587.200000000001</v>
      </c>
    </row>
    <row r="1060" spans="1:25" ht="14.45" customHeight="1" x14ac:dyDescent="0.25">
      <c r="A1060" s="437" t="s">
        <v>4678</v>
      </c>
      <c r="B1060" s="467">
        <v>639</v>
      </c>
      <c r="C1060" s="467"/>
      <c r="D1060" s="468" t="s">
        <v>13</v>
      </c>
      <c r="E1060" s="468" t="s">
        <v>4734</v>
      </c>
      <c r="F1060" s="469">
        <v>45280</v>
      </c>
      <c r="G1060" s="469"/>
      <c r="H1060" s="468" t="s">
        <v>23</v>
      </c>
      <c r="I1060" s="449"/>
      <c r="J1060" s="450">
        <v>15</v>
      </c>
      <c r="K1060" s="443">
        <v>0</v>
      </c>
      <c r="L1060" s="444">
        <v>0</v>
      </c>
      <c r="M1060" s="445"/>
      <c r="N1060" s="447">
        <v>6</v>
      </c>
      <c r="O1060" s="445" t="s">
        <v>4593</v>
      </c>
      <c r="P1060" s="447">
        <v>90</v>
      </c>
      <c r="Q1060" s="451">
        <v>15</v>
      </c>
      <c r="R1060" s="447">
        <v>0.31</v>
      </c>
      <c r="S1060" s="447">
        <v>1.2010000000000001</v>
      </c>
      <c r="T1060" s="447">
        <v>27.9</v>
      </c>
      <c r="U1060" s="447">
        <v>108.09</v>
      </c>
      <c r="V1060" s="447">
        <v>3.63</v>
      </c>
      <c r="W1060" s="447">
        <v>113.15</v>
      </c>
      <c r="X1060" s="447">
        <v>365</v>
      </c>
      <c r="Y1060" s="858">
        <v>10183.5</v>
      </c>
    </row>
    <row r="1061" spans="1:25" ht="14.45" customHeight="1" x14ac:dyDescent="0.25">
      <c r="A1061" s="722" t="s">
        <v>4678</v>
      </c>
      <c r="B1061" s="531">
        <v>637</v>
      </c>
      <c r="C1061" s="531"/>
      <c r="D1061" s="724" t="s">
        <v>13</v>
      </c>
      <c r="E1061" s="532" t="s">
        <v>28</v>
      </c>
      <c r="F1061" s="543">
        <v>45280</v>
      </c>
      <c r="G1061" s="543"/>
      <c r="H1061" s="724" t="s">
        <v>23</v>
      </c>
      <c r="I1061" s="441"/>
      <c r="J1061" s="442"/>
      <c r="K1061" s="720">
        <v>23</v>
      </c>
      <c r="L1061" s="744">
        <v>1.7171142857142858</v>
      </c>
      <c r="M1061" s="544"/>
      <c r="N1061" s="544"/>
      <c r="O1061" s="544" t="s">
        <v>4667</v>
      </c>
      <c r="P1061" s="545">
        <v>138</v>
      </c>
      <c r="Q1061" s="546">
        <v>23</v>
      </c>
      <c r="R1061" s="545">
        <v>0.34839999999999999</v>
      </c>
      <c r="S1061" s="545">
        <v>0.55000000000000004</v>
      </c>
      <c r="T1061" s="545">
        <v>48.0792</v>
      </c>
      <c r="U1061" s="545">
        <v>75.900000000000006</v>
      </c>
      <c r="V1061" s="545">
        <v>6.25</v>
      </c>
      <c r="W1061" s="545">
        <v>127.17</v>
      </c>
      <c r="X1061" s="545">
        <v>365</v>
      </c>
      <c r="Y1061" s="889">
        <v>17548.91</v>
      </c>
    </row>
    <row r="1062" spans="1:25" ht="14.45" customHeight="1" x14ac:dyDescent="0.25">
      <c r="A1062" s="437" t="s">
        <v>4678</v>
      </c>
      <c r="B1062" s="438">
        <v>608</v>
      </c>
      <c r="C1062" s="438"/>
      <c r="D1062" s="439" t="s">
        <v>13</v>
      </c>
      <c r="E1062" s="439" t="s">
        <v>4423</v>
      </c>
      <c r="F1062" s="440">
        <v>45280</v>
      </c>
      <c r="G1062" s="440"/>
      <c r="H1062" s="439" t="s">
        <v>23</v>
      </c>
      <c r="I1062" s="449"/>
      <c r="J1062" s="450"/>
      <c r="K1062" s="443">
        <v>319</v>
      </c>
      <c r="L1062" s="444">
        <v>6.8357142857142863</v>
      </c>
      <c r="M1062" s="445"/>
      <c r="N1062" s="445"/>
      <c r="O1062" s="445" t="s">
        <v>4631</v>
      </c>
      <c r="P1062" s="447">
        <v>1914</v>
      </c>
      <c r="Q1062" s="451">
        <v>319</v>
      </c>
      <c r="R1062" s="447">
        <v>0.1</v>
      </c>
      <c r="S1062" s="447">
        <v>0.26</v>
      </c>
      <c r="T1062" s="447">
        <v>191.4</v>
      </c>
      <c r="U1062" s="447">
        <v>497.64</v>
      </c>
      <c r="V1062" s="447">
        <v>24.88</v>
      </c>
      <c r="W1062" s="447">
        <v>36.5</v>
      </c>
      <c r="X1062" s="447">
        <v>365</v>
      </c>
      <c r="Y1062" s="858">
        <v>69861</v>
      </c>
    </row>
    <row r="1063" spans="1:25" ht="14.45" customHeight="1" x14ac:dyDescent="0.25">
      <c r="A1063" s="878" t="s">
        <v>4678</v>
      </c>
      <c r="B1063" s="831">
        <v>604</v>
      </c>
      <c r="C1063" s="831" t="s">
        <v>4753</v>
      </c>
      <c r="D1063" s="807" t="s">
        <v>13</v>
      </c>
      <c r="E1063" s="807" t="s">
        <v>30</v>
      </c>
      <c r="F1063" s="790">
        <v>45281</v>
      </c>
      <c r="G1063" s="790">
        <v>45373</v>
      </c>
      <c r="H1063" s="807" t="s">
        <v>23</v>
      </c>
      <c r="I1063" s="855"/>
      <c r="J1063" s="817"/>
      <c r="K1063" s="720">
        <v>270</v>
      </c>
      <c r="L1063" s="817">
        <v>7</v>
      </c>
      <c r="M1063" s="787"/>
      <c r="N1063" s="787"/>
      <c r="O1063" s="787" t="s">
        <v>2728</v>
      </c>
      <c r="P1063" s="787"/>
      <c r="Q1063" s="788">
        <v>270</v>
      </c>
      <c r="R1063" s="787"/>
      <c r="S1063" s="787"/>
      <c r="T1063" s="787"/>
      <c r="U1063" s="787"/>
      <c r="V1063" s="787"/>
      <c r="W1063" s="787"/>
      <c r="X1063" s="787"/>
      <c r="Y1063" s="879"/>
    </row>
    <row r="1064" spans="1:25" s="333" customFormat="1" ht="17.45" customHeight="1" x14ac:dyDescent="0.25">
      <c r="A1064" s="346" t="s">
        <v>4678</v>
      </c>
      <c r="B1064" s="350">
        <v>613</v>
      </c>
      <c r="C1064" s="350" t="s">
        <v>4753</v>
      </c>
      <c r="D1064" s="349" t="s">
        <v>34</v>
      </c>
      <c r="E1064" s="349" t="s">
        <v>4656</v>
      </c>
      <c r="F1064" s="351">
        <v>45280</v>
      </c>
      <c r="G1064" s="351"/>
      <c r="H1064" s="349" t="s">
        <v>23</v>
      </c>
      <c r="I1064" s="388"/>
      <c r="J1064" s="364"/>
      <c r="K1064" s="890"/>
      <c r="L1064" s="347"/>
      <c r="M1064" s="352" t="s">
        <v>4720</v>
      </c>
      <c r="N1064" s="352"/>
      <c r="O1064" s="352"/>
      <c r="P1064" s="352"/>
      <c r="Q1064" s="401">
        <v>28</v>
      </c>
      <c r="R1064" s="352"/>
      <c r="S1064" s="352"/>
      <c r="T1064" s="352"/>
      <c r="U1064" s="352"/>
      <c r="V1064" s="352"/>
      <c r="W1064" s="352"/>
      <c r="X1064" s="352"/>
      <c r="Y1064" s="398" t="s">
        <v>4719</v>
      </c>
    </row>
    <row r="1065" spans="1:25" ht="14.45" customHeight="1" x14ac:dyDescent="0.25">
      <c r="A1065" s="15" t="s">
        <v>4678</v>
      </c>
      <c r="B1065" s="799">
        <v>615</v>
      </c>
      <c r="C1065" s="799" t="s">
        <v>4753</v>
      </c>
      <c r="D1065" s="780" t="s">
        <v>13</v>
      </c>
      <c r="E1065" s="780" t="s">
        <v>30</v>
      </c>
      <c r="F1065" s="798">
        <v>45281</v>
      </c>
      <c r="G1065" s="776">
        <v>45373</v>
      </c>
      <c r="H1065" s="775" t="s">
        <v>23</v>
      </c>
      <c r="I1065" s="800"/>
      <c r="J1065" s="801"/>
      <c r="K1065" s="443">
        <v>20</v>
      </c>
      <c r="L1065" s="801">
        <v>16</v>
      </c>
      <c r="M1065" s="732"/>
      <c r="N1065" s="732"/>
      <c r="O1065" s="732" t="s">
        <v>214</v>
      </c>
      <c r="P1065" s="732"/>
      <c r="Q1065" s="733">
        <v>20</v>
      </c>
      <c r="R1065" s="732"/>
      <c r="S1065" s="732"/>
      <c r="T1065" s="732"/>
      <c r="U1065" s="732"/>
      <c r="V1065" s="732"/>
      <c r="W1065" s="732"/>
      <c r="X1065" s="732"/>
      <c r="Y1065" s="887"/>
    </row>
    <row r="1066" spans="1:25" ht="14.45" customHeight="1" x14ac:dyDescent="0.25">
      <c r="A1066" s="882" t="s">
        <v>4678</v>
      </c>
      <c r="B1066" s="802">
        <v>615</v>
      </c>
      <c r="C1066" s="802" t="s">
        <v>4753</v>
      </c>
      <c r="D1066" s="781" t="s">
        <v>13</v>
      </c>
      <c r="E1066" s="781" t="s">
        <v>30</v>
      </c>
      <c r="F1066" s="774">
        <v>45281</v>
      </c>
      <c r="G1066" s="790">
        <v>45373</v>
      </c>
      <c r="H1066" s="807" t="s">
        <v>23</v>
      </c>
      <c r="I1066" s="803"/>
      <c r="J1066" s="804"/>
      <c r="K1066" s="720">
        <v>20</v>
      </c>
      <c r="L1066" s="804"/>
      <c r="M1066" s="730"/>
      <c r="N1066" s="730"/>
      <c r="O1066" s="730" t="s">
        <v>215</v>
      </c>
      <c r="P1066" s="730"/>
      <c r="Q1066" s="731">
        <v>20</v>
      </c>
      <c r="R1066" s="730"/>
      <c r="S1066" s="730"/>
      <c r="T1066" s="730"/>
      <c r="U1066" s="730"/>
      <c r="V1066" s="730"/>
      <c r="W1066" s="730"/>
      <c r="X1066" s="730"/>
      <c r="Y1066" s="884"/>
    </row>
    <row r="1067" spans="1:25" ht="14.45" customHeight="1" x14ac:dyDescent="0.25">
      <c r="A1067" s="15" t="s">
        <v>4678</v>
      </c>
      <c r="B1067" s="799">
        <v>615</v>
      </c>
      <c r="C1067" s="799" t="s">
        <v>4753</v>
      </c>
      <c r="D1067" s="780" t="s">
        <v>13</v>
      </c>
      <c r="E1067" s="780" t="s">
        <v>30</v>
      </c>
      <c r="F1067" s="798">
        <v>45281</v>
      </c>
      <c r="G1067" s="776">
        <v>45373</v>
      </c>
      <c r="H1067" s="775" t="s">
        <v>23</v>
      </c>
      <c r="I1067" s="800"/>
      <c r="J1067" s="801"/>
      <c r="K1067" s="443">
        <v>20</v>
      </c>
      <c r="L1067" s="801"/>
      <c r="M1067" s="732"/>
      <c r="N1067" s="732"/>
      <c r="O1067" s="732" t="s">
        <v>216</v>
      </c>
      <c r="P1067" s="732"/>
      <c r="Q1067" s="733">
        <v>20</v>
      </c>
      <c r="R1067" s="732"/>
      <c r="S1067" s="732"/>
      <c r="T1067" s="732"/>
      <c r="U1067" s="732"/>
      <c r="V1067" s="732"/>
      <c r="W1067" s="732"/>
      <c r="X1067" s="732"/>
      <c r="Y1067" s="887"/>
    </row>
    <row r="1068" spans="1:25" ht="14.45" customHeight="1" x14ac:dyDescent="0.25">
      <c r="A1068" s="882" t="s">
        <v>4678</v>
      </c>
      <c r="B1068" s="802">
        <v>615</v>
      </c>
      <c r="C1068" s="802" t="s">
        <v>4753</v>
      </c>
      <c r="D1068" s="781" t="s">
        <v>13</v>
      </c>
      <c r="E1068" s="781" t="s">
        <v>30</v>
      </c>
      <c r="F1068" s="774">
        <v>45281</v>
      </c>
      <c r="G1068" s="790">
        <v>45373</v>
      </c>
      <c r="H1068" s="807" t="s">
        <v>23</v>
      </c>
      <c r="I1068" s="803"/>
      <c r="J1068" s="804"/>
      <c r="K1068" s="720">
        <v>20</v>
      </c>
      <c r="L1068" s="804"/>
      <c r="M1068" s="730"/>
      <c r="N1068" s="730"/>
      <c r="O1068" s="730" t="s">
        <v>219</v>
      </c>
      <c r="P1068" s="730"/>
      <c r="Q1068" s="731">
        <v>20</v>
      </c>
      <c r="R1068" s="730"/>
      <c r="S1068" s="730"/>
      <c r="T1068" s="730"/>
      <c r="U1068" s="730"/>
      <c r="V1068" s="730"/>
      <c r="W1068" s="730"/>
      <c r="X1068" s="730"/>
      <c r="Y1068" s="884"/>
    </row>
    <row r="1069" spans="1:25" ht="14.45" customHeight="1" x14ac:dyDescent="0.25">
      <c r="A1069" s="15" t="s">
        <v>4678</v>
      </c>
      <c r="B1069" s="799">
        <v>615</v>
      </c>
      <c r="C1069" s="799" t="s">
        <v>4753</v>
      </c>
      <c r="D1069" s="780" t="s">
        <v>13</v>
      </c>
      <c r="E1069" s="780" t="s">
        <v>30</v>
      </c>
      <c r="F1069" s="798">
        <v>45281</v>
      </c>
      <c r="G1069" s="776">
        <v>45373</v>
      </c>
      <c r="H1069" s="775" t="s">
        <v>23</v>
      </c>
      <c r="I1069" s="800"/>
      <c r="J1069" s="801"/>
      <c r="K1069" s="443">
        <v>20</v>
      </c>
      <c r="L1069" s="801"/>
      <c r="M1069" s="732"/>
      <c r="N1069" s="732"/>
      <c r="O1069" s="732" t="s">
        <v>220</v>
      </c>
      <c r="P1069" s="732"/>
      <c r="Q1069" s="733">
        <v>20</v>
      </c>
      <c r="R1069" s="732"/>
      <c r="S1069" s="732"/>
      <c r="T1069" s="732"/>
      <c r="U1069" s="732"/>
      <c r="V1069" s="732"/>
      <c r="W1069" s="732"/>
      <c r="X1069" s="732"/>
      <c r="Y1069" s="887"/>
    </row>
    <row r="1070" spans="1:25" ht="14.45" customHeight="1" x14ac:dyDescent="0.25">
      <c r="A1070" s="882" t="s">
        <v>4678</v>
      </c>
      <c r="B1070" s="802">
        <v>616</v>
      </c>
      <c r="C1070" s="802" t="s">
        <v>4753</v>
      </c>
      <c r="D1070" s="781" t="s">
        <v>13</v>
      </c>
      <c r="E1070" s="781" t="s">
        <v>30</v>
      </c>
      <c r="F1070" s="774">
        <v>45281</v>
      </c>
      <c r="G1070" s="774">
        <v>45338</v>
      </c>
      <c r="H1070" s="781" t="s">
        <v>23</v>
      </c>
      <c r="I1070" s="803"/>
      <c r="J1070" s="805"/>
      <c r="K1070" s="720">
        <v>24</v>
      </c>
      <c r="L1070" s="805"/>
      <c r="M1070" s="766"/>
      <c r="N1070" s="766"/>
      <c r="O1070" s="766" t="s">
        <v>92</v>
      </c>
      <c r="P1070" s="766"/>
      <c r="Q1070" s="779">
        <v>24</v>
      </c>
      <c r="R1070" s="766"/>
      <c r="S1070" s="766"/>
      <c r="T1070" s="766"/>
      <c r="U1070" s="766"/>
      <c r="V1070" s="766"/>
      <c r="W1070" s="766"/>
      <c r="X1070" s="766"/>
      <c r="Y1070" s="877"/>
    </row>
    <row r="1071" spans="1:25" ht="14.45" customHeight="1" x14ac:dyDescent="0.25">
      <c r="A1071" s="15" t="s">
        <v>4678</v>
      </c>
      <c r="B1071" s="799">
        <v>616</v>
      </c>
      <c r="C1071" s="799" t="s">
        <v>4753</v>
      </c>
      <c r="D1071" s="780" t="s">
        <v>13</v>
      </c>
      <c r="E1071" s="780" t="s">
        <v>30</v>
      </c>
      <c r="F1071" s="798">
        <v>45281</v>
      </c>
      <c r="G1071" s="798">
        <v>45338</v>
      </c>
      <c r="H1071" s="780" t="s">
        <v>23</v>
      </c>
      <c r="I1071" s="800"/>
      <c r="J1071" s="801"/>
      <c r="K1071" s="443">
        <v>24</v>
      </c>
      <c r="L1071" s="801">
        <v>2</v>
      </c>
      <c r="M1071" s="732"/>
      <c r="N1071" s="732"/>
      <c r="O1071" s="732" t="s">
        <v>94</v>
      </c>
      <c r="P1071" s="732"/>
      <c r="Q1071" s="733">
        <v>24</v>
      </c>
      <c r="R1071" s="732"/>
      <c r="S1071" s="732"/>
      <c r="T1071" s="732"/>
      <c r="U1071" s="732"/>
      <c r="V1071" s="732"/>
      <c r="W1071" s="732"/>
      <c r="X1071" s="732"/>
      <c r="Y1071" s="887"/>
    </row>
    <row r="1072" spans="1:25" ht="14.45" customHeight="1" x14ac:dyDescent="0.25">
      <c r="A1072" s="882" t="s">
        <v>4678</v>
      </c>
      <c r="B1072" s="802">
        <v>616</v>
      </c>
      <c r="C1072" s="802" t="s">
        <v>4753</v>
      </c>
      <c r="D1072" s="781" t="s">
        <v>13</v>
      </c>
      <c r="E1072" s="781" t="s">
        <v>30</v>
      </c>
      <c r="F1072" s="774">
        <v>45281</v>
      </c>
      <c r="G1072" s="774">
        <v>45338</v>
      </c>
      <c r="H1072" s="781" t="s">
        <v>23</v>
      </c>
      <c r="I1072" s="803"/>
      <c r="J1072" s="804"/>
      <c r="K1072" s="720">
        <v>8</v>
      </c>
      <c r="L1072" s="804"/>
      <c r="M1072" s="730"/>
      <c r="N1072" s="730"/>
      <c r="O1072" s="730" t="s">
        <v>95</v>
      </c>
      <c r="P1072" s="730"/>
      <c r="Q1072" s="731">
        <v>8</v>
      </c>
      <c r="R1072" s="730"/>
      <c r="S1072" s="730"/>
      <c r="T1072" s="730"/>
      <c r="U1072" s="730"/>
      <c r="V1072" s="730"/>
      <c r="W1072" s="730"/>
      <c r="X1072" s="730"/>
      <c r="Y1072" s="884"/>
    </row>
    <row r="1073" spans="1:25" ht="14.45" customHeight="1" x14ac:dyDescent="0.25">
      <c r="A1073" s="15" t="s">
        <v>4678</v>
      </c>
      <c r="B1073" s="799">
        <v>616</v>
      </c>
      <c r="C1073" s="799" t="s">
        <v>4753</v>
      </c>
      <c r="D1073" s="780" t="s">
        <v>13</v>
      </c>
      <c r="E1073" s="780" t="s">
        <v>30</v>
      </c>
      <c r="F1073" s="798">
        <v>45281</v>
      </c>
      <c r="G1073" s="798">
        <v>45338</v>
      </c>
      <c r="H1073" s="780" t="s">
        <v>23</v>
      </c>
      <c r="I1073" s="800"/>
      <c r="J1073" s="801"/>
      <c r="K1073" s="443">
        <v>8</v>
      </c>
      <c r="L1073" s="801"/>
      <c r="M1073" s="732"/>
      <c r="N1073" s="732"/>
      <c r="O1073" s="732" t="s">
        <v>98</v>
      </c>
      <c r="P1073" s="732"/>
      <c r="Q1073" s="733">
        <v>8</v>
      </c>
      <c r="R1073" s="732"/>
      <c r="S1073" s="732"/>
      <c r="T1073" s="732"/>
      <c r="U1073" s="732"/>
      <c r="V1073" s="732"/>
      <c r="W1073" s="732"/>
      <c r="X1073" s="732"/>
      <c r="Y1073" s="887"/>
    </row>
    <row r="1074" spans="1:25" ht="14.45" customHeight="1" x14ac:dyDescent="0.25">
      <c r="A1074" s="882" t="s">
        <v>4678</v>
      </c>
      <c r="B1074" s="802">
        <v>616</v>
      </c>
      <c r="C1074" s="802" t="s">
        <v>4753</v>
      </c>
      <c r="D1074" s="781" t="s">
        <v>13</v>
      </c>
      <c r="E1074" s="781" t="s">
        <v>30</v>
      </c>
      <c r="F1074" s="774">
        <v>45281</v>
      </c>
      <c r="G1074" s="774">
        <v>45338</v>
      </c>
      <c r="H1074" s="781" t="s">
        <v>23</v>
      </c>
      <c r="I1074" s="803"/>
      <c r="J1074" s="804"/>
      <c r="K1074" s="720">
        <v>64</v>
      </c>
      <c r="L1074" s="804"/>
      <c r="M1074" s="730"/>
      <c r="N1074" s="730"/>
      <c r="O1074" s="730" t="s">
        <v>99</v>
      </c>
      <c r="P1074" s="730"/>
      <c r="Q1074" s="731">
        <v>64</v>
      </c>
      <c r="R1074" s="730"/>
      <c r="S1074" s="730"/>
      <c r="T1074" s="730"/>
      <c r="U1074" s="730"/>
      <c r="V1074" s="730"/>
      <c r="W1074" s="730"/>
      <c r="X1074" s="730"/>
      <c r="Y1074" s="884"/>
    </row>
    <row r="1075" spans="1:25" ht="14.45" customHeight="1" x14ac:dyDescent="0.25">
      <c r="A1075" s="880" t="s">
        <v>4678</v>
      </c>
      <c r="B1075" s="734">
        <v>616</v>
      </c>
      <c r="C1075" s="734" t="s">
        <v>4753</v>
      </c>
      <c r="D1075" s="815" t="s">
        <v>13</v>
      </c>
      <c r="E1075" s="815" t="s">
        <v>30</v>
      </c>
      <c r="F1075" s="816">
        <v>45281</v>
      </c>
      <c r="G1075" s="798">
        <v>45338</v>
      </c>
      <c r="H1075" s="815" t="s">
        <v>23</v>
      </c>
      <c r="I1075" s="800"/>
      <c r="J1075" s="808"/>
      <c r="K1075" s="443">
        <v>64</v>
      </c>
      <c r="L1075" s="808"/>
      <c r="M1075" s="759"/>
      <c r="N1075" s="759"/>
      <c r="O1075" s="759" t="s">
        <v>102</v>
      </c>
      <c r="P1075" s="759"/>
      <c r="Q1075" s="783">
        <v>64</v>
      </c>
      <c r="R1075" s="759"/>
      <c r="S1075" s="759"/>
      <c r="T1075" s="759"/>
      <c r="U1075" s="759"/>
      <c r="V1075" s="759"/>
      <c r="W1075" s="759"/>
      <c r="X1075" s="759"/>
      <c r="Y1075" s="881"/>
    </row>
    <row r="1076" spans="1:25" ht="14.45" customHeight="1" x14ac:dyDescent="0.25">
      <c r="A1076" s="722" t="s">
        <v>4678</v>
      </c>
      <c r="B1076" s="723" t="s">
        <v>4671</v>
      </c>
      <c r="C1076" s="723"/>
      <c r="D1076" s="724" t="s">
        <v>13</v>
      </c>
      <c r="E1076" s="724" t="s">
        <v>4672</v>
      </c>
      <c r="F1076" s="725">
        <v>45285</v>
      </c>
      <c r="G1076" s="725"/>
      <c r="H1076" s="724" t="s">
        <v>23</v>
      </c>
      <c r="I1076" s="441"/>
      <c r="J1076" s="442"/>
      <c r="K1076" s="720">
        <v>30</v>
      </c>
      <c r="L1076" s="744">
        <v>1.0126071428571428</v>
      </c>
      <c r="M1076" s="806"/>
      <c r="N1076" s="806"/>
      <c r="O1076" s="728" t="s">
        <v>4513</v>
      </c>
      <c r="P1076" s="721">
        <v>195</v>
      </c>
      <c r="Q1076" s="729">
        <v>30</v>
      </c>
      <c r="R1076" s="721">
        <v>0.1454</v>
      </c>
      <c r="S1076" s="721">
        <v>0.65100000000000002</v>
      </c>
      <c r="T1076" s="721">
        <v>28.353000000000002</v>
      </c>
      <c r="U1076" s="721">
        <v>126.94499999999999</v>
      </c>
      <c r="V1076" s="721">
        <v>3.69</v>
      </c>
      <c r="W1076" s="721">
        <v>123.08</v>
      </c>
      <c r="X1076" s="721">
        <v>846.47</v>
      </c>
      <c r="Y1076" s="857">
        <v>24000</v>
      </c>
    </row>
    <row r="1077" spans="1:25" ht="14.45" customHeight="1" x14ac:dyDescent="0.25">
      <c r="A1077" s="437" t="s">
        <v>4678</v>
      </c>
      <c r="B1077" s="438" t="s">
        <v>4671</v>
      </c>
      <c r="C1077" s="438"/>
      <c r="D1077" s="439" t="s">
        <v>13</v>
      </c>
      <c r="E1077" s="439" t="s">
        <v>4672</v>
      </c>
      <c r="F1077" s="440">
        <v>45285</v>
      </c>
      <c r="G1077" s="440"/>
      <c r="H1077" s="439" t="s">
        <v>23</v>
      </c>
      <c r="I1077" s="449"/>
      <c r="J1077" s="450"/>
      <c r="K1077" s="443">
        <v>30</v>
      </c>
      <c r="L1077" s="444">
        <v>0.97151785714285721</v>
      </c>
      <c r="M1077" s="454"/>
      <c r="N1077" s="454"/>
      <c r="O1077" s="445" t="s">
        <v>4512</v>
      </c>
      <c r="P1077" s="447">
        <v>195</v>
      </c>
      <c r="Q1077" s="451">
        <v>30</v>
      </c>
      <c r="R1077" s="447">
        <v>0.13950000000000001</v>
      </c>
      <c r="S1077" s="447">
        <v>0.47399999999999998</v>
      </c>
      <c r="T1077" s="447">
        <v>27.202500000000001</v>
      </c>
      <c r="U1077" s="447">
        <v>92.43</v>
      </c>
      <c r="V1077" s="447">
        <v>3.54</v>
      </c>
      <c r="W1077" s="447">
        <v>123.08</v>
      </c>
      <c r="X1077" s="447">
        <v>882.27</v>
      </c>
      <c r="Y1077" s="858">
        <v>24000</v>
      </c>
    </row>
    <row r="1078" spans="1:25" ht="14.45" customHeight="1" x14ac:dyDescent="0.25">
      <c r="A1078" s="722" t="s">
        <v>4678</v>
      </c>
      <c r="B1078" s="723">
        <v>634</v>
      </c>
      <c r="C1078" s="723"/>
      <c r="D1078" s="724" t="s">
        <v>13</v>
      </c>
      <c r="E1078" s="724" t="s">
        <v>80</v>
      </c>
      <c r="F1078" s="725">
        <v>45286</v>
      </c>
      <c r="G1078" s="774">
        <v>45344</v>
      </c>
      <c r="H1078" s="724" t="s">
        <v>23</v>
      </c>
      <c r="I1078" s="441">
        <v>220</v>
      </c>
      <c r="J1078" s="442">
        <v>3</v>
      </c>
      <c r="K1078" s="720">
        <v>0</v>
      </c>
      <c r="L1078" s="744">
        <v>0</v>
      </c>
      <c r="M1078" s="728"/>
      <c r="N1078" s="721">
        <v>3.65</v>
      </c>
      <c r="O1078" s="728" t="s">
        <v>271</v>
      </c>
      <c r="P1078" s="721">
        <v>813.95</v>
      </c>
      <c r="Q1078" s="729">
        <v>223</v>
      </c>
      <c r="R1078" s="721">
        <v>0.51529999999999998</v>
      </c>
      <c r="S1078" s="721">
        <v>1.3759999999999999</v>
      </c>
      <c r="T1078" s="721">
        <v>419.42840000000001</v>
      </c>
      <c r="U1078" s="721">
        <v>1119.9952000000001</v>
      </c>
      <c r="V1078" s="721">
        <v>54.53</v>
      </c>
      <c r="W1078" s="721">
        <v>172.63</v>
      </c>
      <c r="X1078" s="721">
        <v>335</v>
      </c>
      <c r="Y1078" s="857">
        <v>140512.19</v>
      </c>
    </row>
    <row r="1079" spans="1:25" ht="14.45" customHeight="1" x14ac:dyDescent="0.25">
      <c r="A1079" s="437" t="s">
        <v>4678</v>
      </c>
      <c r="B1079" s="438">
        <v>649</v>
      </c>
      <c r="C1079" s="438"/>
      <c r="D1079" s="439" t="s">
        <v>13</v>
      </c>
      <c r="E1079" s="439" t="s">
        <v>1433</v>
      </c>
      <c r="F1079" s="440">
        <v>45286</v>
      </c>
      <c r="G1079" s="440"/>
      <c r="H1079" s="439" t="s">
        <v>23</v>
      </c>
      <c r="I1079" s="449"/>
      <c r="J1079" s="450"/>
      <c r="K1079" s="443">
        <v>84</v>
      </c>
      <c r="L1079" s="444">
        <v>7.4232000000000005</v>
      </c>
      <c r="M1079" s="445" t="s">
        <v>4674</v>
      </c>
      <c r="N1079" s="445"/>
      <c r="O1079" s="445" t="s">
        <v>1472</v>
      </c>
      <c r="P1079" s="447">
        <v>504</v>
      </c>
      <c r="Q1079" s="451">
        <v>84</v>
      </c>
      <c r="R1079" s="447">
        <v>0.41239999999999999</v>
      </c>
      <c r="S1079" s="447">
        <v>1.1619999999999999</v>
      </c>
      <c r="T1079" s="447">
        <v>207.84960000000001</v>
      </c>
      <c r="U1079" s="447">
        <v>585.64800000000002</v>
      </c>
      <c r="V1079" s="447">
        <v>27.02</v>
      </c>
      <c r="W1079" s="447">
        <v>150.53</v>
      </c>
      <c r="X1079" s="447">
        <v>365</v>
      </c>
      <c r="Y1079" s="858">
        <v>75865.100000000006</v>
      </c>
    </row>
    <row r="1080" spans="1:25" ht="14.45" customHeight="1" x14ac:dyDescent="0.25">
      <c r="A1080" s="722" t="s">
        <v>4678</v>
      </c>
      <c r="B1080" s="467">
        <v>650</v>
      </c>
      <c r="C1080" s="467"/>
      <c r="D1080" s="468" t="s">
        <v>13</v>
      </c>
      <c r="E1080" s="468" t="s">
        <v>2217</v>
      </c>
      <c r="F1080" s="469">
        <v>45286</v>
      </c>
      <c r="G1080" s="725">
        <v>45378</v>
      </c>
      <c r="H1080" s="724" t="s">
        <v>23</v>
      </c>
      <c r="I1080" s="441"/>
      <c r="J1080" s="442">
        <v>189</v>
      </c>
      <c r="K1080" s="720">
        <v>0</v>
      </c>
      <c r="L1080" s="744">
        <v>0</v>
      </c>
      <c r="M1080" s="728"/>
      <c r="N1080" s="721">
        <v>6.05</v>
      </c>
      <c r="O1080" s="728" t="s">
        <v>3825</v>
      </c>
      <c r="P1080" s="721">
        <v>1143.45</v>
      </c>
      <c r="Q1080" s="729">
        <v>189</v>
      </c>
      <c r="R1080" s="721">
        <v>0.68810000000000004</v>
      </c>
      <c r="S1080" s="721">
        <v>2.7810000000000001</v>
      </c>
      <c r="T1080" s="721">
        <v>786.80790000000002</v>
      </c>
      <c r="U1080" s="721">
        <v>3179.9344999999998</v>
      </c>
      <c r="V1080" s="721">
        <v>102.29</v>
      </c>
      <c r="W1080" s="721">
        <v>325.47000000000003</v>
      </c>
      <c r="X1080" s="721">
        <v>473</v>
      </c>
      <c r="Y1080" s="857">
        <v>372160.16</v>
      </c>
    </row>
    <row r="1081" spans="1:25" ht="14.45" customHeight="1" x14ac:dyDescent="0.25">
      <c r="A1081" s="437" t="s">
        <v>4678</v>
      </c>
      <c r="B1081" s="438">
        <v>651</v>
      </c>
      <c r="C1081" s="438"/>
      <c r="D1081" s="439" t="s">
        <v>13</v>
      </c>
      <c r="E1081" s="439" t="s">
        <v>3764</v>
      </c>
      <c r="F1081" s="440">
        <v>45286</v>
      </c>
      <c r="G1081" s="440">
        <v>45356</v>
      </c>
      <c r="H1081" s="439" t="s">
        <v>23</v>
      </c>
      <c r="I1081" s="449"/>
      <c r="J1081" s="450">
        <v>63</v>
      </c>
      <c r="K1081" s="443">
        <v>0</v>
      </c>
      <c r="L1081" s="444">
        <v>0</v>
      </c>
      <c r="M1081" s="445" t="s">
        <v>4674</v>
      </c>
      <c r="N1081" s="447">
        <v>4.1500000000000004</v>
      </c>
      <c r="O1081" s="445" t="s">
        <v>4673</v>
      </c>
      <c r="P1081" s="447">
        <v>261.45</v>
      </c>
      <c r="Q1081" s="451">
        <v>63</v>
      </c>
      <c r="R1081" s="447">
        <v>0.17649999999999999</v>
      </c>
      <c r="S1081" s="447">
        <v>1.3280000000000001</v>
      </c>
      <c r="T1081" s="447">
        <v>46.145899999999997</v>
      </c>
      <c r="U1081" s="447">
        <v>347.2056</v>
      </c>
      <c r="V1081" s="447">
        <v>6</v>
      </c>
      <c r="W1081" s="447">
        <v>64.42</v>
      </c>
      <c r="X1081" s="447">
        <v>365</v>
      </c>
      <c r="Y1081" s="858">
        <v>16843.259999999998</v>
      </c>
    </row>
    <row r="1082" spans="1:25" ht="14.45" customHeight="1" x14ac:dyDescent="0.25">
      <c r="A1082" s="871" t="s">
        <v>4678</v>
      </c>
      <c r="B1082" s="792">
        <v>618</v>
      </c>
      <c r="C1082" s="792" t="s">
        <v>4753</v>
      </c>
      <c r="D1082" s="793" t="s">
        <v>34</v>
      </c>
      <c r="E1082" s="793" t="s">
        <v>861</v>
      </c>
      <c r="F1082" s="794">
        <v>45286</v>
      </c>
      <c r="G1082" s="794"/>
      <c r="H1082" s="724" t="s">
        <v>23</v>
      </c>
      <c r="I1082" s="388"/>
      <c r="J1082" s="364">
        <v>228</v>
      </c>
      <c r="K1082" s="720">
        <v>0</v>
      </c>
      <c r="L1082" s="795"/>
      <c r="M1082" s="796"/>
      <c r="N1082" s="796"/>
      <c r="O1082" s="796" t="s">
        <v>3634</v>
      </c>
      <c r="P1082" s="796"/>
      <c r="Q1082" s="797">
        <v>228</v>
      </c>
      <c r="R1082" s="796"/>
      <c r="S1082" s="796"/>
      <c r="T1082" s="796"/>
      <c r="U1082" s="796"/>
      <c r="V1082" s="796"/>
      <c r="W1082" s="796"/>
      <c r="X1082" s="796"/>
      <c r="Y1082" s="872"/>
    </row>
    <row r="1083" spans="1:25" ht="14.45" customHeight="1" x14ac:dyDescent="0.25">
      <c r="A1083" s="437" t="s">
        <v>4678</v>
      </c>
      <c r="B1083" s="438">
        <v>648</v>
      </c>
      <c r="C1083" s="438"/>
      <c r="D1083" s="439" t="s">
        <v>34</v>
      </c>
      <c r="E1083" s="439" t="s">
        <v>3404</v>
      </c>
      <c r="F1083" s="440">
        <v>45287</v>
      </c>
      <c r="G1083" s="440"/>
      <c r="H1083" s="439" t="s">
        <v>23</v>
      </c>
      <c r="I1083" s="449"/>
      <c r="J1083" s="450"/>
      <c r="K1083" s="443">
        <v>176</v>
      </c>
      <c r="L1083" s="444">
        <v>8.282057142857143</v>
      </c>
      <c r="M1083" s="445"/>
      <c r="N1083" s="445"/>
      <c r="O1083" s="445" t="s">
        <v>4657</v>
      </c>
      <c r="P1083" s="447">
        <v>1056</v>
      </c>
      <c r="Q1083" s="451">
        <v>176</v>
      </c>
      <c r="R1083" s="447">
        <v>0.21959999999999999</v>
      </c>
      <c r="S1083" s="447">
        <v>0.35</v>
      </c>
      <c r="T1083" s="447">
        <v>231.89760000000001</v>
      </c>
      <c r="U1083" s="447">
        <v>369.6</v>
      </c>
      <c r="V1083" s="447">
        <v>30.15</v>
      </c>
      <c r="W1083" s="447">
        <v>69.17</v>
      </c>
      <c r="X1083" s="447">
        <v>315</v>
      </c>
      <c r="Y1083" s="858">
        <v>73043.520000000004</v>
      </c>
    </row>
    <row r="1084" spans="1:25" ht="14.45" customHeight="1" x14ac:dyDescent="0.25">
      <c r="A1084" s="722" t="s">
        <v>4678</v>
      </c>
      <c r="B1084" s="723">
        <v>648</v>
      </c>
      <c r="C1084" s="723"/>
      <c r="D1084" s="724" t="s">
        <v>34</v>
      </c>
      <c r="E1084" s="724" t="s">
        <v>3404</v>
      </c>
      <c r="F1084" s="725">
        <v>45287</v>
      </c>
      <c r="G1084" s="725"/>
      <c r="H1084" s="724" t="s">
        <v>23</v>
      </c>
      <c r="I1084" s="441"/>
      <c r="J1084" s="442">
        <v>244</v>
      </c>
      <c r="K1084" s="720">
        <v>115</v>
      </c>
      <c r="L1084" s="744">
        <v>6.2026071428571417</v>
      </c>
      <c r="M1084" s="728"/>
      <c r="N1084" s="728">
        <v>6</v>
      </c>
      <c r="O1084" s="728" t="s">
        <v>4378</v>
      </c>
      <c r="P1084" s="721">
        <v>2154</v>
      </c>
      <c r="Q1084" s="729">
        <v>359</v>
      </c>
      <c r="R1084" s="721">
        <v>0.25169999999999998</v>
      </c>
      <c r="S1084" s="721">
        <v>0.56699999999999995</v>
      </c>
      <c r="T1084" s="721">
        <v>542.16179999999997</v>
      </c>
      <c r="U1084" s="721">
        <v>1221.318</v>
      </c>
      <c r="V1084" s="721">
        <v>70.48</v>
      </c>
      <c r="W1084" s="721">
        <v>79.290000000000006</v>
      </c>
      <c r="X1084" s="721">
        <v>315</v>
      </c>
      <c r="Y1084" s="857">
        <v>170790.66</v>
      </c>
    </row>
    <row r="1085" spans="1:25" ht="14.45" customHeight="1" x14ac:dyDescent="0.25">
      <c r="A1085" s="437" t="s">
        <v>4678</v>
      </c>
      <c r="B1085" s="438">
        <v>654</v>
      </c>
      <c r="C1085" s="438"/>
      <c r="D1085" s="439" t="s">
        <v>34</v>
      </c>
      <c r="E1085" s="439" t="s">
        <v>328</v>
      </c>
      <c r="F1085" s="440">
        <v>45287</v>
      </c>
      <c r="G1085" s="440"/>
      <c r="H1085" s="439" t="s">
        <v>23</v>
      </c>
      <c r="I1085" s="449"/>
      <c r="J1085" s="450">
        <v>87</v>
      </c>
      <c r="K1085" s="443">
        <v>3</v>
      </c>
      <c r="L1085" s="444">
        <v>5.9631428571428566</v>
      </c>
      <c r="M1085" s="445" t="s">
        <v>2657</v>
      </c>
      <c r="N1085" s="445"/>
      <c r="O1085" s="445" t="s">
        <v>650</v>
      </c>
      <c r="P1085" s="447">
        <v>540</v>
      </c>
      <c r="Q1085" s="451">
        <v>90</v>
      </c>
      <c r="R1085" s="447">
        <v>0.30919999999999997</v>
      </c>
      <c r="S1085" s="447">
        <v>1.1000000000000001</v>
      </c>
      <c r="T1085" s="447">
        <v>166.96799999999999</v>
      </c>
      <c r="U1085" s="447">
        <v>594</v>
      </c>
      <c r="V1085" s="447">
        <v>21.71</v>
      </c>
      <c r="W1085" s="447">
        <v>112.86</v>
      </c>
      <c r="X1085" s="447">
        <v>365</v>
      </c>
      <c r="Y1085" s="858">
        <v>60944.4</v>
      </c>
    </row>
    <row r="1086" spans="1:25" ht="14.45" customHeight="1" x14ac:dyDescent="0.25">
      <c r="A1086" s="722" t="s">
        <v>4678</v>
      </c>
      <c r="B1086" s="723">
        <v>655</v>
      </c>
      <c r="C1086" s="723"/>
      <c r="D1086" s="724" t="s">
        <v>34</v>
      </c>
      <c r="E1086" s="724" t="s">
        <v>893</v>
      </c>
      <c r="F1086" s="725">
        <v>45287</v>
      </c>
      <c r="G1086" s="725"/>
      <c r="H1086" s="724" t="s">
        <v>23</v>
      </c>
      <c r="I1086" s="441">
        <v>36</v>
      </c>
      <c r="J1086" s="442"/>
      <c r="K1086" s="720">
        <v>0</v>
      </c>
      <c r="L1086" s="744">
        <v>0</v>
      </c>
      <c r="M1086" s="728"/>
      <c r="N1086" s="728">
        <v>6</v>
      </c>
      <c r="O1086" s="728" t="s">
        <v>4675</v>
      </c>
      <c r="P1086" s="721">
        <v>216</v>
      </c>
      <c r="Q1086" s="729">
        <v>36</v>
      </c>
      <c r="R1086" s="721">
        <v>0.5323</v>
      </c>
      <c r="S1086" s="721">
        <v>2.5880000000000001</v>
      </c>
      <c r="T1086" s="721">
        <v>114.9768</v>
      </c>
      <c r="U1086" s="721">
        <v>559.00800000000004</v>
      </c>
      <c r="V1086" s="721">
        <v>14.95</v>
      </c>
      <c r="W1086" s="721">
        <v>178.32</v>
      </c>
      <c r="X1086" s="721">
        <v>335</v>
      </c>
      <c r="Y1086" s="857">
        <v>38517.230000000003</v>
      </c>
    </row>
    <row r="1087" spans="1:25" ht="14.45" customHeight="1" x14ac:dyDescent="0.25">
      <c r="A1087" s="722" t="s">
        <v>4678</v>
      </c>
      <c r="B1087" s="723">
        <v>452</v>
      </c>
      <c r="C1087" s="723" t="s">
        <v>4753</v>
      </c>
      <c r="D1087" s="724" t="s">
        <v>34</v>
      </c>
      <c r="E1087" s="724" t="s">
        <v>861</v>
      </c>
      <c r="F1087" s="725"/>
      <c r="G1087" s="725"/>
      <c r="H1087" s="724" t="s">
        <v>23</v>
      </c>
      <c r="I1087" s="441"/>
      <c r="J1087" s="442"/>
      <c r="K1087" s="720"/>
      <c r="L1087" s="744"/>
      <c r="M1087" s="728"/>
      <c r="N1087" s="728"/>
      <c r="O1087" s="728" t="s">
        <v>4417</v>
      </c>
      <c r="P1087" s="721"/>
      <c r="Q1087" s="729">
        <v>64</v>
      </c>
      <c r="R1087" s="721"/>
      <c r="S1087" s="721"/>
      <c r="T1087" s="721"/>
      <c r="U1087" s="721"/>
      <c r="V1087" s="721"/>
      <c r="W1087" s="721"/>
      <c r="X1087" s="721"/>
      <c r="Y1087" s="857"/>
    </row>
    <row r="1088" spans="1:25" ht="14.45" customHeight="1" x14ac:dyDescent="0.25">
      <c r="A1088" s="975" t="s">
        <v>4678</v>
      </c>
      <c r="B1088" s="976">
        <v>436</v>
      </c>
      <c r="C1088" s="976" t="s">
        <v>4753</v>
      </c>
      <c r="D1088" s="977" t="s">
        <v>34</v>
      </c>
      <c r="E1088" s="977" t="s">
        <v>576</v>
      </c>
      <c r="F1088" s="440"/>
      <c r="G1088" s="440"/>
      <c r="H1088" s="439" t="s">
        <v>23</v>
      </c>
      <c r="I1088" s="441"/>
      <c r="J1088" s="442"/>
      <c r="K1088" s="720"/>
      <c r="L1088" s="744"/>
      <c r="M1088" s="728"/>
      <c r="N1088" s="728"/>
      <c r="O1088" s="453" t="s">
        <v>4419</v>
      </c>
      <c r="P1088" s="447"/>
      <c r="Q1088" s="451"/>
      <c r="R1088" s="447"/>
      <c r="S1088" s="447"/>
      <c r="T1088" s="447"/>
      <c r="U1088" s="447"/>
      <c r="V1088" s="447"/>
      <c r="W1088" s="447"/>
      <c r="X1088" s="447"/>
      <c r="Y1088" s="858" t="s">
        <v>4420</v>
      </c>
    </row>
    <row r="1089" spans="1:25" ht="14.45" customHeight="1" x14ac:dyDescent="0.25">
      <c r="A1089" s="975" t="s">
        <v>4678</v>
      </c>
      <c r="B1089" s="976">
        <v>406</v>
      </c>
      <c r="C1089" s="976" t="s">
        <v>4753</v>
      </c>
      <c r="D1089" s="977" t="s">
        <v>34</v>
      </c>
      <c r="E1089" s="977" t="s">
        <v>576</v>
      </c>
      <c r="F1089" s="725"/>
      <c r="G1089" s="725"/>
      <c r="H1089" s="724" t="s">
        <v>23</v>
      </c>
      <c r="I1089" s="441"/>
      <c r="J1089" s="442"/>
      <c r="K1089" s="720"/>
      <c r="L1089" s="744"/>
      <c r="M1089" s="728" t="s">
        <v>4639</v>
      </c>
      <c r="N1089" s="728"/>
      <c r="O1089" s="728" t="s">
        <v>4428</v>
      </c>
      <c r="P1089" s="721" t="s">
        <v>4430</v>
      </c>
      <c r="Q1089" s="729"/>
      <c r="R1089" s="721"/>
      <c r="S1089" s="721"/>
      <c r="T1089" s="721"/>
      <c r="U1089" s="721"/>
      <c r="V1089" s="721"/>
      <c r="W1089" s="721"/>
      <c r="X1089" s="721"/>
      <c r="Y1089" s="857" t="s">
        <v>4429</v>
      </c>
    </row>
    <row r="1090" spans="1:25" ht="14.45" customHeight="1" x14ac:dyDescent="0.25">
      <c r="A1090" s="975" t="s">
        <v>4678</v>
      </c>
      <c r="B1090" s="976">
        <v>512</v>
      </c>
      <c r="C1090" s="976" t="s">
        <v>4753</v>
      </c>
      <c r="D1090" s="977" t="s">
        <v>34</v>
      </c>
      <c r="E1090" s="977" t="s">
        <v>861</v>
      </c>
      <c r="F1090" s="440"/>
      <c r="G1090" s="440"/>
      <c r="H1090" s="439" t="s">
        <v>23</v>
      </c>
      <c r="I1090" s="441"/>
      <c r="J1090" s="442"/>
      <c r="K1090" s="720"/>
      <c r="L1090" s="744"/>
      <c r="M1090" s="728"/>
      <c r="N1090" s="728"/>
      <c r="O1090" s="439" t="s">
        <v>3982</v>
      </c>
      <c r="P1090" s="458"/>
      <c r="Q1090" s="455">
        <v>152</v>
      </c>
      <c r="R1090" s="447"/>
      <c r="S1090" s="447"/>
      <c r="T1090" s="447"/>
      <c r="U1090" s="447"/>
      <c r="V1090" s="447"/>
      <c r="W1090" s="447"/>
      <c r="X1090" s="447"/>
      <c r="Y1090" s="858"/>
    </row>
    <row r="1091" spans="1:25" ht="14.45" customHeight="1" x14ac:dyDescent="0.25">
      <c r="A1091" s="722" t="s">
        <v>4678</v>
      </c>
      <c r="B1091" s="723">
        <v>567</v>
      </c>
      <c r="C1091" s="723"/>
      <c r="D1091" s="468" t="s">
        <v>34</v>
      </c>
      <c r="E1091" s="724" t="s">
        <v>3404</v>
      </c>
      <c r="F1091" s="725">
        <v>45306</v>
      </c>
      <c r="G1091" s="725"/>
      <c r="H1091" s="724" t="s">
        <v>23</v>
      </c>
      <c r="I1091" s="441"/>
      <c r="J1091" s="442"/>
      <c r="K1091" s="720"/>
      <c r="L1091" s="744"/>
      <c r="M1091" s="728"/>
      <c r="N1091" s="728"/>
      <c r="O1091" s="728" t="s">
        <v>4378</v>
      </c>
      <c r="P1091" s="721">
        <v>2202</v>
      </c>
      <c r="Q1091" s="729">
        <v>367</v>
      </c>
      <c r="R1091" s="721">
        <v>0.25169999999999998</v>
      </c>
      <c r="S1091" s="721">
        <v>0.56699999999999995</v>
      </c>
      <c r="T1091" s="721">
        <v>554.24339999999995</v>
      </c>
      <c r="U1091" s="721">
        <v>1248.5340000000001</v>
      </c>
      <c r="V1091" s="721">
        <v>72.05</v>
      </c>
      <c r="W1091" s="721">
        <v>72.989999999999995</v>
      </c>
      <c r="X1091" s="721">
        <v>290</v>
      </c>
      <c r="Y1091" s="857">
        <v>160723.98000000001</v>
      </c>
    </row>
    <row r="1092" spans="1:25" ht="14.45" customHeight="1" x14ac:dyDescent="0.25">
      <c r="A1092" s="978" t="s">
        <v>4678</v>
      </c>
      <c r="B1092" s="972" t="s">
        <v>4914</v>
      </c>
      <c r="C1092" s="972"/>
      <c r="D1092" s="468" t="s">
        <v>34</v>
      </c>
      <c r="E1092" s="732" t="s">
        <v>16</v>
      </c>
      <c r="F1092" s="973">
        <v>45623</v>
      </c>
      <c r="G1092" s="725"/>
      <c r="H1092" s="724" t="s">
        <v>23</v>
      </c>
      <c r="I1092" s="441"/>
      <c r="J1092" s="442"/>
      <c r="K1092" s="720"/>
      <c r="L1092" s="744"/>
      <c r="M1092" s="728"/>
      <c r="N1092" s="728"/>
      <c r="O1092" s="732" t="s">
        <v>2730</v>
      </c>
      <c r="P1092" s="974">
        <v>702</v>
      </c>
      <c r="Q1092" s="733">
        <v>117</v>
      </c>
      <c r="R1092" s="974">
        <v>0.3498</v>
      </c>
      <c r="S1092" s="974">
        <v>1.425</v>
      </c>
      <c r="T1092" s="974">
        <v>245.55959999999999</v>
      </c>
      <c r="U1092" s="974">
        <v>1000.35</v>
      </c>
      <c r="V1092" s="974">
        <v>31.92</v>
      </c>
      <c r="W1092" s="974">
        <v>127.68</v>
      </c>
      <c r="X1092" s="974">
        <v>365</v>
      </c>
      <c r="Y1092" s="887">
        <v>89629.25</v>
      </c>
    </row>
    <row r="1093" spans="1:25" ht="14.45" customHeight="1" x14ac:dyDescent="0.25">
      <c r="A1093" s="722" t="s">
        <v>4678</v>
      </c>
      <c r="B1093" s="723">
        <v>474</v>
      </c>
      <c r="C1093" s="723" t="s">
        <v>4753</v>
      </c>
      <c r="D1093" s="724" t="s">
        <v>34</v>
      </c>
      <c r="E1093" s="724" t="s">
        <v>4507</v>
      </c>
      <c r="F1093" s="725"/>
      <c r="G1093" s="725"/>
      <c r="H1093" s="464" t="s">
        <v>677</v>
      </c>
      <c r="I1093" s="441"/>
      <c r="J1093" s="442"/>
      <c r="K1093" s="720"/>
      <c r="L1093" s="744"/>
      <c r="M1093" s="728"/>
      <c r="N1093" s="728"/>
      <c r="O1093" s="728" t="s">
        <v>4508</v>
      </c>
      <c r="P1093" s="721"/>
      <c r="Q1093" s="729"/>
      <c r="R1093" s="721"/>
      <c r="S1093" s="721"/>
      <c r="T1093" s="721"/>
      <c r="U1093" s="721"/>
      <c r="V1093" s="721"/>
      <c r="W1093" s="721"/>
      <c r="X1093" s="721"/>
      <c r="Y1093" s="857"/>
    </row>
    <row r="1094" spans="1:25" ht="14.45" customHeight="1" x14ac:dyDescent="0.25">
      <c r="A1094" s="722" t="s">
        <v>4678</v>
      </c>
      <c r="B1094" s="723">
        <v>436</v>
      </c>
      <c r="C1094" s="723" t="s">
        <v>4753</v>
      </c>
      <c r="D1094" s="724" t="s">
        <v>34</v>
      </c>
      <c r="E1094" s="724" t="s">
        <v>576</v>
      </c>
      <c r="F1094" s="725"/>
      <c r="G1094" s="725"/>
      <c r="H1094" s="724" t="s">
        <v>23</v>
      </c>
      <c r="I1094" s="441"/>
      <c r="J1094" s="442"/>
      <c r="K1094" s="720"/>
      <c r="L1094" s="744"/>
      <c r="M1094" s="728"/>
      <c r="N1094" s="728"/>
      <c r="O1094" s="784" t="s">
        <v>4418</v>
      </c>
      <c r="P1094" s="721"/>
      <c r="Q1094" s="729">
        <v>198</v>
      </c>
      <c r="R1094" s="721"/>
      <c r="S1094" s="721"/>
      <c r="T1094" s="721"/>
      <c r="U1094" s="721"/>
      <c r="V1094" s="721"/>
      <c r="W1094" s="721"/>
      <c r="X1094" s="721"/>
      <c r="Y1094" s="857" t="s">
        <v>2076</v>
      </c>
    </row>
    <row r="1095" spans="1:25" ht="14.45" customHeight="1" x14ac:dyDescent="0.25">
      <c r="A1095" s="722" t="s">
        <v>4678</v>
      </c>
      <c r="B1095" s="723">
        <v>506</v>
      </c>
      <c r="C1095" s="723" t="s">
        <v>4753</v>
      </c>
      <c r="D1095" s="724" t="s">
        <v>34</v>
      </c>
      <c r="E1095" s="724" t="s">
        <v>4467</v>
      </c>
      <c r="F1095" s="725"/>
      <c r="G1095" s="725"/>
      <c r="H1095" s="464" t="s">
        <v>677</v>
      </c>
      <c r="I1095" s="441"/>
      <c r="J1095" s="442"/>
      <c r="K1095" s="720"/>
      <c r="L1095" s="744"/>
      <c r="M1095" s="728"/>
      <c r="N1095" s="728"/>
      <c r="O1095" s="728"/>
      <c r="P1095" s="721"/>
      <c r="Q1095" s="729"/>
      <c r="R1095" s="721"/>
      <c r="S1095" s="721"/>
      <c r="T1095" s="721"/>
      <c r="U1095" s="721"/>
      <c r="V1095" s="721"/>
      <c r="W1095" s="721"/>
      <c r="X1095" s="721"/>
      <c r="Y1095" s="857"/>
    </row>
    <row r="1096" spans="1:25" ht="14.45" customHeight="1" x14ac:dyDescent="0.25">
      <c r="A1096" s="722" t="s">
        <v>4678</v>
      </c>
      <c r="B1096" s="723">
        <v>507</v>
      </c>
      <c r="C1096" s="723" t="s">
        <v>4753</v>
      </c>
      <c r="D1096" s="724" t="s">
        <v>34</v>
      </c>
      <c r="E1096" s="724" t="s">
        <v>4467</v>
      </c>
      <c r="F1096" s="725"/>
      <c r="G1096" s="725"/>
      <c r="H1096" s="464" t="s">
        <v>677</v>
      </c>
      <c r="I1096" s="441"/>
      <c r="J1096" s="442"/>
      <c r="K1096" s="720"/>
      <c r="L1096" s="744"/>
      <c r="M1096" s="728"/>
      <c r="N1096" s="728"/>
      <c r="O1096" s="728"/>
      <c r="P1096" s="721"/>
      <c r="Q1096" s="729"/>
      <c r="R1096" s="721"/>
      <c r="S1096" s="721"/>
      <c r="T1096" s="721"/>
      <c r="U1096" s="721"/>
      <c r="V1096" s="721"/>
      <c r="W1096" s="721"/>
      <c r="X1096" s="721"/>
      <c r="Y1096" s="857"/>
    </row>
    <row r="1097" spans="1:25" ht="14.45" customHeight="1" x14ac:dyDescent="0.25">
      <c r="A1097" s="722"/>
      <c r="B1097" s="723"/>
      <c r="C1097" s="723"/>
      <c r="D1097" s="724"/>
      <c r="E1097" s="724"/>
      <c r="F1097" s="725"/>
      <c r="G1097" s="725"/>
      <c r="H1097" s="724"/>
      <c r="I1097" s="441"/>
      <c r="J1097" s="442"/>
      <c r="K1097" s="720"/>
      <c r="L1097" s="744"/>
      <c r="M1097" s="728"/>
      <c r="N1097" s="728"/>
      <c r="O1097" s="728"/>
      <c r="P1097" s="721"/>
      <c r="Q1097" s="729"/>
      <c r="R1097" s="721"/>
      <c r="S1097" s="721"/>
      <c r="T1097" s="721"/>
      <c r="U1097" s="721"/>
      <c r="V1097" s="721"/>
      <c r="W1097" s="721"/>
      <c r="X1097" s="721"/>
      <c r="Y1097" s="857"/>
    </row>
    <row r="1098" spans="1:25" ht="14.45" customHeight="1" x14ac:dyDescent="0.25">
      <c r="A1098" s="722"/>
      <c r="B1098" s="723"/>
      <c r="C1098" s="723"/>
      <c r="D1098" s="724"/>
      <c r="E1098" s="724"/>
      <c r="F1098" s="725"/>
      <c r="G1098" s="725"/>
      <c r="H1098" s="724"/>
      <c r="I1098" s="441"/>
      <c r="J1098" s="442"/>
      <c r="K1098" s="720"/>
      <c r="L1098" s="744"/>
      <c r="M1098" s="728"/>
      <c r="N1098" s="728"/>
      <c r="O1098" s="728"/>
      <c r="P1098" s="721"/>
      <c r="Q1098" s="729"/>
      <c r="R1098" s="721"/>
      <c r="S1098" s="721"/>
      <c r="T1098" s="721"/>
      <c r="U1098" s="721"/>
      <c r="V1098" s="721"/>
      <c r="W1098" s="721"/>
      <c r="X1098" s="721"/>
      <c r="Y1098" s="857"/>
    </row>
  </sheetData>
  <autoFilter ref="A1:Y1096"/>
  <conditionalFormatting sqref="H1:H1086">
    <cfRule type="cellIs" dxfId="152" priority="56" operator="equal">
      <formula>"предварительная"</formula>
    </cfRule>
    <cfRule type="cellIs" dxfId="151" priority="57" operator="equal">
      <formula>"завезен"</formula>
    </cfRule>
  </conditionalFormatting>
  <conditionalFormatting sqref="H1:J648 H649:H667 H668:J1020 H1021 H1022:J1022 H1023 H1024:J1025 H1026:I1028 J649:J667">
    <cfRule type="cellIs" dxfId="150" priority="72" stopIfTrue="1" operator="equal">
      <formula>"отмена"</formula>
    </cfRule>
  </conditionalFormatting>
  <conditionalFormatting sqref="H1:J648 H649:H667 J649:J667 H668:J1020 H1021 H1022:J1022 H1023 H1024:J1025 H1026:I1028">
    <cfRule type="cellIs" dxfId="149" priority="73" stopIfTrue="1" operator="equal">
      <formula>"готов"</formula>
    </cfRule>
    <cfRule type="cellIs" dxfId="148" priority="74" stopIfTrue="1" operator="equal">
      <formula>"в работе"</formula>
    </cfRule>
    <cfRule type="cellIs" dxfId="147" priority="75" stopIfTrue="1" operator="equal">
      <formula>"вывезено"</formula>
    </cfRule>
  </conditionalFormatting>
  <conditionalFormatting sqref="H1029:J1086">
    <cfRule type="cellIs" dxfId="146" priority="58" stopIfTrue="1" operator="equal">
      <formula>"отмена"</formula>
    </cfRule>
    <cfRule type="cellIs" dxfId="145" priority="59" stopIfTrue="1" operator="equal">
      <formula>"готов"</formula>
    </cfRule>
    <cfRule type="cellIs" dxfId="144" priority="60" stopIfTrue="1" operator="equal">
      <formula>"в работе"</formula>
    </cfRule>
    <cfRule type="cellIs" dxfId="143" priority="61" stopIfTrue="1" operator="equal">
      <formula>"вывезено"</formula>
    </cfRule>
  </conditionalFormatting>
  <conditionalFormatting sqref="I667">
    <cfRule type="cellIs" dxfId="142" priority="62" stopIfTrue="1" operator="equal">
      <formula>"отмена"</formula>
    </cfRule>
    <cfRule type="cellIs" dxfId="141" priority="63" stopIfTrue="1" operator="equal">
      <formula>"готов"</formula>
    </cfRule>
    <cfRule type="cellIs" dxfId="140" priority="64" stopIfTrue="1" operator="equal">
      <formula>"в работе"</formula>
    </cfRule>
    <cfRule type="cellIs" dxfId="139" priority="65" stopIfTrue="1" operator="equal">
      <formula>"вывезено"</formula>
    </cfRule>
  </conditionalFormatting>
  <conditionalFormatting sqref="K1">
    <cfRule type="cellIs" dxfId="138" priority="67" stopIfTrue="1" operator="equal">
      <formula>"отмена"</formula>
    </cfRule>
    <cfRule type="cellIs" dxfId="137" priority="68" stopIfTrue="1" operator="equal">
      <formula>"готов"</formula>
    </cfRule>
    <cfRule type="cellIs" dxfId="136" priority="69" stopIfTrue="1" operator="equal">
      <formula>"в работе"</formula>
    </cfRule>
    <cfRule type="cellIs" dxfId="135" priority="70" stopIfTrue="1" operator="equal">
      <formula>"вывезено"</formula>
    </cfRule>
  </conditionalFormatting>
  <conditionalFormatting sqref="H1087 H1091:H1092 H1097:H1098">
    <cfRule type="cellIs" dxfId="134" priority="50" operator="equal">
      <formula>"предварительная"</formula>
    </cfRule>
    <cfRule type="cellIs" dxfId="133" priority="51" operator="equal">
      <formula>"завезен"</formula>
    </cfRule>
  </conditionalFormatting>
  <conditionalFormatting sqref="H1087:J1087 H1091:J1092 I1088:J1090 H1097:J1098 I1093:J1096">
    <cfRule type="cellIs" dxfId="132" priority="52" stopIfTrue="1" operator="equal">
      <formula>"отмена"</formula>
    </cfRule>
    <cfRule type="cellIs" dxfId="131" priority="53" stopIfTrue="1" operator="equal">
      <formula>"готов"</formula>
    </cfRule>
    <cfRule type="cellIs" dxfId="130" priority="54" stopIfTrue="1" operator="equal">
      <formula>"в работе"</formula>
    </cfRule>
    <cfRule type="cellIs" dxfId="129" priority="55" stopIfTrue="1" operator="equal">
      <formula>"вывезено"</formula>
    </cfRule>
  </conditionalFormatting>
  <conditionalFormatting sqref="H1088">
    <cfRule type="cellIs" dxfId="128" priority="47" operator="equal">
      <formula>"завезен"</formula>
    </cfRule>
  </conditionalFormatting>
  <conditionalFormatting sqref="H1088">
    <cfRule type="cellIs" dxfId="127" priority="48" operator="equal">
      <formula>"предварительная"</formula>
    </cfRule>
  </conditionalFormatting>
  <conditionalFormatting sqref="H1088">
    <cfRule type="cellIs" dxfId="126" priority="49" stopIfTrue="1" operator="equal">
      <formula>"отмена"</formula>
    </cfRule>
  </conditionalFormatting>
  <conditionalFormatting sqref="H1088">
    <cfRule type="cellIs" dxfId="125" priority="44" stopIfTrue="1" operator="equal">
      <formula>"готов"</formula>
    </cfRule>
    <cfRule type="cellIs" dxfId="124" priority="45" stopIfTrue="1" operator="equal">
      <formula>"в работе"</formula>
    </cfRule>
    <cfRule type="cellIs" dxfId="123" priority="46" stopIfTrue="1" operator="equal">
      <formula>"вывезено"</formula>
    </cfRule>
  </conditionalFormatting>
  <conditionalFormatting sqref="H1088">
    <cfRule type="containsText" dxfId="122" priority="43" operator="containsText" text="Забронирован">
      <formula>NOT(ISERROR(SEARCH("Забронирован",H1088)))</formula>
    </cfRule>
  </conditionalFormatting>
  <conditionalFormatting sqref="H1089">
    <cfRule type="cellIs" dxfId="121" priority="40" operator="equal">
      <formula>"завезен"</formula>
    </cfRule>
  </conditionalFormatting>
  <conditionalFormatting sqref="H1089">
    <cfRule type="cellIs" dxfId="120" priority="41" operator="equal">
      <formula>"предварительная"</formula>
    </cfRule>
  </conditionalFormatting>
  <conditionalFormatting sqref="H1089">
    <cfRule type="cellIs" dxfId="119" priority="42" stopIfTrue="1" operator="equal">
      <formula>"отмена"</formula>
    </cfRule>
  </conditionalFormatting>
  <conditionalFormatting sqref="H1089">
    <cfRule type="cellIs" dxfId="118" priority="37" stopIfTrue="1" operator="equal">
      <formula>"готов"</formula>
    </cfRule>
    <cfRule type="cellIs" dxfId="117" priority="38" stopIfTrue="1" operator="equal">
      <formula>"в работе"</formula>
    </cfRule>
    <cfRule type="cellIs" dxfId="116" priority="39" stopIfTrue="1" operator="equal">
      <formula>"вывезено"</formula>
    </cfRule>
  </conditionalFormatting>
  <conditionalFormatting sqref="H1089">
    <cfRule type="containsText" dxfId="115" priority="36" operator="containsText" text="Забронирован">
      <formula>NOT(ISERROR(SEARCH("Забронирован",H1089)))</formula>
    </cfRule>
  </conditionalFormatting>
  <conditionalFormatting sqref="H1090">
    <cfRule type="cellIs" dxfId="114" priority="33" operator="equal">
      <formula>"завезен"</formula>
    </cfRule>
  </conditionalFormatting>
  <conditionalFormatting sqref="H1090">
    <cfRule type="cellIs" dxfId="113" priority="34" operator="equal">
      <formula>"предварительная"</formula>
    </cfRule>
  </conditionalFormatting>
  <conditionalFormatting sqref="H1090">
    <cfRule type="cellIs" dxfId="112" priority="35" stopIfTrue="1" operator="equal">
      <formula>"отмена"</formula>
    </cfRule>
  </conditionalFormatting>
  <conditionalFormatting sqref="H1090">
    <cfRule type="cellIs" dxfId="111" priority="30" stopIfTrue="1" operator="equal">
      <formula>"готов"</formula>
    </cfRule>
    <cfRule type="cellIs" dxfId="110" priority="31" stopIfTrue="1" operator="equal">
      <formula>"в работе"</formula>
    </cfRule>
    <cfRule type="cellIs" dxfId="109" priority="32" stopIfTrue="1" operator="equal">
      <formula>"вывезено"</formula>
    </cfRule>
  </conditionalFormatting>
  <conditionalFormatting sqref="H1090">
    <cfRule type="containsText" dxfId="108" priority="29" operator="containsText" text="Забронирован">
      <formula>NOT(ISERROR(SEARCH("Забронирован",H1090)))</formula>
    </cfRule>
  </conditionalFormatting>
  <conditionalFormatting sqref="H1093">
    <cfRule type="cellIs" dxfId="107" priority="26" operator="equal">
      <formula>"завезен"</formula>
    </cfRule>
  </conditionalFormatting>
  <conditionalFormatting sqref="H1093">
    <cfRule type="cellIs" dxfId="106" priority="27" operator="equal">
      <formula>"предварительная"</formula>
    </cfRule>
  </conditionalFormatting>
  <conditionalFormatting sqref="H1093">
    <cfRule type="cellIs" dxfId="105" priority="28" stopIfTrue="1" operator="equal">
      <formula>"отмена"</formula>
    </cfRule>
  </conditionalFormatting>
  <conditionalFormatting sqref="H1093">
    <cfRule type="cellIs" dxfId="104" priority="23" stopIfTrue="1" operator="equal">
      <formula>"готов"</formula>
    </cfRule>
    <cfRule type="cellIs" dxfId="103" priority="24" stopIfTrue="1" operator="equal">
      <formula>"в работе"</formula>
    </cfRule>
    <cfRule type="cellIs" dxfId="102" priority="25" stopIfTrue="1" operator="equal">
      <formula>"вывезено"</formula>
    </cfRule>
  </conditionalFormatting>
  <conditionalFormatting sqref="H1093">
    <cfRule type="containsText" dxfId="101" priority="22" operator="containsText" text="Забронирован">
      <formula>NOT(ISERROR(SEARCH("Забронирован",H1093)))</formula>
    </cfRule>
  </conditionalFormatting>
  <conditionalFormatting sqref="H1094">
    <cfRule type="cellIs" dxfId="100" priority="19" operator="equal">
      <formula>"завезен"</formula>
    </cfRule>
  </conditionalFormatting>
  <conditionalFormatting sqref="H1094">
    <cfRule type="cellIs" dxfId="99" priority="20" operator="equal">
      <formula>"предварительная"</formula>
    </cfRule>
  </conditionalFormatting>
  <conditionalFormatting sqref="H1094">
    <cfRule type="cellIs" dxfId="98" priority="21" stopIfTrue="1" operator="equal">
      <formula>"отмена"</formula>
    </cfRule>
  </conditionalFormatting>
  <conditionalFormatting sqref="H1094">
    <cfRule type="cellIs" dxfId="97" priority="16" stopIfTrue="1" operator="equal">
      <formula>"готов"</formula>
    </cfRule>
    <cfRule type="cellIs" dxfId="96" priority="17" stopIfTrue="1" operator="equal">
      <formula>"в работе"</formula>
    </cfRule>
    <cfRule type="cellIs" dxfId="95" priority="18" stopIfTrue="1" operator="equal">
      <formula>"вывезено"</formula>
    </cfRule>
  </conditionalFormatting>
  <conditionalFormatting sqref="H1094">
    <cfRule type="containsText" dxfId="94" priority="15" operator="containsText" text="Забронирован">
      <formula>NOT(ISERROR(SEARCH("Забронирован",H1094)))</formula>
    </cfRule>
  </conditionalFormatting>
  <conditionalFormatting sqref="H1095">
    <cfRule type="cellIs" dxfId="93" priority="12" operator="equal">
      <formula>"завезен"</formula>
    </cfRule>
  </conditionalFormatting>
  <conditionalFormatting sqref="H1095">
    <cfRule type="cellIs" dxfId="92" priority="13" operator="equal">
      <formula>"предварительная"</formula>
    </cfRule>
  </conditionalFormatting>
  <conditionalFormatting sqref="H1095">
    <cfRule type="cellIs" dxfId="91" priority="14" stopIfTrue="1" operator="equal">
      <formula>"отмена"</formula>
    </cfRule>
  </conditionalFormatting>
  <conditionalFormatting sqref="H1095">
    <cfRule type="cellIs" dxfId="90" priority="9" stopIfTrue="1" operator="equal">
      <formula>"готов"</formula>
    </cfRule>
    <cfRule type="cellIs" dxfId="89" priority="10" stopIfTrue="1" operator="equal">
      <formula>"в работе"</formula>
    </cfRule>
    <cfRule type="cellIs" dxfId="88" priority="11" stopIfTrue="1" operator="equal">
      <formula>"вывезено"</formula>
    </cfRule>
  </conditionalFormatting>
  <conditionalFormatting sqref="H1095">
    <cfRule type="containsText" dxfId="87" priority="8" operator="containsText" text="Забронирован">
      <formula>NOT(ISERROR(SEARCH("Забронирован",H1095)))</formula>
    </cfRule>
  </conditionalFormatting>
  <conditionalFormatting sqref="H1096">
    <cfRule type="cellIs" dxfId="86" priority="5" operator="equal">
      <formula>"завезен"</formula>
    </cfRule>
  </conditionalFormatting>
  <conditionalFormatting sqref="H1096">
    <cfRule type="cellIs" dxfId="85" priority="6" operator="equal">
      <formula>"предварительная"</formula>
    </cfRule>
  </conditionalFormatting>
  <conditionalFormatting sqref="H1096">
    <cfRule type="cellIs" dxfId="84" priority="7" stopIfTrue="1" operator="equal">
      <formula>"отмена"</formula>
    </cfRule>
  </conditionalFormatting>
  <conditionalFormatting sqref="H1096">
    <cfRule type="cellIs" dxfId="83" priority="2" stopIfTrue="1" operator="equal">
      <formula>"готов"</formula>
    </cfRule>
    <cfRule type="cellIs" dxfId="82" priority="3" stopIfTrue="1" operator="equal">
      <formula>"в работе"</formula>
    </cfRule>
    <cfRule type="cellIs" dxfId="81" priority="4" stopIfTrue="1" operator="equal">
      <formula>"вывезено"</formula>
    </cfRule>
  </conditionalFormatting>
  <conditionalFormatting sqref="H1096">
    <cfRule type="containsText" dxfId="80" priority="1" operator="containsText" text="Забронирован">
      <formula>NOT(ISERROR(SEARCH("Забронирован",H1096)))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V1283"/>
  <sheetViews>
    <sheetView zoomScale="70" zoomScaleNormal="70" zoomScaleSheetLayoutView="70" workbookViewId="0">
      <pane ySplit="1" topLeftCell="A1263" activePane="bottomLeft" state="frozen"/>
      <selection pane="bottomLeft" sqref="A1:XFD1"/>
    </sheetView>
  </sheetViews>
  <sheetFormatPr defaultColWidth="8.85546875" defaultRowHeight="15.75" x14ac:dyDescent="0.25"/>
  <cols>
    <col min="1" max="1" width="13.28515625" style="25" customWidth="1"/>
    <col min="2" max="2" width="14.85546875" style="25" customWidth="1"/>
    <col min="3" max="3" width="31.140625" style="25" customWidth="1"/>
    <col min="4" max="4" width="10.42578125" style="25" customWidth="1"/>
    <col min="5" max="5" width="19.5703125" style="23" customWidth="1"/>
    <col min="6" max="6" width="13.140625" style="198" customWidth="1"/>
    <col min="7" max="7" width="11.5703125" style="198" customWidth="1"/>
    <col min="8" max="8" width="27.85546875" style="25" customWidth="1"/>
    <col min="9" max="9" width="15" style="25" customWidth="1"/>
    <col min="10" max="10" width="85.7109375" style="317" customWidth="1"/>
    <col min="11" max="11" width="11.85546875" style="14" customWidth="1"/>
    <col min="12" max="12" width="10.5703125" style="25" customWidth="1"/>
    <col min="13" max="13" width="14.140625" style="25" customWidth="1"/>
    <col min="14" max="14" width="11.140625" style="25" customWidth="1"/>
    <col min="15" max="15" width="15.85546875" style="25" customWidth="1"/>
    <col min="16" max="16" width="10.5703125" style="25" customWidth="1"/>
    <col min="17" max="17" width="12.28515625" style="25" customWidth="1"/>
    <col min="18" max="18" width="17.7109375" style="25" customWidth="1"/>
    <col min="19" max="19" width="10.42578125" style="25" customWidth="1"/>
    <col min="20" max="20" width="15.85546875" style="25" customWidth="1"/>
    <col min="21" max="21" width="12.42578125" style="25" customWidth="1"/>
    <col min="22" max="16384" width="8.85546875" style="25"/>
  </cols>
  <sheetData>
    <row r="1" spans="1:22" ht="68.45" customHeight="1" x14ac:dyDescent="0.2">
      <c r="A1" s="228" t="s">
        <v>0</v>
      </c>
      <c r="B1" s="229" t="s">
        <v>1</v>
      </c>
      <c r="C1" s="120" t="s">
        <v>2916</v>
      </c>
      <c r="D1" s="230" t="s">
        <v>3</v>
      </c>
      <c r="E1" s="186" t="s">
        <v>4</v>
      </c>
      <c r="F1" s="312" t="s">
        <v>4777</v>
      </c>
      <c r="G1" s="312" t="s">
        <v>4776</v>
      </c>
      <c r="H1" s="6" t="s">
        <v>5</v>
      </c>
      <c r="I1" s="231" t="s">
        <v>35</v>
      </c>
      <c r="J1" s="232" t="s">
        <v>2460</v>
      </c>
      <c r="K1" s="8" t="s">
        <v>1397</v>
      </c>
      <c r="L1" s="233" t="s">
        <v>3057</v>
      </c>
      <c r="M1" s="234" t="s">
        <v>6</v>
      </c>
      <c r="N1" s="235" t="s">
        <v>7</v>
      </c>
      <c r="O1" s="235" t="s">
        <v>8</v>
      </c>
      <c r="P1" s="235" t="s">
        <v>9</v>
      </c>
      <c r="Q1" s="235" t="s">
        <v>10</v>
      </c>
      <c r="R1" s="235" t="s">
        <v>1399</v>
      </c>
      <c r="S1" s="235" t="s">
        <v>11</v>
      </c>
      <c r="T1" s="247" t="s">
        <v>12</v>
      </c>
      <c r="U1" s="235" t="s">
        <v>20</v>
      </c>
      <c r="V1" s="236" t="s">
        <v>21</v>
      </c>
    </row>
    <row r="2" spans="1:22" ht="15.75" customHeight="1" x14ac:dyDescent="0.25">
      <c r="A2" s="151">
        <v>1</v>
      </c>
      <c r="B2" s="135" t="s">
        <v>13</v>
      </c>
      <c r="C2" s="133" t="s">
        <v>292</v>
      </c>
      <c r="D2" s="152">
        <v>44571</v>
      </c>
      <c r="E2" s="23" t="s">
        <v>23</v>
      </c>
      <c r="F2" s="23"/>
      <c r="G2" s="23"/>
      <c r="H2" s="135"/>
      <c r="I2" s="135"/>
      <c r="J2" s="153" t="s">
        <v>291</v>
      </c>
      <c r="K2" s="137">
        <v>873.6</v>
      </c>
      <c r="L2" s="154">
        <v>208</v>
      </c>
      <c r="M2" s="135">
        <v>0.3266</v>
      </c>
      <c r="N2" s="135">
        <v>0.84099999999999997</v>
      </c>
      <c r="O2" s="135">
        <v>285.31779999999998</v>
      </c>
      <c r="P2" s="135">
        <v>734.69759999999997</v>
      </c>
      <c r="Q2" s="135">
        <v>37.090000000000003</v>
      </c>
      <c r="R2" s="135">
        <v>102.88</v>
      </c>
      <c r="S2" s="135">
        <v>315</v>
      </c>
      <c r="T2" s="135">
        <v>89875.09</v>
      </c>
      <c r="U2" s="21"/>
      <c r="V2" s="21"/>
    </row>
    <row r="3" spans="1:22" ht="15.75" customHeight="1" x14ac:dyDescent="0.25">
      <c r="A3" s="151" t="s">
        <v>2477</v>
      </c>
      <c r="B3" s="135" t="s">
        <v>13</v>
      </c>
      <c r="C3" s="133" t="s">
        <v>313</v>
      </c>
      <c r="D3" s="152">
        <v>44571</v>
      </c>
      <c r="E3" s="23" t="s">
        <v>23</v>
      </c>
      <c r="F3" s="23"/>
      <c r="G3" s="23"/>
      <c r="H3" s="135"/>
      <c r="I3" s="135"/>
      <c r="J3" s="153" t="s">
        <v>422</v>
      </c>
      <c r="K3" s="154"/>
      <c r="L3" s="154">
        <v>38</v>
      </c>
      <c r="M3" s="135"/>
      <c r="N3" s="135"/>
      <c r="O3" s="135"/>
      <c r="P3" s="135"/>
      <c r="Q3" s="135"/>
      <c r="R3" s="135"/>
      <c r="S3" s="135"/>
      <c r="T3" s="135">
        <v>27000</v>
      </c>
      <c r="U3" s="21"/>
      <c r="V3" s="21"/>
    </row>
    <row r="4" spans="1:22" s="14" customFormat="1" ht="15.75" customHeight="1" x14ac:dyDescent="0.25">
      <c r="A4" s="140">
        <v>2</v>
      </c>
      <c r="B4" s="132" t="s">
        <v>34</v>
      </c>
      <c r="C4" s="133" t="s">
        <v>328</v>
      </c>
      <c r="D4" s="134">
        <v>44571</v>
      </c>
      <c r="E4" s="23" t="s">
        <v>23</v>
      </c>
      <c r="F4" s="23">
        <v>684</v>
      </c>
      <c r="G4" s="23"/>
      <c r="H4" s="132" t="s">
        <v>3081</v>
      </c>
      <c r="I4" s="132"/>
      <c r="J4" s="136" t="s">
        <v>650</v>
      </c>
      <c r="K4" s="137">
        <v>684</v>
      </c>
      <c r="L4" s="137">
        <v>114</v>
      </c>
      <c r="M4" s="132">
        <v>0.30919999999999997</v>
      </c>
      <c r="N4" s="132">
        <v>1.1000000000000001</v>
      </c>
      <c r="O4" s="132">
        <v>211.49279999999999</v>
      </c>
      <c r="P4" s="132">
        <v>752.4</v>
      </c>
      <c r="Q4" s="132">
        <v>27.49</v>
      </c>
      <c r="R4" s="132">
        <v>102.96</v>
      </c>
      <c r="S4" s="132">
        <v>333</v>
      </c>
      <c r="T4" s="132">
        <v>70427.100000000006</v>
      </c>
      <c r="U4" s="13"/>
      <c r="V4" s="13"/>
    </row>
    <row r="5" spans="1:22" ht="15.75" customHeight="1" x14ac:dyDescent="0.25">
      <c r="A5" s="151">
        <v>3</v>
      </c>
      <c r="B5" s="135" t="s">
        <v>13</v>
      </c>
      <c r="C5" s="133" t="s">
        <v>625</v>
      </c>
      <c r="D5" s="152">
        <v>44571</v>
      </c>
      <c r="E5" s="23" t="s">
        <v>23</v>
      </c>
      <c r="F5" s="23"/>
      <c r="G5" s="23"/>
      <c r="H5" s="135"/>
      <c r="I5" s="135"/>
      <c r="J5" s="155" t="s">
        <v>2161</v>
      </c>
      <c r="K5" s="154">
        <v>470</v>
      </c>
      <c r="L5" s="154">
        <v>100</v>
      </c>
      <c r="M5" s="135">
        <v>0.34810000000000002</v>
      </c>
      <c r="N5" s="135">
        <v>1.4930000000000001</v>
      </c>
      <c r="O5" s="135">
        <v>163.607</v>
      </c>
      <c r="P5" s="135">
        <v>701.71</v>
      </c>
      <c r="Q5" s="135">
        <v>21.27</v>
      </c>
      <c r="R5" s="135">
        <v>71.36</v>
      </c>
      <c r="S5" s="135">
        <v>205</v>
      </c>
      <c r="T5" s="135">
        <v>33539.199999999997</v>
      </c>
      <c r="U5" s="21"/>
      <c r="V5" s="21"/>
    </row>
    <row r="6" spans="1:22" ht="15.75" customHeight="1" x14ac:dyDescent="0.25">
      <c r="A6" s="151">
        <v>3</v>
      </c>
      <c r="B6" s="135" t="s">
        <v>13</v>
      </c>
      <c r="C6" s="133" t="s">
        <v>625</v>
      </c>
      <c r="D6" s="152">
        <v>44571</v>
      </c>
      <c r="E6" s="23" t="s">
        <v>23</v>
      </c>
      <c r="F6" s="23"/>
      <c r="G6" s="23"/>
      <c r="H6" s="135"/>
      <c r="I6" s="135"/>
      <c r="J6" s="155" t="s">
        <v>681</v>
      </c>
      <c r="K6" s="154">
        <v>719.1</v>
      </c>
      <c r="L6" s="154">
        <v>153</v>
      </c>
      <c r="M6" s="135">
        <v>0.34789999999999999</v>
      </c>
      <c r="N6" s="135">
        <v>1.643</v>
      </c>
      <c r="O6" s="135">
        <v>250.17490000000001</v>
      </c>
      <c r="P6" s="135">
        <v>1181.4812999999999</v>
      </c>
      <c r="Q6" s="135">
        <v>32.520000000000003</v>
      </c>
      <c r="R6" s="135">
        <v>71.319999999999993</v>
      </c>
      <c r="S6" s="135">
        <v>205</v>
      </c>
      <c r="T6" s="135">
        <v>51285.85</v>
      </c>
      <c r="U6" s="21"/>
      <c r="V6" s="21"/>
    </row>
    <row r="7" spans="1:22" s="14" customFormat="1" ht="15.75" customHeight="1" x14ac:dyDescent="0.25">
      <c r="A7" s="140">
        <v>4</v>
      </c>
      <c r="B7" s="132" t="s">
        <v>34</v>
      </c>
      <c r="C7" s="133" t="s">
        <v>553</v>
      </c>
      <c r="D7" s="134">
        <v>44571</v>
      </c>
      <c r="E7" s="23" t="s">
        <v>23</v>
      </c>
      <c r="F7" s="23"/>
      <c r="G7" s="23"/>
      <c r="H7" s="135"/>
      <c r="I7" s="132"/>
      <c r="J7" s="136" t="s">
        <v>2461</v>
      </c>
      <c r="K7" s="137">
        <v>1008</v>
      </c>
      <c r="L7" s="137">
        <v>168</v>
      </c>
      <c r="M7" s="132">
        <v>0.4803</v>
      </c>
      <c r="N7" s="132">
        <v>1.3580000000000001</v>
      </c>
      <c r="O7" s="132">
        <v>484.14240000000001</v>
      </c>
      <c r="P7" s="132">
        <v>1368.864</v>
      </c>
      <c r="Q7" s="132">
        <v>62.94</v>
      </c>
      <c r="R7" s="132">
        <v>134.47999999999999</v>
      </c>
      <c r="S7" s="132">
        <v>280</v>
      </c>
      <c r="T7" s="132">
        <v>135559.87</v>
      </c>
      <c r="U7" s="13"/>
      <c r="V7" s="13"/>
    </row>
    <row r="8" spans="1:22" s="14" customFormat="1" ht="30.75" customHeight="1" x14ac:dyDescent="0.25">
      <c r="A8" s="140" t="s">
        <v>2468</v>
      </c>
      <c r="B8" s="132" t="s">
        <v>34</v>
      </c>
      <c r="C8" s="133" t="s">
        <v>16</v>
      </c>
      <c r="D8" s="134">
        <v>44571</v>
      </c>
      <c r="E8" s="23" t="s">
        <v>23</v>
      </c>
      <c r="F8" s="23"/>
      <c r="G8" s="23"/>
      <c r="H8" s="119" t="s">
        <v>2895</v>
      </c>
      <c r="I8" s="132"/>
      <c r="J8" s="136" t="s">
        <v>2423</v>
      </c>
      <c r="K8" s="137">
        <v>588</v>
      </c>
      <c r="L8" s="137">
        <v>98</v>
      </c>
      <c r="M8" s="132">
        <v>0.29970000000000002</v>
      </c>
      <c r="N8" s="132">
        <v>1.6739999999999999</v>
      </c>
      <c r="O8" s="132">
        <v>176.2236</v>
      </c>
      <c r="P8" s="132">
        <v>984.31200000000001</v>
      </c>
      <c r="Q8" s="132">
        <v>22.91</v>
      </c>
      <c r="R8" s="132">
        <v>91.41</v>
      </c>
      <c r="S8" s="132">
        <v>305</v>
      </c>
      <c r="T8" s="132">
        <v>53749.08</v>
      </c>
      <c r="U8" s="13"/>
      <c r="V8" s="13"/>
    </row>
    <row r="9" spans="1:22" ht="15.75" customHeight="1" x14ac:dyDescent="0.25">
      <c r="A9" s="151">
        <v>5</v>
      </c>
      <c r="B9" s="135" t="s">
        <v>13</v>
      </c>
      <c r="C9" s="133" t="s">
        <v>663</v>
      </c>
      <c r="D9" s="152">
        <v>44571</v>
      </c>
      <c r="E9" s="23" t="s">
        <v>23</v>
      </c>
      <c r="F9" s="23"/>
      <c r="G9" s="23"/>
      <c r="H9" s="135" t="s">
        <v>2675</v>
      </c>
      <c r="I9" s="135"/>
      <c r="J9" s="153" t="s">
        <v>999</v>
      </c>
      <c r="K9" s="154">
        <v>1313</v>
      </c>
      <c r="L9" s="154">
        <v>202</v>
      </c>
      <c r="M9" s="135">
        <v>0.626</v>
      </c>
      <c r="N9" s="135">
        <v>2.1869999999999998</v>
      </c>
      <c r="O9" s="135">
        <v>821.93799999999999</v>
      </c>
      <c r="P9" s="135">
        <v>2871.5309999999999</v>
      </c>
      <c r="Q9" s="135">
        <v>106.85</v>
      </c>
      <c r="R9" s="135">
        <v>185.92</v>
      </c>
      <c r="S9" s="135">
        <v>250</v>
      </c>
      <c r="T9" s="135">
        <v>244115.59</v>
      </c>
      <c r="U9" s="21"/>
      <c r="V9" s="21"/>
    </row>
    <row r="10" spans="1:22" ht="31.15" customHeight="1" x14ac:dyDescent="0.25">
      <c r="A10" s="151" t="s">
        <v>2462</v>
      </c>
      <c r="B10" s="135" t="s">
        <v>13</v>
      </c>
      <c r="C10" s="133" t="s">
        <v>2399</v>
      </c>
      <c r="D10" s="152">
        <v>44571</v>
      </c>
      <c r="E10" s="23" t="s">
        <v>23</v>
      </c>
      <c r="F10" s="23"/>
      <c r="G10" s="23"/>
      <c r="H10" s="135"/>
      <c r="I10" s="135"/>
      <c r="J10" s="153" t="s">
        <v>2403</v>
      </c>
      <c r="K10" s="137"/>
      <c r="L10" s="154">
        <v>80</v>
      </c>
      <c r="M10" s="135"/>
      <c r="N10" s="135"/>
      <c r="O10" s="135"/>
      <c r="P10" s="135"/>
      <c r="Q10" s="135"/>
      <c r="R10" s="135"/>
      <c r="S10" s="135"/>
      <c r="T10" s="135">
        <v>11900</v>
      </c>
      <c r="U10" s="21"/>
      <c r="V10" s="21"/>
    </row>
    <row r="11" spans="1:22" ht="15.75" customHeight="1" x14ac:dyDescent="0.25">
      <c r="A11" s="151">
        <v>6</v>
      </c>
      <c r="B11" s="135" t="s">
        <v>13</v>
      </c>
      <c r="C11" s="133" t="s">
        <v>32</v>
      </c>
      <c r="D11" s="152">
        <v>44572</v>
      </c>
      <c r="E11" s="23" t="s">
        <v>23</v>
      </c>
      <c r="F11" s="23"/>
      <c r="G11" s="23"/>
      <c r="H11" s="135" t="s">
        <v>2748</v>
      </c>
      <c r="I11" s="135"/>
      <c r="J11" s="153" t="s">
        <v>1598</v>
      </c>
      <c r="K11" s="154">
        <v>2342.4</v>
      </c>
      <c r="L11" s="154">
        <v>384</v>
      </c>
      <c r="M11" s="135">
        <v>0.2651</v>
      </c>
      <c r="N11" s="135">
        <v>0.82099999999999995</v>
      </c>
      <c r="O11" s="135">
        <v>620.97019999999998</v>
      </c>
      <c r="P11" s="135">
        <v>1923.1104</v>
      </c>
      <c r="Q11" s="135">
        <v>80.73</v>
      </c>
      <c r="R11" s="135">
        <v>67.87</v>
      </c>
      <c r="S11" s="135">
        <v>256</v>
      </c>
      <c r="T11" s="135">
        <v>158968.38</v>
      </c>
      <c r="U11" s="21"/>
      <c r="V11" s="21"/>
    </row>
    <row r="12" spans="1:22" ht="15.75" customHeight="1" x14ac:dyDescent="0.25">
      <c r="A12" s="151">
        <v>6</v>
      </c>
      <c r="B12" s="135" t="s">
        <v>13</v>
      </c>
      <c r="C12" s="133" t="s">
        <v>32</v>
      </c>
      <c r="D12" s="152">
        <v>44572</v>
      </c>
      <c r="E12" s="23" t="s">
        <v>23</v>
      </c>
      <c r="F12" s="23"/>
      <c r="G12" s="23"/>
      <c r="H12" s="135"/>
      <c r="I12" s="135"/>
      <c r="J12" s="153" t="s">
        <v>1218</v>
      </c>
      <c r="K12" s="154">
        <v>1537</v>
      </c>
      <c r="L12" s="154">
        <v>290</v>
      </c>
      <c r="M12" s="135">
        <v>0.2651</v>
      </c>
      <c r="N12" s="135">
        <v>0.82099999999999995</v>
      </c>
      <c r="O12" s="135">
        <v>407.45870000000002</v>
      </c>
      <c r="P12" s="135">
        <v>1261.877</v>
      </c>
      <c r="Q12" s="135">
        <v>52.97</v>
      </c>
      <c r="R12" s="135">
        <v>54.35</v>
      </c>
      <c r="S12" s="135">
        <v>205</v>
      </c>
      <c r="T12" s="135">
        <v>83529.03</v>
      </c>
      <c r="U12" s="21"/>
      <c r="V12" s="21"/>
    </row>
    <row r="13" spans="1:22" ht="15.75" customHeight="1" x14ac:dyDescent="0.25">
      <c r="A13" s="151">
        <v>7</v>
      </c>
      <c r="B13" s="135" t="s">
        <v>13</v>
      </c>
      <c r="C13" s="133" t="s">
        <v>1879</v>
      </c>
      <c r="D13" s="152">
        <v>44572</v>
      </c>
      <c r="E13" s="23" t="s">
        <v>23</v>
      </c>
      <c r="F13" s="23"/>
      <c r="G13" s="23"/>
      <c r="H13" s="135"/>
      <c r="I13" s="135"/>
      <c r="J13" s="153" t="s">
        <v>2463</v>
      </c>
      <c r="K13" s="154">
        <v>9.75</v>
      </c>
      <c r="L13" s="154">
        <v>3</v>
      </c>
      <c r="M13" s="135">
        <v>0.307</v>
      </c>
      <c r="N13" s="135">
        <v>2.4540000000000002</v>
      </c>
      <c r="O13" s="135">
        <v>2.9933000000000001</v>
      </c>
      <c r="P13" s="135">
        <v>23.926500000000001</v>
      </c>
      <c r="Q13" s="135">
        <v>0.39</v>
      </c>
      <c r="R13" s="135">
        <v>93.63</v>
      </c>
      <c r="S13" s="135">
        <v>305</v>
      </c>
      <c r="T13" s="135">
        <v>912.94</v>
      </c>
      <c r="U13" s="21"/>
      <c r="V13" s="21"/>
    </row>
    <row r="14" spans="1:22" ht="15.75" customHeight="1" x14ac:dyDescent="0.25">
      <c r="A14" s="151">
        <v>8</v>
      </c>
      <c r="B14" s="135" t="s">
        <v>13</v>
      </c>
      <c r="C14" s="133" t="s">
        <v>32</v>
      </c>
      <c r="D14" s="152">
        <v>44572</v>
      </c>
      <c r="E14" s="23" t="s">
        <v>23</v>
      </c>
      <c r="F14" s="23"/>
      <c r="G14" s="23"/>
      <c r="H14" s="135"/>
      <c r="I14" s="135"/>
      <c r="J14" s="153" t="s">
        <v>1218</v>
      </c>
      <c r="K14" s="154">
        <v>1102.4000000000001</v>
      </c>
      <c r="L14" s="154">
        <v>208</v>
      </c>
      <c r="M14" s="135">
        <v>0.2651</v>
      </c>
      <c r="N14" s="135">
        <v>0.82099999999999995</v>
      </c>
      <c r="O14" s="135">
        <v>292.24619999999999</v>
      </c>
      <c r="P14" s="135">
        <v>905.07039999999995</v>
      </c>
      <c r="Q14" s="135">
        <v>37.99</v>
      </c>
      <c r="R14" s="135">
        <v>67.87</v>
      </c>
      <c r="S14" s="135">
        <v>256</v>
      </c>
      <c r="T14" s="135">
        <v>74815.039999999994</v>
      </c>
      <c r="U14" s="21"/>
      <c r="V14" s="21"/>
    </row>
    <row r="15" spans="1:22" ht="15.75" customHeight="1" x14ac:dyDescent="0.25">
      <c r="A15" s="151">
        <v>9</v>
      </c>
      <c r="B15" s="135" t="s">
        <v>13</v>
      </c>
      <c r="C15" s="133" t="s">
        <v>2466</v>
      </c>
      <c r="D15" s="152">
        <v>44572</v>
      </c>
      <c r="E15" s="23" t="s">
        <v>23</v>
      </c>
      <c r="F15" s="23"/>
      <c r="G15" s="23"/>
      <c r="H15" s="135"/>
      <c r="I15" s="135"/>
      <c r="J15" s="133" t="s">
        <v>149</v>
      </c>
      <c r="K15" s="138">
        <v>1260</v>
      </c>
      <c r="L15" s="154">
        <v>252</v>
      </c>
      <c r="M15" s="135">
        <v>0.18360000000000001</v>
      </c>
      <c r="N15" s="135">
        <v>0.39400000000000002</v>
      </c>
      <c r="O15" s="135">
        <v>231.33600000000001</v>
      </c>
      <c r="P15" s="135">
        <v>496.44</v>
      </c>
      <c r="Q15" s="135">
        <v>30.07</v>
      </c>
      <c r="R15" s="135">
        <v>56</v>
      </c>
      <c r="S15" s="135">
        <v>305</v>
      </c>
      <c r="T15" s="135">
        <v>70557.48</v>
      </c>
      <c r="U15" s="21"/>
      <c r="V15" s="21"/>
    </row>
    <row r="16" spans="1:22" ht="15.75" customHeight="1" x14ac:dyDescent="0.25">
      <c r="A16" s="151">
        <v>9</v>
      </c>
      <c r="B16" s="135" t="s">
        <v>13</v>
      </c>
      <c r="C16" s="133" t="s">
        <v>2466</v>
      </c>
      <c r="D16" s="152">
        <v>44572</v>
      </c>
      <c r="E16" s="23" t="s">
        <v>23</v>
      </c>
      <c r="F16" s="23"/>
      <c r="G16" s="23"/>
      <c r="H16" s="135" t="s">
        <v>2749</v>
      </c>
      <c r="I16" s="135"/>
      <c r="J16" s="133" t="s">
        <v>117</v>
      </c>
      <c r="K16" s="177">
        <v>1165</v>
      </c>
      <c r="L16" s="154">
        <v>233</v>
      </c>
      <c r="M16" s="135">
        <v>0.1734</v>
      </c>
      <c r="N16" s="135">
        <v>0.35099999999999998</v>
      </c>
      <c r="O16" s="135">
        <v>202.011</v>
      </c>
      <c r="P16" s="135">
        <v>408.91500000000002</v>
      </c>
      <c r="Q16" s="135">
        <v>26.26</v>
      </c>
      <c r="R16" s="135">
        <v>52.89</v>
      </c>
      <c r="S16" s="135">
        <v>305</v>
      </c>
      <c r="T16" s="135">
        <v>61613.36</v>
      </c>
      <c r="U16" s="21"/>
      <c r="V16" s="21"/>
    </row>
    <row r="17" spans="1:22" ht="15.75" customHeight="1" x14ac:dyDescent="0.25">
      <c r="A17" s="151">
        <v>9</v>
      </c>
      <c r="B17" s="135" t="s">
        <v>13</v>
      </c>
      <c r="C17" s="133" t="s">
        <v>2466</v>
      </c>
      <c r="D17" s="152">
        <v>44572</v>
      </c>
      <c r="E17" s="23" t="s">
        <v>23</v>
      </c>
      <c r="F17" s="23"/>
      <c r="G17" s="23"/>
      <c r="H17" s="135"/>
      <c r="I17" s="135"/>
      <c r="J17" s="133" t="s">
        <v>2465</v>
      </c>
      <c r="K17" s="177">
        <v>840</v>
      </c>
      <c r="L17" s="154">
        <v>168</v>
      </c>
      <c r="M17" s="135">
        <v>0.1147</v>
      </c>
      <c r="N17" s="135">
        <v>0.154</v>
      </c>
      <c r="O17" s="135">
        <v>96.347999999999999</v>
      </c>
      <c r="P17" s="135">
        <v>129.36000000000001</v>
      </c>
      <c r="Q17" s="135">
        <v>12.53</v>
      </c>
      <c r="R17" s="135">
        <v>32.69</v>
      </c>
      <c r="S17" s="135">
        <v>285</v>
      </c>
      <c r="T17" s="135">
        <v>27459.18</v>
      </c>
      <c r="U17" s="21"/>
      <c r="V17" s="21"/>
    </row>
    <row r="18" spans="1:22" s="14" customFormat="1" ht="15.75" customHeight="1" x14ac:dyDescent="0.25">
      <c r="A18" s="140" t="s">
        <v>2467</v>
      </c>
      <c r="B18" s="132" t="s">
        <v>34</v>
      </c>
      <c r="C18" s="133" t="s">
        <v>16</v>
      </c>
      <c r="D18" s="134">
        <v>44572</v>
      </c>
      <c r="E18" s="23" t="s">
        <v>23</v>
      </c>
      <c r="F18" s="23"/>
      <c r="G18" s="23"/>
      <c r="H18" s="132" t="s">
        <v>2471</v>
      </c>
      <c r="I18" s="132"/>
      <c r="J18" s="136" t="s">
        <v>2469</v>
      </c>
      <c r="K18" s="137">
        <v>54</v>
      </c>
      <c r="L18" s="137">
        <v>9</v>
      </c>
      <c r="M18" s="132">
        <v>0.70820000000000005</v>
      </c>
      <c r="N18" s="132">
        <v>3.4609999999999999</v>
      </c>
      <c r="O18" s="132">
        <v>38.242800000000003</v>
      </c>
      <c r="P18" s="132">
        <v>186.89400000000001</v>
      </c>
      <c r="Q18" s="132">
        <v>4.97</v>
      </c>
      <c r="R18" s="132">
        <v>216</v>
      </c>
      <c r="S18" s="132">
        <v>305</v>
      </c>
      <c r="T18" s="132">
        <v>11664.05</v>
      </c>
      <c r="U18" s="13"/>
      <c r="V18" s="13"/>
    </row>
    <row r="19" spans="1:22" ht="15.75" customHeight="1" x14ac:dyDescent="0.25">
      <c r="A19" s="151" t="s">
        <v>2470</v>
      </c>
      <c r="B19" s="135" t="s">
        <v>13</v>
      </c>
      <c r="C19" s="133" t="s">
        <v>284</v>
      </c>
      <c r="D19" s="152">
        <v>44572</v>
      </c>
      <c r="E19" s="23" t="s">
        <v>23</v>
      </c>
      <c r="F19" s="23"/>
      <c r="G19" s="23"/>
      <c r="H19" s="135"/>
      <c r="I19" s="135"/>
      <c r="J19" s="153" t="s">
        <v>65</v>
      </c>
      <c r="K19" s="154">
        <v>180</v>
      </c>
      <c r="L19" s="154">
        <v>60</v>
      </c>
      <c r="M19" s="135"/>
      <c r="N19" s="135"/>
      <c r="O19" s="135"/>
      <c r="P19" s="135"/>
      <c r="Q19" s="135"/>
      <c r="R19" s="135"/>
      <c r="S19" s="135"/>
      <c r="T19" s="135">
        <v>10860</v>
      </c>
      <c r="U19" s="21"/>
      <c r="V19" s="21"/>
    </row>
    <row r="20" spans="1:22" s="14" customFormat="1" ht="15.75" customHeight="1" x14ac:dyDescent="0.25">
      <c r="A20" s="140">
        <v>10</v>
      </c>
      <c r="B20" s="132" t="s">
        <v>34</v>
      </c>
      <c r="C20" s="133" t="s">
        <v>201</v>
      </c>
      <c r="D20" s="134">
        <v>44572</v>
      </c>
      <c r="E20" s="23" t="s">
        <v>23</v>
      </c>
      <c r="F20" s="23"/>
      <c r="G20" s="23"/>
      <c r="H20" s="132"/>
      <c r="I20" s="132"/>
      <c r="J20" s="136" t="s">
        <v>2423</v>
      </c>
      <c r="K20" s="137">
        <v>120</v>
      </c>
      <c r="L20" s="137">
        <v>20</v>
      </c>
      <c r="M20" s="132">
        <v>0.29970000000000002</v>
      </c>
      <c r="N20" s="132">
        <v>1.6739999999999999</v>
      </c>
      <c r="O20" s="132">
        <v>35.963999999999999</v>
      </c>
      <c r="P20" s="132">
        <v>200.88</v>
      </c>
      <c r="Q20" s="132">
        <v>4.68</v>
      </c>
      <c r="R20" s="132">
        <v>91.41</v>
      </c>
      <c r="S20" s="132">
        <v>305</v>
      </c>
      <c r="T20" s="132">
        <v>10969.02</v>
      </c>
      <c r="U20" s="13"/>
      <c r="V20" s="13"/>
    </row>
    <row r="21" spans="1:22" ht="15.75" customHeight="1" x14ac:dyDescent="0.25">
      <c r="A21" s="151" t="s">
        <v>2472</v>
      </c>
      <c r="B21" s="21" t="s">
        <v>13</v>
      </c>
      <c r="C21" s="22" t="s">
        <v>548</v>
      </c>
      <c r="D21" s="17">
        <v>44573</v>
      </c>
      <c r="E21" s="23" t="s">
        <v>23</v>
      </c>
      <c r="F21" s="23"/>
      <c r="G21" s="23"/>
      <c r="H21" s="21"/>
      <c r="I21" s="30"/>
      <c r="J21" s="156" t="s">
        <v>1509</v>
      </c>
      <c r="K21" s="157">
        <v>1032</v>
      </c>
      <c r="L21" s="157">
        <v>344</v>
      </c>
      <c r="M21" s="21"/>
      <c r="N21" s="21"/>
      <c r="O21" s="21"/>
      <c r="P21" s="21"/>
      <c r="Q21" s="21"/>
      <c r="R21" s="21"/>
      <c r="S21" s="21"/>
      <c r="T21" s="21" t="s">
        <v>2473</v>
      </c>
      <c r="U21" s="21"/>
      <c r="V21" s="21"/>
    </row>
    <row r="22" spans="1:22" ht="15.75" customHeight="1" x14ac:dyDescent="0.25">
      <c r="A22" s="151" t="s">
        <v>2472</v>
      </c>
      <c r="B22" s="21" t="s">
        <v>13</v>
      </c>
      <c r="C22" s="22" t="s">
        <v>548</v>
      </c>
      <c r="D22" s="17">
        <v>44573</v>
      </c>
      <c r="E22" s="23" t="s">
        <v>23</v>
      </c>
      <c r="F22" s="23">
        <f>4760+3331</f>
        <v>8091</v>
      </c>
      <c r="G22" s="23"/>
      <c r="H22" s="21" t="s">
        <v>2883</v>
      </c>
      <c r="I22" s="30"/>
      <c r="J22" s="156" t="s">
        <v>773</v>
      </c>
      <c r="K22" s="210">
        <v>40485</v>
      </c>
      <c r="L22" s="157">
        <v>8097</v>
      </c>
      <c r="M22" s="21"/>
      <c r="N22" s="21"/>
      <c r="O22" s="21"/>
      <c r="P22" s="21"/>
      <c r="Q22" s="21"/>
      <c r="R22" s="21"/>
      <c r="S22" s="21"/>
      <c r="T22" s="21" t="s">
        <v>2474</v>
      </c>
      <c r="U22" s="21"/>
      <c r="V22" s="21"/>
    </row>
    <row r="23" spans="1:22" s="14" customFormat="1" ht="15.75" customHeight="1" x14ac:dyDescent="0.25">
      <c r="A23" s="140">
        <v>13</v>
      </c>
      <c r="B23" s="13" t="s">
        <v>34</v>
      </c>
      <c r="C23" s="22" t="s">
        <v>328</v>
      </c>
      <c r="D23" s="29">
        <v>44574</v>
      </c>
      <c r="E23" s="23" t="s">
        <v>23</v>
      </c>
      <c r="F23" s="23">
        <v>288</v>
      </c>
      <c r="G23" s="23"/>
      <c r="H23" s="21" t="s">
        <v>3080</v>
      </c>
      <c r="I23" s="31"/>
      <c r="J23" s="84" t="s">
        <v>650</v>
      </c>
      <c r="K23" s="109">
        <v>312</v>
      </c>
      <c r="L23" s="109">
        <v>52</v>
      </c>
      <c r="M23" s="13">
        <v>0.30919999999999997</v>
      </c>
      <c r="N23" s="13">
        <v>1.1000000000000001</v>
      </c>
      <c r="O23" s="13">
        <v>96.470399999999998</v>
      </c>
      <c r="P23" s="13">
        <v>343.2</v>
      </c>
      <c r="Q23" s="13">
        <v>12.54</v>
      </c>
      <c r="R23" s="13">
        <v>102.96</v>
      </c>
      <c r="S23" s="13">
        <v>333</v>
      </c>
      <c r="T23" s="13">
        <v>32124.639999999999</v>
      </c>
      <c r="U23" s="13"/>
      <c r="V23" s="13"/>
    </row>
    <row r="24" spans="1:22" ht="15.75" customHeight="1" x14ac:dyDescent="0.25">
      <c r="A24" s="151" t="s">
        <v>2485</v>
      </c>
      <c r="B24" s="21" t="s">
        <v>13</v>
      </c>
      <c r="C24" s="22" t="s">
        <v>2399</v>
      </c>
      <c r="D24" s="17"/>
      <c r="E24" s="23" t="s">
        <v>23</v>
      </c>
      <c r="F24" s="23"/>
      <c r="G24" s="23"/>
      <c r="H24" s="21"/>
      <c r="I24" s="30"/>
      <c r="J24" s="153" t="s">
        <v>2403</v>
      </c>
      <c r="K24" s="137"/>
      <c r="L24" s="154">
        <v>80</v>
      </c>
      <c r="M24" s="135"/>
      <c r="N24" s="135"/>
      <c r="O24" s="135"/>
      <c r="P24" s="135"/>
      <c r="Q24" s="135"/>
      <c r="R24" s="135"/>
      <c r="S24" s="135"/>
      <c r="T24" s="135">
        <v>11900</v>
      </c>
      <c r="U24" s="21"/>
      <c r="V24" s="21"/>
    </row>
    <row r="25" spans="1:22" ht="30.75" customHeight="1" x14ac:dyDescent="0.25">
      <c r="A25" s="151" t="s">
        <v>2475</v>
      </c>
      <c r="B25" s="21" t="s">
        <v>13</v>
      </c>
      <c r="C25" s="22" t="s">
        <v>589</v>
      </c>
      <c r="D25" s="17">
        <v>44574</v>
      </c>
      <c r="E25" s="23" t="s">
        <v>23</v>
      </c>
      <c r="F25" s="23"/>
      <c r="G25" s="23"/>
      <c r="H25" s="21"/>
      <c r="I25" s="30"/>
      <c r="J25" s="156" t="s">
        <v>676</v>
      </c>
      <c r="K25" s="109"/>
      <c r="L25" s="157">
        <v>513</v>
      </c>
      <c r="M25" s="21"/>
      <c r="N25" s="21"/>
      <c r="O25" s="21"/>
      <c r="P25" s="21"/>
      <c r="Q25" s="21"/>
      <c r="R25" s="21"/>
      <c r="S25" s="21"/>
      <c r="T25" s="21" t="s">
        <v>2476</v>
      </c>
      <c r="U25" s="21"/>
      <c r="V25" s="21"/>
    </row>
    <row r="26" spans="1:22" ht="15.75" customHeight="1" x14ac:dyDescent="0.25">
      <c r="A26" s="151" t="s">
        <v>2478</v>
      </c>
      <c r="B26" s="135" t="s">
        <v>13</v>
      </c>
      <c r="C26" s="133" t="s">
        <v>313</v>
      </c>
      <c r="D26" s="17">
        <v>44574</v>
      </c>
      <c r="E26" s="23" t="s">
        <v>23</v>
      </c>
      <c r="F26" s="23"/>
      <c r="G26" s="23"/>
      <c r="H26" s="21"/>
      <c r="I26" s="30"/>
      <c r="J26" s="156" t="s">
        <v>422</v>
      </c>
      <c r="K26" s="109"/>
      <c r="L26" s="157">
        <v>38</v>
      </c>
      <c r="M26" s="21"/>
      <c r="N26" s="21"/>
      <c r="O26" s="21"/>
      <c r="P26" s="21"/>
      <c r="Q26" s="21"/>
      <c r="R26" s="21"/>
      <c r="S26" s="21"/>
      <c r="T26" s="21">
        <v>13500</v>
      </c>
      <c r="U26" s="21"/>
      <c r="V26" s="21"/>
    </row>
    <row r="27" spans="1:22" ht="15.75" customHeight="1" x14ac:dyDescent="0.25">
      <c r="A27" s="151">
        <v>14</v>
      </c>
      <c r="B27" s="135" t="s">
        <v>13</v>
      </c>
      <c r="C27" s="22" t="s">
        <v>663</v>
      </c>
      <c r="D27" s="17">
        <v>44574</v>
      </c>
      <c r="E27" s="23" t="s">
        <v>23</v>
      </c>
      <c r="F27" s="23"/>
      <c r="G27" s="23"/>
      <c r="H27" s="21"/>
      <c r="I27" s="30"/>
      <c r="J27" s="156" t="s">
        <v>630</v>
      </c>
      <c r="K27" s="157">
        <v>1235</v>
      </c>
      <c r="L27" s="157">
        <v>190</v>
      </c>
      <c r="M27" s="21">
        <v>0.54049999999999998</v>
      </c>
      <c r="N27" s="21">
        <v>2.0979999999999999</v>
      </c>
      <c r="O27" s="21">
        <v>667.51750000000004</v>
      </c>
      <c r="P27" s="21">
        <v>2591.0300000000002</v>
      </c>
      <c r="Q27" s="21">
        <v>86.78</v>
      </c>
      <c r="R27" s="21">
        <v>121.61</v>
      </c>
      <c r="S27" s="21">
        <v>250</v>
      </c>
      <c r="T27" s="21">
        <v>150188.35</v>
      </c>
      <c r="U27" s="21"/>
      <c r="V27" s="21"/>
    </row>
    <row r="28" spans="1:22" s="166" customFormat="1" ht="16.899999999999999" customHeight="1" x14ac:dyDescent="0.25">
      <c r="A28" s="151">
        <v>14</v>
      </c>
      <c r="B28" s="135" t="s">
        <v>13</v>
      </c>
      <c r="C28" s="133" t="s">
        <v>663</v>
      </c>
      <c r="D28" s="152">
        <v>44574</v>
      </c>
      <c r="E28" s="23" t="s">
        <v>23</v>
      </c>
      <c r="F28" s="23">
        <f>80+134</f>
        <v>214</v>
      </c>
      <c r="G28" s="23"/>
      <c r="H28" s="135"/>
      <c r="I28" s="152">
        <v>44613</v>
      </c>
      <c r="J28" s="153" t="s">
        <v>999</v>
      </c>
      <c r="K28" s="135">
        <v>1404</v>
      </c>
      <c r="L28" s="135">
        <v>216</v>
      </c>
      <c r="M28" s="135">
        <v>0.626</v>
      </c>
      <c r="N28" s="135">
        <v>2.1869999999999998</v>
      </c>
      <c r="O28" s="135">
        <v>878.904</v>
      </c>
      <c r="P28" s="135">
        <v>3070.5479999999998</v>
      </c>
      <c r="Q28" s="135">
        <v>114.26</v>
      </c>
      <c r="R28" s="135">
        <v>140.85</v>
      </c>
      <c r="S28" s="135">
        <v>250</v>
      </c>
      <c r="T28" s="135">
        <v>197753.4</v>
      </c>
      <c r="U28" s="135"/>
      <c r="V28" s="135"/>
    </row>
    <row r="29" spans="1:22" s="166" customFormat="1" ht="15.75" customHeight="1" x14ac:dyDescent="0.25">
      <c r="A29" s="151">
        <v>15</v>
      </c>
      <c r="B29" s="135" t="s">
        <v>13</v>
      </c>
      <c r="C29" s="135" t="s">
        <v>32</v>
      </c>
      <c r="D29" s="152">
        <v>44574</v>
      </c>
      <c r="E29" s="23" t="s">
        <v>23</v>
      </c>
      <c r="F29" s="23"/>
      <c r="G29" s="23"/>
      <c r="H29" s="135" t="s">
        <v>2522</v>
      </c>
      <c r="I29" s="135"/>
      <c r="J29" s="153" t="s">
        <v>2024</v>
      </c>
      <c r="K29" s="135">
        <v>1455</v>
      </c>
      <c r="L29" s="135">
        <v>300</v>
      </c>
      <c r="M29" s="135">
        <v>9.5600000000000004E-2</v>
      </c>
      <c r="N29" s="135">
        <v>0.16</v>
      </c>
      <c r="O29" s="135">
        <v>139.09800000000001</v>
      </c>
      <c r="P29" s="135">
        <v>232.8</v>
      </c>
      <c r="Q29" s="135">
        <v>18.079999999999998</v>
      </c>
      <c r="R29" s="135">
        <v>24.47</v>
      </c>
      <c r="S29" s="135">
        <v>256</v>
      </c>
      <c r="T29" s="135">
        <v>35609.089999999997</v>
      </c>
      <c r="U29" s="135"/>
      <c r="V29" s="135"/>
    </row>
    <row r="30" spans="1:22" s="166" customFormat="1" ht="15.75" customHeight="1" x14ac:dyDescent="0.25">
      <c r="A30" s="167">
        <v>15</v>
      </c>
      <c r="B30" s="135" t="s">
        <v>13</v>
      </c>
      <c r="C30" s="135" t="s">
        <v>32</v>
      </c>
      <c r="D30" s="168">
        <v>44574</v>
      </c>
      <c r="E30" s="23" t="s">
        <v>23</v>
      </c>
      <c r="F30" s="23"/>
      <c r="G30" s="23"/>
      <c r="H30" s="168" t="s">
        <v>2523</v>
      </c>
      <c r="I30" s="162"/>
      <c r="J30" s="169" t="s">
        <v>2024</v>
      </c>
      <c r="K30" s="162">
        <v>601.4</v>
      </c>
      <c r="L30" s="162">
        <v>124</v>
      </c>
      <c r="M30" s="162">
        <v>9.5600000000000004E-2</v>
      </c>
      <c r="N30" s="162">
        <v>0.16</v>
      </c>
      <c r="O30" s="162">
        <v>57.4938</v>
      </c>
      <c r="P30" s="162">
        <v>96.224000000000004</v>
      </c>
      <c r="Q30" s="162">
        <v>7.47</v>
      </c>
      <c r="R30" s="162">
        <v>37</v>
      </c>
      <c r="S30" s="162">
        <v>387</v>
      </c>
      <c r="T30" s="162">
        <v>22251.8</v>
      </c>
      <c r="U30" s="162"/>
      <c r="V30" s="162"/>
    </row>
    <row r="31" spans="1:22" s="166" customFormat="1" ht="15.75" customHeight="1" x14ac:dyDescent="0.25">
      <c r="A31" s="165" t="s">
        <v>2479</v>
      </c>
      <c r="B31" s="135" t="s">
        <v>13</v>
      </c>
      <c r="C31" s="135" t="s">
        <v>15</v>
      </c>
      <c r="D31" s="152">
        <v>44575</v>
      </c>
      <c r="E31" s="23" t="s">
        <v>23</v>
      </c>
      <c r="F31" s="23"/>
      <c r="G31" s="23"/>
      <c r="H31" s="135"/>
      <c r="I31" s="135"/>
      <c r="J31" s="153" t="s">
        <v>89</v>
      </c>
      <c r="K31" s="135"/>
      <c r="L31" s="135">
        <v>48</v>
      </c>
      <c r="M31" s="135"/>
      <c r="N31" s="135"/>
      <c r="O31" s="135"/>
      <c r="P31" s="135"/>
      <c r="Q31" s="135"/>
      <c r="R31" s="135"/>
      <c r="S31" s="135"/>
      <c r="T31" s="135">
        <v>34992</v>
      </c>
      <c r="U31" s="135"/>
      <c r="V31" s="135"/>
    </row>
    <row r="32" spans="1:22" s="166" customFormat="1" ht="15.75" customHeight="1" x14ac:dyDescent="0.25">
      <c r="A32" s="165" t="s">
        <v>2480</v>
      </c>
      <c r="B32" s="135" t="s">
        <v>13</v>
      </c>
      <c r="C32" s="135" t="s">
        <v>292</v>
      </c>
      <c r="D32" s="152">
        <v>44575</v>
      </c>
      <c r="E32" s="23" t="s">
        <v>23</v>
      </c>
      <c r="F32" s="23"/>
      <c r="G32" s="23"/>
      <c r="H32" s="135"/>
      <c r="I32" s="135"/>
      <c r="J32" s="153" t="s">
        <v>1325</v>
      </c>
      <c r="K32" s="135">
        <v>4475</v>
      </c>
      <c r="L32" s="135">
        <v>895</v>
      </c>
      <c r="M32" s="135"/>
      <c r="N32" s="135"/>
      <c r="O32" s="135"/>
      <c r="P32" s="135"/>
      <c r="Q32" s="135"/>
      <c r="R32" s="135"/>
      <c r="S32" s="135"/>
      <c r="T32" s="135">
        <v>131565</v>
      </c>
      <c r="U32" s="135"/>
      <c r="V32" s="135"/>
    </row>
    <row r="33" spans="1:22" s="166" customFormat="1" ht="30.75" customHeight="1" x14ac:dyDescent="0.25">
      <c r="A33" s="165" t="s">
        <v>2481</v>
      </c>
      <c r="B33" s="135" t="s">
        <v>34</v>
      </c>
      <c r="C33" s="135" t="s">
        <v>1884</v>
      </c>
      <c r="D33" s="152">
        <v>44575</v>
      </c>
      <c r="E33" s="23" t="s">
        <v>23</v>
      </c>
      <c r="F33" s="23"/>
      <c r="G33" s="23"/>
      <c r="H33" s="135"/>
      <c r="I33" s="135"/>
      <c r="J33" s="153" t="s">
        <v>253</v>
      </c>
      <c r="K33" s="135"/>
      <c r="L33" s="135"/>
      <c r="M33" s="135"/>
      <c r="N33" s="135"/>
      <c r="O33" s="135"/>
      <c r="P33" s="135"/>
      <c r="Q33" s="135"/>
      <c r="R33" s="135"/>
      <c r="S33" s="135"/>
      <c r="T33" s="135" t="s">
        <v>2482</v>
      </c>
      <c r="U33" s="135">
        <v>2</v>
      </c>
      <c r="V33" s="135"/>
    </row>
    <row r="34" spans="1:22" s="139" customFormat="1" ht="15.75" customHeight="1" x14ac:dyDescent="0.25">
      <c r="A34" s="140">
        <v>18</v>
      </c>
      <c r="B34" s="132" t="s">
        <v>34</v>
      </c>
      <c r="C34" s="132" t="s">
        <v>14</v>
      </c>
      <c r="D34" s="134">
        <v>44579</v>
      </c>
      <c r="E34" s="23" t="s">
        <v>23</v>
      </c>
      <c r="F34" s="23"/>
      <c r="G34" s="23"/>
      <c r="H34" s="132"/>
      <c r="I34" s="132"/>
      <c r="J34" s="136" t="s">
        <v>528</v>
      </c>
      <c r="K34" s="132">
        <v>4452</v>
      </c>
      <c r="L34" s="132">
        <v>840</v>
      </c>
      <c r="M34" s="132">
        <v>6.2700000000000006E-2</v>
      </c>
      <c r="N34" s="132">
        <v>0.122</v>
      </c>
      <c r="O34" s="132">
        <v>279.1404</v>
      </c>
      <c r="P34" s="132">
        <v>543.14400000000001</v>
      </c>
      <c r="Q34" s="132">
        <v>36.29</v>
      </c>
      <c r="R34" s="132">
        <v>19.12</v>
      </c>
      <c r="S34" s="132">
        <v>305</v>
      </c>
      <c r="T34" s="132">
        <v>85137.82</v>
      </c>
      <c r="U34" s="132"/>
      <c r="V34" s="132"/>
    </row>
    <row r="35" spans="1:22" s="166" customFormat="1" ht="15.75" customHeight="1" x14ac:dyDescent="0.25">
      <c r="A35" s="165" t="s">
        <v>2486</v>
      </c>
      <c r="B35" s="135" t="s">
        <v>13</v>
      </c>
      <c r="C35" s="135" t="s">
        <v>2399</v>
      </c>
      <c r="D35" s="152">
        <v>44578</v>
      </c>
      <c r="E35" s="23" t="s">
        <v>23</v>
      </c>
      <c r="F35" s="23"/>
      <c r="G35" s="23"/>
      <c r="H35" s="135"/>
      <c r="I35" s="135"/>
      <c r="J35" s="153" t="s">
        <v>2403</v>
      </c>
      <c r="K35" s="135"/>
      <c r="L35" s="135">
        <v>80</v>
      </c>
      <c r="M35" s="135"/>
      <c r="N35" s="135"/>
      <c r="O35" s="135"/>
      <c r="P35" s="135"/>
      <c r="Q35" s="135"/>
      <c r="R35" s="135"/>
      <c r="S35" s="135"/>
      <c r="T35" s="135">
        <v>11900</v>
      </c>
      <c r="U35" s="135"/>
      <c r="V35" s="135"/>
    </row>
    <row r="36" spans="1:22" s="166" customFormat="1" ht="15.75" customHeight="1" x14ac:dyDescent="0.25">
      <c r="A36" s="151">
        <v>19</v>
      </c>
      <c r="B36" s="135" t="s">
        <v>13</v>
      </c>
      <c r="C36" s="135" t="s">
        <v>292</v>
      </c>
      <c r="D36" s="152">
        <v>44578</v>
      </c>
      <c r="E36" s="23" t="s">
        <v>23</v>
      </c>
      <c r="F36" s="23"/>
      <c r="G36" s="23"/>
      <c r="H36" s="135"/>
      <c r="I36" s="135"/>
      <c r="J36" s="153" t="s">
        <v>291</v>
      </c>
      <c r="K36" s="135">
        <v>1159.2</v>
      </c>
      <c r="L36" s="135">
        <v>276</v>
      </c>
      <c r="M36" s="135">
        <v>0.3266</v>
      </c>
      <c r="N36" s="135">
        <v>0.84099999999999997</v>
      </c>
      <c r="O36" s="135">
        <v>378.59469999999999</v>
      </c>
      <c r="P36" s="135">
        <v>974.88720000000001</v>
      </c>
      <c r="Q36" s="135">
        <v>49.22</v>
      </c>
      <c r="R36" s="135">
        <v>102.88</v>
      </c>
      <c r="S36" s="135">
        <v>315</v>
      </c>
      <c r="T36" s="135">
        <v>119257.34</v>
      </c>
      <c r="U36" s="135"/>
      <c r="V36" s="135"/>
    </row>
    <row r="37" spans="1:22" s="166" customFormat="1" ht="15.75" customHeight="1" x14ac:dyDescent="0.25">
      <c r="A37" s="151">
        <v>21</v>
      </c>
      <c r="B37" s="135" t="s">
        <v>13</v>
      </c>
      <c r="C37" s="135" t="s">
        <v>45</v>
      </c>
      <c r="D37" s="152">
        <v>44578</v>
      </c>
      <c r="E37" s="23" t="s">
        <v>23</v>
      </c>
      <c r="F37" s="23"/>
      <c r="G37" s="23"/>
      <c r="H37" s="135"/>
      <c r="I37" s="135"/>
      <c r="J37" s="153" t="s">
        <v>58</v>
      </c>
      <c r="K37" s="132">
        <v>145.69999999999999</v>
      </c>
      <c r="L37" s="135">
        <v>47</v>
      </c>
      <c r="M37" s="135">
        <v>0.9929</v>
      </c>
      <c r="N37" s="135">
        <v>4.5880000000000001</v>
      </c>
      <c r="O37" s="135">
        <v>144.66550000000001</v>
      </c>
      <c r="P37" s="135">
        <v>668.47159999999997</v>
      </c>
      <c r="Q37" s="135">
        <v>18.809999999999999</v>
      </c>
      <c r="R37" s="135">
        <v>278.01</v>
      </c>
      <c r="S37" s="135">
        <v>280</v>
      </c>
      <c r="T37" s="135">
        <v>40506.35</v>
      </c>
      <c r="U37" s="135"/>
      <c r="V37" s="135"/>
    </row>
    <row r="38" spans="1:22" s="139" customFormat="1" ht="15.75" customHeight="1" x14ac:dyDescent="0.25">
      <c r="A38" s="140">
        <v>20</v>
      </c>
      <c r="B38" s="132" t="s">
        <v>34</v>
      </c>
      <c r="C38" s="132" t="s">
        <v>14</v>
      </c>
      <c r="D38" s="134">
        <v>44578</v>
      </c>
      <c r="E38" s="23" t="s">
        <v>677</v>
      </c>
      <c r="F38" s="23"/>
      <c r="G38" s="23"/>
      <c r="H38" s="132" t="s">
        <v>2492</v>
      </c>
      <c r="I38" s="132"/>
      <c r="J38" s="136" t="s">
        <v>488</v>
      </c>
      <c r="K38" s="132">
        <v>530.4</v>
      </c>
      <c r="L38" s="132">
        <v>104</v>
      </c>
      <c r="M38" s="132">
        <v>3.9300000000000002E-2</v>
      </c>
      <c r="N38" s="132">
        <v>7.8E-2</v>
      </c>
      <c r="O38" s="132">
        <v>20.8447</v>
      </c>
      <c r="P38" s="132">
        <v>41.371200000000002</v>
      </c>
      <c r="Q38" s="132">
        <v>2.71</v>
      </c>
      <c r="R38" s="132">
        <v>11.2</v>
      </c>
      <c r="S38" s="132">
        <v>285</v>
      </c>
      <c r="T38" s="132">
        <v>5940.75</v>
      </c>
      <c r="U38" s="132"/>
      <c r="V38" s="132"/>
    </row>
    <row r="39" spans="1:22" s="166" customFormat="1" ht="15.75" customHeight="1" x14ac:dyDescent="0.25">
      <c r="A39" s="151">
        <v>23</v>
      </c>
      <c r="B39" s="135" t="s">
        <v>13</v>
      </c>
      <c r="C39" s="135" t="s">
        <v>625</v>
      </c>
      <c r="D39" s="152">
        <v>44578</v>
      </c>
      <c r="E39" s="23" t="s">
        <v>23</v>
      </c>
      <c r="F39" s="23"/>
      <c r="G39" s="23"/>
      <c r="H39" s="135"/>
      <c r="I39" s="135"/>
      <c r="J39" s="153" t="s">
        <v>681</v>
      </c>
      <c r="K39" s="135">
        <v>564</v>
      </c>
      <c r="L39" s="135">
        <v>120</v>
      </c>
      <c r="M39" s="135">
        <v>0.34789999999999999</v>
      </c>
      <c r="N39" s="135">
        <v>1.643</v>
      </c>
      <c r="O39" s="135">
        <v>196.21559999999999</v>
      </c>
      <c r="P39" s="135">
        <v>926.65200000000004</v>
      </c>
      <c r="Q39" s="135">
        <v>25.51</v>
      </c>
      <c r="R39" s="135">
        <v>71.319999999999993</v>
      </c>
      <c r="S39" s="135">
        <v>205</v>
      </c>
      <c r="T39" s="135">
        <v>40224.480000000003</v>
      </c>
      <c r="U39" s="135"/>
      <c r="V39" s="135"/>
    </row>
    <row r="40" spans="1:22" s="166" customFormat="1" ht="15.75" customHeight="1" x14ac:dyDescent="0.25">
      <c r="A40" s="151" t="s">
        <v>2487</v>
      </c>
      <c r="B40" s="135" t="s">
        <v>34</v>
      </c>
      <c r="C40" s="135" t="s">
        <v>16</v>
      </c>
      <c r="D40" s="152">
        <v>44578</v>
      </c>
      <c r="E40" s="23" t="s">
        <v>23</v>
      </c>
      <c r="F40" s="23"/>
      <c r="G40" s="23"/>
      <c r="H40" s="135"/>
      <c r="I40" s="135"/>
      <c r="J40" s="153" t="s">
        <v>2423</v>
      </c>
      <c r="K40" s="135">
        <v>288</v>
      </c>
      <c r="L40" s="135">
        <v>48</v>
      </c>
      <c r="M40" s="135">
        <v>0.29970000000000002</v>
      </c>
      <c r="N40" s="135">
        <v>1.6739999999999999</v>
      </c>
      <c r="O40" s="135">
        <v>86.313599999999994</v>
      </c>
      <c r="P40" s="135">
        <v>482.11200000000002</v>
      </c>
      <c r="Q40" s="135">
        <v>11.22</v>
      </c>
      <c r="R40" s="135">
        <v>91.41</v>
      </c>
      <c r="S40" s="135">
        <v>305</v>
      </c>
      <c r="T40" s="135">
        <v>26325.65</v>
      </c>
      <c r="U40" s="135"/>
      <c r="V40" s="135"/>
    </row>
    <row r="41" spans="1:22" s="139" customFormat="1" ht="15.75" customHeight="1" x14ac:dyDescent="0.25">
      <c r="A41" s="140" t="s">
        <v>2488</v>
      </c>
      <c r="B41" s="132" t="s">
        <v>34</v>
      </c>
      <c r="C41" s="132" t="s">
        <v>16</v>
      </c>
      <c r="D41" s="134">
        <v>44578</v>
      </c>
      <c r="E41" s="23" t="s">
        <v>23</v>
      </c>
      <c r="F41" s="23"/>
      <c r="G41" s="23"/>
      <c r="H41" s="132"/>
      <c r="I41" s="134">
        <v>44683</v>
      </c>
      <c r="J41" s="136" t="s">
        <v>2469</v>
      </c>
      <c r="K41" s="132">
        <v>648</v>
      </c>
      <c r="L41" s="132">
        <v>108</v>
      </c>
      <c r="M41" s="132">
        <v>0.70820000000000005</v>
      </c>
      <c r="N41" s="132">
        <v>3.4609999999999999</v>
      </c>
      <c r="O41" s="132">
        <v>458.91359999999997</v>
      </c>
      <c r="P41" s="132">
        <v>2242.7280000000001</v>
      </c>
      <c r="Q41" s="132">
        <v>59.66</v>
      </c>
      <c r="R41" s="132">
        <v>216</v>
      </c>
      <c r="S41" s="132">
        <v>305</v>
      </c>
      <c r="T41" s="132">
        <v>139968.65</v>
      </c>
      <c r="U41" s="132"/>
      <c r="V41" s="132"/>
    </row>
    <row r="42" spans="1:22" s="166" customFormat="1" ht="15.75" customHeight="1" x14ac:dyDescent="0.25">
      <c r="A42" s="151">
        <v>24</v>
      </c>
      <c r="B42" s="135" t="s">
        <v>13</v>
      </c>
      <c r="C42" s="135" t="s">
        <v>625</v>
      </c>
      <c r="D42" s="152">
        <v>44578</v>
      </c>
      <c r="E42" s="23" t="s">
        <v>23</v>
      </c>
      <c r="F42" s="23"/>
      <c r="G42" s="23"/>
      <c r="H42" s="135"/>
      <c r="I42" s="135"/>
      <c r="J42" s="153" t="s">
        <v>2316</v>
      </c>
      <c r="K42" s="135">
        <v>625.5</v>
      </c>
      <c r="L42" s="135">
        <v>139</v>
      </c>
      <c r="M42" s="135">
        <v>0.13400000000000001</v>
      </c>
      <c r="N42" s="135">
        <v>0.23200000000000001</v>
      </c>
      <c r="O42" s="135">
        <v>83.816999999999993</v>
      </c>
      <c r="P42" s="135">
        <v>145.11600000000001</v>
      </c>
      <c r="Q42" s="135">
        <v>10.9</v>
      </c>
      <c r="R42" s="135">
        <v>40.869999999999997</v>
      </c>
      <c r="S42" s="135">
        <v>305</v>
      </c>
      <c r="T42" s="135">
        <v>25564.19</v>
      </c>
      <c r="U42" s="135"/>
      <c r="V42" s="135"/>
    </row>
    <row r="43" spans="1:22" ht="15.75" customHeight="1" x14ac:dyDescent="0.25">
      <c r="A43" s="167">
        <v>25</v>
      </c>
      <c r="B43" s="162" t="s">
        <v>13</v>
      </c>
      <c r="C43" s="162" t="s">
        <v>32</v>
      </c>
      <c r="D43" s="168">
        <v>44578</v>
      </c>
      <c r="E43" s="23" t="s">
        <v>23</v>
      </c>
      <c r="F43" s="23">
        <v>227</v>
      </c>
      <c r="G43" s="23"/>
      <c r="H43" s="162"/>
      <c r="I43" s="162"/>
      <c r="J43" s="169" t="s">
        <v>1218</v>
      </c>
      <c r="K43" s="162">
        <v>1203.0999999999999</v>
      </c>
      <c r="L43" s="162">
        <v>227</v>
      </c>
      <c r="M43" s="162">
        <v>0.2651</v>
      </c>
      <c r="N43" s="162">
        <v>0.82099999999999995</v>
      </c>
      <c r="O43" s="162">
        <v>318.9418</v>
      </c>
      <c r="P43" s="162">
        <v>987.74509999999998</v>
      </c>
      <c r="Q43" s="162">
        <v>41.46</v>
      </c>
      <c r="R43" s="162">
        <v>67.87</v>
      </c>
      <c r="S43" s="162">
        <v>256</v>
      </c>
      <c r="T43" s="162">
        <v>81649.100000000006</v>
      </c>
      <c r="U43" s="162"/>
      <c r="V43" s="162"/>
    </row>
    <row r="44" spans="1:22" ht="15.75" customHeight="1" x14ac:dyDescent="0.25">
      <c r="A44" s="167">
        <v>25</v>
      </c>
      <c r="B44" s="162" t="s">
        <v>13</v>
      </c>
      <c r="C44" s="162" t="s">
        <v>32</v>
      </c>
      <c r="D44" s="168">
        <v>44578</v>
      </c>
      <c r="E44" s="23" t="s">
        <v>23</v>
      </c>
      <c r="F44" s="23">
        <v>74</v>
      </c>
      <c r="G44" s="23"/>
      <c r="H44" s="162"/>
      <c r="I44" s="162"/>
      <c r="J44" s="169" t="s">
        <v>1598</v>
      </c>
      <c r="K44" s="162">
        <v>463.6</v>
      </c>
      <c r="L44" s="162">
        <v>76</v>
      </c>
      <c r="M44" s="162">
        <v>0.2651</v>
      </c>
      <c r="N44" s="162">
        <v>0.82099999999999995</v>
      </c>
      <c r="O44" s="162">
        <v>122.9004</v>
      </c>
      <c r="P44" s="162">
        <v>380.61559999999997</v>
      </c>
      <c r="Q44" s="162">
        <v>15.98</v>
      </c>
      <c r="R44" s="162">
        <v>67.87</v>
      </c>
      <c r="S44" s="162">
        <v>256</v>
      </c>
      <c r="T44" s="162">
        <v>31462.49</v>
      </c>
      <c r="U44" s="162"/>
      <c r="V44" s="162"/>
    </row>
    <row r="45" spans="1:22" ht="15.75" customHeight="1" x14ac:dyDescent="0.25">
      <c r="A45" s="167">
        <v>26</v>
      </c>
      <c r="B45" s="162" t="s">
        <v>13</v>
      </c>
      <c r="C45" s="162" t="s">
        <v>32</v>
      </c>
      <c r="D45" s="168">
        <v>44578</v>
      </c>
      <c r="E45" s="23" t="s">
        <v>23</v>
      </c>
      <c r="F45" s="23"/>
      <c r="G45" s="23"/>
      <c r="H45" s="162"/>
      <c r="I45" s="168">
        <v>44610</v>
      </c>
      <c r="J45" s="169" t="s">
        <v>2024</v>
      </c>
      <c r="K45" s="149">
        <v>92.15</v>
      </c>
      <c r="L45" s="162">
        <v>19</v>
      </c>
      <c r="M45" s="162">
        <v>9.5600000000000004E-2</v>
      </c>
      <c r="N45" s="162">
        <v>0.16</v>
      </c>
      <c r="O45" s="162">
        <v>8.8094999999999999</v>
      </c>
      <c r="P45" s="162">
        <v>14.744</v>
      </c>
      <c r="Q45" s="162">
        <v>1.1499999999999999</v>
      </c>
      <c r="R45" s="162">
        <v>37</v>
      </c>
      <c r="S45" s="162">
        <v>387</v>
      </c>
      <c r="T45" s="162">
        <v>3409.29</v>
      </c>
      <c r="U45" s="162"/>
      <c r="V45" s="162"/>
    </row>
    <row r="46" spans="1:22" ht="15.75" customHeight="1" x14ac:dyDescent="0.25">
      <c r="A46" s="167" t="s">
        <v>2490</v>
      </c>
      <c r="B46" s="162" t="s">
        <v>13</v>
      </c>
      <c r="C46" s="162" t="s">
        <v>2489</v>
      </c>
      <c r="D46" s="168">
        <v>44578</v>
      </c>
      <c r="E46" s="23" t="s">
        <v>23</v>
      </c>
      <c r="F46" s="23"/>
      <c r="G46" s="23"/>
      <c r="H46" s="162"/>
      <c r="I46" s="162"/>
      <c r="J46" s="169" t="s">
        <v>803</v>
      </c>
      <c r="K46" s="162"/>
      <c r="L46" s="162">
        <v>48</v>
      </c>
      <c r="M46" s="162"/>
      <c r="N46" s="162"/>
      <c r="O46" s="162"/>
      <c r="P46" s="162"/>
      <c r="Q46" s="162"/>
      <c r="R46" s="162"/>
      <c r="S46" s="162"/>
      <c r="T46" s="162">
        <v>9450</v>
      </c>
      <c r="U46" s="162"/>
      <c r="V46" s="162"/>
    </row>
    <row r="47" spans="1:22" ht="15.75" customHeight="1" x14ac:dyDescent="0.25">
      <c r="A47" s="167" t="s">
        <v>2491</v>
      </c>
      <c r="B47" s="162" t="s">
        <v>13</v>
      </c>
      <c r="C47" s="162" t="s">
        <v>30</v>
      </c>
      <c r="D47" s="168">
        <v>44579</v>
      </c>
      <c r="E47" s="23" t="s">
        <v>23</v>
      </c>
      <c r="F47" s="23"/>
      <c r="G47" s="23"/>
      <c r="H47" s="162"/>
      <c r="I47" s="162"/>
      <c r="J47" s="169" t="s">
        <v>215</v>
      </c>
      <c r="K47" s="142"/>
      <c r="L47" s="162">
        <v>12</v>
      </c>
      <c r="M47" s="162"/>
      <c r="N47" s="162"/>
      <c r="O47" s="162"/>
      <c r="P47" s="162"/>
      <c r="Q47" s="162"/>
      <c r="R47" s="162"/>
      <c r="S47" s="162"/>
      <c r="T47" s="162" t="s">
        <v>1556</v>
      </c>
      <c r="U47" s="162"/>
      <c r="V47" s="162"/>
    </row>
    <row r="48" spans="1:22" ht="15.75" customHeight="1" x14ac:dyDescent="0.25">
      <c r="A48" s="167" t="s">
        <v>2491</v>
      </c>
      <c r="B48" s="162" t="s">
        <v>13</v>
      </c>
      <c r="C48" s="162" t="s">
        <v>30</v>
      </c>
      <c r="D48" s="168">
        <v>44579</v>
      </c>
      <c r="E48" s="23" t="s">
        <v>23</v>
      </c>
      <c r="F48" s="23"/>
      <c r="G48" s="23"/>
      <c r="H48" s="162"/>
      <c r="I48" s="162"/>
      <c r="J48" s="169" t="s">
        <v>216</v>
      </c>
      <c r="K48" s="142"/>
      <c r="L48" s="162">
        <v>12</v>
      </c>
      <c r="M48" s="162"/>
      <c r="N48" s="162"/>
      <c r="O48" s="162"/>
      <c r="P48" s="162"/>
      <c r="Q48" s="162"/>
      <c r="R48" s="162"/>
      <c r="S48" s="162"/>
      <c r="T48" s="162" t="s">
        <v>470</v>
      </c>
      <c r="U48" s="162"/>
      <c r="V48" s="162"/>
    </row>
    <row r="49" spans="1:22" ht="15.75" customHeight="1" x14ac:dyDescent="0.25">
      <c r="A49" s="167" t="s">
        <v>2491</v>
      </c>
      <c r="B49" s="162" t="s">
        <v>13</v>
      </c>
      <c r="C49" s="162" t="s">
        <v>30</v>
      </c>
      <c r="D49" s="168">
        <v>44579</v>
      </c>
      <c r="E49" s="23" t="s">
        <v>23</v>
      </c>
      <c r="F49" s="23"/>
      <c r="G49" s="23"/>
      <c r="H49" s="162"/>
      <c r="I49" s="162"/>
      <c r="J49" s="169" t="s">
        <v>219</v>
      </c>
      <c r="K49" s="142"/>
      <c r="L49" s="162">
        <v>12</v>
      </c>
      <c r="M49" s="162"/>
      <c r="N49" s="162"/>
      <c r="O49" s="162"/>
      <c r="P49" s="162"/>
      <c r="Q49" s="162"/>
      <c r="R49" s="162"/>
      <c r="S49" s="162"/>
      <c r="T49" s="162" t="s">
        <v>469</v>
      </c>
      <c r="U49" s="162"/>
      <c r="V49" s="162"/>
    </row>
    <row r="50" spans="1:22" ht="15.75" customHeight="1" x14ac:dyDescent="0.25">
      <c r="A50" s="167" t="s">
        <v>2491</v>
      </c>
      <c r="B50" s="162" t="s">
        <v>13</v>
      </c>
      <c r="C50" s="162" t="s">
        <v>30</v>
      </c>
      <c r="D50" s="168">
        <v>44579</v>
      </c>
      <c r="E50" s="23" t="s">
        <v>23</v>
      </c>
      <c r="F50" s="23"/>
      <c r="G50" s="23"/>
      <c r="H50" s="162"/>
      <c r="I50" s="162"/>
      <c r="J50" s="169" t="s">
        <v>220</v>
      </c>
      <c r="K50" s="142"/>
      <c r="L50" s="162">
        <v>12</v>
      </c>
      <c r="M50" s="162"/>
      <c r="N50" s="162"/>
      <c r="O50" s="162"/>
      <c r="P50" s="162"/>
      <c r="Q50" s="162"/>
      <c r="R50" s="162"/>
      <c r="S50" s="162"/>
      <c r="T50" s="162" t="s">
        <v>245</v>
      </c>
      <c r="U50" s="162"/>
      <c r="V50" s="162"/>
    </row>
    <row r="51" spans="1:22" ht="15.75" customHeight="1" x14ac:dyDescent="0.25">
      <c r="A51" s="167" t="s">
        <v>2491</v>
      </c>
      <c r="B51" s="162" t="s">
        <v>13</v>
      </c>
      <c r="C51" s="162" t="s">
        <v>30</v>
      </c>
      <c r="D51" s="168">
        <v>44579</v>
      </c>
      <c r="E51" s="23" t="s">
        <v>23</v>
      </c>
      <c r="F51" s="23"/>
      <c r="G51" s="23"/>
      <c r="H51" s="162"/>
      <c r="I51" s="162"/>
      <c r="J51" s="169" t="s">
        <v>214</v>
      </c>
      <c r="K51" s="142"/>
      <c r="L51" s="162">
        <v>12</v>
      </c>
      <c r="M51" s="162"/>
      <c r="N51" s="162"/>
      <c r="O51" s="162"/>
      <c r="P51" s="162"/>
      <c r="Q51" s="162"/>
      <c r="R51" s="162"/>
      <c r="S51" s="162"/>
      <c r="T51" s="162" t="s">
        <v>2003</v>
      </c>
      <c r="U51" s="162"/>
      <c r="V51" s="162"/>
    </row>
    <row r="52" spans="1:22" ht="15.75" customHeight="1" x14ac:dyDescent="0.25">
      <c r="A52" s="167" t="s">
        <v>2494</v>
      </c>
      <c r="B52" s="162" t="s">
        <v>13</v>
      </c>
      <c r="C52" s="162" t="s">
        <v>30</v>
      </c>
      <c r="D52" s="168">
        <v>44579</v>
      </c>
      <c r="E52" s="23" t="s">
        <v>23</v>
      </c>
      <c r="F52" s="23"/>
      <c r="G52" s="23"/>
      <c r="H52" s="162"/>
      <c r="I52" s="162"/>
      <c r="J52" s="169" t="s">
        <v>568</v>
      </c>
      <c r="K52" s="162"/>
      <c r="L52" s="162">
        <v>2</v>
      </c>
      <c r="M52" s="162"/>
      <c r="N52" s="162"/>
      <c r="O52" s="162"/>
      <c r="P52" s="162"/>
      <c r="Q52" s="162"/>
      <c r="R52" s="162"/>
      <c r="S52" s="162"/>
      <c r="T52" s="162" t="s">
        <v>2497</v>
      </c>
      <c r="U52" s="162"/>
      <c r="V52" s="162"/>
    </row>
    <row r="53" spans="1:22" ht="15.75" customHeight="1" x14ac:dyDescent="0.25">
      <c r="A53" s="167" t="s">
        <v>2494</v>
      </c>
      <c r="B53" s="162" t="s">
        <v>13</v>
      </c>
      <c r="C53" s="162" t="s">
        <v>30</v>
      </c>
      <c r="D53" s="168">
        <v>44579</v>
      </c>
      <c r="E53" s="23" t="s">
        <v>23</v>
      </c>
      <c r="F53" s="23"/>
      <c r="G53" s="23"/>
      <c r="H53" s="162"/>
      <c r="I53" s="162"/>
      <c r="J53" s="169" t="s">
        <v>742</v>
      </c>
      <c r="K53" s="162"/>
      <c r="L53" s="162">
        <v>12</v>
      </c>
      <c r="M53" s="162"/>
      <c r="N53" s="162"/>
      <c r="O53" s="162"/>
      <c r="P53" s="162"/>
      <c r="Q53" s="162"/>
      <c r="R53" s="162"/>
      <c r="S53" s="162"/>
      <c r="T53" s="162" t="s">
        <v>1108</v>
      </c>
      <c r="U53" s="162"/>
      <c r="V53" s="162"/>
    </row>
    <row r="54" spans="1:22" ht="15.75" customHeight="1" x14ac:dyDescent="0.25">
      <c r="A54" s="167" t="s">
        <v>2494</v>
      </c>
      <c r="B54" s="162" t="s">
        <v>13</v>
      </c>
      <c r="C54" s="162" t="s">
        <v>30</v>
      </c>
      <c r="D54" s="168">
        <v>44579</v>
      </c>
      <c r="E54" s="23" t="s">
        <v>23</v>
      </c>
      <c r="F54" s="23"/>
      <c r="G54" s="23"/>
      <c r="H54" s="162"/>
      <c r="I54" s="162"/>
      <c r="J54" s="169" t="s">
        <v>730</v>
      </c>
      <c r="K54" s="162"/>
      <c r="L54" s="162">
        <v>2</v>
      </c>
      <c r="M54" s="162"/>
      <c r="N54" s="162"/>
      <c r="O54" s="162"/>
      <c r="P54" s="162"/>
      <c r="Q54" s="162"/>
      <c r="R54" s="162"/>
      <c r="S54" s="162"/>
      <c r="T54" s="162" t="s">
        <v>2498</v>
      </c>
      <c r="U54" s="162"/>
      <c r="V54" s="162"/>
    </row>
    <row r="55" spans="1:22" ht="15.75" customHeight="1" x14ac:dyDescent="0.25">
      <c r="A55" s="167" t="s">
        <v>2494</v>
      </c>
      <c r="B55" s="162" t="s">
        <v>13</v>
      </c>
      <c r="C55" s="162" t="s">
        <v>30</v>
      </c>
      <c r="D55" s="168">
        <v>44579</v>
      </c>
      <c r="E55" s="23" t="s">
        <v>23</v>
      </c>
      <c r="F55" s="23"/>
      <c r="G55" s="23"/>
      <c r="H55" s="162"/>
      <c r="I55" s="162"/>
      <c r="J55" s="169" t="s">
        <v>731</v>
      </c>
      <c r="K55" s="162"/>
      <c r="L55" s="162">
        <v>38</v>
      </c>
      <c r="M55" s="162"/>
      <c r="N55" s="162"/>
      <c r="O55" s="162"/>
      <c r="P55" s="162"/>
      <c r="Q55" s="162"/>
      <c r="R55" s="162"/>
      <c r="S55" s="162"/>
      <c r="T55" s="162" t="s">
        <v>2499</v>
      </c>
      <c r="U55" s="162"/>
      <c r="V55" s="162"/>
    </row>
    <row r="56" spans="1:22" ht="15.75" customHeight="1" x14ac:dyDescent="0.25">
      <c r="A56" s="167" t="s">
        <v>2494</v>
      </c>
      <c r="B56" s="162" t="s">
        <v>13</v>
      </c>
      <c r="C56" s="162" t="s">
        <v>30</v>
      </c>
      <c r="D56" s="168">
        <v>44579</v>
      </c>
      <c r="E56" s="23" t="s">
        <v>23</v>
      </c>
      <c r="F56" s="23"/>
      <c r="G56" s="23"/>
      <c r="H56" s="162"/>
      <c r="I56" s="162"/>
      <c r="J56" s="169" t="s">
        <v>732</v>
      </c>
      <c r="K56" s="162"/>
      <c r="L56" s="162">
        <v>2</v>
      </c>
      <c r="M56" s="162"/>
      <c r="N56" s="162"/>
      <c r="O56" s="162"/>
      <c r="P56" s="162"/>
      <c r="Q56" s="162"/>
      <c r="R56" s="162"/>
      <c r="S56" s="162"/>
      <c r="T56" s="162" t="s">
        <v>2500</v>
      </c>
      <c r="U56" s="162"/>
      <c r="V56" s="162"/>
    </row>
    <row r="57" spans="1:22" ht="15.75" customHeight="1" x14ac:dyDescent="0.25">
      <c r="A57" s="167" t="s">
        <v>2494</v>
      </c>
      <c r="B57" s="162" t="s">
        <v>13</v>
      </c>
      <c r="C57" s="162" t="s">
        <v>30</v>
      </c>
      <c r="D57" s="168">
        <v>44579</v>
      </c>
      <c r="E57" s="23" t="s">
        <v>23</v>
      </c>
      <c r="F57" s="23"/>
      <c r="G57" s="23"/>
      <c r="H57" s="162"/>
      <c r="I57" s="162"/>
      <c r="J57" s="169" t="s">
        <v>440</v>
      </c>
      <c r="K57" s="162"/>
      <c r="L57" s="162">
        <v>2</v>
      </c>
      <c r="M57" s="162"/>
      <c r="N57" s="162"/>
      <c r="O57" s="162"/>
      <c r="P57" s="162"/>
      <c r="Q57" s="162"/>
      <c r="R57" s="162"/>
      <c r="S57" s="162"/>
      <c r="T57" s="162" t="s">
        <v>2501</v>
      </c>
      <c r="U57" s="162"/>
      <c r="V57" s="162"/>
    </row>
    <row r="58" spans="1:22" ht="15.75" customHeight="1" x14ac:dyDescent="0.25">
      <c r="A58" s="167" t="s">
        <v>2494</v>
      </c>
      <c r="B58" s="162" t="s">
        <v>13</v>
      </c>
      <c r="C58" s="162" t="s">
        <v>30</v>
      </c>
      <c r="D58" s="168">
        <v>44579</v>
      </c>
      <c r="E58" s="23" t="s">
        <v>23</v>
      </c>
      <c r="F58" s="23"/>
      <c r="G58" s="23"/>
      <c r="H58" s="162"/>
      <c r="I58" s="162"/>
      <c r="J58" s="169" t="s">
        <v>743</v>
      </c>
      <c r="K58" s="162"/>
      <c r="L58" s="162">
        <v>4</v>
      </c>
      <c r="M58" s="162"/>
      <c r="N58" s="162"/>
      <c r="O58" s="162"/>
      <c r="P58" s="162"/>
      <c r="Q58" s="162"/>
      <c r="R58" s="162"/>
      <c r="S58" s="162"/>
      <c r="T58" s="162" t="s">
        <v>2502</v>
      </c>
      <c r="U58" s="162"/>
      <c r="V58" s="162"/>
    </row>
    <row r="59" spans="1:22" ht="15.75" customHeight="1" x14ac:dyDescent="0.25">
      <c r="A59" s="167" t="s">
        <v>2494</v>
      </c>
      <c r="B59" s="162" t="s">
        <v>13</v>
      </c>
      <c r="C59" s="162" t="s">
        <v>30</v>
      </c>
      <c r="D59" s="168">
        <v>44579</v>
      </c>
      <c r="E59" s="23" t="s">
        <v>23</v>
      </c>
      <c r="F59" s="23"/>
      <c r="G59" s="23"/>
      <c r="H59" s="162"/>
      <c r="I59" s="162"/>
      <c r="J59" s="169" t="s">
        <v>744</v>
      </c>
      <c r="K59" s="162"/>
      <c r="L59" s="162">
        <v>132</v>
      </c>
      <c r="M59" s="162"/>
      <c r="N59" s="162"/>
      <c r="O59" s="162"/>
      <c r="P59" s="162"/>
      <c r="Q59" s="162"/>
      <c r="R59" s="162"/>
      <c r="S59" s="162"/>
      <c r="T59" s="162" t="s">
        <v>2503</v>
      </c>
      <c r="U59" s="162"/>
      <c r="V59" s="162"/>
    </row>
    <row r="60" spans="1:22" ht="15.75" customHeight="1" x14ac:dyDescent="0.25">
      <c r="A60" s="167" t="s">
        <v>2494</v>
      </c>
      <c r="B60" s="162" t="s">
        <v>13</v>
      </c>
      <c r="C60" s="162" t="s">
        <v>30</v>
      </c>
      <c r="D60" s="168">
        <v>44579</v>
      </c>
      <c r="E60" s="23" t="s">
        <v>23</v>
      </c>
      <c r="F60" s="23"/>
      <c r="G60" s="23"/>
      <c r="H60" s="162"/>
      <c r="I60" s="162"/>
      <c r="J60" s="169" t="s">
        <v>733</v>
      </c>
      <c r="K60" s="162"/>
      <c r="L60" s="162">
        <v>12</v>
      </c>
      <c r="M60" s="162"/>
      <c r="N60" s="162"/>
      <c r="O60" s="162"/>
      <c r="P60" s="162"/>
      <c r="Q60" s="162"/>
      <c r="R60" s="162"/>
      <c r="S60" s="162"/>
      <c r="T60" s="162" t="s">
        <v>2504</v>
      </c>
      <c r="U60" s="162"/>
      <c r="V60" s="162"/>
    </row>
    <row r="61" spans="1:22" ht="15.75" customHeight="1" x14ac:dyDescent="0.25">
      <c r="A61" s="167" t="s">
        <v>2494</v>
      </c>
      <c r="B61" s="162" t="s">
        <v>13</v>
      </c>
      <c r="C61" s="162" t="s">
        <v>30</v>
      </c>
      <c r="D61" s="168">
        <v>44579</v>
      </c>
      <c r="E61" s="23" t="s">
        <v>23</v>
      </c>
      <c r="F61" s="23"/>
      <c r="G61" s="23"/>
      <c r="H61" s="162"/>
      <c r="I61" s="162"/>
      <c r="J61" s="169" t="s">
        <v>734</v>
      </c>
      <c r="K61" s="162"/>
      <c r="L61" s="162">
        <v>2</v>
      </c>
      <c r="M61" s="162"/>
      <c r="N61" s="162"/>
      <c r="O61" s="162"/>
      <c r="P61" s="162"/>
      <c r="Q61" s="162"/>
      <c r="R61" s="162"/>
      <c r="S61" s="162"/>
      <c r="T61" s="162" t="s">
        <v>2505</v>
      </c>
      <c r="U61" s="162"/>
      <c r="V61" s="162"/>
    </row>
    <row r="62" spans="1:22" ht="15.75" customHeight="1" x14ac:dyDescent="0.25">
      <c r="A62" s="167" t="s">
        <v>2494</v>
      </c>
      <c r="B62" s="162" t="s">
        <v>13</v>
      </c>
      <c r="C62" s="162" t="s">
        <v>30</v>
      </c>
      <c r="D62" s="168">
        <v>44579</v>
      </c>
      <c r="E62" s="23" t="s">
        <v>23</v>
      </c>
      <c r="F62" s="23"/>
      <c r="G62" s="23"/>
      <c r="H62" s="162"/>
      <c r="I62" s="162"/>
      <c r="J62" s="169" t="s">
        <v>735</v>
      </c>
      <c r="K62" s="162"/>
      <c r="L62" s="162">
        <v>2</v>
      </c>
      <c r="M62" s="162"/>
      <c r="N62" s="162"/>
      <c r="O62" s="162"/>
      <c r="P62" s="162"/>
      <c r="Q62" s="162"/>
      <c r="R62" s="162"/>
      <c r="S62" s="162"/>
      <c r="T62" s="162" t="s">
        <v>2506</v>
      </c>
      <c r="U62" s="162"/>
      <c r="V62" s="162"/>
    </row>
    <row r="63" spans="1:22" ht="15.75" customHeight="1" x14ac:dyDescent="0.25">
      <c r="A63" s="167" t="s">
        <v>2494</v>
      </c>
      <c r="B63" s="162" t="s">
        <v>13</v>
      </c>
      <c r="C63" s="162" t="s">
        <v>30</v>
      </c>
      <c r="D63" s="168">
        <v>44579</v>
      </c>
      <c r="E63" s="23" t="s">
        <v>23</v>
      </c>
      <c r="F63" s="23"/>
      <c r="G63" s="23"/>
      <c r="H63" s="162"/>
      <c r="I63" s="162"/>
      <c r="J63" s="169" t="s">
        <v>736</v>
      </c>
      <c r="K63" s="162"/>
      <c r="L63" s="162">
        <v>2</v>
      </c>
      <c r="M63" s="162"/>
      <c r="N63" s="162"/>
      <c r="O63" s="162"/>
      <c r="P63" s="162"/>
      <c r="Q63" s="162"/>
      <c r="R63" s="162"/>
      <c r="S63" s="162"/>
      <c r="T63" s="162" t="s">
        <v>2507</v>
      </c>
      <c r="U63" s="162"/>
      <c r="V63" s="162"/>
    </row>
    <row r="64" spans="1:22" ht="15.75" customHeight="1" x14ac:dyDescent="0.25">
      <c r="A64" s="167" t="s">
        <v>2494</v>
      </c>
      <c r="B64" s="162" t="s">
        <v>13</v>
      </c>
      <c r="C64" s="162" t="s">
        <v>30</v>
      </c>
      <c r="D64" s="168">
        <v>44579</v>
      </c>
      <c r="E64" s="23" t="s">
        <v>23</v>
      </c>
      <c r="F64" s="23"/>
      <c r="G64" s="23"/>
      <c r="H64" s="162"/>
      <c r="I64" s="162"/>
      <c r="J64" s="169" t="s">
        <v>737</v>
      </c>
      <c r="K64" s="162"/>
      <c r="L64" s="162">
        <v>4</v>
      </c>
      <c r="M64" s="162"/>
      <c r="N64" s="162"/>
      <c r="O64" s="162"/>
      <c r="P64" s="162"/>
      <c r="Q64" s="162"/>
      <c r="R64" s="162"/>
      <c r="S64" s="162"/>
      <c r="T64" s="162" t="s">
        <v>2508</v>
      </c>
      <c r="U64" s="162"/>
      <c r="V64" s="162"/>
    </row>
    <row r="65" spans="1:22" ht="15.75" customHeight="1" x14ac:dyDescent="0.25">
      <c r="A65" s="167" t="s">
        <v>2494</v>
      </c>
      <c r="B65" s="162" t="s">
        <v>13</v>
      </c>
      <c r="C65" s="162" t="s">
        <v>30</v>
      </c>
      <c r="D65" s="168">
        <v>44579</v>
      </c>
      <c r="E65" s="23" t="s">
        <v>23</v>
      </c>
      <c r="F65" s="23"/>
      <c r="G65" s="23"/>
      <c r="H65" s="162"/>
      <c r="I65" s="162"/>
      <c r="J65" s="169" t="s">
        <v>1255</v>
      </c>
      <c r="K65" s="162"/>
      <c r="L65" s="162">
        <v>4</v>
      </c>
      <c r="M65" s="162"/>
      <c r="N65" s="162"/>
      <c r="O65" s="162"/>
      <c r="P65" s="162"/>
      <c r="Q65" s="162"/>
      <c r="R65" s="162"/>
      <c r="S65" s="162"/>
      <c r="T65" s="162" t="s">
        <v>2509</v>
      </c>
      <c r="U65" s="162"/>
      <c r="V65" s="162"/>
    </row>
    <row r="66" spans="1:22" ht="15.75" customHeight="1" x14ac:dyDescent="0.25">
      <c r="A66" s="167" t="s">
        <v>2494</v>
      </c>
      <c r="B66" s="162" t="s">
        <v>13</v>
      </c>
      <c r="C66" s="162" t="s">
        <v>30</v>
      </c>
      <c r="D66" s="168">
        <v>44579</v>
      </c>
      <c r="E66" s="23" t="s">
        <v>23</v>
      </c>
      <c r="F66" s="206"/>
      <c r="G66" s="206"/>
      <c r="H66" s="163"/>
      <c r="I66" s="163"/>
      <c r="J66" s="164" t="s">
        <v>738</v>
      </c>
      <c r="K66" s="163"/>
      <c r="L66" s="163">
        <v>2</v>
      </c>
      <c r="M66" s="163"/>
      <c r="N66" s="163"/>
      <c r="O66" s="163"/>
      <c r="P66" s="163"/>
      <c r="Q66" s="163"/>
      <c r="R66" s="163"/>
      <c r="S66" s="163"/>
      <c r="T66" s="163" t="s">
        <v>2510</v>
      </c>
      <c r="U66" s="163"/>
      <c r="V66" s="163"/>
    </row>
    <row r="67" spans="1:22" ht="15.75" customHeight="1" x14ac:dyDescent="0.25">
      <c r="A67" s="167" t="s">
        <v>2494</v>
      </c>
      <c r="B67" s="162" t="s">
        <v>13</v>
      </c>
      <c r="C67" s="162" t="s">
        <v>30</v>
      </c>
      <c r="D67" s="168">
        <v>44579</v>
      </c>
      <c r="E67" s="23" t="s">
        <v>23</v>
      </c>
      <c r="F67" s="23"/>
      <c r="G67" s="23"/>
      <c r="H67" s="162"/>
      <c r="I67" s="162"/>
      <c r="J67" s="169" t="s">
        <v>282</v>
      </c>
      <c r="K67" s="162"/>
      <c r="L67" s="162">
        <v>2</v>
      </c>
      <c r="M67" s="162"/>
      <c r="N67" s="162"/>
      <c r="O67" s="162"/>
      <c r="P67" s="162"/>
      <c r="Q67" s="162"/>
      <c r="R67" s="162"/>
      <c r="S67" s="162"/>
      <c r="T67" s="162" t="s">
        <v>1683</v>
      </c>
      <c r="U67" s="162"/>
      <c r="V67" s="162"/>
    </row>
    <row r="68" spans="1:22" ht="15.75" customHeight="1" x14ac:dyDescent="0.25">
      <c r="A68" s="167" t="s">
        <v>2494</v>
      </c>
      <c r="B68" s="162" t="s">
        <v>13</v>
      </c>
      <c r="C68" s="162" t="s">
        <v>30</v>
      </c>
      <c r="D68" s="168">
        <v>44579</v>
      </c>
      <c r="E68" s="23" t="s">
        <v>23</v>
      </c>
      <c r="F68" s="23"/>
      <c r="G68" s="23"/>
      <c r="H68" s="162"/>
      <c r="I68" s="162"/>
      <c r="J68" s="169" t="s">
        <v>739</v>
      </c>
      <c r="K68" s="162"/>
      <c r="L68" s="162">
        <v>6</v>
      </c>
      <c r="M68" s="162"/>
      <c r="N68" s="162"/>
      <c r="O68" s="162"/>
      <c r="P68" s="162"/>
      <c r="Q68" s="162"/>
      <c r="R68" s="162"/>
      <c r="S68" s="162"/>
      <c r="T68" s="162" t="s">
        <v>2511</v>
      </c>
      <c r="U68" s="162"/>
      <c r="V68" s="162"/>
    </row>
    <row r="69" spans="1:22" ht="15.75" customHeight="1" x14ac:dyDescent="0.25">
      <c r="A69" s="167" t="s">
        <v>2494</v>
      </c>
      <c r="B69" s="162" t="s">
        <v>13</v>
      </c>
      <c r="C69" s="162" t="s">
        <v>30</v>
      </c>
      <c r="D69" s="168">
        <v>44579</v>
      </c>
      <c r="E69" s="23" t="s">
        <v>23</v>
      </c>
      <c r="F69" s="23"/>
      <c r="G69" s="23"/>
      <c r="H69" s="162"/>
      <c r="I69" s="162"/>
      <c r="J69" s="169" t="s">
        <v>740</v>
      </c>
      <c r="K69" s="162"/>
      <c r="L69" s="162">
        <v>46</v>
      </c>
      <c r="M69" s="162"/>
      <c r="N69" s="162"/>
      <c r="O69" s="162"/>
      <c r="P69" s="162"/>
      <c r="Q69" s="162"/>
      <c r="R69" s="162"/>
      <c r="S69" s="162"/>
      <c r="T69" s="162" t="s">
        <v>2512</v>
      </c>
      <c r="U69" s="162"/>
      <c r="V69" s="162"/>
    </row>
    <row r="70" spans="1:22" ht="15.75" customHeight="1" x14ac:dyDescent="0.25">
      <c r="A70" s="167" t="s">
        <v>2494</v>
      </c>
      <c r="B70" s="162" t="s">
        <v>13</v>
      </c>
      <c r="C70" s="162" t="s">
        <v>30</v>
      </c>
      <c r="D70" s="168">
        <v>44579</v>
      </c>
      <c r="E70" s="23" t="s">
        <v>23</v>
      </c>
      <c r="F70" s="23"/>
      <c r="G70" s="23"/>
      <c r="H70" s="162"/>
      <c r="I70" s="162"/>
      <c r="J70" s="169" t="s">
        <v>1243</v>
      </c>
      <c r="K70" s="162"/>
      <c r="L70" s="162">
        <v>2</v>
      </c>
      <c r="M70" s="162"/>
      <c r="N70" s="162"/>
      <c r="O70" s="162"/>
      <c r="P70" s="162"/>
      <c r="Q70" s="162"/>
      <c r="R70" s="162"/>
      <c r="S70" s="162"/>
      <c r="T70" s="162" t="s">
        <v>2513</v>
      </c>
      <c r="U70" s="162"/>
      <c r="V70" s="162"/>
    </row>
    <row r="71" spans="1:22" ht="15.75" customHeight="1" x14ac:dyDescent="0.25">
      <c r="A71" s="167" t="s">
        <v>2494</v>
      </c>
      <c r="B71" s="162" t="s">
        <v>13</v>
      </c>
      <c r="C71" s="162" t="s">
        <v>30</v>
      </c>
      <c r="D71" s="168">
        <v>44579</v>
      </c>
      <c r="E71" s="23" t="s">
        <v>23</v>
      </c>
      <c r="F71" s="23"/>
      <c r="G71" s="23"/>
      <c r="H71" s="162"/>
      <c r="I71" s="162"/>
      <c r="J71" s="169" t="s">
        <v>741</v>
      </c>
      <c r="K71" s="162"/>
      <c r="L71" s="162">
        <v>28</v>
      </c>
      <c r="M71" s="162"/>
      <c r="N71" s="162"/>
      <c r="O71" s="162"/>
      <c r="P71" s="162"/>
      <c r="Q71" s="162"/>
      <c r="R71" s="162"/>
      <c r="S71" s="162"/>
      <c r="T71" s="162" t="s">
        <v>2514</v>
      </c>
      <c r="U71" s="162"/>
      <c r="V71" s="162"/>
    </row>
    <row r="72" spans="1:22" ht="15.75" customHeight="1" x14ac:dyDescent="0.25">
      <c r="A72" s="167" t="s">
        <v>2494</v>
      </c>
      <c r="B72" s="162" t="s">
        <v>13</v>
      </c>
      <c r="C72" s="162" t="s">
        <v>30</v>
      </c>
      <c r="D72" s="168">
        <v>44579</v>
      </c>
      <c r="E72" s="23" t="s">
        <v>23</v>
      </c>
      <c r="F72" s="23"/>
      <c r="G72" s="23"/>
      <c r="H72" s="162"/>
      <c r="I72" s="162"/>
      <c r="J72" s="169" t="s">
        <v>745</v>
      </c>
      <c r="K72" s="162"/>
      <c r="L72" s="162">
        <v>6</v>
      </c>
      <c r="M72" s="162"/>
      <c r="N72" s="162"/>
      <c r="O72" s="162"/>
      <c r="P72" s="162"/>
      <c r="Q72" s="162"/>
      <c r="R72" s="162"/>
      <c r="S72" s="162"/>
      <c r="T72" s="162" t="s">
        <v>132</v>
      </c>
      <c r="U72" s="162"/>
      <c r="V72" s="162"/>
    </row>
    <row r="73" spans="1:22" ht="15.75" customHeight="1" x14ac:dyDescent="0.25">
      <c r="A73" s="167" t="s">
        <v>2494</v>
      </c>
      <c r="B73" s="162" t="s">
        <v>13</v>
      </c>
      <c r="C73" s="162" t="s">
        <v>30</v>
      </c>
      <c r="D73" s="168">
        <v>44579</v>
      </c>
      <c r="E73" s="23" t="s">
        <v>23</v>
      </c>
      <c r="F73" s="23"/>
      <c r="G73" s="23"/>
      <c r="H73" s="162"/>
      <c r="I73" s="162"/>
      <c r="J73" s="169" t="s">
        <v>206</v>
      </c>
      <c r="K73" s="162"/>
      <c r="L73" s="162">
        <v>262</v>
      </c>
      <c r="M73" s="162"/>
      <c r="N73" s="162"/>
      <c r="O73" s="162"/>
      <c r="P73" s="162"/>
      <c r="Q73" s="162"/>
      <c r="R73" s="162"/>
      <c r="S73" s="162"/>
      <c r="T73" s="162" t="s">
        <v>2515</v>
      </c>
      <c r="U73" s="162"/>
      <c r="V73" s="162"/>
    </row>
    <row r="74" spans="1:22" ht="15.75" customHeight="1" x14ac:dyDescent="0.25">
      <c r="A74" s="167" t="s">
        <v>2495</v>
      </c>
      <c r="B74" s="162" t="s">
        <v>13</v>
      </c>
      <c r="C74" s="162" t="s">
        <v>284</v>
      </c>
      <c r="D74" s="168">
        <v>44579</v>
      </c>
      <c r="E74" s="23" t="s">
        <v>23</v>
      </c>
      <c r="F74" s="23"/>
      <c r="G74" s="23"/>
      <c r="H74" s="162"/>
      <c r="I74" s="162"/>
      <c r="J74" s="169" t="s">
        <v>29</v>
      </c>
      <c r="K74" s="162">
        <v>192</v>
      </c>
      <c r="L74" s="162">
        <v>32</v>
      </c>
      <c r="M74" s="162"/>
      <c r="N74" s="162"/>
      <c r="O74" s="162"/>
      <c r="P74" s="162"/>
      <c r="Q74" s="162"/>
      <c r="R74" s="162"/>
      <c r="S74" s="162"/>
      <c r="T74" s="162">
        <v>21720</v>
      </c>
      <c r="U74" s="162"/>
      <c r="V74" s="162"/>
    </row>
    <row r="75" spans="1:22" ht="15.75" customHeight="1" x14ac:dyDescent="0.25">
      <c r="A75" s="171" t="s">
        <v>2496</v>
      </c>
      <c r="B75" s="162" t="s">
        <v>13</v>
      </c>
      <c r="C75" s="163" t="s">
        <v>2353</v>
      </c>
      <c r="D75" s="172">
        <v>44579</v>
      </c>
      <c r="E75" s="23" t="s">
        <v>23</v>
      </c>
      <c r="F75" s="206"/>
      <c r="G75" s="206"/>
      <c r="H75" s="163"/>
      <c r="I75" s="163"/>
      <c r="J75" s="164" t="s">
        <v>1308</v>
      </c>
      <c r="K75" s="145">
        <v>648</v>
      </c>
      <c r="L75" s="163"/>
      <c r="M75" s="163"/>
      <c r="N75" s="163"/>
      <c r="O75" s="163"/>
      <c r="P75" s="163"/>
      <c r="Q75" s="163"/>
      <c r="R75" s="163"/>
      <c r="S75" s="163"/>
      <c r="T75" s="163">
        <v>37800</v>
      </c>
      <c r="U75" s="163"/>
      <c r="V75" s="163"/>
    </row>
    <row r="76" spans="1:22" ht="15.75" customHeight="1" x14ac:dyDescent="0.25">
      <c r="A76" s="171" t="s">
        <v>2516</v>
      </c>
      <c r="B76" s="162" t="s">
        <v>13</v>
      </c>
      <c r="C76" s="163" t="s">
        <v>43</v>
      </c>
      <c r="D76" s="172">
        <v>44580</v>
      </c>
      <c r="E76" s="23" t="s">
        <v>23</v>
      </c>
      <c r="F76" s="206"/>
      <c r="G76" s="206"/>
      <c r="H76" s="163"/>
      <c r="I76" s="163"/>
      <c r="J76" s="164" t="s">
        <v>759</v>
      </c>
      <c r="K76" s="163">
        <v>204</v>
      </c>
      <c r="L76" s="163">
        <v>40</v>
      </c>
      <c r="M76" s="163"/>
      <c r="N76" s="163"/>
      <c r="O76" s="163"/>
      <c r="P76" s="163"/>
      <c r="Q76" s="163"/>
      <c r="R76" s="163"/>
      <c r="S76" s="163"/>
      <c r="T76" s="163">
        <v>10860</v>
      </c>
      <c r="U76" s="163"/>
      <c r="V76" s="163"/>
    </row>
    <row r="77" spans="1:22" ht="15.75" customHeight="1" x14ac:dyDescent="0.25">
      <c r="A77" s="171" t="s">
        <v>2517</v>
      </c>
      <c r="B77" s="162" t="s">
        <v>13</v>
      </c>
      <c r="C77" s="163" t="s">
        <v>2399</v>
      </c>
      <c r="D77" s="172">
        <v>44580</v>
      </c>
      <c r="E77" s="23" t="s">
        <v>23</v>
      </c>
      <c r="F77" s="206"/>
      <c r="G77" s="206"/>
      <c r="H77" s="163"/>
      <c r="I77" s="163"/>
      <c r="J77" s="164" t="s">
        <v>2403</v>
      </c>
      <c r="K77" s="145"/>
      <c r="L77" s="163">
        <v>160</v>
      </c>
      <c r="M77" s="163"/>
      <c r="N77" s="163"/>
      <c r="O77" s="163"/>
      <c r="P77" s="163"/>
      <c r="Q77" s="163"/>
      <c r="R77" s="163"/>
      <c r="S77" s="163"/>
      <c r="T77" s="163">
        <v>23800</v>
      </c>
      <c r="U77" s="163"/>
      <c r="V77" s="163"/>
    </row>
    <row r="78" spans="1:22" ht="15.75" customHeight="1" x14ac:dyDescent="0.25">
      <c r="A78" s="171" t="s">
        <v>2519</v>
      </c>
      <c r="B78" s="162" t="s">
        <v>13</v>
      </c>
      <c r="C78" s="163" t="s">
        <v>284</v>
      </c>
      <c r="D78" s="172">
        <v>44581</v>
      </c>
      <c r="E78" s="23" t="s">
        <v>23</v>
      </c>
      <c r="F78" s="206"/>
      <c r="G78" s="206"/>
      <c r="H78" s="163"/>
      <c r="I78" s="163"/>
      <c r="J78" s="164" t="s">
        <v>2520</v>
      </c>
      <c r="K78" s="145">
        <v>36</v>
      </c>
      <c r="L78" s="163">
        <v>6</v>
      </c>
      <c r="M78" s="163"/>
      <c r="N78" s="163"/>
      <c r="O78" s="163"/>
      <c r="P78" s="163"/>
      <c r="Q78" s="163"/>
      <c r="R78" s="163"/>
      <c r="S78" s="163"/>
      <c r="T78" s="163">
        <v>10860</v>
      </c>
      <c r="U78" s="163"/>
      <c r="V78" s="163"/>
    </row>
    <row r="79" spans="1:22" ht="15.75" customHeight="1" x14ac:dyDescent="0.25">
      <c r="A79" s="171">
        <v>29</v>
      </c>
      <c r="B79" s="163" t="s">
        <v>13</v>
      </c>
      <c r="C79" s="163" t="s">
        <v>892</v>
      </c>
      <c r="D79" s="172">
        <v>44581</v>
      </c>
      <c r="E79" s="23" t="s">
        <v>23</v>
      </c>
      <c r="F79" s="206"/>
      <c r="G79" s="206"/>
      <c r="H79" s="163"/>
      <c r="I79" s="163"/>
      <c r="J79" s="164" t="s">
        <v>2024</v>
      </c>
      <c r="K79" s="145">
        <v>485</v>
      </c>
      <c r="L79" s="163">
        <v>100</v>
      </c>
      <c r="M79" s="163">
        <v>9.5600000000000004E-2</v>
      </c>
      <c r="N79" s="163">
        <v>0.16</v>
      </c>
      <c r="O79" s="163">
        <v>46.366</v>
      </c>
      <c r="P79" s="163">
        <v>77.599999999999994</v>
      </c>
      <c r="Q79" s="163">
        <v>6.03</v>
      </c>
      <c r="R79" s="163">
        <v>24.47</v>
      </c>
      <c r="S79" s="163">
        <v>256</v>
      </c>
      <c r="T79" s="163">
        <v>11869.7</v>
      </c>
      <c r="U79" s="163"/>
      <c r="V79" s="163"/>
    </row>
    <row r="80" spans="1:22" ht="15.75" customHeight="1" x14ac:dyDescent="0.25">
      <c r="A80" s="171">
        <v>30</v>
      </c>
      <c r="B80" s="162" t="s">
        <v>13</v>
      </c>
      <c r="C80" s="163" t="s">
        <v>37</v>
      </c>
      <c r="D80" s="172">
        <v>44582</v>
      </c>
      <c r="E80" s="23" t="s">
        <v>23</v>
      </c>
      <c r="F80" s="206">
        <v>51</v>
      </c>
      <c r="G80" s="206"/>
      <c r="H80" s="163" t="s">
        <v>2882</v>
      </c>
      <c r="I80" s="172">
        <v>44613</v>
      </c>
      <c r="J80" s="164" t="s">
        <v>2357</v>
      </c>
      <c r="K80" s="163">
        <v>609</v>
      </c>
      <c r="L80" s="163">
        <v>203</v>
      </c>
      <c r="M80" s="163">
        <v>9.9900000000000003E-2</v>
      </c>
      <c r="N80" s="163">
        <v>0.28599999999999998</v>
      </c>
      <c r="O80" s="163">
        <v>60.839100000000002</v>
      </c>
      <c r="P80" s="163">
        <v>174.17400000000001</v>
      </c>
      <c r="Q80" s="163">
        <v>7.91</v>
      </c>
      <c r="R80" s="163">
        <v>75</v>
      </c>
      <c r="S80" s="163">
        <v>750.75</v>
      </c>
      <c r="T80" s="163">
        <v>45675</v>
      </c>
      <c r="U80" s="163"/>
      <c r="V80" s="163"/>
    </row>
    <row r="81" spans="1:22" ht="15.75" customHeight="1" x14ac:dyDescent="0.25">
      <c r="A81" s="171">
        <v>31</v>
      </c>
      <c r="B81" s="162" t="s">
        <v>13</v>
      </c>
      <c r="C81" s="163" t="s">
        <v>156</v>
      </c>
      <c r="D81" s="172">
        <v>44582</v>
      </c>
      <c r="E81" s="23" t="s">
        <v>23</v>
      </c>
      <c r="F81" s="206"/>
      <c r="G81" s="206"/>
      <c r="H81" s="163" t="s">
        <v>2580</v>
      </c>
      <c r="I81" s="163"/>
      <c r="J81" s="164" t="s">
        <v>2521</v>
      </c>
      <c r="K81" s="150">
        <v>1349.4</v>
      </c>
      <c r="L81" s="163">
        <v>519</v>
      </c>
      <c r="M81" s="163">
        <v>0.13789999999999999</v>
      </c>
      <c r="N81" s="163">
        <v>0.40400000000000003</v>
      </c>
      <c r="O81" s="163">
        <v>186.0823</v>
      </c>
      <c r="P81" s="163">
        <v>545.1576</v>
      </c>
      <c r="Q81" s="163">
        <v>24.19</v>
      </c>
      <c r="R81" s="163">
        <v>39.299999999999997</v>
      </c>
      <c r="S81" s="163">
        <v>285</v>
      </c>
      <c r="T81" s="163">
        <v>53033.440000000002</v>
      </c>
      <c r="U81" s="163"/>
      <c r="V81" s="163"/>
    </row>
    <row r="82" spans="1:22" ht="15.75" customHeight="1" x14ac:dyDescent="0.25">
      <c r="A82" s="171">
        <v>32</v>
      </c>
      <c r="B82" s="162" t="s">
        <v>13</v>
      </c>
      <c r="C82" s="163" t="s">
        <v>625</v>
      </c>
      <c r="D82" s="172">
        <v>44582</v>
      </c>
      <c r="E82" s="23" t="s">
        <v>23</v>
      </c>
      <c r="F82" s="206"/>
      <c r="G82" s="206"/>
      <c r="H82" s="163"/>
      <c r="I82" s="163"/>
      <c r="J82" s="164" t="s">
        <v>1686</v>
      </c>
      <c r="K82" s="145">
        <v>765</v>
      </c>
      <c r="L82" s="163">
        <v>255</v>
      </c>
      <c r="M82" s="163">
        <v>0.1018</v>
      </c>
      <c r="N82" s="163">
        <v>0.26600000000000001</v>
      </c>
      <c r="O82" s="163">
        <v>77.876999999999995</v>
      </c>
      <c r="P82" s="163">
        <v>203.49</v>
      </c>
      <c r="Q82" s="163">
        <v>10.119999999999999</v>
      </c>
      <c r="R82" s="163">
        <v>20.87</v>
      </c>
      <c r="S82" s="163">
        <v>205</v>
      </c>
      <c r="T82" s="163">
        <v>15964.79</v>
      </c>
      <c r="U82" s="163"/>
      <c r="V82" s="163"/>
    </row>
    <row r="83" spans="1:22" ht="15.75" customHeight="1" x14ac:dyDescent="0.25">
      <c r="A83" s="171">
        <v>33</v>
      </c>
      <c r="B83" s="162" t="s">
        <v>13</v>
      </c>
      <c r="C83" s="163" t="s">
        <v>625</v>
      </c>
      <c r="D83" s="172">
        <v>44582</v>
      </c>
      <c r="E83" s="23" t="s">
        <v>23</v>
      </c>
      <c r="F83" s="206"/>
      <c r="G83" s="206"/>
      <c r="H83" s="163"/>
      <c r="I83" s="163"/>
      <c r="J83" s="164" t="s">
        <v>2316</v>
      </c>
      <c r="K83" s="179">
        <v>540</v>
      </c>
      <c r="L83" s="163">
        <v>120</v>
      </c>
      <c r="M83" s="163">
        <v>0.13400000000000001</v>
      </c>
      <c r="N83" s="163">
        <v>0.23200000000000001</v>
      </c>
      <c r="O83" s="163">
        <v>72.36</v>
      </c>
      <c r="P83" s="163">
        <v>125.28</v>
      </c>
      <c r="Q83" s="163">
        <v>9.41</v>
      </c>
      <c r="R83" s="163">
        <v>40.869999999999997</v>
      </c>
      <c r="S83" s="163">
        <v>305</v>
      </c>
      <c r="T83" s="163">
        <v>22069.8</v>
      </c>
      <c r="U83" s="163"/>
      <c r="V83" s="163"/>
    </row>
    <row r="84" spans="1:22" ht="15.75" customHeight="1" x14ac:dyDescent="0.25">
      <c r="A84" s="171">
        <v>34</v>
      </c>
      <c r="B84" s="162" t="s">
        <v>13</v>
      </c>
      <c r="C84" s="162" t="s">
        <v>32</v>
      </c>
      <c r="D84" s="172">
        <v>44582</v>
      </c>
      <c r="E84" s="23" t="s">
        <v>23</v>
      </c>
      <c r="F84" s="206"/>
      <c r="G84" s="206">
        <v>65</v>
      </c>
      <c r="H84" s="163" t="s">
        <v>2898</v>
      </c>
      <c r="I84" s="163"/>
      <c r="J84" s="164" t="s">
        <v>1218</v>
      </c>
      <c r="K84" s="163">
        <v>349.8</v>
      </c>
      <c r="L84" s="163">
        <v>66</v>
      </c>
      <c r="M84" s="163">
        <v>0.2651</v>
      </c>
      <c r="N84" s="163">
        <v>0.82099999999999995</v>
      </c>
      <c r="O84" s="163">
        <v>92.731999999999999</v>
      </c>
      <c r="P84" s="163">
        <v>287.18579999999997</v>
      </c>
      <c r="Q84" s="163">
        <v>12.06</v>
      </c>
      <c r="R84" s="163">
        <v>67.87</v>
      </c>
      <c r="S84" s="163">
        <v>256</v>
      </c>
      <c r="T84" s="163">
        <v>23739.39</v>
      </c>
      <c r="U84" s="163"/>
      <c r="V84" s="163"/>
    </row>
    <row r="85" spans="1:22" ht="15.75" customHeight="1" x14ac:dyDescent="0.25">
      <c r="A85" s="167" t="s">
        <v>2524</v>
      </c>
      <c r="B85" s="162" t="s">
        <v>13</v>
      </c>
      <c r="C85" s="162" t="s">
        <v>15</v>
      </c>
      <c r="D85" s="168">
        <v>44585</v>
      </c>
      <c r="E85" s="23" t="s">
        <v>23</v>
      </c>
      <c r="F85" s="23"/>
      <c r="G85" s="23"/>
      <c r="H85" s="162" t="s">
        <v>2544</v>
      </c>
      <c r="I85" s="162"/>
      <c r="J85" s="169" t="s">
        <v>230</v>
      </c>
      <c r="K85" s="159"/>
      <c r="L85" s="162">
        <v>96</v>
      </c>
      <c r="M85" s="162"/>
      <c r="N85" s="162"/>
      <c r="O85" s="162"/>
      <c r="P85" s="162"/>
      <c r="Q85" s="162"/>
      <c r="R85" s="162"/>
      <c r="S85" s="162"/>
      <c r="T85" s="162">
        <v>56640</v>
      </c>
      <c r="U85" s="162"/>
      <c r="V85" s="162"/>
    </row>
    <row r="86" spans="1:22" s="14" customFormat="1" ht="34.5" customHeight="1" x14ac:dyDescent="0.25">
      <c r="A86" s="170" t="s">
        <v>2525</v>
      </c>
      <c r="B86" s="142" t="s">
        <v>34</v>
      </c>
      <c r="C86" s="142" t="s">
        <v>16</v>
      </c>
      <c r="D86" s="143">
        <v>44585</v>
      </c>
      <c r="E86" s="23" t="s">
        <v>23</v>
      </c>
      <c r="F86" s="23"/>
      <c r="G86" s="23"/>
      <c r="H86" s="142"/>
      <c r="I86" s="145"/>
      <c r="J86" s="146" t="s">
        <v>2560</v>
      </c>
      <c r="K86" s="145">
        <v>42</v>
      </c>
      <c r="L86" s="145">
        <v>7</v>
      </c>
      <c r="M86" s="145">
        <v>0.56989999999999996</v>
      </c>
      <c r="N86" s="145">
        <v>1.304</v>
      </c>
      <c r="O86" s="145">
        <v>23.9358</v>
      </c>
      <c r="P86" s="145">
        <v>54.768000000000001</v>
      </c>
      <c r="Q86" s="145">
        <v>3.11</v>
      </c>
      <c r="R86" s="145">
        <v>236.51</v>
      </c>
      <c r="S86" s="145">
        <v>415</v>
      </c>
      <c r="T86" s="145">
        <v>9933.36</v>
      </c>
      <c r="U86" s="145"/>
      <c r="V86" s="145"/>
    </row>
    <row r="87" spans="1:22" s="14" customFormat="1" ht="15.75" customHeight="1" x14ac:dyDescent="0.25">
      <c r="A87" s="170" t="s">
        <v>2526</v>
      </c>
      <c r="B87" s="142" t="s">
        <v>34</v>
      </c>
      <c r="C87" s="142" t="s">
        <v>16</v>
      </c>
      <c r="D87" s="143">
        <v>44585</v>
      </c>
      <c r="E87" s="23" t="s">
        <v>23</v>
      </c>
      <c r="F87" s="23"/>
      <c r="G87" s="23"/>
      <c r="H87" s="142"/>
      <c r="I87" s="145"/>
      <c r="J87" s="146" t="s">
        <v>2423</v>
      </c>
      <c r="K87" s="145">
        <v>1782</v>
      </c>
      <c r="L87" s="145">
        <v>297</v>
      </c>
      <c r="M87" s="145">
        <v>0.29970000000000002</v>
      </c>
      <c r="N87" s="145">
        <v>1.6739999999999999</v>
      </c>
      <c r="O87" s="145">
        <v>534.06539999999995</v>
      </c>
      <c r="P87" s="145">
        <v>2983.0680000000002</v>
      </c>
      <c r="Q87" s="145">
        <v>69.430000000000007</v>
      </c>
      <c r="R87" s="145">
        <v>91.41</v>
      </c>
      <c r="S87" s="145">
        <v>305</v>
      </c>
      <c r="T87" s="145">
        <v>162889.95000000001</v>
      </c>
      <c r="U87" s="145"/>
      <c r="V87" s="145"/>
    </row>
    <row r="88" spans="1:22" s="14" customFormat="1" ht="15.75" customHeight="1" x14ac:dyDescent="0.25">
      <c r="A88" s="170" t="s">
        <v>2527</v>
      </c>
      <c r="B88" s="142" t="s">
        <v>34</v>
      </c>
      <c r="C88" s="142" t="s">
        <v>16</v>
      </c>
      <c r="D88" s="143">
        <v>44585</v>
      </c>
      <c r="E88" s="23" t="s">
        <v>23</v>
      </c>
      <c r="F88" s="23"/>
      <c r="G88" s="23"/>
      <c r="H88" s="142"/>
      <c r="I88" s="145"/>
      <c r="J88" s="146" t="s">
        <v>2469</v>
      </c>
      <c r="K88" s="145">
        <v>354</v>
      </c>
      <c r="L88" s="145">
        <v>59</v>
      </c>
      <c r="M88" s="145">
        <v>0.70820000000000005</v>
      </c>
      <c r="N88" s="145">
        <v>3.4609999999999999</v>
      </c>
      <c r="O88" s="145">
        <v>250.7028</v>
      </c>
      <c r="P88" s="145">
        <v>1225.194</v>
      </c>
      <c r="Q88" s="145">
        <v>32.590000000000003</v>
      </c>
      <c r="R88" s="145">
        <v>216</v>
      </c>
      <c r="S88" s="145">
        <v>305</v>
      </c>
      <c r="T88" s="145">
        <v>76464.350000000006</v>
      </c>
      <c r="U88" s="145"/>
      <c r="V88" s="145"/>
    </row>
    <row r="89" spans="1:22" s="14" customFormat="1" ht="15.75" customHeight="1" x14ac:dyDescent="0.25">
      <c r="A89" s="170">
        <v>20</v>
      </c>
      <c r="B89" s="142" t="s">
        <v>34</v>
      </c>
      <c r="C89" s="142" t="s">
        <v>14</v>
      </c>
      <c r="D89" s="143">
        <v>44585</v>
      </c>
      <c r="E89" s="23" t="s">
        <v>23</v>
      </c>
      <c r="F89" s="23"/>
      <c r="G89" s="23"/>
      <c r="H89" s="142" t="s">
        <v>2528</v>
      </c>
      <c r="I89" s="142"/>
      <c r="J89" s="144" t="s">
        <v>488</v>
      </c>
      <c r="K89" s="142">
        <v>2254.1999999999998</v>
      </c>
      <c r="L89" s="142">
        <v>442</v>
      </c>
      <c r="M89" s="142">
        <v>3.9300000000000002E-2</v>
      </c>
      <c r="N89" s="142">
        <v>7.8E-2</v>
      </c>
      <c r="O89" s="142">
        <v>88.590100000000007</v>
      </c>
      <c r="P89" s="142">
        <v>175.82759999999999</v>
      </c>
      <c r="Q89" s="142">
        <v>11.52</v>
      </c>
      <c r="R89" s="142">
        <v>11.99</v>
      </c>
      <c r="S89" s="142">
        <v>305</v>
      </c>
      <c r="T89" s="142">
        <v>27019.97</v>
      </c>
      <c r="U89" s="142"/>
      <c r="V89" s="13"/>
    </row>
    <row r="90" spans="1:22" s="14" customFormat="1" ht="15.75" customHeight="1" x14ac:dyDescent="0.25">
      <c r="A90" s="147">
        <v>37</v>
      </c>
      <c r="B90" s="145" t="s">
        <v>34</v>
      </c>
      <c r="C90" s="145" t="s">
        <v>14</v>
      </c>
      <c r="D90" s="148">
        <v>44585</v>
      </c>
      <c r="E90" s="23" t="s">
        <v>23</v>
      </c>
      <c r="F90" s="206"/>
      <c r="G90" s="206"/>
      <c r="H90" s="145"/>
      <c r="I90" s="145"/>
      <c r="J90" s="146" t="s">
        <v>528</v>
      </c>
      <c r="K90" s="145">
        <v>3270.1</v>
      </c>
      <c r="L90" s="145">
        <v>617</v>
      </c>
      <c r="M90" s="145">
        <v>6.2700000000000006E-2</v>
      </c>
      <c r="N90" s="145">
        <v>0.122</v>
      </c>
      <c r="O90" s="145">
        <v>205.03530000000001</v>
      </c>
      <c r="P90" s="145">
        <v>398.9522</v>
      </c>
      <c r="Q90" s="145">
        <v>26.65</v>
      </c>
      <c r="R90" s="145">
        <v>19.12</v>
      </c>
      <c r="S90" s="145">
        <v>305</v>
      </c>
      <c r="T90" s="145">
        <v>62535.76</v>
      </c>
      <c r="U90" s="145"/>
      <c r="V90" s="145"/>
    </row>
    <row r="91" spans="1:22" s="14" customFormat="1" ht="15.75" customHeight="1" x14ac:dyDescent="0.25">
      <c r="A91" s="141" t="s">
        <v>2606</v>
      </c>
      <c r="B91" s="142" t="s">
        <v>13</v>
      </c>
      <c r="C91" s="142" t="s">
        <v>2607</v>
      </c>
      <c r="D91" s="148">
        <v>44582</v>
      </c>
      <c r="E91" s="23" t="s">
        <v>677</v>
      </c>
      <c r="F91" s="23"/>
      <c r="G91" s="23"/>
      <c r="H91" s="142"/>
      <c r="I91" s="142"/>
      <c r="J91" s="144" t="s">
        <v>177</v>
      </c>
      <c r="K91" s="142">
        <v>2</v>
      </c>
      <c r="L91" s="142"/>
      <c r="M91" s="142"/>
      <c r="N91" s="142"/>
      <c r="O91" s="142"/>
      <c r="P91" s="142"/>
      <c r="Q91" s="142"/>
      <c r="R91" s="142"/>
      <c r="S91" s="142"/>
      <c r="T91" s="142">
        <v>6508</v>
      </c>
      <c r="U91" s="142"/>
      <c r="V91" s="142"/>
    </row>
    <row r="92" spans="1:22" ht="15.75" customHeight="1" x14ac:dyDescent="0.25">
      <c r="A92" s="167" t="s">
        <v>2529</v>
      </c>
      <c r="B92" s="162" t="s">
        <v>13</v>
      </c>
      <c r="C92" s="162" t="s">
        <v>30</v>
      </c>
      <c r="D92" s="168">
        <v>44585</v>
      </c>
      <c r="E92" s="23" t="s">
        <v>23</v>
      </c>
      <c r="F92" s="23"/>
      <c r="G92" s="23"/>
      <c r="H92" s="162" t="s">
        <v>2616</v>
      </c>
      <c r="I92" s="162"/>
      <c r="J92" s="169" t="s">
        <v>975</v>
      </c>
      <c r="K92" s="159"/>
      <c r="L92" s="162">
        <v>131</v>
      </c>
      <c r="M92" s="162"/>
      <c r="N92" s="162"/>
      <c r="O92" s="162"/>
      <c r="P92" s="162"/>
      <c r="Q92" s="162"/>
      <c r="R92" s="162"/>
      <c r="S92" s="162"/>
      <c r="T92" s="162" t="s">
        <v>2530</v>
      </c>
      <c r="U92" s="162"/>
      <c r="V92" s="162"/>
    </row>
    <row r="93" spans="1:22" s="14" customFormat="1" ht="138" customHeight="1" x14ac:dyDescent="0.25">
      <c r="A93" s="141" t="s">
        <v>2827</v>
      </c>
      <c r="B93" s="142" t="s">
        <v>34</v>
      </c>
      <c r="C93" s="142" t="s">
        <v>576</v>
      </c>
      <c r="D93" s="143">
        <v>44916</v>
      </c>
      <c r="E93" s="23" t="s">
        <v>23</v>
      </c>
      <c r="F93" s="23" t="s">
        <v>2836</v>
      </c>
      <c r="G93" s="23"/>
      <c r="H93" s="182" t="s">
        <v>2659</v>
      </c>
      <c r="I93" s="142"/>
      <c r="J93" s="144" t="s">
        <v>534</v>
      </c>
      <c r="K93" s="142" t="s">
        <v>2532</v>
      </c>
      <c r="L93" s="142"/>
      <c r="M93" s="142"/>
      <c r="N93" s="142"/>
      <c r="O93" s="142"/>
      <c r="P93" s="142"/>
      <c r="Q93" s="142"/>
      <c r="R93" s="142"/>
      <c r="S93" s="142"/>
      <c r="T93" s="142" t="s">
        <v>2537</v>
      </c>
      <c r="U93" s="142"/>
      <c r="V93" s="142"/>
    </row>
    <row r="94" spans="1:22" s="14" customFormat="1" ht="15.75" customHeight="1" x14ac:dyDescent="0.25">
      <c r="A94" s="141" t="s">
        <v>2827</v>
      </c>
      <c r="B94" s="142" t="s">
        <v>34</v>
      </c>
      <c r="C94" s="142" t="s">
        <v>576</v>
      </c>
      <c r="D94" s="143">
        <v>44916</v>
      </c>
      <c r="E94" s="23" t="s">
        <v>23</v>
      </c>
      <c r="F94" s="211">
        <v>200</v>
      </c>
      <c r="G94" s="23"/>
      <c r="H94" s="142"/>
      <c r="I94" s="142"/>
      <c r="J94" s="144" t="s">
        <v>1988</v>
      </c>
      <c r="K94" s="142" t="s">
        <v>2533</v>
      </c>
      <c r="L94" s="142"/>
      <c r="M94" s="142"/>
      <c r="N94" s="142"/>
      <c r="O94" s="142"/>
      <c r="P94" s="142"/>
      <c r="Q94" s="142"/>
      <c r="R94" s="142"/>
      <c r="S94" s="142"/>
      <c r="T94" s="142" t="s">
        <v>2538</v>
      </c>
      <c r="U94" s="142"/>
      <c r="V94" s="142"/>
    </row>
    <row r="95" spans="1:22" s="14" customFormat="1" ht="15.75" customHeight="1" x14ac:dyDescent="0.25">
      <c r="A95" s="141" t="s">
        <v>2827</v>
      </c>
      <c r="B95" s="142" t="s">
        <v>34</v>
      </c>
      <c r="C95" s="142" t="s">
        <v>576</v>
      </c>
      <c r="D95" s="143">
        <v>44916</v>
      </c>
      <c r="E95" s="23" t="s">
        <v>23</v>
      </c>
      <c r="F95" s="23"/>
      <c r="G95" s="23"/>
      <c r="H95" s="142"/>
      <c r="I95" s="142"/>
      <c r="J95" s="144" t="s">
        <v>1638</v>
      </c>
      <c r="K95" s="142" t="s">
        <v>2534</v>
      </c>
      <c r="L95" s="142"/>
      <c r="M95" s="142"/>
      <c r="N95" s="142"/>
      <c r="O95" s="142"/>
      <c r="P95" s="142"/>
      <c r="Q95" s="142"/>
      <c r="R95" s="142"/>
      <c r="S95" s="142"/>
      <c r="T95" s="142" t="s">
        <v>2539</v>
      </c>
      <c r="U95" s="142"/>
      <c r="V95" s="142"/>
    </row>
    <row r="96" spans="1:22" s="14" customFormat="1" ht="15.75" customHeight="1" x14ac:dyDescent="0.25">
      <c r="A96" s="141" t="s">
        <v>2827</v>
      </c>
      <c r="B96" s="142" t="s">
        <v>34</v>
      </c>
      <c r="C96" s="142" t="s">
        <v>576</v>
      </c>
      <c r="D96" s="143">
        <v>44916</v>
      </c>
      <c r="E96" s="23" t="s">
        <v>23</v>
      </c>
      <c r="F96" s="23"/>
      <c r="G96" s="23"/>
      <c r="H96" s="142" t="s">
        <v>2839</v>
      </c>
      <c r="I96" s="142"/>
      <c r="J96" s="144" t="s">
        <v>1700</v>
      </c>
      <c r="K96" s="142" t="s">
        <v>1641</v>
      </c>
      <c r="L96" s="142"/>
      <c r="M96" s="142"/>
      <c r="N96" s="142"/>
      <c r="O96" s="142"/>
      <c r="P96" s="142"/>
      <c r="Q96" s="142"/>
      <c r="R96" s="142"/>
      <c r="S96" s="142"/>
      <c r="T96" s="142" t="s">
        <v>2540</v>
      </c>
      <c r="U96" s="142"/>
      <c r="V96" s="142"/>
    </row>
    <row r="97" spans="1:22" s="14" customFormat="1" ht="15.75" customHeight="1" x14ac:dyDescent="0.25">
      <c r="A97" s="141" t="s">
        <v>2827</v>
      </c>
      <c r="B97" s="142" t="s">
        <v>34</v>
      </c>
      <c r="C97" s="142" t="s">
        <v>576</v>
      </c>
      <c r="D97" s="143">
        <v>44916</v>
      </c>
      <c r="E97" s="23" t="s">
        <v>23</v>
      </c>
      <c r="F97" s="23"/>
      <c r="G97" s="23"/>
      <c r="H97" s="142" t="s">
        <v>2838</v>
      </c>
      <c r="I97" s="142"/>
      <c r="J97" s="144" t="s">
        <v>2531</v>
      </c>
      <c r="K97" s="142" t="s">
        <v>2535</v>
      </c>
      <c r="L97" s="142"/>
      <c r="M97" s="142"/>
      <c r="N97" s="142"/>
      <c r="O97" s="142"/>
      <c r="P97" s="142"/>
      <c r="Q97" s="142"/>
      <c r="R97" s="142"/>
      <c r="S97" s="142"/>
      <c r="T97" s="142" t="s">
        <v>2541</v>
      </c>
      <c r="U97" s="142"/>
      <c r="V97" s="142"/>
    </row>
    <row r="98" spans="1:22" s="14" customFormat="1" ht="15.75" customHeight="1" x14ac:dyDescent="0.25">
      <c r="A98" s="141" t="s">
        <v>2827</v>
      </c>
      <c r="B98" s="142" t="s">
        <v>34</v>
      </c>
      <c r="C98" s="142" t="s">
        <v>576</v>
      </c>
      <c r="D98" s="143">
        <v>44916</v>
      </c>
      <c r="E98" s="23" t="s">
        <v>23</v>
      </c>
      <c r="F98" s="23" t="s">
        <v>2837</v>
      </c>
      <c r="G98" s="23"/>
      <c r="H98" s="142" t="s">
        <v>2735</v>
      </c>
      <c r="I98" s="142"/>
      <c r="J98" s="144" t="s">
        <v>2266</v>
      </c>
      <c r="K98" s="142" t="s">
        <v>2536</v>
      </c>
      <c r="L98" s="142"/>
      <c r="M98" s="142"/>
      <c r="N98" s="142"/>
      <c r="O98" s="142"/>
      <c r="P98" s="142"/>
      <c r="Q98" s="142"/>
      <c r="R98" s="142"/>
      <c r="S98" s="142"/>
      <c r="T98" s="142" t="s">
        <v>2542</v>
      </c>
      <c r="U98" s="142"/>
      <c r="V98" s="142"/>
    </row>
    <row r="99" spans="1:22" ht="15.75" customHeight="1" x14ac:dyDescent="0.25">
      <c r="A99" s="167" t="s">
        <v>2543</v>
      </c>
      <c r="B99" s="162" t="s">
        <v>13</v>
      </c>
      <c r="C99" s="162" t="s">
        <v>15</v>
      </c>
      <c r="D99" s="168">
        <v>44587</v>
      </c>
      <c r="E99" s="23" t="s">
        <v>23</v>
      </c>
      <c r="F99" s="23"/>
      <c r="G99" s="23"/>
      <c r="H99" s="162"/>
      <c r="I99" s="162"/>
      <c r="J99" s="169" t="s">
        <v>89</v>
      </c>
      <c r="K99" s="159"/>
      <c r="L99" s="162">
        <v>48</v>
      </c>
      <c r="M99" s="162"/>
      <c r="N99" s="162"/>
      <c r="O99" s="162"/>
      <c r="P99" s="162"/>
      <c r="Q99" s="162"/>
      <c r="R99" s="162"/>
      <c r="S99" s="162"/>
      <c r="T99" s="162">
        <v>34992</v>
      </c>
      <c r="U99" s="162"/>
      <c r="V99" s="162"/>
    </row>
    <row r="100" spans="1:22" s="14" customFormat="1" ht="75" customHeight="1" x14ac:dyDescent="0.2">
      <c r="A100" s="188" t="s">
        <v>2545</v>
      </c>
      <c r="B100" s="191" t="s">
        <v>34</v>
      </c>
      <c r="C100" s="191" t="s">
        <v>576</v>
      </c>
      <c r="D100" s="192">
        <v>44587</v>
      </c>
      <c r="E100" s="193" t="s">
        <v>23</v>
      </c>
      <c r="F100" s="193"/>
      <c r="G100" s="193"/>
      <c r="H100" s="183" t="s">
        <v>2736</v>
      </c>
      <c r="I100" s="142"/>
      <c r="J100" s="190" t="s">
        <v>859</v>
      </c>
      <c r="K100" s="191" t="s">
        <v>2547</v>
      </c>
      <c r="L100" s="189">
        <f>6148.8/6.1</f>
        <v>1008.0000000000001</v>
      </c>
      <c r="M100" s="142"/>
      <c r="N100" s="142"/>
      <c r="O100" s="142"/>
      <c r="P100" s="142"/>
      <c r="Q100" s="142"/>
      <c r="R100" s="191" t="s">
        <v>2549</v>
      </c>
      <c r="S100" s="142"/>
      <c r="T100" s="191" t="s">
        <v>2551</v>
      </c>
      <c r="U100" s="142"/>
      <c r="V100" s="142"/>
    </row>
    <row r="101" spans="1:22" s="14" customFormat="1" ht="15.75" customHeight="1" x14ac:dyDescent="0.25">
      <c r="A101" s="141" t="s">
        <v>2545</v>
      </c>
      <c r="B101" s="142" t="s">
        <v>34</v>
      </c>
      <c r="C101" s="142" t="s">
        <v>576</v>
      </c>
      <c r="D101" s="143">
        <v>44587</v>
      </c>
      <c r="E101" s="23" t="s">
        <v>23</v>
      </c>
      <c r="F101" s="23"/>
      <c r="G101" s="23">
        <v>312</v>
      </c>
      <c r="H101" s="142"/>
      <c r="I101" s="142"/>
      <c r="J101" s="144" t="s">
        <v>2546</v>
      </c>
      <c r="K101" s="142" t="s">
        <v>2548</v>
      </c>
      <c r="L101" s="142">
        <v>312</v>
      </c>
      <c r="M101" s="142"/>
      <c r="N101" s="142"/>
      <c r="O101" s="142"/>
      <c r="P101" s="142"/>
      <c r="Q101" s="142"/>
      <c r="R101" s="142" t="s">
        <v>2550</v>
      </c>
      <c r="S101" s="142"/>
      <c r="T101" s="142" t="s">
        <v>2552</v>
      </c>
      <c r="U101" s="142"/>
      <c r="V101" s="142"/>
    </row>
    <row r="102" spans="1:22" ht="15.75" customHeight="1" x14ac:dyDescent="0.25">
      <c r="A102" s="167">
        <v>38</v>
      </c>
      <c r="B102" s="162" t="s">
        <v>13</v>
      </c>
      <c r="C102" s="162" t="s">
        <v>32</v>
      </c>
      <c r="D102" s="168">
        <v>44587</v>
      </c>
      <c r="E102" s="23" t="s">
        <v>23</v>
      </c>
      <c r="F102" s="23"/>
      <c r="G102" s="23"/>
      <c r="H102" s="162" t="s">
        <v>2664</v>
      </c>
      <c r="I102" s="168">
        <v>44610</v>
      </c>
      <c r="J102" s="169" t="s">
        <v>2024</v>
      </c>
      <c r="K102" s="149">
        <v>4059.45</v>
      </c>
      <c r="L102" s="162">
        <v>837</v>
      </c>
      <c r="M102" s="162">
        <v>9.5600000000000004E-2</v>
      </c>
      <c r="N102" s="162">
        <v>0.16</v>
      </c>
      <c r="O102" s="162">
        <v>388.08339999999998</v>
      </c>
      <c r="P102" s="162">
        <v>649.51199999999994</v>
      </c>
      <c r="Q102" s="162">
        <v>50.45</v>
      </c>
      <c r="R102" s="162">
        <v>24.47</v>
      </c>
      <c r="S102" s="162">
        <v>256</v>
      </c>
      <c r="T102" s="162">
        <v>99349.36</v>
      </c>
      <c r="U102" s="162"/>
      <c r="V102" s="162"/>
    </row>
    <row r="103" spans="1:22" ht="15.75" customHeight="1" x14ac:dyDescent="0.25">
      <c r="A103" s="167">
        <v>39</v>
      </c>
      <c r="B103" s="162" t="s">
        <v>13</v>
      </c>
      <c r="C103" s="162" t="s">
        <v>2358</v>
      </c>
      <c r="D103" s="168">
        <v>44587</v>
      </c>
      <c r="E103" s="23" t="s">
        <v>23</v>
      </c>
      <c r="F103" s="23"/>
      <c r="G103" s="23"/>
      <c r="H103" s="162" t="s">
        <v>2913</v>
      </c>
      <c r="I103" s="162"/>
      <c r="J103" s="169" t="s">
        <v>2553</v>
      </c>
      <c r="K103" s="162">
        <v>1032</v>
      </c>
      <c r="L103" s="162">
        <v>172</v>
      </c>
      <c r="M103" s="162">
        <v>8.9499999999999996E-2</v>
      </c>
      <c r="N103" s="162">
        <v>0.26500000000000001</v>
      </c>
      <c r="O103" s="162">
        <v>92.364000000000004</v>
      </c>
      <c r="P103" s="162">
        <v>273.48</v>
      </c>
      <c r="Q103" s="162">
        <v>12.01</v>
      </c>
      <c r="R103" s="162">
        <v>27.3</v>
      </c>
      <c r="S103" s="162">
        <v>305</v>
      </c>
      <c r="T103" s="162">
        <v>28173.599999999999</v>
      </c>
      <c r="U103" s="162"/>
      <c r="V103" s="162"/>
    </row>
    <row r="104" spans="1:22" ht="15.75" customHeight="1" x14ac:dyDescent="0.25">
      <c r="A104" s="167">
        <v>40</v>
      </c>
      <c r="B104" s="162" t="s">
        <v>13</v>
      </c>
      <c r="C104" s="162" t="s">
        <v>663</v>
      </c>
      <c r="D104" s="168">
        <v>44587</v>
      </c>
      <c r="E104" s="23" t="s">
        <v>23</v>
      </c>
      <c r="F104" s="23"/>
      <c r="G104" s="23">
        <v>23</v>
      </c>
      <c r="H104" s="162"/>
      <c r="I104" s="162"/>
      <c r="J104" s="169" t="s">
        <v>630</v>
      </c>
      <c r="K104" s="162">
        <v>149.5</v>
      </c>
      <c r="L104" s="162">
        <v>23</v>
      </c>
      <c r="M104" s="162">
        <v>0.54049999999999998</v>
      </c>
      <c r="N104" s="162">
        <v>2.0979999999999999</v>
      </c>
      <c r="O104" s="162">
        <v>98.370999999999995</v>
      </c>
      <c r="P104" s="162">
        <v>381.83600000000001</v>
      </c>
      <c r="Q104" s="162">
        <v>12.79</v>
      </c>
      <c r="R104" s="162">
        <v>135.13</v>
      </c>
      <c r="S104" s="162">
        <v>250</v>
      </c>
      <c r="T104" s="162">
        <v>24592.75</v>
      </c>
      <c r="U104" s="162"/>
      <c r="V104" s="162"/>
    </row>
    <row r="105" spans="1:22" ht="15.75" customHeight="1" x14ac:dyDescent="0.25">
      <c r="A105" s="167">
        <v>40</v>
      </c>
      <c r="B105" s="162" t="s">
        <v>13</v>
      </c>
      <c r="C105" s="162" t="s">
        <v>663</v>
      </c>
      <c r="D105" s="168">
        <v>44587</v>
      </c>
      <c r="E105" s="23" t="s">
        <v>23</v>
      </c>
      <c r="F105" s="23">
        <v>168</v>
      </c>
      <c r="G105" s="23"/>
      <c r="H105" s="162" t="s">
        <v>2975</v>
      </c>
      <c r="I105" s="168">
        <v>44687</v>
      </c>
      <c r="J105" s="169" t="s">
        <v>999</v>
      </c>
      <c r="K105" s="159">
        <v>1423.5</v>
      </c>
      <c r="L105" s="162">
        <v>219</v>
      </c>
      <c r="M105" s="162">
        <v>0.626</v>
      </c>
      <c r="N105" s="162">
        <v>2.1869999999999998</v>
      </c>
      <c r="O105" s="162">
        <v>911.45600000000002</v>
      </c>
      <c r="P105" s="162">
        <v>3184.2719999999999</v>
      </c>
      <c r="Q105" s="162">
        <v>118.49</v>
      </c>
      <c r="R105" s="162">
        <v>156.5</v>
      </c>
      <c r="S105" s="162">
        <v>250</v>
      </c>
      <c r="T105" s="162">
        <v>227864</v>
      </c>
      <c r="U105" s="162"/>
      <c r="V105" s="162"/>
    </row>
    <row r="106" spans="1:22" ht="15.75" customHeight="1" x14ac:dyDescent="0.25">
      <c r="A106" s="167">
        <v>41</v>
      </c>
      <c r="B106" s="162" t="s">
        <v>13</v>
      </c>
      <c r="C106" s="162" t="s">
        <v>625</v>
      </c>
      <c r="D106" s="168">
        <v>44587</v>
      </c>
      <c r="E106" s="23" t="s">
        <v>23</v>
      </c>
      <c r="F106" s="23"/>
      <c r="G106" s="23"/>
      <c r="H106" s="162"/>
      <c r="I106" s="162"/>
      <c r="J106" s="169" t="s">
        <v>2316</v>
      </c>
      <c r="K106" s="159">
        <v>787.5</v>
      </c>
      <c r="L106" s="162">
        <v>175</v>
      </c>
      <c r="M106" s="162">
        <v>0.13400000000000001</v>
      </c>
      <c r="N106" s="162">
        <v>0.23200000000000001</v>
      </c>
      <c r="O106" s="162">
        <v>105.52500000000001</v>
      </c>
      <c r="P106" s="162">
        <v>182.7</v>
      </c>
      <c r="Q106" s="162">
        <v>13.72</v>
      </c>
      <c r="R106" s="162">
        <v>40.869999999999997</v>
      </c>
      <c r="S106" s="162">
        <v>305</v>
      </c>
      <c r="T106" s="162">
        <v>32185.13</v>
      </c>
      <c r="U106" s="162"/>
      <c r="V106" s="162"/>
    </row>
    <row r="107" spans="1:22" ht="15.75" customHeight="1" x14ac:dyDescent="0.25">
      <c r="A107" s="167">
        <v>42</v>
      </c>
      <c r="B107" s="162" t="s">
        <v>13</v>
      </c>
      <c r="C107" s="162" t="s">
        <v>32</v>
      </c>
      <c r="D107" s="168">
        <v>44587</v>
      </c>
      <c r="E107" s="23" t="s">
        <v>23</v>
      </c>
      <c r="F107" s="23"/>
      <c r="G107" s="23"/>
      <c r="H107" s="162"/>
      <c r="I107" s="162"/>
      <c r="J107" s="169" t="s">
        <v>2024</v>
      </c>
      <c r="K107" s="159">
        <v>1915.75</v>
      </c>
      <c r="L107" s="162">
        <v>395</v>
      </c>
      <c r="M107" s="162">
        <v>9.5600000000000004E-2</v>
      </c>
      <c r="N107" s="162">
        <v>0.16</v>
      </c>
      <c r="O107" s="162">
        <v>183.14570000000001</v>
      </c>
      <c r="P107" s="162">
        <v>306.52</v>
      </c>
      <c r="Q107" s="162">
        <v>23.81</v>
      </c>
      <c r="R107" s="162">
        <v>24.47</v>
      </c>
      <c r="S107" s="162">
        <v>256</v>
      </c>
      <c r="T107" s="162">
        <v>46885.3</v>
      </c>
      <c r="U107" s="162"/>
      <c r="V107" s="162"/>
    </row>
    <row r="108" spans="1:22" ht="15.75" customHeight="1" x14ac:dyDescent="0.25">
      <c r="A108" s="167">
        <v>42</v>
      </c>
      <c r="B108" s="162" t="s">
        <v>13</v>
      </c>
      <c r="C108" s="162" t="s">
        <v>32</v>
      </c>
      <c r="D108" s="168">
        <v>44587</v>
      </c>
      <c r="E108" s="23" t="s">
        <v>23</v>
      </c>
      <c r="F108" s="23">
        <v>113</v>
      </c>
      <c r="G108" s="23"/>
      <c r="H108" s="162" t="s">
        <v>2858</v>
      </c>
      <c r="I108" s="162"/>
      <c r="J108" s="169" t="s">
        <v>1598</v>
      </c>
      <c r="K108" s="162">
        <v>701.5</v>
      </c>
      <c r="L108" s="162">
        <v>115</v>
      </c>
      <c r="M108" s="162">
        <v>0.2651</v>
      </c>
      <c r="N108" s="162">
        <v>0.82099999999999995</v>
      </c>
      <c r="O108" s="162">
        <v>185.96770000000001</v>
      </c>
      <c r="P108" s="162">
        <v>575.93150000000003</v>
      </c>
      <c r="Q108" s="162">
        <v>24.18</v>
      </c>
      <c r="R108" s="162">
        <v>67.87</v>
      </c>
      <c r="S108" s="162">
        <v>256</v>
      </c>
      <c r="T108" s="162">
        <v>47607.72</v>
      </c>
      <c r="U108" s="162"/>
      <c r="V108" s="162"/>
    </row>
    <row r="109" spans="1:22" ht="15.75" customHeight="1" x14ac:dyDescent="0.25">
      <c r="A109" s="167">
        <v>43</v>
      </c>
      <c r="B109" s="162" t="s">
        <v>13</v>
      </c>
      <c r="C109" s="162" t="s">
        <v>32</v>
      </c>
      <c r="D109" s="168">
        <v>44587</v>
      </c>
      <c r="E109" s="23" t="s">
        <v>23</v>
      </c>
      <c r="F109" s="23"/>
      <c r="G109" s="23"/>
      <c r="H109" s="162"/>
      <c r="I109" s="162"/>
      <c r="J109" s="169" t="s">
        <v>2554</v>
      </c>
      <c r="K109" s="149">
        <v>204</v>
      </c>
      <c r="L109" s="162">
        <v>34</v>
      </c>
      <c r="M109" s="162">
        <v>8.14E-2</v>
      </c>
      <c r="N109" s="162">
        <v>0.127</v>
      </c>
      <c r="O109" s="162">
        <v>16.605599999999999</v>
      </c>
      <c r="P109" s="162">
        <v>25.908000000000001</v>
      </c>
      <c r="Q109" s="162">
        <v>2.16</v>
      </c>
      <c r="R109" s="162">
        <v>16.440000000000001</v>
      </c>
      <c r="S109" s="162">
        <v>202</v>
      </c>
      <c r="T109" s="162">
        <v>3354.33</v>
      </c>
      <c r="U109" s="162"/>
      <c r="V109" s="162"/>
    </row>
    <row r="110" spans="1:22" s="14" customFormat="1" ht="15.75" customHeight="1" x14ac:dyDescent="0.25">
      <c r="A110" s="141">
        <v>39</v>
      </c>
      <c r="B110" s="142" t="s">
        <v>34</v>
      </c>
      <c r="C110" s="142" t="s">
        <v>19</v>
      </c>
      <c r="D110" s="143">
        <v>44588</v>
      </c>
      <c r="E110" s="23" t="s">
        <v>23</v>
      </c>
      <c r="F110" s="23"/>
      <c r="G110" s="23"/>
      <c r="H110" s="142" t="s">
        <v>680</v>
      </c>
      <c r="I110" s="142"/>
      <c r="J110" s="144" t="s">
        <v>2555</v>
      </c>
      <c r="K110" s="142">
        <v>42</v>
      </c>
      <c r="L110" s="142">
        <v>7</v>
      </c>
      <c r="M110" s="142">
        <v>0.113</v>
      </c>
      <c r="N110" s="142">
        <v>0.23699999999999999</v>
      </c>
      <c r="O110" s="142">
        <v>4.7460000000000004</v>
      </c>
      <c r="P110" s="142">
        <v>9.9540000000000006</v>
      </c>
      <c r="Q110" s="142">
        <v>0.62</v>
      </c>
      <c r="R110" s="142">
        <v>34.47</v>
      </c>
      <c r="S110" s="142">
        <v>305</v>
      </c>
      <c r="T110" s="142">
        <v>1447.53</v>
      </c>
      <c r="U110" s="142"/>
      <c r="V110" s="142"/>
    </row>
    <row r="111" spans="1:22" ht="15.75" customHeight="1" x14ac:dyDescent="0.25">
      <c r="A111" s="167" t="s">
        <v>2556</v>
      </c>
      <c r="B111" s="162" t="s">
        <v>13</v>
      </c>
      <c r="C111" s="162" t="s">
        <v>2399</v>
      </c>
      <c r="D111" s="168">
        <v>44588</v>
      </c>
      <c r="E111" s="23" t="s">
        <v>23</v>
      </c>
      <c r="F111" s="23"/>
      <c r="G111" s="23"/>
      <c r="H111" s="162"/>
      <c r="I111" s="162"/>
      <c r="J111" s="169" t="s">
        <v>2403</v>
      </c>
      <c r="K111" s="142"/>
      <c r="L111" s="162">
        <v>160</v>
      </c>
      <c r="M111" s="162"/>
      <c r="N111" s="162"/>
      <c r="O111" s="162"/>
      <c r="P111" s="162"/>
      <c r="Q111" s="162"/>
      <c r="R111" s="162"/>
      <c r="S111" s="162"/>
      <c r="T111" s="162">
        <v>23800</v>
      </c>
      <c r="U111" s="162"/>
      <c r="V111" s="162"/>
    </row>
    <row r="112" spans="1:22" ht="15.75" customHeight="1" x14ac:dyDescent="0.25">
      <c r="A112" s="167" t="s">
        <v>2557</v>
      </c>
      <c r="B112" s="162" t="s">
        <v>13</v>
      </c>
      <c r="C112" s="162" t="s">
        <v>284</v>
      </c>
      <c r="D112" s="168">
        <v>44588</v>
      </c>
      <c r="E112" s="23" t="s">
        <v>23</v>
      </c>
      <c r="F112" s="23"/>
      <c r="G112" s="23"/>
      <c r="H112" s="162"/>
      <c r="I112" s="162"/>
      <c r="J112" s="169" t="s">
        <v>67</v>
      </c>
      <c r="K112" s="159">
        <v>108</v>
      </c>
      <c r="L112" s="162">
        <v>36</v>
      </c>
      <c r="M112" s="162"/>
      <c r="N112" s="162"/>
      <c r="O112" s="162"/>
      <c r="P112" s="162"/>
      <c r="Q112" s="162"/>
      <c r="R112" s="162"/>
      <c r="S112" s="162"/>
      <c r="T112" s="162">
        <v>10860</v>
      </c>
      <c r="U112" s="162"/>
      <c r="V112" s="162"/>
    </row>
    <row r="113" spans="1:22" ht="30.75" customHeight="1" x14ac:dyDescent="0.25">
      <c r="A113" s="167">
        <v>45</v>
      </c>
      <c r="B113" s="162" t="s">
        <v>13</v>
      </c>
      <c r="C113" s="162" t="s">
        <v>2559</v>
      </c>
      <c r="D113" s="168">
        <v>44588</v>
      </c>
      <c r="E113" s="23" t="s">
        <v>23</v>
      </c>
      <c r="F113" s="23"/>
      <c r="G113" s="23"/>
      <c r="H113" s="162"/>
      <c r="I113" s="162"/>
      <c r="J113" s="169" t="s">
        <v>2558</v>
      </c>
      <c r="K113" s="162">
        <v>276</v>
      </c>
      <c r="L113" s="162">
        <v>46</v>
      </c>
      <c r="M113" s="162">
        <v>0.24</v>
      </c>
      <c r="N113" s="162">
        <v>1.2569999999999999</v>
      </c>
      <c r="O113" s="162">
        <v>66.239999999999995</v>
      </c>
      <c r="P113" s="162">
        <v>346.93200000000002</v>
      </c>
      <c r="Q113" s="162">
        <v>8.61</v>
      </c>
      <c r="R113" s="162">
        <v>84</v>
      </c>
      <c r="S113" s="162">
        <v>350</v>
      </c>
      <c r="T113" s="162">
        <v>23184</v>
      </c>
      <c r="U113" s="162"/>
      <c r="V113" s="162"/>
    </row>
    <row r="114" spans="1:22" s="14" customFormat="1" ht="15.75" customHeight="1" x14ac:dyDescent="0.25">
      <c r="A114" s="141">
        <v>46</v>
      </c>
      <c r="B114" s="142" t="s">
        <v>34</v>
      </c>
      <c r="C114" s="173" t="s">
        <v>201</v>
      </c>
      <c r="D114" s="143">
        <v>44588</v>
      </c>
      <c r="E114" s="23" t="s">
        <v>23</v>
      </c>
      <c r="F114" s="23">
        <f>192+318</f>
        <v>510</v>
      </c>
      <c r="G114" s="23">
        <v>108</v>
      </c>
      <c r="H114" s="162" t="s">
        <v>2971</v>
      </c>
      <c r="I114" s="142"/>
      <c r="J114" s="144" t="s">
        <v>2561</v>
      </c>
      <c r="K114" s="174">
        <v>624</v>
      </c>
      <c r="L114" s="174">
        <v>104</v>
      </c>
      <c r="M114" s="142">
        <v>0.31109999999999999</v>
      </c>
      <c r="N114" s="142">
        <v>1.7769999999999999</v>
      </c>
      <c r="O114" s="142">
        <v>194.12639999999999</v>
      </c>
      <c r="P114" s="142">
        <v>1108.848</v>
      </c>
      <c r="Q114" s="142">
        <v>25.24</v>
      </c>
      <c r="R114" s="142">
        <v>94.89</v>
      </c>
      <c r="S114" s="142">
        <v>305</v>
      </c>
      <c r="T114" s="142">
        <v>59208.55</v>
      </c>
      <c r="U114" s="142"/>
      <c r="V114" s="142"/>
    </row>
    <row r="115" spans="1:22" s="14" customFormat="1" ht="15.75" customHeight="1" x14ac:dyDescent="0.25">
      <c r="A115" s="147">
        <v>47</v>
      </c>
      <c r="B115" s="145" t="s">
        <v>34</v>
      </c>
      <c r="C115" s="175" t="s">
        <v>14</v>
      </c>
      <c r="D115" s="148">
        <v>44588</v>
      </c>
      <c r="E115" s="23" t="s">
        <v>23</v>
      </c>
      <c r="F115" s="206"/>
      <c r="G115" s="206"/>
      <c r="H115" s="163"/>
      <c r="I115" s="145"/>
      <c r="J115" s="146" t="s">
        <v>488</v>
      </c>
      <c r="K115" s="176">
        <v>1524.9</v>
      </c>
      <c r="L115" s="176">
        <v>299</v>
      </c>
      <c r="M115" s="145">
        <v>3.9300000000000002E-2</v>
      </c>
      <c r="N115" s="145">
        <v>7.8E-2</v>
      </c>
      <c r="O115" s="145">
        <v>59.928600000000003</v>
      </c>
      <c r="P115" s="145">
        <v>118.9422</v>
      </c>
      <c r="Q115" s="145">
        <v>7.79</v>
      </c>
      <c r="R115" s="145">
        <v>11.99</v>
      </c>
      <c r="S115" s="145">
        <v>305</v>
      </c>
      <c r="T115" s="145">
        <v>18283.55</v>
      </c>
      <c r="U115" s="145"/>
      <c r="V115" s="145"/>
    </row>
    <row r="116" spans="1:22" ht="15.75" customHeight="1" x14ac:dyDescent="0.25">
      <c r="A116" s="171" t="s">
        <v>2562</v>
      </c>
      <c r="B116" s="163" t="s">
        <v>13</v>
      </c>
      <c r="C116" s="163" t="s">
        <v>43</v>
      </c>
      <c r="D116" s="172">
        <v>44588</v>
      </c>
      <c r="E116" s="23" t="s">
        <v>23</v>
      </c>
      <c r="F116" s="206"/>
      <c r="G116" s="206"/>
      <c r="H116" s="163" t="s">
        <v>2613</v>
      </c>
      <c r="I116" s="163"/>
      <c r="J116" s="164" t="s">
        <v>545</v>
      </c>
      <c r="K116" s="163">
        <v>2440</v>
      </c>
      <c r="L116" s="163">
        <v>400</v>
      </c>
      <c r="M116" s="163"/>
      <c r="N116" s="163"/>
      <c r="O116" s="163"/>
      <c r="P116" s="163"/>
      <c r="Q116" s="163"/>
      <c r="R116" s="163"/>
      <c r="S116" s="163"/>
      <c r="T116" s="163">
        <v>90900</v>
      </c>
      <c r="U116" s="163"/>
      <c r="V116" s="163"/>
    </row>
    <row r="117" spans="1:22" ht="15.75" customHeight="1" x14ac:dyDescent="0.25">
      <c r="A117" s="171" t="s">
        <v>2563</v>
      </c>
      <c r="B117" s="163" t="s">
        <v>13</v>
      </c>
      <c r="C117" s="163" t="s">
        <v>583</v>
      </c>
      <c r="D117" s="172">
        <v>44589</v>
      </c>
      <c r="E117" s="23" t="s">
        <v>23</v>
      </c>
      <c r="F117" s="206"/>
      <c r="G117" s="206"/>
      <c r="H117" s="163"/>
      <c r="I117" s="163"/>
      <c r="J117" s="164" t="s">
        <v>89</v>
      </c>
      <c r="K117" s="145"/>
      <c r="L117" s="163">
        <v>48</v>
      </c>
      <c r="M117" s="163"/>
      <c r="N117" s="163"/>
      <c r="O117" s="163"/>
      <c r="P117" s="163"/>
      <c r="Q117" s="163"/>
      <c r="R117" s="163"/>
      <c r="S117" s="163"/>
      <c r="T117" s="163">
        <v>34992</v>
      </c>
      <c r="U117" s="163"/>
      <c r="V117" s="163"/>
    </row>
    <row r="118" spans="1:22" ht="15.75" customHeight="1" x14ac:dyDescent="0.25">
      <c r="A118" s="171">
        <v>48</v>
      </c>
      <c r="B118" s="163" t="s">
        <v>13</v>
      </c>
      <c r="C118" s="163" t="s">
        <v>663</v>
      </c>
      <c r="D118" s="172">
        <v>44592</v>
      </c>
      <c r="E118" s="23" t="s">
        <v>23</v>
      </c>
      <c r="F118" s="206"/>
      <c r="G118" s="206"/>
      <c r="H118" s="163" t="s">
        <v>2676</v>
      </c>
      <c r="I118" s="172">
        <v>44613</v>
      </c>
      <c r="J118" s="164" t="s">
        <v>630</v>
      </c>
      <c r="K118" s="163">
        <v>1066</v>
      </c>
      <c r="L118" s="163">
        <v>164</v>
      </c>
      <c r="M118" s="163">
        <v>0.54049999999999998</v>
      </c>
      <c r="N118" s="163">
        <v>2.0979999999999999</v>
      </c>
      <c r="O118" s="163">
        <v>576.173</v>
      </c>
      <c r="P118" s="163">
        <v>2236.4679999999998</v>
      </c>
      <c r="Q118" s="163">
        <v>74.900000000000006</v>
      </c>
      <c r="R118" s="163">
        <v>135.12</v>
      </c>
      <c r="S118" s="163">
        <v>250</v>
      </c>
      <c r="T118" s="163">
        <v>144037.92000000001</v>
      </c>
      <c r="U118" s="163"/>
      <c r="V118" s="163"/>
    </row>
    <row r="119" spans="1:22" ht="15.75" customHeight="1" x14ac:dyDescent="0.25">
      <c r="A119" s="167">
        <v>49</v>
      </c>
      <c r="B119" s="162" t="s">
        <v>13</v>
      </c>
      <c r="C119" s="162" t="s">
        <v>45</v>
      </c>
      <c r="D119" s="168">
        <v>44592</v>
      </c>
      <c r="E119" s="23" t="s">
        <v>23</v>
      </c>
      <c r="F119" s="23">
        <f>8+10</f>
        <v>18</v>
      </c>
      <c r="G119" s="23">
        <f>36+27</f>
        <v>63</v>
      </c>
      <c r="H119" s="162"/>
      <c r="I119" s="162"/>
      <c r="J119" s="169" t="s">
        <v>2564</v>
      </c>
      <c r="K119" s="162">
        <v>486</v>
      </c>
      <c r="L119" s="162">
        <v>81</v>
      </c>
      <c r="M119" s="162">
        <v>0.2382</v>
      </c>
      <c r="N119" s="162">
        <v>0.89100000000000001</v>
      </c>
      <c r="O119" s="162">
        <v>115.76519999999999</v>
      </c>
      <c r="P119" s="162">
        <v>433.02600000000001</v>
      </c>
      <c r="Q119" s="162">
        <v>15.05</v>
      </c>
      <c r="R119" s="162">
        <v>72.650000000000006</v>
      </c>
      <c r="S119" s="162">
        <v>305</v>
      </c>
      <c r="T119" s="162">
        <v>35308.39</v>
      </c>
      <c r="U119" s="162"/>
      <c r="V119" s="162"/>
    </row>
    <row r="120" spans="1:22" ht="15.75" customHeight="1" x14ac:dyDescent="0.25">
      <c r="A120" s="167">
        <v>50</v>
      </c>
      <c r="B120" s="162" t="s">
        <v>13</v>
      </c>
      <c r="C120" s="162" t="s">
        <v>32</v>
      </c>
      <c r="D120" s="168">
        <v>44592</v>
      </c>
      <c r="E120" s="23" t="s">
        <v>23</v>
      </c>
      <c r="F120" s="23"/>
      <c r="G120" s="23"/>
      <c r="H120" s="162"/>
      <c r="I120" s="162"/>
      <c r="J120" s="169" t="s">
        <v>1089</v>
      </c>
      <c r="K120" s="149">
        <v>2400</v>
      </c>
      <c r="L120" s="162">
        <v>400</v>
      </c>
      <c r="M120" s="162">
        <v>6.0499999999999998E-2</v>
      </c>
      <c r="N120" s="162">
        <v>8.5000000000000006E-2</v>
      </c>
      <c r="O120" s="162">
        <v>145.19999999999999</v>
      </c>
      <c r="P120" s="162">
        <v>204</v>
      </c>
      <c r="Q120" s="162">
        <v>18.88</v>
      </c>
      <c r="R120" s="162">
        <v>17.239999999999998</v>
      </c>
      <c r="S120" s="162">
        <v>285</v>
      </c>
      <c r="T120" s="162">
        <v>41382</v>
      </c>
      <c r="U120" s="162"/>
      <c r="V120" s="162"/>
    </row>
    <row r="121" spans="1:22" ht="15.75" customHeight="1" x14ac:dyDescent="0.25">
      <c r="A121" s="171">
        <v>51</v>
      </c>
      <c r="B121" s="162" t="s">
        <v>13</v>
      </c>
      <c r="C121" s="162" t="s">
        <v>32</v>
      </c>
      <c r="D121" s="172">
        <v>44592</v>
      </c>
      <c r="E121" s="23" t="s">
        <v>23</v>
      </c>
      <c r="F121" s="206">
        <v>210</v>
      </c>
      <c r="G121" s="206"/>
      <c r="H121" s="163"/>
      <c r="I121" s="163"/>
      <c r="J121" s="164" t="s">
        <v>2024</v>
      </c>
      <c r="K121" s="179">
        <v>1018.5</v>
      </c>
      <c r="L121" s="163">
        <v>210</v>
      </c>
      <c r="M121" s="163">
        <v>9.5600000000000004E-2</v>
      </c>
      <c r="N121" s="163">
        <v>0.16</v>
      </c>
      <c r="O121" s="163">
        <v>97.368600000000001</v>
      </c>
      <c r="P121" s="163">
        <v>162.96</v>
      </c>
      <c r="Q121" s="163">
        <v>12.66</v>
      </c>
      <c r="R121" s="163">
        <v>24.47</v>
      </c>
      <c r="S121" s="163">
        <v>256</v>
      </c>
      <c r="T121" s="163">
        <v>24926.36</v>
      </c>
      <c r="U121" s="163"/>
      <c r="V121" s="163"/>
    </row>
    <row r="122" spans="1:22" ht="15.75" customHeight="1" x14ac:dyDescent="0.25">
      <c r="A122" s="167">
        <v>51</v>
      </c>
      <c r="B122" s="162" t="s">
        <v>13</v>
      </c>
      <c r="C122" s="162" t="s">
        <v>32</v>
      </c>
      <c r="D122" s="168">
        <v>44592</v>
      </c>
      <c r="E122" s="23" t="s">
        <v>23</v>
      </c>
      <c r="F122" s="23"/>
      <c r="G122" s="23"/>
      <c r="H122" s="162" t="s">
        <v>2914</v>
      </c>
      <c r="I122" s="168">
        <v>44687</v>
      </c>
      <c r="J122" s="169" t="s">
        <v>1598</v>
      </c>
      <c r="K122" s="162">
        <v>506.3</v>
      </c>
      <c r="L122" s="162">
        <v>83</v>
      </c>
      <c r="M122" s="162">
        <v>0.2651</v>
      </c>
      <c r="N122" s="162">
        <v>0.82099999999999995</v>
      </c>
      <c r="O122" s="162">
        <v>134.2201</v>
      </c>
      <c r="P122" s="162">
        <v>415.67230000000001</v>
      </c>
      <c r="Q122" s="162">
        <v>17.45</v>
      </c>
      <c r="R122" s="162">
        <v>67.87</v>
      </c>
      <c r="S122" s="162">
        <v>256</v>
      </c>
      <c r="T122" s="162">
        <v>34360.35</v>
      </c>
      <c r="U122" s="162"/>
      <c r="V122" s="162"/>
    </row>
    <row r="123" spans="1:22" ht="15.75" customHeight="1" x14ac:dyDescent="0.25">
      <c r="A123" s="171" t="s">
        <v>2565</v>
      </c>
      <c r="B123" s="162" t="s">
        <v>13</v>
      </c>
      <c r="C123" s="163" t="s">
        <v>2566</v>
      </c>
      <c r="D123" s="172">
        <v>44592</v>
      </c>
      <c r="E123" s="23" t="s">
        <v>23</v>
      </c>
      <c r="F123" s="206"/>
      <c r="G123" s="206"/>
      <c r="H123" s="163"/>
      <c r="I123" s="163"/>
      <c r="J123" s="164" t="s">
        <v>2165</v>
      </c>
      <c r="K123" s="163">
        <v>1749.3</v>
      </c>
      <c r="L123" s="163">
        <v>343</v>
      </c>
      <c r="M123" s="163"/>
      <c r="N123" s="163"/>
      <c r="O123" s="163"/>
      <c r="P123" s="163"/>
      <c r="Q123" s="163"/>
      <c r="R123" s="163"/>
      <c r="S123" s="163"/>
      <c r="T123" s="163" t="s">
        <v>2611</v>
      </c>
      <c r="U123" s="163"/>
      <c r="V123" s="163"/>
    </row>
    <row r="124" spans="1:22" ht="15.75" customHeight="1" x14ac:dyDescent="0.25">
      <c r="A124" s="171" t="s">
        <v>2567</v>
      </c>
      <c r="B124" s="162" t="s">
        <v>13</v>
      </c>
      <c r="C124" s="163" t="s">
        <v>1696</v>
      </c>
      <c r="D124" s="172">
        <v>44592</v>
      </c>
      <c r="E124" s="23" t="s">
        <v>23</v>
      </c>
      <c r="F124" s="206"/>
      <c r="G124" s="206"/>
      <c r="H124" s="163"/>
      <c r="I124" s="163"/>
      <c r="J124" s="164" t="s">
        <v>2568</v>
      </c>
      <c r="K124" s="150" t="s">
        <v>100</v>
      </c>
      <c r="L124" s="163">
        <v>20</v>
      </c>
      <c r="M124" s="163"/>
      <c r="N124" s="163"/>
      <c r="O124" s="163"/>
      <c r="P124" s="163"/>
      <c r="Q124" s="163"/>
      <c r="R124" s="163"/>
      <c r="S124" s="163"/>
      <c r="T124" s="163" t="s">
        <v>2574</v>
      </c>
      <c r="U124" s="163"/>
      <c r="V124" s="163"/>
    </row>
    <row r="125" spans="1:22" ht="15.75" customHeight="1" x14ac:dyDescent="0.25">
      <c r="A125" s="167" t="s">
        <v>2567</v>
      </c>
      <c r="B125" s="162" t="s">
        <v>13</v>
      </c>
      <c r="C125" s="163" t="s">
        <v>1696</v>
      </c>
      <c r="D125" s="172">
        <v>44592</v>
      </c>
      <c r="E125" s="23" t="s">
        <v>23</v>
      </c>
      <c r="F125" s="23"/>
      <c r="G125" s="23"/>
      <c r="H125" s="162"/>
      <c r="I125" s="162"/>
      <c r="J125" s="169" t="s">
        <v>949</v>
      </c>
      <c r="K125" s="149" t="s">
        <v>379</v>
      </c>
      <c r="L125" s="162">
        <v>50</v>
      </c>
      <c r="M125" s="162"/>
      <c r="N125" s="162"/>
      <c r="O125" s="162"/>
      <c r="P125" s="162"/>
      <c r="Q125" s="162"/>
      <c r="R125" s="162"/>
      <c r="S125" s="162"/>
      <c r="T125" s="162" t="s">
        <v>2575</v>
      </c>
      <c r="U125" s="162"/>
      <c r="V125" s="162"/>
    </row>
    <row r="126" spans="1:22" ht="15.75" customHeight="1" x14ac:dyDescent="0.25">
      <c r="A126" s="167" t="s">
        <v>2567</v>
      </c>
      <c r="B126" s="162" t="s">
        <v>13</v>
      </c>
      <c r="C126" s="163" t="s">
        <v>1696</v>
      </c>
      <c r="D126" s="172">
        <v>44592</v>
      </c>
      <c r="E126" s="23" t="s">
        <v>23</v>
      </c>
      <c r="F126" s="23"/>
      <c r="G126" s="23"/>
      <c r="H126" s="162"/>
      <c r="I126" s="162"/>
      <c r="J126" s="169" t="s">
        <v>1918</v>
      </c>
      <c r="K126" s="149" t="s">
        <v>379</v>
      </c>
      <c r="L126" s="162">
        <v>50</v>
      </c>
      <c r="M126" s="162"/>
      <c r="N126" s="162"/>
      <c r="O126" s="162"/>
      <c r="P126" s="162"/>
      <c r="Q126" s="162"/>
      <c r="R126" s="162"/>
      <c r="S126" s="162"/>
      <c r="T126" s="162" t="s">
        <v>2576</v>
      </c>
      <c r="U126" s="162"/>
      <c r="V126" s="162"/>
    </row>
    <row r="127" spans="1:22" ht="15.75" customHeight="1" x14ac:dyDescent="0.25">
      <c r="A127" s="167" t="s">
        <v>2567</v>
      </c>
      <c r="B127" s="162" t="s">
        <v>13</v>
      </c>
      <c r="C127" s="163" t="s">
        <v>1696</v>
      </c>
      <c r="D127" s="172">
        <v>44592</v>
      </c>
      <c r="E127" s="23" t="s">
        <v>23</v>
      </c>
      <c r="F127" s="23"/>
      <c r="G127" s="23"/>
      <c r="H127" s="162"/>
      <c r="I127" s="162"/>
      <c r="J127" s="169" t="s">
        <v>2569</v>
      </c>
      <c r="K127" s="149" t="s">
        <v>100</v>
      </c>
      <c r="L127" s="162">
        <v>20</v>
      </c>
      <c r="M127" s="162"/>
      <c r="N127" s="162"/>
      <c r="O127" s="162"/>
      <c r="P127" s="162"/>
      <c r="Q127" s="162"/>
      <c r="R127" s="162"/>
      <c r="S127" s="162"/>
      <c r="T127" s="162" t="s">
        <v>445</v>
      </c>
      <c r="U127" s="162"/>
      <c r="V127" s="162"/>
    </row>
    <row r="128" spans="1:22" ht="15.75" customHeight="1" x14ac:dyDescent="0.25">
      <c r="A128" s="167" t="s">
        <v>2567</v>
      </c>
      <c r="B128" s="162" t="s">
        <v>13</v>
      </c>
      <c r="C128" s="163" t="s">
        <v>1696</v>
      </c>
      <c r="D128" s="172">
        <v>44592</v>
      </c>
      <c r="E128" s="23" t="s">
        <v>23</v>
      </c>
      <c r="F128" s="23"/>
      <c r="G128" s="23"/>
      <c r="H128" s="162"/>
      <c r="I128" s="162"/>
      <c r="J128" s="169" t="s">
        <v>2570</v>
      </c>
      <c r="K128" s="149" t="s">
        <v>379</v>
      </c>
      <c r="L128" s="162">
        <v>50</v>
      </c>
      <c r="M128" s="162"/>
      <c r="N128" s="162"/>
      <c r="O128" s="162"/>
      <c r="P128" s="162"/>
      <c r="Q128" s="162"/>
      <c r="R128" s="162"/>
      <c r="S128" s="162"/>
      <c r="T128" s="162" t="s">
        <v>1319</v>
      </c>
      <c r="U128" s="162"/>
      <c r="V128" s="162"/>
    </row>
    <row r="129" spans="1:22" ht="15.75" customHeight="1" x14ac:dyDescent="0.25">
      <c r="A129" s="167" t="s">
        <v>2567</v>
      </c>
      <c r="B129" s="162" t="s">
        <v>13</v>
      </c>
      <c r="C129" s="163" t="s">
        <v>1696</v>
      </c>
      <c r="D129" s="172">
        <v>44592</v>
      </c>
      <c r="E129" s="23" t="s">
        <v>23</v>
      </c>
      <c r="F129" s="23"/>
      <c r="G129" s="23"/>
      <c r="H129" s="162"/>
      <c r="I129" s="162"/>
      <c r="J129" s="169" t="s">
        <v>2571</v>
      </c>
      <c r="K129" s="149" t="s">
        <v>100</v>
      </c>
      <c r="L129" s="162">
        <v>20</v>
      </c>
      <c r="M129" s="162"/>
      <c r="N129" s="162"/>
      <c r="O129" s="162"/>
      <c r="P129" s="162"/>
      <c r="Q129" s="162"/>
      <c r="R129" s="162"/>
      <c r="S129" s="162"/>
      <c r="T129" s="162" t="s">
        <v>462</v>
      </c>
      <c r="U129" s="162"/>
      <c r="V129" s="162"/>
    </row>
    <row r="130" spans="1:22" ht="15.75" customHeight="1" x14ac:dyDescent="0.25">
      <c r="A130" s="167" t="s">
        <v>2567</v>
      </c>
      <c r="B130" s="162" t="s">
        <v>13</v>
      </c>
      <c r="C130" s="163" t="s">
        <v>1696</v>
      </c>
      <c r="D130" s="172">
        <v>44592</v>
      </c>
      <c r="E130" s="23" t="s">
        <v>23</v>
      </c>
      <c r="F130" s="23"/>
      <c r="G130" s="23"/>
      <c r="H130" s="162"/>
      <c r="I130" s="162"/>
      <c r="J130" s="169" t="s">
        <v>2572</v>
      </c>
      <c r="K130" s="149" t="s">
        <v>100</v>
      </c>
      <c r="L130" s="162">
        <v>20</v>
      </c>
      <c r="M130" s="162"/>
      <c r="N130" s="162"/>
      <c r="O130" s="162"/>
      <c r="P130" s="162"/>
      <c r="Q130" s="162"/>
      <c r="R130" s="162"/>
      <c r="S130" s="162"/>
      <c r="T130" s="162" t="s">
        <v>2577</v>
      </c>
      <c r="U130" s="162"/>
      <c r="V130" s="162"/>
    </row>
    <row r="131" spans="1:22" ht="15.75" customHeight="1" x14ac:dyDescent="0.25">
      <c r="A131" s="167" t="s">
        <v>2567</v>
      </c>
      <c r="B131" s="162" t="s">
        <v>13</v>
      </c>
      <c r="C131" s="163" t="s">
        <v>1696</v>
      </c>
      <c r="D131" s="172">
        <v>44592</v>
      </c>
      <c r="E131" s="23" t="s">
        <v>23</v>
      </c>
      <c r="F131" s="23"/>
      <c r="G131" s="23"/>
      <c r="H131" s="162"/>
      <c r="I131" s="162"/>
      <c r="J131" s="169" t="s">
        <v>2573</v>
      </c>
      <c r="K131" s="149" t="s">
        <v>100</v>
      </c>
      <c r="L131" s="162">
        <v>20</v>
      </c>
      <c r="M131" s="162"/>
      <c r="N131" s="162"/>
      <c r="O131" s="162"/>
      <c r="P131" s="162"/>
      <c r="Q131" s="162"/>
      <c r="R131" s="162"/>
      <c r="S131" s="162"/>
      <c r="T131" s="162" t="s">
        <v>2578</v>
      </c>
      <c r="U131" s="162"/>
      <c r="V131" s="162"/>
    </row>
    <row r="132" spans="1:22" ht="15.75" customHeight="1" x14ac:dyDescent="0.25">
      <c r="A132" s="167" t="s">
        <v>2567</v>
      </c>
      <c r="B132" s="162" t="s">
        <v>13</v>
      </c>
      <c r="C132" s="163" t="s">
        <v>1696</v>
      </c>
      <c r="D132" s="172">
        <v>44592</v>
      </c>
      <c r="E132" s="23" t="s">
        <v>23</v>
      </c>
      <c r="F132" s="23"/>
      <c r="G132" s="23"/>
      <c r="H132" s="162"/>
      <c r="I132" s="162"/>
      <c r="J132" s="169" t="s">
        <v>953</v>
      </c>
      <c r="K132" s="149" t="s">
        <v>100</v>
      </c>
      <c r="L132" s="162">
        <v>20</v>
      </c>
      <c r="M132" s="162"/>
      <c r="N132" s="162"/>
      <c r="O132" s="162"/>
      <c r="P132" s="162"/>
      <c r="Q132" s="162"/>
      <c r="R132" s="162"/>
      <c r="S132" s="162"/>
      <c r="T132" s="162" t="s">
        <v>2579</v>
      </c>
      <c r="U132" s="162"/>
      <c r="V132" s="162"/>
    </row>
    <row r="133" spans="1:22" s="14" customFormat="1" ht="35.25" customHeight="1" x14ac:dyDescent="0.25">
      <c r="A133" s="141" t="s">
        <v>2582</v>
      </c>
      <c r="B133" s="142" t="s">
        <v>34</v>
      </c>
      <c r="C133" s="145" t="s">
        <v>16</v>
      </c>
      <c r="D133" s="148">
        <v>44592</v>
      </c>
      <c r="E133" s="23" t="s">
        <v>23</v>
      </c>
      <c r="F133" s="23"/>
      <c r="G133" s="23"/>
      <c r="H133" s="142" t="s">
        <v>2583</v>
      </c>
      <c r="I133" s="143">
        <v>44596</v>
      </c>
      <c r="J133" s="144" t="s">
        <v>2581</v>
      </c>
      <c r="K133" s="142">
        <v>336</v>
      </c>
      <c r="L133" s="142">
        <v>56</v>
      </c>
      <c r="M133" s="142">
        <v>0.56989999999999996</v>
      </c>
      <c r="N133" s="142">
        <v>1.304</v>
      </c>
      <c r="O133" s="142">
        <v>191.4864</v>
      </c>
      <c r="P133" s="142">
        <v>438.14400000000001</v>
      </c>
      <c r="Q133" s="142">
        <v>24.89</v>
      </c>
      <c r="R133" s="142">
        <v>220.55</v>
      </c>
      <c r="S133" s="142">
        <v>387</v>
      </c>
      <c r="T133" s="142">
        <v>74105.240000000005</v>
      </c>
      <c r="U133" s="142"/>
      <c r="V133" s="142"/>
    </row>
    <row r="134" spans="1:22" s="14" customFormat="1" ht="15.75" customHeight="1" x14ac:dyDescent="0.25">
      <c r="A134" s="141" t="s">
        <v>2587</v>
      </c>
      <c r="B134" s="142" t="s">
        <v>13</v>
      </c>
      <c r="C134" s="142" t="s">
        <v>43</v>
      </c>
      <c r="D134" s="143">
        <v>44594</v>
      </c>
      <c r="E134" s="23" t="s">
        <v>677</v>
      </c>
      <c r="F134" s="23"/>
      <c r="G134" s="23"/>
      <c r="H134" s="142" t="s">
        <v>2597</v>
      </c>
      <c r="I134" s="142"/>
      <c r="J134" s="144" t="s">
        <v>2584</v>
      </c>
      <c r="K134" s="142" t="s">
        <v>53</v>
      </c>
      <c r="L134" s="142">
        <v>10</v>
      </c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</row>
    <row r="135" spans="1:22" s="14" customFormat="1" ht="15.75" customHeight="1" x14ac:dyDescent="0.25">
      <c r="A135" s="141" t="s">
        <v>2587</v>
      </c>
      <c r="B135" s="142" t="s">
        <v>13</v>
      </c>
      <c r="C135" s="142" t="s">
        <v>43</v>
      </c>
      <c r="D135" s="143">
        <v>44594</v>
      </c>
      <c r="E135" s="23" t="s">
        <v>677</v>
      </c>
      <c r="F135" s="23"/>
      <c r="G135" s="23"/>
      <c r="H135" s="142" t="s">
        <v>2597</v>
      </c>
      <c r="I135" s="142"/>
      <c r="J135" s="144" t="s">
        <v>247</v>
      </c>
      <c r="K135" s="142" t="s">
        <v>96</v>
      </c>
      <c r="L135" s="142">
        <v>2</v>
      </c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</row>
    <row r="136" spans="1:22" s="14" customFormat="1" ht="15.75" customHeight="1" x14ac:dyDescent="0.25">
      <c r="A136" s="141" t="s">
        <v>2587</v>
      </c>
      <c r="B136" s="142" t="s">
        <v>13</v>
      </c>
      <c r="C136" s="142" t="s">
        <v>43</v>
      </c>
      <c r="D136" s="143">
        <v>44594</v>
      </c>
      <c r="E136" s="23" t="s">
        <v>677</v>
      </c>
      <c r="F136" s="23"/>
      <c r="G136" s="23"/>
      <c r="H136" s="142" t="s">
        <v>2597</v>
      </c>
      <c r="I136" s="142"/>
      <c r="J136" s="144" t="s">
        <v>2585</v>
      </c>
      <c r="K136" s="142" t="s">
        <v>2588</v>
      </c>
      <c r="L136" s="142">
        <v>98</v>
      </c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</row>
    <row r="137" spans="1:22" s="14" customFormat="1" ht="15.75" customHeight="1" x14ac:dyDescent="0.25">
      <c r="A137" s="141" t="s">
        <v>2587</v>
      </c>
      <c r="B137" s="142" t="s">
        <v>13</v>
      </c>
      <c r="C137" s="142" t="s">
        <v>43</v>
      </c>
      <c r="D137" s="143">
        <v>44594</v>
      </c>
      <c r="E137" s="23" t="s">
        <v>677</v>
      </c>
      <c r="F137" s="23"/>
      <c r="G137" s="23"/>
      <c r="H137" s="142" t="s">
        <v>2597</v>
      </c>
      <c r="I137" s="142"/>
      <c r="J137" s="144" t="s">
        <v>1678</v>
      </c>
      <c r="K137" s="142" t="s">
        <v>2589</v>
      </c>
      <c r="L137" s="142">
        <v>44</v>
      </c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</row>
    <row r="138" spans="1:22" s="14" customFormat="1" ht="15.75" customHeight="1" x14ac:dyDescent="0.25">
      <c r="A138" s="141" t="s">
        <v>2587</v>
      </c>
      <c r="B138" s="142" t="s">
        <v>13</v>
      </c>
      <c r="C138" s="142" t="s">
        <v>43</v>
      </c>
      <c r="D138" s="143">
        <v>44594</v>
      </c>
      <c r="E138" s="23" t="s">
        <v>677</v>
      </c>
      <c r="F138" s="23"/>
      <c r="G138" s="23"/>
      <c r="H138" s="142" t="s">
        <v>2597</v>
      </c>
      <c r="I138" s="142"/>
      <c r="J138" s="144" t="s">
        <v>2586</v>
      </c>
      <c r="K138" s="142" t="s">
        <v>2590</v>
      </c>
      <c r="L138" s="142">
        <v>35</v>
      </c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</row>
    <row r="139" spans="1:22" s="14" customFormat="1" ht="15.75" customHeight="1" x14ac:dyDescent="0.25">
      <c r="A139" s="141" t="s">
        <v>2587</v>
      </c>
      <c r="B139" s="142" t="s">
        <v>13</v>
      </c>
      <c r="C139" s="142" t="s">
        <v>43</v>
      </c>
      <c r="D139" s="143">
        <v>44594</v>
      </c>
      <c r="E139" s="23" t="s">
        <v>677</v>
      </c>
      <c r="F139" s="23"/>
      <c r="G139" s="23"/>
      <c r="H139" s="142" t="s">
        <v>2597</v>
      </c>
      <c r="I139" s="145"/>
      <c r="J139" s="146" t="s">
        <v>173</v>
      </c>
      <c r="K139" s="145" t="s">
        <v>2591</v>
      </c>
      <c r="L139" s="145">
        <v>17</v>
      </c>
      <c r="M139" s="145"/>
      <c r="N139" s="145"/>
      <c r="O139" s="145"/>
      <c r="P139" s="145"/>
      <c r="Q139" s="145"/>
      <c r="R139" s="145"/>
      <c r="S139" s="145"/>
      <c r="T139" s="145"/>
      <c r="U139" s="145"/>
      <c r="V139" s="145"/>
    </row>
    <row r="140" spans="1:22" ht="15.75" customHeight="1" x14ac:dyDescent="0.25">
      <c r="A140" s="171" t="s">
        <v>2592</v>
      </c>
      <c r="B140" s="162" t="s">
        <v>13</v>
      </c>
      <c r="C140" s="163" t="s">
        <v>548</v>
      </c>
      <c r="D140" s="168">
        <v>44594</v>
      </c>
      <c r="E140" s="23" t="s">
        <v>23</v>
      </c>
      <c r="F140" s="206"/>
      <c r="G140" s="206"/>
      <c r="H140" s="163" t="s">
        <v>2665</v>
      </c>
      <c r="I140" s="172">
        <v>44610</v>
      </c>
      <c r="J140" s="164" t="s">
        <v>2593</v>
      </c>
      <c r="K140" s="163">
        <v>2998</v>
      </c>
      <c r="L140" s="163">
        <v>638</v>
      </c>
      <c r="M140" s="163"/>
      <c r="N140" s="163"/>
      <c r="O140" s="163"/>
      <c r="P140" s="163"/>
      <c r="Q140" s="163"/>
      <c r="R140" s="163"/>
      <c r="S140" s="163"/>
      <c r="T140" s="163"/>
      <c r="U140" s="163"/>
      <c r="V140" s="163"/>
    </row>
    <row r="141" spans="1:22" s="14" customFormat="1" ht="15.75" customHeight="1" x14ac:dyDescent="0.25">
      <c r="A141" s="141">
        <v>53</v>
      </c>
      <c r="B141" s="142" t="s">
        <v>34</v>
      </c>
      <c r="C141" s="142" t="s">
        <v>19</v>
      </c>
      <c r="D141" s="143">
        <v>44593</v>
      </c>
      <c r="E141" s="23" t="s">
        <v>23</v>
      </c>
      <c r="F141" s="23"/>
      <c r="G141" s="23"/>
      <c r="H141" s="142" t="s">
        <v>2583</v>
      </c>
      <c r="I141" s="142"/>
      <c r="J141" s="144" t="s">
        <v>2594</v>
      </c>
      <c r="K141" s="142">
        <v>355.2</v>
      </c>
      <c r="L141" s="142">
        <v>96</v>
      </c>
      <c r="M141" s="142">
        <v>0.3402</v>
      </c>
      <c r="N141" s="142">
        <v>1.4530000000000001</v>
      </c>
      <c r="O141" s="142">
        <v>120.839</v>
      </c>
      <c r="P141" s="142">
        <v>516.10559999999998</v>
      </c>
      <c r="Q141" s="142">
        <v>15.71</v>
      </c>
      <c r="R141" s="142">
        <v>62.94</v>
      </c>
      <c r="S141" s="142">
        <v>185</v>
      </c>
      <c r="T141" s="142">
        <v>22355.22</v>
      </c>
      <c r="U141" s="142"/>
      <c r="V141" s="142"/>
    </row>
    <row r="142" spans="1:22" s="14" customFormat="1" ht="15.75" customHeight="1" x14ac:dyDescent="0.25">
      <c r="A142" s="141">
        <v>53</v>
      </c>
      <c r="B142" s="142" t="s">
        <v>34</v>
      </c>
      <c r="C142" s="142" t="s">
        <v>19</v>
      </c>
      <c r="D142" s="143">
        <v>44593</v>
      </c>
      <c r="E142" s="23" t="s">
        <v>23</v>
      </c>
      <c r="F142" s="23"/>
      <c r="G142" s="23"/>
      <c r="H142" s="142"/>
      <c r="I142" s="142"/>
      <c r="J142" s="144" t="s">
        <v>2595</v>
      </c>
      <c r="K142" s="142">
        <v>1023</v>
      </c>
      <c r="L142" s="142">
        <v>330</v>
      </c>
      <c r="M142" s="142">
        <v>0.11600000000000001</v>
      </c>
      <c r="N142" s="142">
        <v>0.29399999999999998</v>
      </c>
      <c r="O142" s="142">
        <v>118.66800000000001</v>
      </c>
      <c r="P142" s="142">
        <v>300.762</v>
      </c>
      <c r="Q142" s="142">
        <v>15.43</v>
      </c>
      <c r="R142" s="142">
        <v>23.78</v>
      </c>
      <c r="S142" s="142">
        <v>205</v>
      </c>
      <c r="T142" s="142">
        <v>24326.94</v>
      </c>
      <c r="U142" s="142"/>
      <c r="V142" s="142"/>
    </row>
    <row r="143" spans="1:22" s="14" customFormat="1" ht="15.75" customHeight="1" x14ac:dyDescent="0.25">
      <c r="A143" s="141">
        <v>53</v>
      </c>
      <c r="B143" s="142" t="s">
        <v>34</v>
      </c>
      <c r="C143" s="142" t="s">
        <v>19</v>
      </c>
      <c r="D143" s="143">
        <v>44593</v>
      </c>
      <c r="E143" s="23" t="s">
        <v>23</v>
      </c>
      <c r="F143" s="206"/>
      <c r="G143" s="206"/>
      <c r="H143" s="145"/>
      <c r="I143" s="145"/>
      <c r="J143" s="146" t="s">
        <v>2596</v>
      </c>
      <c r="K143" s="145">
        <v>666</v>
      </c>
      <c r="L143" s="145">
        <v>180</v>
      </c>
      <c r="M143" s="145">
        <v>0.11600000000000001</v>
      </c>
      <c r="N143" s="145">
        <v>0.29399999999999998</v>
      </c>
      <c r="O143" s="145">
        <v>77.256</v>
      </c>
      <c r="P143" s="145">
        <v>195.804</v>
      </c>
      <c r="Q143" s="145">
        <v>10.039999999999999</v>
      </c>
      <c r="R143" s="145">
        <v>21.46</v>
      </c>
      <c r="S143" s="145">
        <v>185</v>
      </c>
      <c r="T143" s="145">
        <v>14292.36</v>
      </c>
      <c r="U143" s="145"/>
      <c r="V143" s="145"/>
    </row>
    <row r="144" spans="1:22" s="313" customFormat="1" ht="15.75" customHeight="1" x14ac:dyDescent="0.25">
      <c r="A144" s="199" t="s">
        <v>2598</v>
      </c>
      <c r="B144" s="200" t="s">
        <v>13</v>
      </c>
      <c r="C144" s="200" t="s">
        <v>2654</v>
      </c>
      <c r="D144" s="201">
        <v>44595</v>
      </c>
      <c r="E144" s="202" t="s">
        <v>23</v>
      </c>
      <c r="F144" s="202"/>
      <c r="G144" s="202"/>
      <c r="H144" s="200"/>
      <c r="I144" s="200"/>
      <c r="J144" s="203" t="s">
        <v>803</v>
      </c>
      <c r="K144" s="200" t="s">
        <v>2599</v>
      </c>
      <c r="L144" s="200"/>
      <c r="M144" s="200"/>
      <c r="N144" s="200"/>
      <c r="O144" s="200"/>
      <c r="P144" s="200"/>
      <c r="Q144" s="200"/>
      <c r="R144" s="200"/>
      <c r="S144" s="200"/>
      <c r="T144" s="200" t="s">
        <v>2600</v>
      </c>
      <c r="U144" s="200"/>
      <c r="V144" s="200"/>
    </row>
    <row r="145" spans="1:22" s="313" customFormat="1" ht="15.75" customHeight="1" x14ac:dyDescent="0.25">
      <c r="A145" s="199" t="s">
        <v>2598</v>
      </c>
      <c r="B145" s="200" t="s">
        <v>13</v>
      </c>
      <c r="C145" s="200" t="s">
        <v>2654</v>
      </c>
      <c r="D145" s="201">
        <v>44595</v>
      </c>
      <c r="E145" s="202" t="s">
        <v>23</v>
      </c>
      <c r="F145" s="202"/>
      <c r="G145" s="202"/>
      <c r="H145" s="200"/>
      <c r="I145" s="204"/>
      <c r="J145" s="205" t="s">
        <v>2030</v>
      </c>
      <c r="K145" s="204" t="s">
        <v>26</v>
      </c>
      <c r="L145" s="204"/>
      <c r="M145" s="204"/>
      <c r="N145" s="204"/>
      <c r="O145" s="204"/>
      <c r="P145" s="204"/>
      <c r="Q145" s="204"/>
      <c r="R145" s="204"/>
      <c r="S145" s="204"/>
      <c r="T145" s="204" t="s">
        <v>2601</v>
      </c>
      <c r="U145" s="204"/>
      <c r="V145" s="204"/>
    </row>
    <row r="146" spans="1:22" s="14" customFormat="1" ht="15.75" customHeight="1" x14ac:dyDescent="0.25">
      <c r="A146" s="147">
        <v>56</v>
      </c>
      <c r="B146" s="145" t="s">
        <v>34</v>
      </c>
      <c r="C146" s="145" t="s">
        <v>14</v>
      </c>
      <c r="D146" s="148">
        <v>44595</v>
      </c>
      <c r="E146" s="23" t="s">
        <v>23</v>
      </c>
      <c r="F146" s="206"/>
      <c r="G146" s="206"/>
      <c r="H146" s="145"/>
      <c r="I146" s="145"/>
      <c r="J146" s="146" t="s">
        <v>488</v>
      </c>
      <c r="K146" s="145">
        <v>2448</v>
      </c>
      <c r="L146" s="145">
        <v>480</v>
      </c>
      <c r="M146" s="145">
        <v>3.9300000000000002E-2</v>
      </c>
      <c r="N146" s="145">
        <v>7.8E-2</v>
      </c>
      <c r="O146" s="145">
        <v>96.206400000000002</v>
      </c>
      <c r="P146" s="145">
        <v>190.94399999999999</v>
      </c>
      <c r="Q146" s="145">
        <v>12.51</v>
      </c>
      <c r="R146" s="145">
        <v>11.99</v>
      </c>
      <c r="S146" s="145">
        <v>305</v>
      </c>
      <c r="T146" s="145">
        <v>29342.95</v>
      </c>
      <c r="U146" s="145"/>
      <c r="V146" s="145"/>
    </row>
    <row r="147" spans="1:22" s="14" customFormat="1" ht="30.75" customHeight="1" x14ac:dyDescent="0.25">
      <c r="A147" s="147" t="s">
        <v>2602</v>
      </c>
      <c r="B147" s="145" t="s">
        <v>34</v>
      </c>
      <c r="C147" s="145" t="s">
        <v>16</v>
      </c>
      <c r="D147" s="148">
        <v>44595</v>
      </c>
      <c r="E147" s="23" t="s">
        <v>23</v>
      </c>
      <c r="F147" s="206"/>
      <c r="G147" s="206"/>
      <c r="H147" s="220" t="s">
        <v>2954</v>
      </c>
      <c r="I147" s="134">
        <v>44683</v>
      </c>
      <c r="J147" s="146" t="s">
        <v>2423</v>
      </c>
      <c r="K147" s="145">
        <v>864</v>
      </c>
      <c r="L147" s="145">
        <v>144</v>
      </c>
      <c r="M147" s="145">
        <v>0.29970000000000002</v>
      </c>
      <c r="N147" s="145">
        <v>1.6739999999999999</v>
      </c>
      <c r="O147" s="145">
        <v>258.94080000000002</v>
      </c>
      <c r="P147" s="145">
        <v>1446.336</v>
      </c>
      <c r="Q147" s="145">
        <v>33.659999999999997</v>
      </c>
      <c r="R147" s="145">
        <v>91.41</v>
      </c>
      <c r="S147" s="145">
        <v>305</v>
      </c>
      <c r="T147" s="145">
        <v>78976.94</v>
      </c>
      <c r="U147" s="145"/>
      <c r="V147" s="145"/>
    </row>
    <row r="148" spans="1:22" ht="15.75" customHeight="1" x14ac:dyDescent="0.25">
      <c r="A148" s="167" t="s">
        <v>2603</v>
      </c>
      <c r="B148" s="162" t="s">
        <v>13</v>
      </c>
      <c r="C148" s="163" t="s">
        <v>37</v>
      </c>
      <c r="D148" s="172">
        <v>44595</v>
      </c>
      <c r="E148" s="23" t="s">
        <v>23</v>
      </c>
      <c r="F148" s="206"/>
      <c r="G148" s="206"/>
      <c r="H148" s="163"/>
      <c r="I148" s="172">
        <v>44613</v>
      </c>
      <c r="J148" s="164" t="s">
        <v>1152</v>
      </c>
      <c r="K148" s="145">
        <v>36</v>
      </c>
      <c r="L148" s="163"/>
      <c r="M148" s="163"/>
      <c r="N148" s="163"/>
      <c r="O148" s="163"/>
      <c r="P148" s="163"/>
      <c r="Q148" s="163"/>
      <c r="R148" s="163"/>
      <c r="S148" s="163"/>
      <c r="T148" s="163">
        <v>54000</v>
      </c>
      <c r="U148" s="163"/>
      <c r="V148" s="163"/>
    </row>
    <row r="149" spans="1:22" ht="15.75" customHeight="1" x14ac:dyDescent="0.25">
      <c r="A149" s="171" t="s">
        <v>2604</v>
      </c>
      <c r="B149" s="162" t="s">
        <v>13</v>
      </c>
      <c r="C149" s="163" t="s">
        <v>15</v>
      </c>
      <c r="D149" s="172">
        <v>44595</v>
      </c>
      <c r="E149" s="23" t="s">
        <v>23</v>
      </c>
      <c r="F149" s="206"/>
      <c r="G149" s="206"/>
      <c r="H149" s="163"/>
      <c r="I149" s="163"/>
      <c r="J149" s="164" t="s">
        <v>89</v>
      </c>
      <c r="K149" s="145">
        <v>48</v>
      </c>
      <c r="L149" s="163"/>
      <c r="M149" s="163"/>
      <c r="N149" s="163"/>
      <c r="O149" s="163"/>
      <c r="P149" s="163"/>
      <c r="Q149" s="163"/>
      <c r="R149" s="163"/>
      <c r="S149" s="163"/>
      <c r="T149" s="163">
        <v>34992</v>
      </c>
      <c r="U149" s="163"/>
      <c r="V149" s="163"/>
    </row>
    <row r="150" spans="1:22" ht="15.75" customHeight="1" x14ac:dyDescent="0.25">
      <c r="A150" s="171" t="s">
        <v>2605</v>
      </c>
      <c r="B150" s="162" t="s">
        <v>13</v>
      </c>
      <c r="C150" s="163" t="s">
        <v>2652</v>
      </c>
      <c r="D150" s="172">
        <v>44595</v>
      </c>
      <c r="E150" s="23" t="s">
        <v>23</v>
      </c>
      <c r="F150" s="206"/>
      <c r="G150" s="206"/>
      <c r="H150" s="163"/>
      <c r="I150" s="163"/>
      <c r="J150" s="164" t="s">
        <v>1830</v>
      </c>
      <c r="K150" s="145">
        <v>156</v>
      </c>
      <c r="L150" s="163"/>
      <c r="M150" s="163"/>
      <c r="N150" s="163"/>
      <c r="O150" s="163"/>
      <c r="P150" s="163"/>
      <c r="Q150" s="163"/>
      <c r="R150" s="163"/>
      <c r="S150" s="163"/>
      <c r="T150" s="163">
        <v>14950</v>
      </c>
      <c r="U150" s="163"/>
      <c r="V150" s="163"/>
    </row>
    <row r="151" spans="1:22" ht="15.75" customHeight="1" x14ac:dyDescent="0.25">
      <c r="A151" s="171">
        <v>57</v>
      </c>
      <c r="B151" s="162" t="s">
        <v>13</v>
      </c>
      <c r="C151" s="163" t="s">
        <v>37</v>
      </c>
      <c r="D151" s="172">
        <v>44595</v>
      </c>
      <c r="E151" s="187" t="s">
        <v>23</v>
      </c>
      <c r="F151" s="206">
        <v>181</v>
      </c>
      <c r="G151" s="206"/>
      <c r="H151" s="163"/>
      <c r="I151" s="172"/>
      <c r="J151" s="164" t="s">
        <v>2357</v>
      </c>
      <c r="K151" s="163">
        <v>546</v>
      </c>
      <c r="L151" s="163">
        <v>182</v>
      </c>
      <c r="M151" s="163">
        <v>9.9900000000000003E-2</v>
      </c>
      <c r="N151" s="163">
        <v>0.28599999999999998</v>
      </c>
      <c r="O151" s="163">
        <v>54.545400000000001</v>
      </c>
      <c r="P151" s="163">
        <v>156.15600000000001</v>
      </c>
      <c r="Q151" s="163">
        <v>7.09</v>
      </c>
      <c r="R151" s="163">
        <v>75</v>
      </c>
      <c r="S151" s="163">
        <v>750.75</v>
      </c>
      <c r="T151" s="163">
        <v>40949.96</v>
      </c>
      <c r="U151" s="163"/>
      <c r="V151" s="163"/>
    </row>
    <row r="152" spans="1:22" ht="15.75" customHeight="1" x14ac:dyDescent="0.25">
      <c r="A152" s="167">
        <v>58</v>
      </c>
      <c r="B152" s="162" t="s">
        <v>13</v>
      </c>
      <c r="C152" s="162" t="s">
        <v>292</v>
      </c>
      <c r="D152" s="168">
        <v>44595</v>
      </c>
      <c r="E152" s="23" t="s">
        <v>23</v>
      </c>
      <c r="F152" s="23"/>
      <c r="G152" s="23"/>
      <c r="H152" s="162" t="s">
        <v>2731</v>
      </c>
      <c r="I152" s="162"/>
      <c r="J152" s="169" t="s">
        <v>291</v>
      </c>
      <c r="K152" s="142">
        <v>1461.6</v>
      </c>
      <c r="L152" s="162">
        <v>348</v>
      </c>
      <c r="M152" s="162">
        <v>0.3266</v>
      </c>
      <c r="N152" s="162">
        <v>0.84099999999999997</v>
      </c>
      <c r="O152" s="162">
        <v>477.35860000000002</v>
      </c>
      <c r="P152" s="162">
        <v>1229.2056</v>
      </c>
      <c r="Q152" s="162">
        <v>62.06</v>
      </c>
      <c r="R152" s="162">
        <v>102.88</v>
      </c>
      <c r="S152" s="162">
        <v>315</v>
      </c>
      <c r="T152" s="162">
        <v>150367.95000000001</v>
      </c>
      <c r="U152" s="162"/>
      <c r="V152" s="162"/>
    </row>
    <row r="153" spans="1:22" ht="20.45" customHeight="1" x14ac:dyDescent="0.25">
      <c r="A153" s="167">
        <v>59</v>
      </c>
      <c r="B153" s="162" t="s">
        <v>13</v>
      </c>
      <c r="C153" s="162" t="s">
        <v>28</v>
      </c>
      <c r="D153" s="168">
        <v>44595</v>
      </c>
      <c r="E153" s="23" t="s">
        <v>23</v>
      </c>
      <c r="F153" s="23"/>
      <c r="G153" s="23"/>
      <c r="H153" s="162" t="s">
        <v>2657</v>
      </c>
      <c r="I153" s="162"/>
      <c r="J153" s="169" t="s">
        <v>2608</v>
      </c>
      <c r="K153" s="162">
        <v>1194</v>
      </c>
      <c r="L153" s="162">
        <v>199</v>
      </c>
      <c r="M153" s="162">
        <v>0.30719999999999997</v>
      </c>
      <c r="N153" s="162">
        <v>0.69199999999999995</v>
      </c>
      <c r="O153" s="162">
        <v>366.79680000000002</v>
      </c>
      <c r="P153" s="162">
        <v>826.24800000000005</v>
      </c>
      <c r="Q153" s="162">
        <v>47.68</v>
      </c>
      <c r="R153" s="162">
        <v>96.77</v>
      </c>
      <c r="S153" s="162">
        <v>315</v>
      </c>
      <c r="T153" s="162">
        <v>115540.99</v>
      </c>
      <c r="U153" s="162"/>
      <c r="V153" s="162"/>
    </row>
    <row r="154" spans="1:22" ht="15.75" customHeight="1" x14ac:dyDescent="0.25">
      <c r="A154" s="167" t="s">
        <v>2609</v>
      </c>
      <c r="B154" s="162" t="s">
        <v>13</v>
      </c>
      <c r="C154" s="162" t="s">
        <v>2399</v>
      </c>
      <c r="D154" s="168">
        <v>44595</v>
      </c>
      <c r="E154" s="23" t="s">
        <v>23</v>
      </c>
      <c r="F154" s="23"/>
      <c r="G154" s="23"/>
      <c r="H154" s="162"/>
      <c r="I154" s="162"/>
      <c r="J154" s="169" t="s">
        <v>2403</v>
      </c>
      <c r="K154" s="142"/>
      <c r="L154" s="162">
        <v>80</v>
      </c>
      <c r="M154" s="162"/>
      <c r="N154" s="162"/>
      <c r="O154" s="162"/>
      <c r="P154" s="162"/>
      <c r="Q154" s="162"/>
      <c r="R154" s="162"/>
      <c r="S154" s="162"/>
      <c r="T154" s="162">
        <v>12495</v>
      </c>
      <c r="U154" s="162"/>
      <c r="V154" s="162"/>
    </row>
    <row r="155" spans="1:22" ht="15.75" customHeight="1" x14ac:dyDescent="0.25">
      <c r="A155" s="171">
        <v>61</v>
      </c>
      <c r="B155" s="162" t="s">
        <v>13</v>
      </c>
      <c r="C155" s="163" t="s">
        <v>892</v>
      </c>
      <c r="D155" s="168">
        <v>44595</v>
      </c>
      <c r="E155" s="23" t="s">
        <v>23</v>
      </c>
      <c r="F155" s="206">
        <v>919</v>
      </c>
      <c r="G155" s="206"/>
      <c r="H155" s="163">
        <v>519</v>
      </c>
      <c r="I155" s="163"/>
      <c r="J155" s="164" t="s">
        <v>1089</v>
      </c>
      <c r="K155" s="179">
        <v>5514</v>
      </c>
      <c r="L155" s="163">
        <v>919</v>
      </c>
      <c r="M155" s="163">
        <v>6.0499999999999998E-2</v>
      </c>
      <c r="N155" s="163">
        <v>8.5000000000000006E-2</v>
      </c>
      <c r="O155" s="163">
        <v>333.59699999999998</v>
      </c>
      <c r="P155" s="163">
        <v>468.69</v>
      </c>
      <c r="Q155" s="163">
        <v>43.37</v>
      </c>
      <c r="R155" s="163">
        <v>17.239999999999998</v>
      </c>
      <c r="S155" s="163">
        <v>285</v>
      </c>
      <c r="T155" s="163">
        <v>95075.15</v>
      </c>
      <c r="U155" s="163"/>
      <c r="V155" s="163"/>
    </row>
    <row r="156" spans="1:22" ht="15.75" customHeight="1" x14ac:dyDescent="0.25">
      <c r="A156" s="167">
        <v>62</v>
      </c>
      <c r="B156" s="162" t="s">
        <v>13</v>
      </c>
      <c r="C156" s="163" t="s">
        <v>892</v>
      </c>
      <c r="D156" s="168">
        <v>44595</v>
      </c>
      <c r="E156" s="23" t="s">
        <v>23</v>
      </c>
      <c r="F156" s="23"/>
      <c r="G156" s="23">
        <v>64</v>
      </c>
      <c r="H156" s="162" t="s">
        <v>1669</v>
      </c>
      <c r="I156" s="162"/>
      <c r="J156" s="169" t="s">
        <v>1598</v>
      </c>
      <c r="K156" s="149">
        <v>390.4</v>
      </c>
      <c r="L156" s="162">
        <v>64</v>
      </c>
      <c r="M156" s="162">
        <v>0.2651</v>
      </c>
      <c r="N156" s="162">
        <v>0.82099999999999995</v>
      </c>
      <c r="O156" s="162">
        <v>103.495</v>
      </c>
      <c r="P156" s="162">
        <v>320.51839999999999</v>
      </c>
      <c r="Q156" s="162">
        <v>13.45</v>
      </c>
      <c r="R156" s="162">
        <v>67.87</v>
      </c>
      <c r="S156" s="162">
        <v>256</v>
      </c>
      <c r="T156" s="162">
        <v>26494.73</v>
      </c>
      <c r="U156" s="162"/>
      <c r="V156" s="162"/>
    </row>
    <row r="157" spans="1:22" ht="15.75" customHeight="1" x14ac:dyDescent="0.25">
      <c r="A157" s="171" t="s">
        <v>2610</v>
      </c>
      <c r="B157" s="162" t="s">
        <v>13</v>
      </c>
      <c r="C157" s="163" t="s">
        <v>295</v>
      </c>
      <c r="D157" s="172">
        <v>44596</v>
      </c>
      <c r="E157" s="23" t="s">
        <v>23</v>
      </c>
      <c r="F157" s="206"/>
      <c r="G157" s="206"/>
      <c r="H157" s="163"/>
      <c r="I157" s="163"/>
      <c r="J157" s="164" t="s">
        <v>473</v>
      </c>
      <c r="K157" s="163"/>
      <c r="L157" s="163">
        <v>53</v>
      </c>
      <c r="M157" s="163"/>
      <c r="N157" s="163"/>
      <c r="O157" s="163"/>
      <c r="P157" s="163"/>
      <c r="Q157" s="163"/>
      <c r="R157" s="163"/>
      <c r="S157" s="163"/>
      <c r="T157" s="163">
        <v>14800</v>
      </c>
      <c r="U157" s="163"/>
      <c r="V157" s="163"/>
    </row>
    <row r="158" spans="1:22" s="14" customFormat="1" ht="27.75" customHeight="1" x14ac:dyDescent="0.25">
      <c r="A158" s="147">
        <v>64</v>
      </c>
      <c r="B158" s="145" t="s">
        <v>34</v>
      </c>
      <c r="C158" s="145" t="s">
        <v>19</v>
      </c>
      <c r="D158" s="148">
        <v>44596</v>
      </c>
      <c r="E158" s="23" t="s">
        <v>23</v>
      </c>
      <c r="F158" s="206"/>
      <c r="G158" s="206"/>
      <c r="H158" s="145"/>
      <c r="I158" s="145"/>
      <c r="J158" s="146" t="s">
        <v>2612</v>
      </c>
      <c r="K158" s="145">
        <v>651</v>
      </c>
      <c r="L158" s="145">
        <v>210</v>
      </c>
      <c r="M158" s="145">
        <v>0.3402</v>
      </c>
      <c r="N158" s="145">
        <v>1.4530000000000001</v>
      </c>
      <c r="O158" s="145">
        <v>221.47020000000001</v>
      </c>
      <c r="P158" s="145">
        <v>945.90300000000002</v>
      </c>
      <c r="Q158" s="145">
        <v>28.79</v>
      </c>
      <c r="R158" s="145">
        <v>62.94</v>
      </c>
      <c r="S158" s="145">
        <v>185</v>
      </c>
      <c r="T158" s="145">
        <v>40973.94</v>
      </c>
      <c r="U158" s="145"/>
      <c r="V158" s="145"/>
    </row>
    <row r="159" spans="1:22" ht="15.75" customHeight="1" x14ac:dyDescent="0.25">
      <c r="A159" s="171" t="s">
        <v>2614</v>
      </c>
      <c r="B159" s="162" t="s">
        <v>13</v>
      </c>
      <c r="C159" s="163" t="s">
        <v>2653</v>
      </c>
      <c r="D159" s="172">
        <v>44599</v>
      </c>
      <c r="E159" s="23" t="s">
        <v>23</v>
      </c>
      <c r="F159" s="206"/>
      <c r="G159" s="206"/>
      <c r="H159" s="163"/>
      <c r="I159" s="163"/>
      <c r="J159" s="164" t="s">
        <v>1830</v>
      </c>
      <c r="K159" s="145">
        <v>156</v>
      </c>
      <c r="L159" s="163">
        <v>26</v>
      </c>
      <c r="M159" s="163"/>
      <c r="N159" s="163"/>
      <c r="O159" s="163"/>
      <c r="P159" s="163"/>
      <c r="Q159" s="163"/>
      <c r="R159" s="163"/>
      <c r="S159" s="163"/>
      <c r="T159" s="163">
        <v>14950</v>
      </c>
      <c r="U159" s="163"/>
      <c r="V159" s="163"/>
    </row>
    <row r="160" spans="1:22" ht="15.75" customHeight="1" x14ac:dyDescent="0.25">
      <c r="A160" s="167" t="s">
        <v>2615</v>
      </c>
      <c r="B160" s="162" t="s">
        <v>13</v>
      </c>
      <c r="C160" s="162" t="s">
        <v>15</v>
      </c>
      <c r="D160" s="168">
        <v>44599</v>
      </c>
      <c r="E160" s="23" t="s">
        <v>23</v>
      </c>
      <c r="F160" s="23"/>
      <c r="G160" s="23"/>
      <c r="H160" s="162"/>
      <c r="I160" s="162"/>
      <c r="J160" s="169" t="s">
        <v>1830</v>
      </c>
      <c r="K160" s="142"/>
      <c r="L160" s="162">
        <v>48</v>
      </c>
      <c r="M160" s="162"/>
      <c r="N160" s="162"/>
      <c r="O160" s="162"/>
      <c r="P160" s="162"/>
      <c r="Q160" s="162"/>
      <c r="R160" s="162"/>
      <c r="S160" s="162"/>
      <c r="T160" s="162">
        <v>34992</v>
      </c>
      <c r="U160" s="162"/>
      <c r="V160" s="162"/>
    </row>
    <row r="161" spans="1:22" ht="15.75" customHeight="1" x14ac:dyDescent="0.25">
      <c r="A161" s="171">
        <v>65</v>
      </c>
      <c r="B161" s="162" t="s">
        <v>13</v>
      </c>
      <c r="C161" s="163" t="s">
        <v>292</v>
      </c>
      <c r="D161" s="172">
        <v>44600</v>
      </c>
      <c r="E161" s="23" t="s">
        <v>23</v>
      </c>
      <c r="F161" s="206"/>
      <c r="G161" s="206"/>
      <c r="H161" s="163"/>
      <c r="I161" s="172">
        <v>44613</v>
      </c>
      <c r="J161" s="164" t="s">
        <v>291</v>
      </c>
      <c r="K161" s="145">
        <v>361.2</v>
      </c>
      <c r="L161" s="163">
        <v>86</v>
      </c>
      <c r="M161" s="163">
        <v>0.3266</v>
      </c>
      <c r="N161" s="163">
        <v>0.84099999999999997</v>
      </c>
      <c r="O161" s="163">
        <v>117.9679</v>
      </c>
      <c r="P161" s="163">
        <v>303.76920000000001</v>
      </c>
      <c r="Q161" s="163">
        <v>15.34</v>
      </c>
      <c r="R161" s="163">
        <v>102.88</v>
      </c>
      <c r="S161" s="163">
        <v>315</v>
      </c>
      <c r="T161" s="163">
        <v>37159.89</v>
      </c>
      <c r="U161" s="163"/>
      <c r="V161" s="163"/>
    </row>
    <row r="162" spans="1:22" ht="23.45" customHeight="1" x14ac:dyDescent="0.25">
      <c r="A162" s="171">
        <v>66</v>
      </c>
      <c r="B162" s="162" t="s">
        <v>13</v>
      </c>
      <c r="C162" s="163" t="s">
        <v>28</v>
      </c>
      <c r="D162" s="172">
        <v>44600</v>
      </c>
      <c r="E162" s="23" t="s">
        <v>23</v>
      </c>
      <c r="F162" s="206"/>
      <c r="G162" s="206"/>
      <c r="H162" s="163"/>
      <c r="I162" s="163"/>
      <c r="J162" s="164" t="s">
        <v>2608</v>
      </c>
      <c r="K162" s="163">
        <v>1008</v>
      </c>
      <c r="L162" s="163">
        <v>168</v>
      </c>
      <c r="M162" s="163">
        <v>0.30719999999999997</v>
      </c>
      <c r="N162" s="163">
        <v>0.69199999999999995</v>
      </c>
      <c r="O162" s="163">
        <v>309.6576</v>
      </c>
      <c r="P162" s="163">
        <v>697.53599999999994</v>
      </c>
      <c r="Q162" s="163">
        <v>40.26</v>
      </c>
      <c r="R162" s="163">
        <v>96.77</v>
      </c>
      <c r="S162" s="163">
        <v>315</v>
      </c>
      <c r="T162" s="163">
        <v>97542.14</v>
      </c>
      <c r="U162" s="163"/>
      <c r="V162" s="163"/>
    </row>
    <row r="163" spans="1:22" ht="15.75" customHeight="1" x14ac:dyDescent="0.25">
      <c r="A163" s="171">
        <v>67</v>
      </c>
      <c r="B163" s="162" t="s">
        <v>13</v>
      </c>
      <c r="C163" s="163" t="s">
        <v>663</v>
      </c>
      <c r="D163" s="172">
        <v>44600</v>
      </c>
      <c r="E163" s="23" t="s">
        <v>23</v>
      </c>
      <c r="F163" s="206">
        <v>103</v>
      </c>
      <c r="G163" s="206"/>
      <c r="H163" s="163"/>
      <c r="I163" s="163"/>
      <c r="J163" s="164" t="s">
        <v>1069</v>
      </c>
      <c r="K163" s="150">
        <v>384</v>
      </c>
      <c r="L163" s="163">
        <v>120</v>
      </c>
      <c r="M163" s="163">
        <v>0.31</v>
      </c>
      <c r="N163" s="163">
        <v>1.2010000000000001</v>
      </c>
      <c r="O163" s="163">
        <v>119.04</v>
      </c>
      <c r="P163" s="163">
        <v>461.18400000000003</v>
      </c>
      <c r="Q163" s="163">
        <v>15.48</v>
      </c>
      <c r="R163" s="163">
        <v>77.5</v>
      </c>
      <c r="S163" s="163">
        <v>250</v>
      </c>
      <c r="T163" s="163">
        <v>29760</v>
      </c>
      <c r="U163" s="163"/>
      <c r="V163" s="163"/>
    </row>
    <row r="164" spans="1:22" ht="15.75" customHeight="1" x14ac:dyDescent="0.25">
      <c r="A164" s="167">
        <v>218</v>
      </c>
      <c r="B164" s="159" t="s">
        <v>13</v>
      </c>
      <c r="C164" s="163" t="s">
        <v>32</v>
      </c>
      <c r="D164" s="168">
        <v>44704</v>
      </c>
      <c r="E164" s="194" t="s">
        <v>23</v>
      </c>
      <c r="F164" s="194"/>
      <c r="G164" s="194">
        <v>125</v>
      </c>
      <c r="H164" s="162"/>
      <c r="I164" s="168">
        <v>44718</v>
      </c>
      <c r="J164" s="169" t="s">
        <v>3058</v>
      </c>
      <c r="K164" s="162">
        <v>774.7</v>
      </c>
      <c r="L164" s="162">
        <v>127</v>
      </c>
      <c r="M164" s="162">
        <v>0.2651</v>
      </c>
      <c r="N164" s="162">
        <v>0.82099999999999995</v>
      </c>
      <c r="O164" s="162">
        <v>205.37299999999999</v>
      </c>
      <c r="P164" s="162">
        <v>636.02869999999996</v>
      </c>
      <c r="Q164" s="162">
        <v>26.7</v>
      </c>
      <c r="R164" s="162">
        <v>81.92</v>
      </c>
      <c r="S164" s="162">
        <v>309</v>
      </c>
      <c r="T164" s="162">
        <v>63460.25</v>
      </c>
      <c r="U164" s="162"/>
      <c r="V164" s="162"/>
    </row>
    <row r="165" spans="1:22" s="14" customFormat="1" ht="15.75" customHeight="1" x14ac:dyDescent="0.25">
      <c r="A165" s="141" t="s">
        <v>2617</v>
      </c>
      <c r="B165" s="142" t="s">
        <v>34</v>
      </c>
      <c r="C165" s="145" t="s">
        <v>16</v>
      </c>
      <c r="D165" s="143">
        <v>44601</v>
      </c>
      <c r="E165" s="23" t="s">
        <v>23</v>
      </c>
      <c r="F165" s="23"/>
      <c r="G165" s="23"/>
      <c r="H165" s="142"/>
      <c r="I165" s="142"/>
      <c r="J165" s="144" t="s">
        <v>2423</v>
      </c>
      <c r="K165" s="142">
        <v>252</v>
      </c>
      <c r="L165" s="142">
        <v>42</v>
      </c>
      <c r="M165" s="142">
        <v>0.29970000000000002</v>
      </c>
      <c r="N165" s="142">
        <v>1.6739999999999999</v>
      </c>
      <c r="O165" s="142">
        <v>75.5244</v>
      </c>
      <c r="P165" s="142">
        <v>421.84800000000001</v>
      </c>
      <c r="Q165" s="142">
        <v>9.82</v>
      </c>
      <c r="R165" s="142">
        <v>91.41</v>
      </c>
      <c r="S165" s="142">
        <v>305</v>
      </c>
      <c r="T165" s="142">
        <v>23034.94</v>
      </c>
      <c r="U165" s="142"/>
      <c r="V165" s="142"/>
    </row>
    <row r="166" spans="1:22" s="14" customFormat="1" ht="30.75" customHeight="1" x14ac:dyDescent="0.25">
      <c r="A166" s="141">
        <v>70</v>
      </c>
      <c r="B166" s="142" t="s">
        <v>34</v>
      </c>
      <c r="C166" s="145" t="s">
        <v>328</v>
      </c>
      <c r="D166" s="143">
        <v>44601</v>
      </c>
      <c r="E166" s="23" t="s">
        <v>23</v>
      </c>
      <c r="F166" s="23">
        <v>1644</v>
      </c>
      <c r="G166" s="23"/>
      <c r="H166" s="183" t="s">
        <v>3083</v>
      </c>
      <c r="I166" s="142"/>
      <c r="J166" s="144" t="s">
        <v>650</v>
      </c>
      <c r="K166" s="142">
        <v>1740</v>
      </c>
      <c r="L166" s="142">
        <v>290</v>
      </c>
      <c r="M166" s="142">
        <v>0.30919999999999997</v>
      </c>
      <c r="N166" s="142">
        <v>1.1000000000000001</v>
      </c>
      <c r="O166" s="142">
        <v>538.00800000000004</v>
      </c>
      <c r="P166" s="142">
        <v>1914</v>
      </c>
      <c r="Q166" s="142">
        <v>69.94</v>
      </c>
      <c r="R166" s="142">
        <v>102.96</v>
      </c>
      <c r="S166" s="142">
        <v>333</v>
      </c>
      <c r="T166" s="142">
        <v>179156.66</v>
      </c>
      <c r="U166" s="142"/>
      <c r="V166" s="142"/>
    </row>
    <row r="167" spans="1:22" ht="15.75" customHeight="1" x14ac:dyDescent="0.25">
      <c r="A167" s="167" t="s">
        <v>2619</v>
      </c>
      <c r="B167" s="162" t="s">
        <v>13</v>
      </c>
      <c r="C167" s="163" t="s">
        <v>15</v>
      </c>
      <c r="D167" s="168">
        <v>44601</v>
      </c>
      <c r="E167" s="23" t="s">
        <v>23</v>
      </c>
      <c r="F167" s="23"/>
      <c r="G167" s="23"/>
      <c r="H167" s="162"/>
      <c r="I167" s="162"/>
      <c r="J167" s="169" t="s">
        <v>230</v>
      </c>
      <c r="K167" s="142"/>
      <c r="L167" s="162">
        <v>96</v>
      </c>
      <c r="M167" s="162"/>
      <c r="N167" s="162"/>
      <c r="O167" s="162"/>
      <c r="P167" s="162"/>
      <c r="Q167" s="162"/>
      <c r="R167" s="162"/>
      <c r="S167" s="162"/>
      <c r="T167" s="162" t="s">
        <v>2618</v>
      </c>
      <c r="U167" s="162"/>
      <c r="V167" s="162"/>
    </row>
    <row r="168" spans="1:22" ht="15.75" customHeight="1" x14ac:dyDescent="0.25">
      <c r="A168" s="167" t="s">
        <v>2620</v>
      </c>
      <c r="B168" s="162" t="s">
        <v>13</v>
      </c>
      <c r="C168" s="163" t="s">
        <v>2399</v>
      </c>
      <c r="D168" s="168">
        <v>44601</v>
      </c>
      <c r="E168" s="23" t="s">
        <v>23</v>
      </c>
      <c r="F168" s="23"/>
      <c r="G168" s="23"/>
      <c r="H168" s="162"/>
      <c r="I168" s="162"/>
      <c r="J168" s="169" t="s">
        <v>2403</v>
      </c>
      <c r="K168" s="142"/>
      <c r="L168" s="162">
        <v>160</v>
      </c>
      <c r="M168" s="162"/>
      <c r="N168" s="162"/>
      <c r="O168" s="162"/>
      <c r="P168" s="162"/>
      <c r="Q168" s="162"/>
      <c r="R168" s="162"/>
      <c r="S168" s="162"/>
      <c r="T168" s="162">
        <v>24990</v>
      </c>
      <c r="U168" s="162"/>
      <c r="V168" s="162"/>
    </row>
    <row r="169" spans="1:22" s="14" customFormat="1" ht="15.75" customHeight="1" x14ac:dyDescent="0.25">
      <c r="A169" s="141">
        <v>71</v>
      </c>
      <c r="B169" s="142" t="s">
        <v>34</v>
      </c>
      <c r="C169" s="145" t="s">
        <v>79</v>
      </c>
      <c r="D169" s="143">
        <v>44601</v>
      </c>
      <c r="E169" s="23" t="s">
        <v>23</v>
      </c>
      <c r="F169" s="23"/>
      <c r="G169" s="23">
        <v>348</v>
      </c>
      <c r="H169" s="183" t="s">
        <v>2822</v>
      </c>
      <c r="I169" s="142"/>
      <c r="J169" s="144" t="s">
        <v>2621</v>
      </c>
      <c r="K169" s="142">
        <v>420</v>
      </c>
      <c r="L169" s="142">
        <v>70</v>
      </c>
      <c r="M169" s="142">
        <v>0.1232</v>
      </c>
      <c r="N169" s="142">
        <v>0.19900000000000001</v>
      </c>
      <c r="O169" s="142">
        <v>51.744</v>
      </c>
      <c r="P169" s="142">
        <v>83.58</v>
      </c>
      <c r="Q169" s="142">
        <v>6.73</v>
      </c>
      <c r="R169" s="142">
        <v>37.58</v>
      </c>
      <c r="S169" s="142">
        <v>305</v>
      </c>
      <c r="T169" s="142">
        <v>15781.92</v>
      </c>
      <c r="U169" s="142"/>
      <c r="V169" s="142"/>
    </row>
    <row r="170" spans="1:22" s="14" customFormat="1" ht="15.75" customHeight="1" x14ac:dyDescent="0.25">
      <c r="A170" s="141">
        <v>71</v>
      </c>
      <c r="B170" s="142" t="s">
        <v>34</v>
      </c>
      <c r="C170" s="145" t="s">
        <v>79</v>
      </c>
      <c r="D170" s="143">
        <v>44601</v>
      </c>
      <c r="E170" s="23" t="s">
        <v>23</v>
      </c>
      <c r="F170" s="23"/>
      <c r="G170" s="23">
        <v>216</v>
      </c>
      <c r="H170" s="142" t="s">
        <v>2823</v>
      </c>
      <c r="I170" s="142"/>
      <c r="J170" s="144" t="s">
        <v>2622</v>
      </c>
      <c r="K170" s="142">
        <v>240</v>
      </c>
      <c r="L170" s="142">
        <v>40</v>
      </c>
      <c r="M170" s="142">
        <v>0.23960000000000001</v>
      </c>
      <c r="N170" s="142">
        <v>0.39200000000000002</v>
      </c>
      <c r="O170" s="142">
        <v>57.503999999999998</v>
      </c>
      <c r="P170" s="142">
        <v>94.08</v>
      </c>
      <c r="Q170" s="142">
        <v>7.48</v>
      </c>
      <c r="R170" s="142">
        <v>73.08</v>
      </c>
      <c r="S170" s="142">
        <v>305</v>
      </c>
      <c r="T170" s="142">
        <v>17538.72</v>
      </c>
      <c r="U170" s="142"/>
      <c r="V170" s="142"/>
    </row>
    <row r="171" spans="1:22" s="14" customFormat="1" ht="15.75" customHeight="1" x14ac:dyDescent="0.25">
      <c r="A171" s="141">
        <v>72</v>
      </c>
      <c r="B171" s="142" t="s">
        <v>34</v>
      </c>
      <c r="C171" s="145" t="s">
        <v>79</v>
      </c>
      <c r="D171" s="143">
        <v>44601</v>
      </c>
      <c r="E171" s="23" t="s">
        <v>23</v>
      </c>
      <c r="F171" s="23"/>
      <c r="G171" s="23"/>
      <c r="H171" s="142" t="s">
        <v>2734</v>
      </c>
      <c r="I171" s="142"/>
      <c r="J171" s="144" t="s">
        <v>2623</v>
      </c>
      <c r="K171" s="142">
        <v>2922</v>
      </c>
      <c r="L171" s="142">
        <v>487</v>
      </c>
      <c r="M171" s="142">
        <v>9.1399999999999995E-2</v>
      </c>
      <c r="N171" s="142">
        <v>0.19600000000000001</v>
      </c>
      <c r="O171" s="142">
        <v>267.07080000000002</v>
      </c>
      <c r="P171" s="142">
        <v>572.71199999999999</v>
      </c>
      <c r="Q171" s="142">
        <v>34.72</v>
      </c>
      <c r="R171" s="142">
        <v>18.739999999999998</v>
      </c>
      <c r="S171" s="142">
        <v>205</v>
      </c>
      <c r="T171" s="142">
        <v>54758.28</v>
      </c>
      <c r="U171" s="142"/>
      <c r="V171" s="142"/>
    </row>
    <row r="172" spans="1:22" s="14" customFormat="1" ht="15.75" customHeight="1" x14ac:dyDescent="0.25">
      <c r="A172" s="141">
        <v>72</v>
      </c>
      <c r="B172" s="142" t="s">
        <v>34</v>
      </c>
      <c r="C172" s="145" t="s">
        <v>79</v>
      </c>
      <c r="D172" s="143">
        <v>44601</v>
      </c>
      <c r="E172" s="23" t="s">
        <v>23</v>
      </c>
      <c r="F172" s="23"/>
      <c r="G172" s="23"/>
      <c r="H172" s="142"/>
      <c r="I172" s="142"/>
      <c r="J172" s="144" t="s">
        <v>2624</v>
      </c>
      <c r="K172" s="142">
        <v>2622</v>
      </c>
      <c r="L172" s="142">
        <v>437</v>
      </c>
      <c r="M172" s="142">
        <v>8.8800000000000004E-2</v>
      </c>
      <c r="N172" s="142">
        <v>0.217</v>
      </c>
      <c r="O172" s="142">
        <v>232.83359999999999</v>
      </c>
      <c r="P172" s="142">
        <v>568.97400000000005</v>
      </c>
      <c r="Q172" s="142">
        <v>30.27</v>
      </c>
      <c r="R172" s="142">
        <v>18.2</v>
      </c>
      <c r="S172" s="142">
        <v>205</v>
      </c>
      <c r="T172" s="142">
        <v>47720.4</v>
      </c>
      <c r="U172" s="142"/>
      <c r="V172" s="142"/>
    </row>
    <row r="173" spans="1:22" s="14" customFormat="1" ht="15.75" customHeight="1" x14ac:dyDescent="0.25">
      <c r="A173" s="141">
        <v>72</v>
      </c>
      <c r="B173" s="142" t="s">
        <v>34</v>
      </c>
      <c r="C173" s="145" t="s">
        <v>79</v>
      </c>
      <c r="D173" s="143">
        <v>44601</v>
      </c>
      <c r="E173" s="23" t="s">
        <v>23</v>
      </c>
      <c r="F173" s="23"/>
      <c r="G173" s="23"/>
      <c r="H173" s="142"/>
      <c r="I173" s="142"/>
      <c r="J173" s="144" t="s">
        <v>2625</v>
      </c>
      <c r="K173" s="142">
        <v>318</v>
      </c>
      <c r="L173" s="142">
        <v>53</v>
      </c>
      <c r="M173" s="142">
        <v>0.45550000000000002</v>
      </c>
      <c r="N173" s="142">
        <v>1.6990000000000001</v>
      </c>
      <c r="O173" s="142">
        <v>144.84899999999999</v>
      </c>
      <c r="P173" s="142">
        <v>540.28200000000004</v>
      </c>
      <c r="Q173" s="142">
        <v>18.829999999999998</v>
      </c>
      <c r="R173" s="142">
        <v>93.38</v>
      </c>
      <c r="S173" s="142">
        <v>205</v>
      </c>
      <c r="T173" s="142">
        <v>29694.84</v>
      </c>
      <c r="U173" s="142"/>
      <c r="V173" s="142"/>
    </row>
    <row r="174" spans="1:22" ht="15.75" customHeight="1" x14ac:dyDescent="0.25">
      <c r="A174" s="167" t="s">
        <v>2626</v>
      </c>
      <c r="B174" s="162" t="s">
        <v>13</v>
      </c>
      <c r="C174" s="163" t="s">
        <v>43</v>
      </c>
      <c r="D174" s="168">
        <v>44601</v>
      </c>
      <c r="E174" s="23" t="s">
        <v>23</v>
      </c>
      <c r="F174" s="23"/>
      <c r="G174" s="23"/>
      <c r="H174" s="162"/>
      <c r="I174" s="162"/>
      <c r="J174" s="169" t="s">
        <v>275</v>
      </c>
      <c r="K174" s="142">
        <v>30</v>
      </c>
      <c r="L174" s="162">
        <v>5</v>
      </c>
      <c r="M174" s="162"/>
      <c r="N174" s="162"/>
      <c r="O174" s="162"/>
      <c r="P174" s="162"/>
      <c r="Q174" s="162"/>
      <c r="R174" s="162"/>
      <c r="S174" s="162"/>
      <c r="T174" s="162">
        <v>3000</v>
      </c>
      <c r="U174" s="162"/>
      <c r="V174" s="162"/>
    </row>
    <row r="175" spans="1:22" ht="15.75" customHeight="1" x14ac:dyDescent="0.25">
      <c r="A175" s="167">
        <v>74</v>
      </c>
      <c r="B175" s="162" t="s">
        <v>13</v>
      </c>
      <c r="C175" s="163" t="s">
        <v>2628</v>
      </c>
      <c r="D175" s="168">
        <v>44602</v>
      </c>
      <c r="E175" s="23" t="s">
        <v>23</v>
      </c>
      <c r="F175" s="23"/>
      <c r="G175" s="23"/>
      <c r="H175" s="162" t="s">
        <v>2629</v>
      </c>
      <c r="I175" s="162"/>
      <c r="J175" s="169" t="s">
        <v>1400</v>
      </c>
      <c r="K175" s="159">
        <v>600</v>
      </c>
      <c r="L175" s="162">
        <v>100</v>
      </c>
      <c r="M175" s="162">
        <v>0.29759999999999998</v>
      </c>
      <c r="N175" s="162">
        <v>0.67600000000000005</v>
      </c>
      <c r="O175" s="162">
        <v>178.56</v>
      </c>
      <c r="P175" s="162">
        <v>405.6</v>
      </c>
      <c r="Q175" s="162">
        <v>23.21</v>
      </c>
      <c r="R175" s="162">
        <v>90.77</v>
      </c>
      <c r="S175" s="162">
        <v>305</v>
      </c>
      <c r="T175" s="162">
        <v>54460.800000000003</v>
      </c>
      <c r="U175" s="162"/>
      <c r="V175" s="162"/>
    </row>
    <row r="176" spans="1:22" ht="15.75" customHeight="1" x14ac:dyDescent="0.25">
      <c r="A176" s="167" t="s">
        <v>2644</v>
      </c>
      <c r="B176" s="162" t="s">
        <v>13</v>
      </c>
      <c r="C176" s="163" t="s">
        <v>30</v>
      </c>
      <c r="D176" s="168">
        <v>44602</v>
      </c>
      <c r="E176" s="23" t="s">
        <v>23</v>
      </c>
      <c r="F176" s="23"/>
      <c r="G176" s="23"/>
      <c r="H176" s="162"/>
      <c r="I176" s="168">
        <v>44610</v>
      </c>
      <c r="J176" s="169" t="s">
        <v>568</v>
      </c>
      <c r="K176" s="142"/>
      <c r="L176" s="162">
        <v>1</v>
      </c>
      <c r="M176" s="162"/>
      <c r="N176" s="162"/>
      <c r="O176" s="162"/>
      <c r="P176" s="162"/>
      <c r="Q176" s="162"/>
      <c r="R176" s="162"/>
      <c r="S176" s="162"/>
      <c r="T176" s="162" t="s">
        <v>2630</v>
      </c>
      <c r="U176" s="162"/>
      <c r="V176" s="162"/>
    </row>
    <row r="177" spans="1:22" ht="15.75" customHeight="1" x14ac:dyDescent="0.25">
      <c r="A177" s="167" t="s">
        <v>2644</v>
      </c>
      <c r="B177" s="162" t="s">
        <v>13</v>
      </c>
      <c r="C177" s="163" t="s">
        <v>30</v>
      </c>
      <c r="D177" s="168">
        <v>44602</v>
      </c>
      <c r="E177" s="23" t="s">
        <v>23</v>
      </c>
      <c r="F177" s="23"/>
      <c r="G177" s="23"/>
      <c r="H177" s="162"/>
      <c r="I177" s="168">
        <v>44610</v>
      </c>
      <c r="J177" s="169" t="s">
        <v>742</v>
      </c>
      <c r="K177" s="142"/>
      <c r="L177" s="162">
        <v>8</v>
      </c>
      <c r="M177" s="162"/>
      <c r="N177" s="162"/>
      <c r="O177" s="162"/>
      <c r="P177" s="162"/>
      <c r="Q177" s="162"/>
      <c r="R177" s="162"/>
      <c r="S177" s="162"/>
      <c r="T177" s="162" t="s">
        <v>2631</v>
      </c>
      <c r="U177" s="162"/>
      <c r="V177" s="162"/>
    </row>
    <row r="178" spans="1:22" ht="15.75" customHeight="1" x14ac:dyDescent="0.25">
      <c r="A178" s="167" t="s">
        <v>2644</v>
      </c>
      <c r="B178" s="162" t="s">
        <v>13</v>
      </c>
      <c r="C178" s="163" t="s">
        <v>30</v>
      </c>
      <c r="D178" s="168">
        <v>44602</v>
      </c>
      <c r="E178" s="23" t="s">
        <v>23</v>
      </c>
      <c r="F178" s="23"/>
      <c r="G178" s="23"/>
      <c r="H178" s="162"/>
      <c r="I178" s="168">
        <v>44610</v>
      </c>
      <c r="J178" s="169" t="s">
        <v>730</v>
      </c>
      <c r="K178" s="142"/>
      <c r="L178" s="162">
        <v>1</v>
      </c>
      <c r="M178" s="162"/>
      <c r="N178" s="162"/>
      <c r="O178" s="162"/>
      <c r="P178" s="162"/>
      <c r="Q178" s="162"/>
      <c r="R178" s="162"/>
      <c r="S178" s="162"/>
      <c r="T178" s="162" t="s">
        <v>2632</v>
      </c>
      <c r="U178" s="162"/>
      <c r="V178" s="162"/>
    </row>
    <row r="179" spans="1:22" ht="15.75" customHeight="1" x14ac:dyDescent="0.25">
      <c r="A179" s="167" t="s">
        <v>2644</v>
      </c>
      <c r="B179" s="162" t="s">
        <v>13</v>
      </c>
      <c r="C179" s="163" t="s">
        <v>30</v>
      </c>
      <c r="D179" s="168">
        <v>44602</v>
      </c>
      <c r="E179" s="23" t="s">
        <v>23</v>
      </c>
      <c r="F179" s="23"/>
      <c r="G179" s="23"/>
      <c r="H179" s="162"/>
      <c r="I179" s="168">
        <v>44610</v>
      </c>
      <c r="J179" s="169" t="s">
        <v>731</v>
      </c>
      <c r="K179" s="142"/>
      <c r="L179" s="162">
        <v>24</v>
      </c>
      <c r="M179" s="162"/>
      <c r="N179" s="162"/>
      <c r="O179" s="162"/>
      <c r="P179" s="162"/>
      <c r="Q179" s="162"/>
      <c r="R179" s="162"/>
      <c r="S179" s="162"/>
      <c r="T179" s="162" t="s">
        <v>2633</v>
      </c>
      <c r="U179" s="162"/>
      <c r="V179" s="162"/>
    </row>
    <row r="180" spans="1:22" ht="15.75" customHeight="1" x14ac:dyDescent="0.25">
      <c r="A180" s="167" t="s">
        <v>2644</v>
      </c>
      <c r="B180" s="162" t="s">
        <v>13</v>
      </c>
      <c r="C180" s="163" t="s">
        <v>30</v>
      </c>
      <c r="D180" s="168">
        <v>44602</v>
      </c>
      <c r="E180" s="23" t="s">
        <v>23</v>
      </c>
      <c r="F180" s="23"/>
      <c r="G180" s="23"/>
      <c r="H180" s="162"/>
      <c r="I180" s="168">
        <v>44610</v>
      </c>
      <c r="J180" s="169" t="s">
        <v>732</v>
      </c>
      <c r="K180" s="142"/>
      <c r="L180" s="162">
        <v>1</v>
      </c>
      <c r="M180" s="162"/>
      <c r="N180" s="162"/>
      <c r="O180" s="162"/>
      <c r="P180" s="162"/>
      <c r="Q180" s="162"/>
      <c r="R180" s="162"/>
      <c r="S180" s="162"/>
      <c r="T180" s="162" t="s">
        <v>130</v>
      </c>
      <c r="U180" s="162"/>
      <c r="V180" s="162"/>
    </row>
    <row r="181" spans="1:22" ht="15.75" customHeight="1" x14ac:dyDescent="0.25">
      <c r="A181" s="167" t="s">
        <v>2644</v>
      </c>
      <c r="B181" s="162" t="s">
        <v>13</v>
      </c>
      <c r="C181" s="163" t="s">
        <v>30</v>
      </c>
      <c r="D181" s="168">
        <v>44602</v>
      </c>
      <c r="E181" s="23" t="s">
        <v>23</v>
      </c>
      <c r="F181" s="23"/>
      <c r="G181" s="23"/>
      <c r="H181" s="162"/>
      <c r="I181" s="168">
        <v>44610</v>
      </c>
      <c r="J181" s="169" t="s">
        <v>440</v>
      </c>
      <c r="K181" s="142"/>
      <c r="L181" s="162">
        <v>1</v>
      </c>
      <c r="M181" s="162"/>
      <c r="N181" s="162"/>
      <c r="O181" s="162"/>
      <c r="P181" s="162"/>
      <c r="Q181" s="162"/>
      <c r="R181" s="162"/>
      <c r="S181" s="162"/>
      <c r="T181" s="162" t="s">
        <v>441</v>
      </c>
      <c r="U181" s="162"/>
      <c r="V181" s="162"/>
    </row>
    <row r="182" spans="1:22" ht="15.75" customHeight="1" x14ac:dyDescent="0.25">
      <c r="A182" s="167" t="s">
        <v>2644</v>
      </c>
      <c r="B182" s="162" t="s">
        <v>13</v>
      </c>
      <c r="C182" s="163" t="s">
        <v>30</v>
      </c>
      <c r="D182" s="168">
        <v>44602</v>
      </c>
      <c r="E182" s="23" t="s">
        <v>23</v>
      </c>
      <c r="F182" s="23"/>
      <c r="G182" s="23"/>
      <c r="H182" s="162"/>
      <c r="I182" s="168">
        <v>44610</v>
      </c>
      <c r="J182" s="169" t="s">
        <v>743</v>
      </c>
      <c r="K182" s="142"/>
      <c r="L182" s="162">
        <v>2</v>
      </c>
      <c r="M182" s="162"/>
      <c r="N182" s="162"/>
      <c r="O182" s="162"/>
      <c r="P182" s="162"/>
      <c r="Q182" s="162"/>
      <c r="R182" s="162"/>
      <c r="S182" s="162"/>
      <c r="T182" s="162" t="s">
        <v>2634</v>
      </c>
      <c r="U182" s="162"/>
      <c r="V182" s="162"/>
    </row>
    <row r="183" spans="1:22" ht="15.75" customHeight="1" x14ac:dyDescent="0.25">
      <c r="A183" s="167" t="s">
        <v>2644</v>
      </c>
      <c r="B183" s="162" t="s">
        <v>13</v>
      </c>
      <c r="C183" s="163" t="s">
        <v>30</v>
      </c>
      <c r="D183" s="168">
        <v>44602</v>
      </c>
      <c r="E183" s="23" t="s">
        <v>23</v>
      </c>
      <c r="F183" s="23"/>
      <c r="G183" s="23"/>
      <c r="H183" s="162"/>
      <c r="I183" s="168">
        <v>44610</v>
      </c>
      <c r="J183" s="169" t="s">
        <v>744</v>
      </c>
      <c r="K183" s="142"/>
      <c r="L183" s="162">
        <v>88</v>
      </c>
      <c r="M183" s="162"/>
      <c r="N183" s="162"/>
      <c r="O183" s="162"/>
      <c r="P183" s="162"/>
      <c r="Q183" s="162"/>
      <c r="R183" s="162"/>
      <c r="S183" s="162"/>
      <c r="T183" s="162" t="s">
        <v>93</v>
      </c>
      <c r="U183" s="162"/>
      <c r="V183" s="162"/>
    </row>
    <row r="184" spans="1:22" ht="15.75" customHeight="1" x14ac:dyDescent="0.25">
      <c r="A184" s="167" t="s">
        <v>2644</v>
      </c>
      <c r="B184" s="162" t="s">
        <v>13</v>
      </c>
      <c r="C184" s="163" t="s">
        <v>30</v>
      </c>
      <c r="D184" s="168">
        <v>44602</v>
      </c>
      <c r="E184" s="23" t="s">
        <v>23</v>
      </c>
      <c r="F184" s="23"/>
      <c r="G184" s="23"/>
      <c r="H184" s="162"/>
      <c r="I184" s="168">
        <v>44610</v>
      </c>
      <c r="J184" s="169" t="s">
        <v>733</v>
      </c>
      <c r="K184" s="142"/>
      <c r="L184" s="162">
        <v>8</v>
      </c>
      <c r="M184" s="162"/>
      <c r="N184" s="162"/>
      <c r="O184" s="162"/>
      <c r="P184" s="162"/>
      <c r="Q184" s="162"/>
      <c r="R184" s="162"/>
      <c r="S184" s="162"/>
      <c r="T184" s="162" t="s">
        <v>2635</v>
      </c>
      <c r="U184" s="162"/>
      <c r="V184" s="162"/>
    </row>
    <row r="185" spans="1:22" ht="15.75" customHeight="1" x14ac:dyDescent="0.25">
      <c r="A185" s="167" t="s">
        <v>2644</v>
      </c>
      <c r="B185" s="162" t="s">
        <v>13</v>
      </c>
      <c r="C185" s="163" t="s">
        <v>30</v>
      </c>
      <c r="D185" s="168">
        <v>44602</v>
      </c>
      <c r="E185" s="23" t="s">
        <v>23</v>
      </c>
      <c r="F185" s="23"/>
      <c r="G185" s="23"/>
      <c r="H185" s="162"/>
      <c r="I185" s="168">
        <v>44610</v>
      </c>
      <c r="J185" s="169" t="s">
        <v>734</v>
      </c>
      <c r="K185" s="142"/>
      <c r="L185" s="162">
        <v>1</v>
      </c>
      <c r="M185" s="162"/>
      <c r="N185" s="162"/>
      <c r="O185" s="162"/>
      <c r="P185" s="162"/>
      <c r="Q185" s="162"/>
      <c r="R185" s="162"/>
      <c r="S185" s="162"/>
      <c r="T185" s="162" t="s">
        <v>572</v>
      </c>
      <c r="U185" s="162"/>
      <c r="V185" s="162"/>
    </row>
    <row r="186" spans="1:22" ht="15.75" customHeight="1" x14ac:dyDescent="0.25">
      <c r="A186" s="167" t="s">
        <v>2644</v>
      </c>
      <c r="B186" s="162" t="s">
        <v>13</v>
      </c>
      <c r="C186" s="163" t="s">
        <v>30</v>
      </c>
      <c r="D186" s="168">
        <v>44602</v>
      </c>
      <c r="E186" s="23" t="s">
        <v>23</v>
      </c>
      <c r="F186" s="23"/>
      <c r="G186" s="23"/>
      <c r="H186" s="162"/>
      <c r="I186" s="168">
        <v>44610</v>
      </c>
      <c r="J186" s="169" t="s">
        <v>735</v>
      </c>
      <c r="K186" s="142"/>
      <c r="L186" s="162">
        <v>1</v>
      </c>
      <c r="M186" s="162"/>
      <c r="N186" s="162"/>
      <c r="O186" s="162"/>
      <c r="P186" s="162"/>
      <c r="Q186" s="162"/>
      <c r="R186" s="162"/>
      <c r="S186" s="162"/>
      <c r="T186" s="162" t="s">
        <v>2636</v>
      </c>
      <c r="U186" s="162"/>
      <c r="V186" s="162"/>
    </row>
    <row r="187" spans="1:22" ht="15.75" customHeight="1" x14ac:dyDescent="0.25">
      <c r="A187" s="167" t="s">
        <v>2644</v>
      </c>
      <c r="B187" s="162" t="s">
        <v>13</v>
      </c>
      <c r="C187" s="163" t="s">
        <v>30</v>
      </c>
      <c r="D187" s="168">
        <v>44602</v>
      </c>
      <c r="E187" s="23" t="s">
        <v>23</v>
      </c>
      <c r="F187" s="23"/>
      <c r="G187" s="23"/>
      <c r="H187" s="162"/>
      <c r="I187" s="168">
        <v>44610</v>
      </c>
      <c r="J187" s="169" t="s">
        <v>736</v>
      </c>
      <c r="K187" s="142"/>
      <c r="L187" s="162">
        <v>1</v>
      </c>
      <c r="M187" s="162"/>
      <c r="N187" s="162"/>
      <c r="O187" s="162"/>
      <c r="P187" s="162"/>
      <c r="Q187" s="162"/>
      <c r="R187" s="162"/>
      <c r="S187" s="162"/>
      <c r="T187" s="162" t="s">
        <v>442</v>
      </c>
      <c r="U187" s="162"/>
      <c r="V187" s="162"/>
    </row>
    <row r="188" spans="1:22" ht="15.75" customHeight="1" x14ac:dyDescent="0.25">
      <c r="A188" s="167" t="s">
        <v>2644</v>
      </c>
      <c r="B188" s="162" t="s">
        <v>13</v>
      </c>
      <c r="C188" s="163" t="s">
        <v>30</v>
      </c>
      <c r="D188" s="168">
        <v>44602</v>
      </c>
      <c r="E188" s="23" t="s">
        <v>23</v>
      </c>
      <c r="F188" s="23"/>
      <c r="G188" s="23"/>
      <c r="H188" s="162"/>
      <c r="I188" s="168">
        <v>44610</v>
      </c>
      <c r="J188" s="169" t="s">
        <v>737</v>
      </c>
      <c r="K188" s="142"/>
      <c r="L188" s="162">
        <v>2</v>
      </c>
      <c r="M188" s="162"/>
      <c r="N188" s="162"/>
      <c r="O188" s="162"/>
      <c r="P188" s="162"/>
      <c r="Q188" s="162"/>
      <c r="R188" s="162"/>
      <c r="S188" s="162"/>
      <c r="T188" s="162" t="s">
        <v>749</v>
      </c>
      <c r="U188" s="162"/>
      <c r="V188" s="162"/>
    </row>
    <row r="189" spans="1:22" ht="15.75" customHeight="1" x14ac:dyDescent="0.25">
      <c r="A189" s="167" t="s">
        <v>2644</v>
      </c>
      <c r="B189" s="162" t="s">
        <v>13</v>
      </c>
      <c r="C189" s="163" t="s">
        <v>30</v>
      </c>
      <c r="D189" s="168">
        <v>44602</v>
      </c>
      <c r="E189" s="23" t="s">
        <v>23</v>
      </c>
      <c r="F189" s="23"/>
      <c r="G189" s="23"/>
      <c r="H189" s="162"/>
      <c r="I189" s="168">
        <v>44610</v>
      </c>
      <c r="J189" s="169" t="s">
        <v>1255</v>
      </c>
      <c r="K189" s="142"/>
      <c r="L189" s="162">
        <v>4</v>
      </c>
      <c r="M189" s="162"/>
      <c r="N189" s="162"/>
      <c r="O189" s="162"/>
      <c r="P189" s="162"/>
      <c r="Q189" s="162"/>
      <c r="R189" s="162"/>
      <c r="S189" s="162"/>
      <c r="T189" s="162" t="s">
        <v>2509</v>
      </c>
      <c r="U189" s="162"/>
      <c r="V189" s="162"/>
    </row>
    <row r="190" spans="1:22" ht="15.75" customHeight="1" x14ac:dyDescent="0.25">
      <c r="A190" s="167" t="s">
        <v>2644</v>
      </c>
      <c r="B190" s="162" t="s">
        <v>13</v>
      </c>
      <c r="C190" s="163" t="s">
        <v>30</v>
      </c>
      <c r="D190" s="168">
        <v>44602</v>
      </c>
      <c r="E190" s="23" t="s">
        <v>23</v>
      </c>
      <c r="F190" s="23"/>
      <c r="G190" s="23"/>
      <c r="H190" s="162"/>
      <c r="I190" s="168">
        <v>44610</v>
      </c>
      <c r="J190" s="169" t="s">
        <v>738</v>
      </c>
      <c r="K190" s="142"/>
      <c r="L190" s="162">
        <v>1</v>
      </c>
      <c r="M190" s="162"/>
      <c r="N190" s="162"/>
      <c r="O190" s="162"/>
      <c r="P190" s="162"/>
      <c r="Q190" s="162"/>
      <c r="R190" s="162"/>
      <c r="S190" s="162"/>
      <c r="T190" s="162" t="s">
        <v>2637</v>
      </c>
      <c r="U190" s="162"/>
      <c r="V190" s="162"/>
    </row>
    <row r="191" spans="1:22" ht="15.75" customHeight="1" x14ac:dyDescent="0.25">
      <c r="A191" s="167" t="s">
        <v>2644</v>
      </c>
      <c r="B191" s="162" t="s">
        <v>13</v>
      </c>
      <c r="C191" s="163" t="s">
        <v>30</v>
      </c>
      <c r="D191" s="168">
        <v>44602</v>
      </c>
      <c r="E191" s="23" t="s">
        <v>23</v>
      </c>
      <c r="F191" s="23"/>
      <c r="G191" s="23"/>
      <c r="H191" s="162"/>
      <c r="I191" s="168">
        <v>44610</v>
      </c>
      <c r="J191" s="169" t="s">
        <v>282</v>
      </c>
      <c r="K191" s="142"/>
      <c r="L191" s="162">
        <v>1</v>
      </c>
      <c r="M191" s="162"/>
      <c r="N191" s="162"/>
      <c r="O191" s="162"/>
      <c r="P191" s="162"/>
      <c r="Q191" s="162"/>
      <c r="R191" s="162"/>
      <c r="S191" s="162"/>
      <c r="T191" s="162" t="s">
        <v>2638</v>
      </c>
      <c r="U191" s="162"/>
      <c r="V191" s="162"/>
    </row>
    <row r="192" spans="1:22" ht="15.75" customHeight="1" x14ac:dyDescent="0.25">
      <c r="A192" s="167" t="s">
        <v>2644</v>
      </c>
      <c r="B192" s="162" t="s">
        <v>13</v>
      </c>
      <c r="C192" s="163" t="s">
        <v>30</v>
      </c>
      <c r="D192" s="168">
        <v>44602</v>
      </c>
      <c r="E192" s="23" t="s">
        <v>23</v>
      </c>
      <c r="F192" s="23"/>
      <c r="G192" s="23"/>
      <c r="H192" s="162"/>
      <c r="I192" s="168">
        <v>44610</v>
      </c>
      <c r="J192" s="169" t="s">
        <v>739</v>
      </c>
      <c r="K192" s="142"/>
      <c r="L192" s="162">
        <v>4</v>
      </c>
      <c r="M192" s="162"/>
      <c r="N192" s="162"/>
      <c r="O192" s="162"/>
      <c r="P192" s="162"/>
      <c r="Q192" s="162"/>
      <c r="R192" s="162"/>
      <c r="S192" s="162"/>
      <c r="T192" s="162" t="s">
        <v>2639</v>
      </c>
      <c r="U192" s="162"/>
      <c r="V192" s="162"/>
    </row>
    <row r="193" spans="1:22" ht="15.75" customHeight="1" x14ac:dyDescent="0.25">
      <c r="A193" s="167" t="s">
        <v>2644</v>
      </c>
      <c r="B193" s="162" t="s">
        <v>13</v>
      </c>
      <c r="C193" s="163" t="s">
        <v>30</v>
      </c>
      <c r="D193" s="168">
        <v>44602</v>
      </c>
      <c r="E193" s="23" t="s">
        <v>23</v>
      </c>
      <c r="F193" s="23"/>
      <c r="G193" s="23"/>
      <c r="H193" s="162"/>
      <c r="I193" s="168">
        <v>44610</v>
      </c>
      <c r="J193" s="169" t="s">
        <v>740</v>
      </c>
      <c r="K193" s="142"/>
      <c r="L193" s="162">
        <v>30</v>
      </c>
      <c r="M193" s="162"/>
      <c r="N193" s="162"/>
      <c r="O193" s="162"/>
      <c r="P193" s="162"/>
      <c r="Q193" s="162"/>
      <c r="R193" s="162"/>
      <c r="S193" s="162"/>
      <c r="T193" s="162" t="s">
        <v>2640</v>
      </c>
      <c r="U193" s="162"/>
      <c r="V193" s="162"/>
    </row>
    <row r="194" spans="1:22" ht="15.75" customHeight="1" x14ac:dyDescent="0.25">
      <c r="A194" s="167" t="s">
        <v>2644</v>
      </c>
      <c r="B194" s="162" t="s">
        <v>13</v>
      </c>
      <c r="C194" s="163" t="s">
        <v>30</v>
      </c>
      <c r="D194" s="168">
        <v>44602</v>
      </c>
      <c r="E194" s="23" t="s">
        <v>23</v>
      </c>
      <c r="F194" s="23"/>
      <c r="G194" s="23"/>
      <c r="H194" s="162"/>
      <c r="I194" s="168">
        <v>44610</v>
      </c>
      <c r="J194" s="169" t="s">
        <v>1243</v>
      </c>
      <c r="K194" s="142"/>
      <c r="L194" s="162">
        <v>2</v>
      </c>
      <c r="M194" s="162"/>
      <c r="N194" s="162"/>
      <c r="O194" s="162"/>
      <c r="P194" s="162"/>
      <c r="Q194" s="162"/>
      <c r="R194" s="162"/>
      <c r="S194" s="162"/>
      <c r="T194" s="162" t="s">
        <v>2641</v>
      </c>
      <c r="U194" s="162"/>
      <c r="V194" s="162"/>
    </row>
    <row r="195" spans="1:22" ht="15.75" customHeight="1" x14ac:dyDescent="0.25">
      <c r="A195" s="167" t="s">
        <v>2644</v>
      </c>
      <c r="B195" s="162" t="s">
        <v>13</v>
      </c>
      <c r="C195" s="163" t="s">
        <v>30</v>
      </c>
      <c r="D195" s="168">
        <v>44602</v>
      </c>
      <c r="E195" s="23" t="s">
        <v>23</v>
      </c>
      <c r="F195" s="23"/>
      <c r="G195" s="23"/>
      <c r="H195" s="162"/>
      <c r="I195" s="168">
        <v>44610</v>
      </c>
      <c r="J195" s="169" t="s">
        <v>741</v>
      </c>
      <c r="K195" s="142"/>
      <c r="L195" s="162">
        <v>20</v>
      </c>
      <c r="M195" s="162"/>
      <c r="N195" s="162"/>
      <c r="O195" s="162"/>
      <c r="P195" s="162"/>
      <c r="Q195" s="162"/>
      <c r="R195" s="162"/>
      <c r="S195" s="162"/>
      <c r="T195" s="162" t="s">
        <v>2642</v>
      </c>
      <c r="U195" s="162"/>
      <c r="V195" s="162"/>
    </row>
    <row r="196" spans="1:22" ht="15.75" customHeight="1" x14ac:dyDescent="0.25">
      <c r="A196" s="167" t="s">
        <v>2644</v>
      </c>
      <c r="B196" s="162" t="s">
        <v>13</v>
      </c>
      <c r="C196" s="163" t="s">
        <v>30</v>
      </c>
      <c r="D196" s="168">
        <v>44602</v>
      </c>
      <c r="E196" s="23" t="s">
        <v>23</v>
      </c>
      <c r="F196" s="23"/>
      <c r="G196" s="23"/>
      <c r="H196" s="162"/>
      <c r="I196" s="168">
        <v>44610</v>
      </c>
      <c r="J196" s="169" t="s">
        <v>745</v>
      </c>
      <c r="K196" s="142"/>
      <c r="L196" s="162">
        <v>3</v>
      </c>
      <c r="M196" s="162"/>
      <c r="N196" s="162"/>
      <c r="O196" s="162"/>
      <c r="P196" s="162"/>
      <c r="Q196" s="162"/>
      <c r="R196" s="162"/>
      <c r="S196" s="162"/>
      <c r="T196" s="162" t="s">
        <v>809</v>
      </c>
      <c r="U196" s="162"/>
      <c r="V196" s="162"/>
    </row>
    <row r="197" spans="1:22" ht="15.75" customHeight="1" x14ac:dyDescent="0.25">
      <c r="A197" s="171" t="s">
        <v>2648</v>
      </c>
      <c r="B197" s="163" t="s">
        <v>13</v>
      </c>
      <c r="C197" s="163" t="s">
        <v>30</v>
      </c>
      <c r="D197" s="172">
        <v>44602</v>
      </c>
      <c r="E197" s="23" t="s">
        <v>23</v>
      </c>
      <c r="F197" s="206"/>
      <c r="G197" s="206"/>
      <c r="H197" s="163"/>
      <c r="I197" s="163"/>
      <c r="J197" s="169" t="s">
        <v>206</v>
      </c>
      <c r="K197" s="145"/>
      <c r="L197" s="163">
        <v>174</v>
      </c>
      <c r="M197" s="163"/>
      <c r="N197" s="163"/>
      <c r="O197" s="163"/>
      <c r="P197" s="163"/>
      <c r="Q197" s="163"/>
      <c r="R197" s="163"/>
      <c r="S197" s="163"/>
      <c r="T197" s="163" t="s">
        <v>2643</v>
      </c>
      <c r="U197" s="163"/>
      <c r="V197" s="163"/>
    </row>
    <row r="198" spans="1:22" ht="15.75" customHeight="1" x14ac:dyDescent="0.25">
      <c r="A198" s="171">
        <v>73</v>
      </c>
      <c r="B198" s="163" t="s">
        <v>13</v>
      </c>
      <c r="C198" s="163" t="s">
        <v>37</v>
      </c>
      <c r="D198" s="172">
        <v>44602</v>
      </c>
      <c r="E198" s="23" t="s">
        <v>23</v>
      </c>
      <c r="F198" s="206"/>
      <c r="G198" s="206"/>
      <c r="H198" s="163" t="s">
        <v>1821</v>
      </c>
      <c r="I198" s="172">
        <v>44613</v>
      </c>
      <c r="J198" s="237" t="s">
        <v>2357</v>
      </c>
      <c r="K198" s="145">
        <v>489</v>
      </c>
      <c r="L198" s="163">
        <v>163</v>
      </c>
      <c r="M198" s="163">
        <v>9.9900000000000003E-2</v>
      </c>
      <c r="N198" s="163">
        <v>0.28599999999999998</v>
      </c>
      <c r="O198" s="163">
        <v>48.851100000000002</v>
      </c>
      <c r="P198" s="163">
        <v>139.85400000000001</v>
      </c>
      <c r="Q198" s="163">
        <v>6.35</v>
      </c>
      <c r="R198" s="163">
        <v>98.65</v>
      </c>
      <c r="S198" s="163">
        <v>987.49</v>
      </c>
      <c r="T198" s="163">
        <v>48239.97</v>
      </c>
      <c r="U198" s="163"/>
      <c r="V198" s="163"/>
    </row>
    <row r="199" spans="1:22" ht="15.75" customHeight="1" x14ac:dyDescent="0.25">
      <c r="A199" s="167" t="s">
        <v>2645</v>
      </c>
      <c r="B199" s="163" t="s">
        <v>13</v>
      </c>
      <c r="C199" s="163" t="s">
        <v>30</v>
      </c>
      <c r="D199" s="168">
        <v>44603</v>
      </c>
      <c r="E199" s="23" t="s">
        <v>23</v>
      </c>
      <c r="F199" s="23"/>
      <c r="G199" s="23"/>
      <c r="H199" s="162"/>
      <c r="I199" s="162"/>
      <c r="J199" s="169" t="s">
        <v>214</v>
      </c>
      <c r="K199" s="142"/>
      <c r="L199" s="162">
        <v>8</v>
      </c>
      <c r="M199" s="162"/>
      <c r="N199" s="162"/>
      <c r="O199" s="162"/>
      <c r="P199" s="162"/>
      <c r="Q199" s="162"/>
      <c r="R199" s="162"/>
      <c r="S199" s="162"/>
      <c r="T199" s="162" t="s">
        <v>336</v>
      </c>
      <c r="U199" s="162"/>
      <c r="V199" s="162"/>
    </row>
    <row r="200" spans="1:22" ht="15.75" customHeight="1" x14ac:dyDescent="0.25">
      <c r="A200" s="167" t="s">
        <v>2645</v>
      </c>
      <c r="B200" s="163" t="s">
        <v>13</v>
      </c>
      <c r="C200" s="163" t="s">
        <v>30</v>
      </c>
      <c r="D200" s="168">
        <v>44603</v>
      </c>
      <c r="E200" s="23" t="s">
        <v>23</v>
      </c>
      <c r="F200" s="23"/>
      <c r="G200" s="23"/>
      <c r="H200" s="162"/>
      <c r="I200" s="162"/>
      <c r="J200" s="169" t="s">
        <v>215</v>
      </c>
      <c r="K200" s="142"/>
      <c r="L200" s="162">
        <v>8</v>
      </c>
      <c r="M200" s="162"/>
      <c r="N200" s="162"/>
      <c r="O200" s="162"/>
      <c r="P200" s="162"/>
      <c r="Q200" s="162"/>
      <c r="R200" s="162"/>
      <c r="S200" s="162"/>
      <c r="T200" s="162" t="s">
        <v>1071</v>
      </c>
      <c r="U200" s="162"/>
      <c r="V200" s="162"/>
    </row>
    <row r="201" spans="1:22" ht="15.75" customHeight="1" x14ac:dyDescent="0.25">
      <c r="A201" s="167" t="s">
        <v>2645</v>
      </c>
      <c r="B201" s="163" t="s">
        <v>13</v>
      </c>
      <c r="C201" s="163" t="s">
        <v>30</v>
      </c>
      <c r="D201" s="168">
        <v>44603</v>
      </c>
      <c r="E201" s="23" t="s">
        <v>23</v>
      </c>
      <c r="F201" s="23"/>
      <c r="G201" s="23"/>
      <c r="H201" s="162"/>
      <c r="I201" s="162"/>
      <c r="J201" s="169" t="s">
        <v>216</v>
      </c>
      <c r="K201" s="142"/>
      <c r="L201" s="162">
        <v>8</v>
      </c>
      <c r="M201" s="162"/>
      <c r="N201" s="162"/>
      <c r="O201" s="162"/>
      <c r="P201" s="162"/>
      <c r="Q201" s="162"/>
      <c r="R201" s="162"/>
      <c r="S201" s="162"/>
      <c r="T201" s="162" t="s">
        <v>419</v>
      </c>
      <c r="U201" s="162"/>
      <c r="V201" s="162"/>
    </row>
    <row r="202" spans="1:22" ht="15.75" customHeight="1" x14ac:dyDescent="0.25">
      <c r="A202" s="167" t="s">
        <v>2645</v>
      </c>
      <c r="B202" s="163" t="s">
        <v>13</v>
      </c>
      <c r="C202" s="163" t="s">
        <v>30</v>
      </c>
      <c r="D202" s="168">
        <v>44603</v>
      </c>
      <c r="E202" s="23" t="s">
        <v>23</v>
      </c>
      <c r="F202" s="23"/>
      <c r="G202" s="23"/>
      <c r="H202" s="162"/>
      <c r="I202" s="162"/>
      <c r="J202" s="169" t="s">
        <v>219</v>
      </c>
      <c r="K202" s="142"/>
      <c r="L202" s="162">
        <v>8</v>
      </c>
      <c r="M202" s="162"/>
      <c r="N202" s="162"/>
      <c r="O202" s="162"/>
      <c r="P202" s="162"/>
      <c r="Q202" s="162"/>
      <c r="R202" s="162"/>
      <c r="S202" s="162"/>
      <c r="T202" s="162" t="s">
        <v>2649</v>
      </c>
      <c r="U202" s="162"/>
      <c r="V202" s="162"/>
    </row>
    <row r="203" spans="1:22" ht="15.75" customHeight="1" x14ac:dyDescent="0.25">
      <c r="A203" s="167" t="s">
        <v>2645</v>
      </c>
      <c r="B203" s="163" t="s">
        <v>13</v>
      </c>
      <c r="C203" s="163" t="s">
        <v>30</v>
      </c>
      <c r="D203" s="168">
        <v>44603</v>
      </c>
      <c r="E203" s="23" t="s">
        <v>23</v>
      </c>
      <c r="F203" s="23"/>
      <c r="G203" s="23"/>
      <c r="H203" s="162"/>
      <c r="I203" s="162"/>
      <c r="J203" s="169" t="s">
        <v>220</v>
      </c>
      <c r="K203" s="142"/>
      <c r="L203" s="162">
        <v>8</v>
      </c>
      <c r="M203" s="162"/>
      <c r="N203" s="162"/>
      <c r="O203" s="162"/>
      <c r="P203" s="162"/>
      <c r="Q203" s="162"/>
      <c r="R203" s="162"/>
      <c r="S203" s="162"/>
      <c r="T203" s="162" t="s">
        <v>434</v>
      </c>
      <c r="U203" s="162"/>
      <c r="V203" s="162"/>
    </row>
    <row r="204" spans="1:22" ht="15.75" customHeight="1" x14ac:dyDescent="0.25">
      <c r="A204" s="167" t="s">
        <v>2645</v>
      </c>
      <c r="B204" s="163" t="s">
        <v>13</v>
      </c>
      <c r="C204" s="163" t="s">
        <v>30</v>
      </c>
      <c r="D204" s="168">
        <v>44603</v>
      </c>
      <c r="E204" s="23" t="s">
        <v>23</v>
      </c>
      <c r="F204" s="23"/>
      <c r="G204" s="23"/>
      <c r="H204" s="162"/>
      <c r="I204" s="162"/>
      <c r="J204" s="169" t="s">
        <v>710</v>
      </c>
      <c r="K204" s="142"/>
      <c r="L204" s="162">
        <v>8</v>
      </c>
      <c r="M204" s="162"/>
      <c r="N204" s="162"/>
      <c r="O204" s="162"/>
      <c r="P204" s="162"/>
      <c r="Q204" s="162"/>
      <c r="R204" s="162"/>
      <c r="S204" s="162"/>
      <c r="T204" s="162" t="s">
        <v>1421</v>
      </c>
      <c r="U204" s="162"/>
      <c r="V204" s="162"/>
    </row>
    <row r="205" spans="1:22" ht="15.75" customHeight="1" x14ac:dyDescent="0.25">
      <c r="A205" s="167" t="s">
        <v>2645</v>
      </c>
      <c r="B205" s="163" t="s">
        <v>13</v>
      </c>
      <c r="C205" s="163" t="s">
        <v>30</v>
      </c>
      <c r="D205" s="168">
        <v>44603</v>
      </c>
      <c r="E205" s="23" t="s">
        <v>23</v>
      </c>
      <c r="F205" s="23"/>
      <c r="G205" s="23"/>
      <c r="H205" s="162"/>
      <c r="I205" s="162"/>
      <c r="J205" s="169" t="s">
        <v>711</v>
      </c>
      <c r="K205" s="142"/>
      <c r="L205" s="162">
        <v>8</v>
      </c>
      <c r="M205" s="162"/>
      <c r="N205" s="162"/>
      <c r="O205" s="162"/>
      <c r="P205" s="162"/>
      <c r="Q205" s="162"/>
      <c r="R205" s="162"/>
      <c r="S205" s="162"/>
      <c r="T205" s="162" t="s">
        <v>1421</v>
      </c>
      <c r="U205" s="162"/>
      <c r="V205" s="162"/>
    </row>
    <row r="206" spans="1:22" ht="15.75" customHeight="1" x14ac:dyDescent="0.25">
      <c r="A206" s="167" t="s">
        <v>2645</v>
      </c>
      <c r="B206" s="163" t="s">
        <v>13</v>
      </c>
      <c r="C206" s="163" t="s">
        <v>30</v>
      </c>
      <c r="D206" s="168">
        <v>44603</v>
      </c>
      <c r="E206" s="23" t="s">
        <v>23</v>
      </c>
      <c r="F206" s="23"/>
      <c r="G206" s="23"/>
      <c r="H206" s="162"/>
      <c r="I206" s="162"/>
      <c r="J206" s="169" t="s">
        <v>712</v>
      </c>
      <c r="K206" s="142"/>
      <c r="L206" s="162">
        <v>17</v>
      </c>
      <c r="M206" s="162"/>
      <c r="N206" s="162"/>
      <c r="O206" s="162"/>
      <c r="P206" s="162"/>
      <c r="Q206" s="162"/>
      <c r="R206" s="162"/>
      <c r="S206" s="162"/>
      <c r="T206" s="162" t="s">
        <v>2650</v>
      </c>
      <c r="U206" s="162"/>
      <c r="V206" s="162"/>
    </row>
    <row r="207" spans="1:22" ht="15.75" customHeight="1" x14ac:dyDescent="0.25">
      <c r="A207" s="167" t="s">
        <v>2645</v>
      </c>
      <c r="B207" s="163" t="s">
        <v>13</v>
      </c>
      <c r="C207" s="163" t="s">
        <v>30</v>
      </c>
      <c r="D207" s="168">
        <v>44603</v>
      </c>
      <c r="E207" s="23" t="s">
        <v>23</v>
      </c>
      <c r="F207" s="23"/>
      <c r="G207" s="23"/>
      <c r="H207" s="162"/>
      <c r="I207" s="162"/>
      <c r="J207" s="169" t="s">
        <v>713</v>
      </c>
      <c r="K207" s="142"/>
      <c r="L207" s="162">
        <v>32</v>
      </c>
      <c r="M207" s="162"/>
      <c r="N207" s="162"/>
      <c r="O207" s="162"/>
      <c r="P207" s="162"/>
      <c r="Q207" s="162"/>
      <c r="R207" s="162"/>
      <c r="S207" s="162"/>
      <c r="T207" s="162" t="s">
        <v>470</v>
      </c>
      <c r="U207" s="162"/>
      <c r="V207" s="162"/>
    </row>
    <row r="208" spans="1:22" ht="15.75" customHeight="1" x14ac:dyDescent="0.25">
      <c r="A208" s="167" t="s">
        <v>2645</v>
      </c>
      <c r="B208" s="163" t="s">
        <v>13</v>
      </c>
      <c r="C208" s="163" t="s">
        <v>30</v>
      </c>
      <c r="D208" s="168">
        <v>44603</v>
      </c>
      <c r="E208" s="23" t="s">
        <v>23</v>
      </c>
      <c r="F208" s="23"/>
      <c r="G208" s="23"/>
      <c r="H208" s="162"/>
      <c r="I208" s="162"/>
      <c r="J208" s="169" t="s">
        <v>714</v>
      </c>
      <c r="K208" s="142"/>
      <c r="L208" s="162">
        <v>16</v>
      </c>
      <c r="M208" s="162"/>
      <c r="N208" s="162"/>
      <c r="O208" s="162"/>
      <c r="P208" s="162"/>
      <c r="Q208" s="162"/>
      <c r="R208" s="162"/>
      <c r="S208" s="162"/>
      <c r="T208" s="162" t="s">
        <v>1145</v>
      </c>
      <c r="U208" s="162"/>
      <c r="V208" s="162"/>
    </row>
    <row r="209" spans="1:22" ht="15.75" customHeight="1" x14ac:dyDescent="0.25">
      <c r="A209" s="167" t="s">
        <v>2645</v>
      </c>
      <c r="B209" s="163" t="s">
        <v>13</v>
      </c>
      <c r="C209" s="163" t="s">
        <v>30</v>
      </c>
      <c r="D209" s="168">
        <v>44603</v>
      </c>
      <c r="E209" s="23" t="s">
        <v>23</v>
      </c>
      <c r="F209" s="23"/>
      <c r="G209" s="23"/>
      <c r="H209" s="162"/>
      <c r="I209" s="162"/>
      <c r="J209" s="169" t="s">
        <v>715</v>
      </c>
      <c r="K209" s="142"/>
      <c r="L209" s="162">
        <v>16</v>
      </c>
      <c r="M209" s="162"/>
      <c r="N209" s="162"/>
      <c r="O209" s="162"/>
      <c r="P209" s="162"/>
      <c r="Q209" s="162"/>
      <c r="R209" s="162"/>
      <c r="S209" s="162"/>
      <c r="T209" s="162" t="s">
        <v>1145</v>
      </c>
      <c r="U209" s="162"/>
      <c r="V209" s="162"/>
    </row>
    <row r="210" spans="1:22" ht="15.75" customHeight="1" x14ac:dyDescent="0.25">
      <c r="A210" s="167" t="s">
        <v>2645</v>
      </c>
      <c r="B210" s="163" t="s">
        <v>13</v>
      </c>
      <c r="C210" s="163" t="s">
        <v>30</v>
      </c>
      <c r="D210" s="168">
        <v>44603</v>
      </c>
      <c r="E210" s="23" t="s">
        <v>23</v>
      </c>
      <c r="F210" s="23"/>
      <c r="G210" s="23"/>
      <c r="H210" s="162"/>
      <c r="I210" s="162"/>
      <c r="J210" s="169" t="s">
        <v>716</v>
      </c>
      <c r="K210" s="142"/>
      <c r="L210" s="162">
        <v>8</v>
      </c>
      <c r="M210" s="162"/>
      <c r="N210" s="162"/>
      <c r="O210" s="162"/>
      <c r="P210" s="162"/>
      <c r="Q210" s="162"/>
      <c r="R210" s="162"/>
      <c r="S210" s="162"/>
      <c r="T210" s="162" t="s">
        <v>371</v>
      </c>
      <c r="U210" s="162"/>
      <c r="V210" s="162"/>
    </row>
    <row r="211" spans="1:22" ht="15.75" customHeight="1" x14ac:dyDescent="0.25">
      <c r="A211" s="167" t="s">
        <v>2645</v>
      </c>
      <c r="B211" s="163" t="s">
        <v>13</v>
      </c>
      <c r="C211" s="163" t="s">
        <v>30</v>
      </c>
      <c r="D211" s="168">
        <v>44603</v>
      </c>
      <c r="E211" s="23" t="s">
        <v>23</v>
      </c>
      <c r="F211" s="23"/>
      <c r="G211" s="23"/>
      <c r="H211" s="162"/>
      <c r="I211" s="162"/>
      <c r="J211" s="169" t="s">
        <v>717</v>
      </c>
      <c r="K211" s="142"/>
      <c r="L211" s="162">
        <v>8</v>
      </c>
      <c r="M211" s="162"/>
      <c r="N211" s="162"/>
      <c r="O211" s="162"/>
      <c r="P211" s="162"/>
      <c r="Q211" s="162"/>
      <c r="R211" s="162"/>
      <c r="S211" s="162"/>
      <c r="T211" s="162" t="s">
        <v>371</v>
      </c>
      <c r="U211" s="162"/>
      <c r="V211" s="162"/>
    </row>
    <row r="212" spans="1:22" ht="15.75" customHeight="1" x14ac:dyDescent="0.25">
      <c r="A212" s="167" t="s">
        <v>2645</v>
      </c>
      <c r="B212" s="163" t="s">
        <v>13</v>
      </c>
      <c r="C212" s="163" t="s">
        <v>30</v>
      </c>
      <c r="D212" s="168">
        <v>44603</v>
      </c>
      <c r="E212" s="23" t="s">
        <v>23</v>
      </c>
      <c r="F212" s="23"/>
      <c r="G212" s="23"/>
      <c r="H212" s="162"/>
      <c r="I212" s="162"/>
      <c r="J212" s="169" t="s">
        <v>718</v>
      </c>
      <c r="K212" s="142"/>
      <c r="L212" s="162">
        <v>9</v>
      </c>
      <c r="M212" s="162"/>
      <c r="N212" s="162"/>
      <c r="O212" s="162"/>
      <c r="P212" s="162"/>
      <c r="Q212" s="162"/>
      <c r="R212" s="162"/>
      <c r="S212" s="162"/>
      <c r="T212" s="162" t="s">
        <v>1186</v>
      </c>
      <c r="U212" s="162"/>
      <c r="V212" s="162"/>
    </row>
    <row r="213" spans="1:22" ht="15.75" customHeight="1" x14ac:dyDescent="0.25">
      <c r="A213" s="167" t="s">
        <v>2645</v>
      </c>
      <c r="B213" s="163" t="s">
        <v>13</v>
      </c>
      <c r="C213" s="163" t="s">
        <v>30</v>
      </c>
      <c r="D213" s="168">
        <v>44603</v>
      </c>
      <c r="E213" s="23" t="s">
        <v>23</v>
      </c>
      <c r="F213" s="206"/>
      <c r="G213" s="206"/>
      <c r="H213" s="163"/>
      <c r="I213" s="163"/>
      <c r="J213" s="164" t="s">
        <v>719</v>
      </c>
      <c r="K213" s="145"/>
      <c r="L213" s="163">
        <v>9</v>
      </c>
      <c r="M213" s="163"/>
      <c r="N213" s="163"/>
      <c r="O213" s="163"/>
      <c r="P213" s="163"/>
      <c r="Q213" s="163"/>
      <c r="R213" s="163"/>
      <c r="S213" s="163"/>
      <c r="T213" s="163" t="s">
        <v>1186</v>
      </c>
      <c r="U213" s="163"/>
      <c r="V213" s="163"/>
    </row>
    <row r="214" spans="1:22" ht="15.75" customHeight="1" x14ac:dyDescent="0.25">
      <c r="A214" s="171" t="s">
        <v>2646</v>
      </c>
      <c r="B214" s="163" t="s">
        <v>13</v>
      </c>
      <c r="C214" s="163" t="s">
        <v>2399</v>
      </c>
      <c r="D214" s="172">
        <v>44603</v>
      </c>
      <c r="E214" s="23" t="s">
        <v>23</v>
      </c>
      <c r="F214" s="206"/>
      <c r="G214" s="206"/>
      <c r="H214" s="163"/>
      <c r="I214" s="163"/>
      <c r="J214" s="164" t="s">
        <v>2403</v>
      </c>
      <c r="K214" s="145"/>
      <c r="L214" s="163">
        <v>80</v>
      </c>
      <c r="M214" s="163"/>
      <c r="N214" s="163"/>
      <c r="O214" s="163"/>
      <c r="P214" s="163"/>
      <c r="Q214" s="163"/>
      <c r="R214" s="163"/>
      <c r="S214" s="163"/>
      <c r="T214" s="163">
        <v>12495</v>
      </c>
      <c r="U214" s="163"/>
      <c r="V214" s="163"/>
    </row>
    <row r="215" spans="1:22" ht="15.75" customHeight="1" x14ac:dyDescent="0.25">
      <c r="A215" s="171" t="s">
        <v>2647</v>
      </c>
      <c r="B215" s="163" t="s">
        <v>13</v>
      </c>
      <c r="C215" s="163" t="s">
        <v>15</v>
      </c>
      <c r="D215" s="172">
        <v>44603</v>
      </c>
      <c r="E215" s="23" t="s">
        <v>23</v>
      </c>
      <c r="F215" s="206"/>
      <c r="G215" s="206"/>
      <c r="H215" s="163"/>
      <c r="I215" s="163"/>
      <c r="J215" s="164" t="s">
        <v>89</v>
      </c>
      <c r="K215" s="145"/>
      <c r="L215" s="163">
        <v>48</v>
      </c>
      <c r="M215" s="163"/>
      <c r="N215" s="163"/>
      <c r="O215" s="163"/>
      <c r="P215" s="163"/>
      <c r="Q215" s="163"/>
      <c r="R215" s="163"/>
      <c r="S215" s="163"/>
      <c r="T215" s="163">
        <v>34992</v>
      </c>
      <c r="U215" s="163"/>
      <c r="V215" s="163"/>
    </row>
    <row r="216" spans="1:22" ht="15.75" customHeight="1" x14ac:dyDescent="0.25">
      <c r="A216" s="171" t="s">
        <v>2655</v>
      </c>
      <c r="B216" s="163" t="s">
        <v>13</v>
      </c>
      <c r="C216" s="163" t="s">
        <v>583</v>
      </c>
      <c r="D216" s="172">
        <v>44606</v>
      </c>
      <c r="E216" s="187" t="s">
        <v>23</v>
      </c>
      <c r="F216" s="187"/>
      <c r="G216" s="187"/>
      <c r="H216" s="163"/>
      <c r="I216" s="163"/>
      <c r="J216" s="164" t="s">
        <v>89</v>
      </c>
      <c r="K216" s="145"/>
      <c r="L216" s="163">
        <v>48</v>
      </c>
      <c r="M216" s="163"/>
      <c r="N216" s="163"/>
      <c r="O216" s="163"/>
      <c r="P216" s="163"/>
      <c r="Q216" s="163"/>
      <c r="R216" s="163"/>
      <c r="S216" s="163"/>
      <c r="T216" s="163">
        <v>34992</v>
      </c>
      <c r="U216" s="163"/>
      <c r="V216" s="163"/>
    </row>
    <row r="217" spans="1:22" ht="15.75" customHeight="1" x14ac:dyDescent="0.25">
      <c r="A217" s="171" t="s">
        <v>2658</v>
      </c>
      <c r="B217" s="163" t="s">
        <v>13</v>
      </c>
      <c r="C217" s="163" t="s">
        <v>30</v>
      </c>
      <c r="D217" s="172">
        <v>44606</v>
      </c>
      <c r="E217" s="187" t="s">
        <v>23</v>
      </c>
      <c r="F217" s="187"/>
      <c r="G217" s="187"/>
      <c r="H217" s="163"/>
      <c r="I217" s="163"/>
      <c r="J217" s="164" t="s">
        <v>215</v>
      </c>
      <c r="K217" s="145"/>
      <c r="L217" s="163">
        <v>4</v>
      </c>
      <c r="M217" s="163"/>
      <c r="N217" s="163"/>
      <c r="O217" s="163"/>
      <c r="P217" s="163"/>
      <c r="Q217" s="163"/>
      <c r="R217" s="163"/>
      <c r="S217" s="163"/>
      <c r="T217" s="163" t="s">
        <v>1421</v>
      </c>
      <c r="U217" s="163"/>
      <c r="V217" s="163"/>
    </row>
    <row r="218" spans="1:22" ht="15.75" customHeight="1" x14ac:dyDescent="0.25">
      <c r="A218" s="171" t="s">
        <v>2658</v>
      </c>
      <c r="B218" s="163" t="s">
        <v>13</v>
      </c>
      <c r="C218" s="163" t="s">
        <v>30</v>
      </c>
      <c r="D218" s="172">
        <v>44606</v>
      </c>
      <c r="E218" s="187" t="s">
        <v>23</v>
      </c>
      <c r="F218" s="187"/>
      <c r="G218" s="187"/>
      <c r="H218" s="163"/>
      <c r="I218" s="163"/>
      <c r="J218" s="164" t="s">
        <v>219</v>
      </c>
      <c r="K218" s="145"/>
      <c r="L218" s="163">
        <v>2</v>
      </c>
      <c r="M218" s="163"/>
      <c r="N218" s="163"/>
      <c r="O218" s="163"/>
      <c r="P218" s="163"/>
      <c r="Q218" s="163"/>
      <c r="R218" s="163"/>
      <c r="S218" s="163"/>
      <c r="T218" s="163" t="s">
        <v>1253</v>
      </c>
      <c r="U218" s="163"/>
      <c r="V218" s="163"/>
    </row>
    <row r="219" spans="1:22" ht="15.75" customHeight="1" x14ac:dyDescent="0.25">
      <c r="A219" s="171" t="s">
        <v>2658</v>
      </c>
      <c r="B219" s="163" t="s">
        <v>13</v>
      </c>
      <c r="C219" s="163" t="s">
        <v>30</v>
      </c>
      <c r="D219" s="172">
        <v>44606</v>
      </c>
      <c r="E219" s="187" t="s">
        <v>23</v>
      </c>
      <c r="F219" s="187"/>
      <c r="G219" s="187"/>
      <c r="H219" s="163"/>
      <c r="I219" s="163"/>
      <c r="J219" s="164" t="s">
        <v>220</v>
      </c>
      <c r="K219" s="145"/>
      <c r="L219" s="163">
        <v>2</v>
      </c>
      <c r="M219" s="163"/>
      <c r="N219" s="163"/>
      <c r="O219" s="163"/>
      <c r="P219" s="163"/>
      <c r="Q219" s="163"/>
      <c r="R219" s="163"/>
      <c r="S219" s="163"/>
      <c r="T219" s="163" t="s">
        <v>183</v>
      </c>
      <c r="U219" s="163"/>
      <c r="V219" s="163"/>
    </row>
    <row r="220" spans="1:22" s="28" customFormat="1" ht="15.75" customHeight="1" x14ac:dyDescent="0.25">
      <c r="A220" s="254">
        <v>77</v>
      </c>
      <c r="B220" s="150" t="s">
        <v>13</v>
      </c>
      <c r="C220" s="150" t="s">
        <v>595</v>
      </c>
      <c r="D220" s="255">
        <v>44606</v>
      </c>
      <c r="E220" s="256" t="s">
        <v>23</v>
      </c>
      <c r="F220" s="256">
        <v>87</v>
      </c>
      <c r="G220" s="256"/>
      <c r="H220" s="150"/>
      <c r="I220" s="150"/>
      <c r="J220" s="257" t="s">
        <v>1824</v>
      </c>
      <c r="K220" s="150">
        <v>522</v>
      </c>
      <c r="L220" s="150">
        <v>87</v>
      </c>
      <c r="M220" s="150">
        <v>0.33660000000000001</v>
      </c>
      <c r="N220" s="150">
        <v>1.2350000000000001</v>
      </c>
      <c r="O220" s="150">
        <v>175.70519999999999</v>
      </c>
      <c r="P220" s="150">
        <v>644.66999999999996</v>
      </c>
      <c r="Q220" s="150">
        <v>22.84</v>
      </c>
      <c r="R220" s="150">
        <v>102.66</v>
      </c>
      <c r="S220" s="150">
        <v>305</v>
      </c>
      <c r="T220" s="150">
        <v>53590.09</v>
      </c>
      <c r="U220" s="150"/>
      <c r="V220" s="150"/>
    </row>
    <row r="221" spans="1:22" ht="15.75" customHeight="1" x14ac:dyDescent="0.25">
      <c r="A221" s="171">
        <v>78</v>
      </c>
      <c r="B221" s="163" t="s">
        <v>13</v>
      </c>
      <c r="C221" s="163" t="s">
        <v>45</v>
      </c>
      <c r="D221" s="172">
        <v>44606</v>
      </c>
      <c r="E221" s="187" t="s">
        <v>23</v>
      </c>
      <c r="F221" s="187"/>
      <c r="G221" s="187">
        <v>11</v>
      </c>
      <c r="H221" s="163"/>
      <c r="I221" s="172">
        <v>44718</v>
      </c>
      <c r="J221" s="164" t="s">
        <v>3059</v>
      </c>
      <c r="K221" s="163">
        <v>66</v>
      </c>
      <c r="L221" s="163">
        <v>11</v>
      </c>
      <c r="M221" s="163">
        <v>0.2382</v>
      </c>
      <c r="N221" s="163">
        <v>0.89100000000000001</v>
      </c>
      <c r="O221" s="163">
        <v>15.7212</v>
      </c>
      <c r="P221" s="163">
        <v>58.805999999999997</v>
      </c>
      <c r="Q221" s="163">
        <v>2.04</v>
      </c>
      <c r="R221" s="163">
        <v>72.650000000000006</v>
      </c>
      <c r="S221" s="163">
        <v>305</v>
      </c>
      <c r="T221" s="163">
        <v>4794.97</v>
      </c>
      <c r="U221" s="163"/>
      <c r="V221" s="163"/>
    </row>
    <row r="222" spans="1:22" s="14" customFormat="1" ht="15.75" customHeight="1" x14ac:dyDescent="0.25">
      <c r="A222" s="147">
        <v>76</v>
      </c>
      <c r="B222" s="145" t="s">
        <v>34</v>
      </c>
      <c r="C222" s="145" t="s">
        <v>79</v>
      </c>
      <c r="D222" s="148">
        <v>44606</v>
      </c>
      <c r="E222" s="23" t="s">
        <v>23</v>
      </c>
      <c r="F222" s="206"/>
      <c r="G222" s="206">
        <v>1344</v>
      </c>
      <c r="H222" s="145"/>
      <c r="I222" s="145"/>
      <c r="J222" s="146" t="s">
        <v>78</v>
      </c>
      <c r="K222" s="145">
        <v>4062</v>
      </c>
      <c r="L222" s="145">
        <v>677</v>
      </c>
      <c r="M222" s="145">
        <v>0.20230000000000001</v>
      </c>
      <c r="N222" s="145">
        <v>0.499</v>
      </c>
      <c r="O222" s="145">
        <v>821.74260000000004</v>
      </c>
      <c r="P222" s="145">
        <v>2026.9380000000001</v>
      </c>
      <c r="Q222" s="145">
        <v>106.83</v>
      </c>
      <c r="R222" s="145">
        <v>62.71</v>
      </c>
      <c r="S222" s="145">
        <v>310</v>
      </c>
      <c r="T222" s="145">
        <v>254740.21</v>
      </c>
      <c r="U222" s="145"/>
      <c r="V222" s="145"/>
    </row>
    <row r="223" spans="1:22" s="14" customFormat="1" ht="15.75" customHeight="1" x14ac:dyDescent="0.25">
      <c r="A223" s="147" t="s">
        <v>2660</v>
      </c>
      <c r="B223" s="145" t="s">
        <v>34</v>
      </c>
      <c r="C223" s="145" t="s">
        <v>16</v>
      </c>
      <c r="D223" s="148">
        <v>44606</v>
      </c>
      <c r="E223" s="187" t="s">
        <v>23</v>
      </c>
      <c r="F223" s="187"/>
      <c r="G223" s="187"/>
      <c r="H223" s="145"/>
      <c r="I223" s="145"/>
      <c r="J223" s="146" t="s">
        <v>2423</v>
      </c>
      <c r="K223" s="145">
        <v>114</v>
      </c>
      <c r="L223" s="145">
        <v>19</v>
      </c>
      <c r="M223" s="145">
        <v>0.29970000000000002</v>
      </c>
      <c r="N223" s="145">
        <v>1.6739999999999999</v>
      </c>
      <c r="O223" s="145">
        <v>34.165799999999997</v>
      </c>
      <c r="P223" s="145">
        <v>190.83600000000001</v>
      </c>
      <c r="Q223" s="145">
        <v>4.4400000000000004</v>
      </c>
      <c r="R223" s="145">
        <v>91.41</v>
      </c>
      <c r="S223" s="145">
        <v>305</v>
      </c>
      <c r="T223" s="145">
        <v>10420.57</v>
      </c>
      <c r="U223" s="145"/>
      <c r="V223" s="145"/>
    </row>
    <row r="224" spans="1:22" s="86" customFormat="1" ht="15.75" customHeight="1" x14ac:dyDescent="0.25">
      <c r="A224" s="178">
        <v>79</v>
      </c>
      <c r="B224" s="179" t="s">
        <v>13</v>
      </c>
      <c r="C224" s="179" t="s">
        <v>663</v>
      </c>
      <c r="D224" s="180">
        <v>44606</v>
      </c>
      <c r="E224" s="195" t="s">
        <v>23</v>
      </c>
      <c r="F224" s="195">
        <v>311</v>
      </c>
      <c r="G224" s="195"/>
      <c r="H224" s="207" t="s">
        <v>3077</v>
      </c>
      <c r="I224" s="180">
        <v>44718</v>
      </c>
      <c r="J224" s="181" t="s">
        <v>3060</v>
      </c>
      <c r="K224" s="179">
        <v>2080</v>
      </c>
      <c r="L224" s="179">
        <v>320</v>
      </c>
      <c r="M224" s="179">
        <v>0.54049999999999998</v>
      </c>
      <c r="N224" s="179">
        <v>2.0979999999999999</v>
      </c>
      <c r="O224" s="179">
        <v>1124.24</v>
      </c>
      <c r="P224" s="179">
        <v>4363.84</v>
      </c>
      <c r="Q224" s="179">
        <v>146.15</v>
      </c>
      <c r="R224" s="179">
        <v>135.13</v>
      </c>
      <c r="S224" s="179">
        <v>250</v>
      </c>
      <c r="T224" s="179">
        <v>281060</v>
      </c>
      <c r="U224" s="179"/>
      <c r="V224" s="179"/>
    </row>
    <row r="225" spans="1:22" ht="15.75" customHeight="1" x14ac:dyDescent="0.25">
      <c r="A225" s="171">
        <v>183</v>
      </c>
      <c r="B225" s="163" t="s">
        <v>13</v>
      </c>
      <c r="C225" s="163" t="s">
        <v>663</v>
      </c>
      <c r="D225" s="172">
        <v>44669</v>
      </c>
      <c r="E225" s="187" t="s">
        <v>23</v>
      </c>
      <c r="F225" s="187"/>
      <c r="G225" s="187">
        <v>32</v>
      </c>
      <c r="H225" s="163"/>
      <c r="I225" s="172">
        <v>44718</v>
      </c>
      <c r="J225" s="164" t="s">
        <v>3061</v>
      </c>
      <c r="K225" s="145">
        <v>192</v>
      </c>
      <c r="L225" s="163">
        <v>32</v>
      </c>
      <c r="M225" s="163">
        <v>0.29759999999999998</v>
      </c>
      <c r="N225" s="163">
        <v>0.67600000000000005</v>
      </c>
      <c r="O225" s="163">
        <v>57.139200000000002</v>
      </c>
      <c r="P225" s="163">
        <v>129.792</v>
      </c>
      <c r="Q225" s="163">
        <v>7.43</v>
      </c>
      <c r="R225" s="163">
        <v>74.400000000000006</v>
      </c>
      <c r="S225" s="163">
        <v>250</v>
      </c>
      <c r="T225" s="163">
        <v>14284.8</v>
      </c>
      <c r="U225" s="163"/>
      <c r="V225" s="163"/>
    </row>
    <row r="226" spans="1:22" s="14" customFormat="1" ht="15.75" customHeight="1" x14ac:dyDescent="0.25">
      <c r="A226" s="147">
        <v>81</v>
      </c>
      <c r="B226" s="145" t="s">
        <v>13</v>
      </c>
      <c r="C226" s="145" t="s">
        <v>2662</v>
      </c>
      <c r="D226" s="148">
        <v>44606</v>
      </c>
      <c r="E226" s="187" t="s">
        <v>23</v>
      </c>
      <c r="F226" s="187"/>
      <c r="G226" s="187">
        <v>234</v>
      </c>
      <c r="H226" s="145"/>
      <c r="I226" s="145"/>
      <c r="J226" s="146" t="s">
        <v>2661</v>
      </c>
      <c r="K226" s="145">
        <v>1416</v>
      </c>
      <c r="L226" s="145">
        <v>236</v>
      </c>
      <c r="M226" s="145">
        <v>0.1462</v>
      </c>
      <c r="N226" s="145">
        <v>0.28499999999999998</v>
      </c>
      <c r="O226" s="145">
        <v>207.01920000000001</v>
      </c>
      <c r="P226" s="145">
        <v>403.56</v>
      </c>
      <c r="Q226" s="145">
        <v>26.91</v>
      </c>
      <c r="R226" s="145">
        <v>44.44</v>
      </c>
      <c r="S226" s="145">
        <v>304</v>
      </c>
      <c r="T226" s="145">
        <v>62933.84</v>
      </c>
      <c r="U226" s="145"/>
      <c r="V226" s="145"/>
    </row>
    <row r="227" spans="1:22" ht="15.75" customHeight="1" x14ac:dyDescent="0.25">
      <c r="A227" s="171">
        <v>85</v>
      </c>
      <c r="B227" s="163" t="s">
        <v>13</v>
      </c>
      <c r="C227" s="163" t="s">
        <v>15</v>
      </c>
      <c r="D227" s="172">
        <v>44608</v>
      </c>
      <c r="E227" s="187" t="s">
        <v>23</v>
      </c>
      <c r="F227" s="187"/>
      <c r="G227" s="187"/>
      <c r="H227" s="163"/>
      <c r="I227" s="163"/>
      <c r="J227" s="164" t="s">
        <v>89</v>
      </c>
      <c r="K227" s="145"/>
      <c r="L227" s="163">
        <v>48</v>
      </c>
      <c r="M227" s="163"/>
      <c r="N227" s="163"/>
      <c r="O227" s="163"/>
      <c r="P227" s="163"/>
      <c r="Q227" s="163"/>
      <c r="R227" s="163"/>
      <c r="S227" s="163"/>
      <c r="T227" s="163">
        <v>34992</v>
      </c>
      <c r="U227" s="163"/>
      <c r="V227" s="163"/>
    </row>
    <row r="228" spans="1:22" ht="15.75" customHeight="1" x14ac:dyDescent="0.25">
      <c r="A228" s="171" t="s">
        <v>2663</v>
      </c>
      <c r="B228" s="163" t="s">
        <v>13</v>
      </c>
      <c r="C228" s="163" t="s">
        <v>2152</v>
      </c>
      <c r="D228" s="172">
        <v>44609</v>
      </c>
      <c r="E228" s="187" t="s">
        <v>23</v>
      </c>
      <c r="F228" s="187"/>
      <c r="G228" s="187"/>
      <c r="H228" s="163" t="s">
        <v>2776</v>
      </c>
      <c r="I228" s="163"/>
      <c r="J228" s="164" t="s">
        <v>890</v>
      </c>
      <c r="K228" s="163">
        <v>840</v>
      </c>
      <c r="L228" s="163">
        <v>140</v>
      </c>
      <c r="M228" s="163"/>
      <c r="N228" s="163"/>
      <c r="O228" s="163"/>
      <c r="P228" s="163"/>
      <c r="Q228" s="163"/>
      <c r="R228" s="163"/>
      <c r="S228" s="163"/>
      <c r="T228" s="163">
        <v>22700</v>
      </c>
      <c r="U228" s="163"/>
      <c r="V228" s="163"/>
    </row>
    <row r="229" spans="1:22" ht="15.75" customHeight="1" x14ac:dyDescent="0.25">
      <c r="A229" s="171" t="s">
        <v>2666</v>
      </c>
      <c r="B229" s="163" t="s">
        <v>13</v>
      </c>
      <c r="C229" s="163" t="s">
        <v>15</v>
      </c>
      <c r="D229" s="172">
        <v>44610</v>
      </c>
      <c r="E229" s="187" t="s">
        <v>23</v>
      </c>
      <c r="F229" s="187"/>
      <c r="G229" s="187"/>
      <c r="H229" s="163"/>
      <c r="I229" s="163"/>
      <c r="J229" s="164" t="s">
        <v>89</v>
      </c>
      <c r="K229" s="145"/>
      <c r="L229" s="163">
        <v>48</v>
      </c>
      <c r="M229" s="163"/>
      <c r="N229" s="163"/>
      <c r="O229" s="163"/>
      <c r="P229" s="163"/>
      <c r="Q229" s="163"/>
      <c r="R229" s="163"/>
      <c r="S229" s="163"/>
      <c r="T229" s="163">
        <v>34992</v>
      </c>
      <c r="U229" s="163"/>
      <c r="V229" s="163"/>
    </row>
    <row r="230" spans="1:22" ht="15.75" customHeight="1" x14ac:dyDescent="0.25">
      <c r="A230" s="171" t="s">
        <v>2667</v>
      </c>
      <c r="B230" s="163" t="s">
        <v>13</v>
      </c>
      <c r="C230" s="163" t="s">
        <v>2399</v>
      </c>
      <c r="D230" s="172">
        <v>44610</v>
      </c>
      <c r="E230" s="187" t="s">
        <v>23</v>
      </c>
      <c r="F230" s="187"/>
      <c r="G230" s="187"/>
      <c r="H230" s="163"/>
      <c r="I230" s="163"/>
      <c r="J230" s="164" t="s">
        <v>2403</v>
      </c>
      <c r="K230" s="145"/>
      <c r="L230" s="163">
        <v>80</v>
      </c>
      <c r="M230" s="163"/>
      <c r="N230" s="163"/>
      <c r="O230" s="163"/>
      <c r="P230" s="163"/>
      <c r="Q230" s="163"/>
      <c r="R230" s="163"/>
      <c r="S230" s="163"/>
      <c r="T230" s="163">
        <v>12495</v>
      </c>
      <c r="U230" s="163"/>
      <c r="V230" s="163"/>
    </row>
    <row r="231" spans="1:22" s="14" customFormat="1" ht="15.75" customHeight="1" x14ac:dyDescent="0.25">
      <c r="A231" s="147" t="s">
        <v>2828</v>
      </c>
      <c r="B231" s="145" t="s">
        <v>34</v>
      </c>
      <c r="C231" s="145" t="s">
        <v>284</v>
      </c>
      <c r="D231" s="148">
        <v>44610</v>
      </c>
      <c r="E231" s="187" t="s">
        <v>23</v>
      </c>
      <c r="F231" s="187"/>
      <c r="G231" s="187"/>
      <c r="H231" s="145"/>
      <c r="I231" s="145"/>
      <c r="J231" s="146" t="s">
        <v>29</v>
      </c>
      <c r="K231" s="145"/>
      <c r="L231" s="145">
        <v>16</v>
      </c>
      <c r="M231" s="145"/>
      <c r="N231" s="145"/>
      <c r="O231" s="145"/>
      <c r="P231" s="145"/>
      <c r="Q231" s="145"/>
      <c r="R231" s="145"/>
      <c r="S231" s="145"/>
      <c r="T231" s="145" t="s">
        <v>2668</v>
      </c>
      <c r="U231" s="145"/>
      <c r="V231" s="145"/>
    </row>
    <row r="232" spans="1:22" s="14" customFormat="1" ht="30.75" customHeight="1" x14ac:dyDescent="0.25">
      <c r="A232" s="147" t="s">
        <v>2669</v>
      </c>
      <c r="B232" s="145" t="s">
        <v>34</v>
      </c>
      <c r="C232" s="145" t="s">
        <v>16</v>
      </c>
      <c r="D232" s="148">
        <v>44610</v>
      </c>
      <c r="E232" s="187" t="s">
        <v>23</v>
      </c>
      <c r="F232" s="187">
        <f>402+384</f>
        <v>786</v>
      </c>
      <c r="G232" s="187"/>
      <c r="H232" s="145" t="s">
        <v>2967</v>
      </c>
      <c r="I232" s="134">
        <v>44683</v>
      </c>
      <c r="J232" s="146" t="s">
        <v>2581</v>
      </c>
      <c r="K232" s="145">
        <v>792</v>
      </c>
      <c r="L232" s="145">
        <v>132</v>
      </c>
      <c r="M232" s="145">
        <v>0.56989999999999996</v>
      </c>
      <c r="N232" s="145">
        <v>1.304</v>
      </c>
      <c r="O232" s="145">
        <v>451.36079999999998</v>
      </c>
      <c r="P232" s="145">
        <v>1032.768</v>
      </c>
      <c r="Q232" s="145">
        <v>58.68</v>
      </c>
      <c r="R232" s="145">
        <v>220.55</v>
      </c>
      <c r="S232" s="145">
        <v>387</v>
      </c>
      <c r="T232" s="145">
        <v>174676.63</v>
      </c>
      <c r="U232" s="145"/>
      <c r="V232" s="145"/>
    </row>
    <row r="233" spans="1:22" s="14" customFormat="1" ht="15.75" customHeight="1" x14ac:dyDescent="0.25">
      <c r="A233" s="147">
        <v>85</v>
      </c>
      <c r="B233" s="145" t="s">
        <v>34</v>
      </c>
      <c r="C233" s="145" t="s">
        <v>861</v>
      </c>
      <c r="D233" s="148">
        <v>44610</v>
      </c>
      <c r="E233" s="187" t="s">
        <v>23</v>
      </c>
      <c r="F233" s="187"/>
      <c r="G233" s="187"/>
      <c r="H233" s="145"/>
      <c r="I233" s="145"/>
      <c r="J233" s="146" t="s">
        <v>2670</v>
      </c>
      <c r="K233" s="145">
        <v>738</v>
      </c>
      <c r="L233" s="145">
        <v>123</v>
      </c>
      <c r="M233" s="145">
        <v>0.4803</v>
      </c>
      <c r="N233" s="145">
        <v>1.3580000000000001</v>
      </c>
      <c r="O233" s="145">
        <v>354.46140000000003</v>
      </c>
      <c r="P233" s="145">
        <v>1002.204</v>
      </c>
      <c r="Q233" s="145">
        <v>46.08</v>
      </c>
      <c r="R233" s="145">
        <v>146.49</v>
      </c>
      <c r="S233" s="145">
        <v>305</v>
      </c>
      <c r="T233" s="145">
        <v>108110.73</v>
      </c>
      <c r="U233" s="145"/>
      <c r="V233" s="145"/>
    </row>
    <row r="234" spans="1:22" s="14" customFormat="1" ht="15.75" customHeight="1" x14ac:dyDescent="0.25">
      <c r="A234" s="141">
        <v>86</v>
      </c>
      <c r="B234" s="142" t="s">
        <v>34</v>
      </c>
      <c r="C234" s="142" t="s">
        <v>19</v>
      </c>
      <c r="D234" s="148">
        <v>44610</v>
      </c>
      <c r="E234" s="194" t="s">
        <v>23</v>
      </c>
      <c r="F234" s="194"/>
      <c r="G234" s="194"/>
      <c r="H234" s="142"/>
      <c r="I234" s="142"/>
      <c r="J234" s="144" t="s">
        <v>2671</v>
      </c>
      <c r="K234" s="142">
        <v>31.5</v>
      </c>
      <c r="L234" s="142">
        <v>15</v>
      </c>
      <c r="M234" s="142">
        <v>0.27529999999999999</v>
      </c>
      <c r="N234" s="142">
        <v>0.626</v>
      </c>
      <c r="O234" s="142">
        <v>8.6720000000000006</v>
      </c>
      <c r="P234" s="142">
        <v>19.719000000000001</v>
      </c>
      <c r="Q234" s="142">
        <v>1.1299999999999999</v>
      </c>
      <c r="R234" s="142">
        <v>83.97</v>
      </c>
      <c r="S234" s="142">
        <v>305</v>
      </c>
      <c r="T234" s="142">
        <v>2644.94</v>
      </c>
      <c r="U234" s="142"/>
      <c r="V234" s="142"/>
    </row>
    <row r="235" spans="1:22" s="14" customFormat="1" ht="15.75" customHeight="1" x14ac:dyDescent="0.25">
      <c r="A235" s="141">
        <v>86</v>
      </c>
      <c r="B235" s="142" t="s">
        <v>34</v>
      </c>
      <c r="C235" s="142" t="s">
        <v>19</v>
      </c>
      <c r="D235" s="148">
        <v>44610</v>
      </c>
      <c r="E235" s="187" t="s">
        <v>23</v>
      </c>
      <c r="F235" s="187"/>
      <c r="G235" s="187"/>
      <c r="H235" s="145"/>
      <c r="I235" s="145"/>
      <c r="J235" s="146" t="s">
        <v>2672</v>
      </c>
      <c r="K235" s="145">
        <v>696.5</v>
      </c>
      <c r="L235" s="145">
        <v>199</v>
      </c>
      <c r="M235" s="145">
        <v>0.27529999999999999</v>
      </c>
      <c r="N235" s="145">
        <v>0.626</v>
      </c>
      <c r="O235" s="145">
        <v>191.7465</v>
      </c>
      <c r="P235" s="145">
        <v>436.00900000000001</v>
      </c>
      <c r="Q235" s="145">
        <v>24.93</v>
      </c>
      <c r="R235" s="145">
        <v>83.97</v>
      </c>
      <c r="S235" s="145">
        <v>305</v>
      </c>
      <c r="T235" s="145">
        <v>58482.67</v>
      </c>
      <c r="U235" s="145"/>
      <c r="V235" s="145"/>
    </row>
    <row r="236" spans="1:22" s="14" customFormat="1" ht="15.75" customHeight="1" x14ac:dyDescent="0.25">
      <c r="A236" s="147">
        <v>87</v>
      </c>
      <c r="B236" s="145" t="s">
        <v>34</v>
      </c>
      <c r="C236" s="145" t="s">
        <v>201</v>
      </c>
      <c r="D236" s="148">
        <v>44613</v>
      </c>
      <c r="E236" s="187" t="s">
        <v>23</v>
      </c>
      <c r="F236" s="187"/>
      <c r="G236" s="187">
        <v>360</v>
      </c>
      <c r="H236" s="145"/>
      <c r="I236" s="145"/>
      <c r="J236" s="146" t="s">
        <v>2202</v>
      </c>
      <c r="K236" s="145">
        <v>360</v>
      </c>
      <c r="L236" s="145">
        <v>60</v>
      </c>
      <c r="M236" s="145">
        <v>0.28760000000000002</v>
      </c>
      <c r="N236" s="145">
        <v>0.76700000000000002</v>
      </c>
      <c r="O236" s="145">
        <v>103.536</v>
      </c>
      <c r="P236" s="145">
        <v>276.12</v>
      </c>
      <c r="Q236" s="145">
        <v>13.46</v>
      </c>
      <c r="R236" s="145">
        <v>87.72</v>
      </c>
      <c r="S236" s="145">
        <v>305</v>
      </c>
      <c r="T236" s="145">
        <v>31578.48</v>
      </c>
      <c r="U236" s="145"/>
      <c r="V236" s="145"/>
    </row>
    <row r="237" spans="1:22" s="14" customFormat="1" ht="15.75" customHeight="1" x14ac:dyDescent="0.25">
      <c r="A237" s="147">
        <v>88</v>
      </c>
      <c r="B237" s="145" t="s">
        <v>34</v>
      </c>
      <c r="C237" s="145" t="s">
        <v>19</v>
      </c>
      <c r="D237" s="148">
        <v>44613</v>
      </c>
      <c r="E237" s="187" t="s">
        <v>677</v>
      </c>
      <c r="F237" s="187"/>
      <c r="G237" s="187"/>
      <c r="H237" s="145"/>
      <c r="I237" s="145"/>
      <c r="J237" s="146" t="s">
        <v>1117</v>
      </c>
      <c r="K237" s="145">
        <v>465.5</v>
      </c>
      <c r="L237" s="145">
        <v>133</v>
      </c>
      <c r="M237" s="145">
        <v>0.27160000000000001</v>
      </c>
      <c r="N237" s="145">
        <v>0.72799999999999998</v>
      </c>
      <c r="O237" s="145">
        <v>126.4298</v>
      </c>
      <c r="P237" s="145">
        <v>338.88400000000001</v>
      </c>
      <c r="Q237" s="145">
        <v>16.440000000000001</v>
      </c>
      <c r="R237" s="145">
        <v>60.3</v>
      </c>
      <c r="S237" s="145">
        <v>222</v>
      </c>
      <c r="T237" s="145">
        <v>28067.42</v>
      </c>
      <c r="U237" s="145"/>
      <c r="V237" s="145"/>
    </row>
    <row r="238" spans="1:22" ht="15.75" customHeight="1" x14ac:dyDescent="0.25">
      <c r="A238" s="171" t="s">
        <v>2677</v>
      </c>
      <c r="B238" s="163" t="s">
        <v>13</v>
      </c>
      <c r="C238" s="163" t="s">
        <v>548</v>
      </c>
      <c r="D238" s="172">
        <v>44613</v>
      </c>
      <c r="E238" s="187" t="s">
        <v>23</v>
      </c>
      <c r="F238" s="187"/>
      <c r="G238" s="187"/>
      <c r="H238" s="163" t="s">
        <v>549</v>
      </c>
      <c r="I238" s="163"/>
      <c r="J238" s="164" t="s">
        <v>2678</v>
      </c>
      <c r="K238" s="163" t="s">
        <v>2683</v>
      </c>
      <c r="L238" s="163">
        <v>114</v>
      </c>
      <c r="M238" s="163"/>
      <c r="N238" s="163"/>
      <c r="O238" s="163"/>
      <c r="P238" s="163"/>
      <c r="Q238" s="163"/>
      <c r="R238" s="163"/>
      <c r="S238" s="163"/>
      <c r="T238" s="163" t="s">
        <v>2686</v>
      </c>
      <c r="U238" s="163"/>
      <c r="V238" s="163"/>
    </row>
    <row r="239" spans="1:22" ht="15.75" customHeight="1" x14ac:dyDescent="0.25">
      <c r="A239" s="167" t="s">
        <v>2677</v>
      </c>
      <c r="B239" s="163" t="s">
        <v>13</v>
      </c>
      <c r="C239" s="163" t="s">
        <v>548</v>
      </c>
      <c r="D239" s="172">
        <v>44613</v>
      </c>
      <c r="E239" s="194" t="s">
        <v>23</v>
      </c>
      <c r="F239" s="194"/>
      <c r="G239" s="194">
        <v>159</v>
      </c>
      <c r="H239" s="162" t="s">
        <v>2787</v>
      </c>
      <c r="I239" s="162"/>
      <c r="J239" s="169" t="s">
        <v>2679</v>
      </c>
      <c r="K239" s="162" t="s">
        <v>2684</v>
      </c>
      <c r="L239" s="162">
        <v>160</v>
      </c>
      <c r="M239" s="162"/>
      <c r="N239" s="162"/>
      <c r="O239" s="162"/>
      <c r="P239" s="162"/>
      <c r="Q239" s="162"/>
      <c r="R239" s="162"/>
      <c r="S239" s="162"/>
      <c r="T239" s="162" t="s">
        <v>2687</v>
      </c>
      <c r="U239" s="162"/>
      <c r="V239" s="162"/>
    </row>
    <row r="240" spans="1:22" ht="15.75" customHeight="1" x14ac:dyDescent="0.25">
      <c r="A240" s="167" t="s">
        <v>2677</v>
      </c>
      <c r="B240" s="163" t="s">
        <v>13</v>
      </c>
      <c r="C240" s="163" t="s">
        <v>548</v>
      </c>
      <c r="D240" s="172">
        <v>44613</v>
      </c>
      <c r="E240" s="194" t="s">
        <v>23</v>
      </c>
      <c r="F240" s="194"/>
      <c r="G240" s="194">
        <v>64</v>
      </c>
      <c r="H240" s="162"/>
      <c r="I240" s="162"/>
      <c r="J240" s="169" t="s">
        <v>2680</v>
      </c>
      <c r="K240" s="162" t="s">
        <v>62</v>
      </c>
      <c r="L240" s="162">
        <v>64</v>
      </c>
      <c r="M240" s="162"/>
      <c r="N240" s="162"/>
      <c r="O240" s="162"/>
      <c r="P240" s="162"/>
      <c r="Q240" s="162"/>
      <c r="R240" s="162"/>
      <c r="S240" s="162"/>
      <c r="T240" s="162" t="s">
        <v>2688</v>
      </c>
      <c r="U240" s="162"/>
      <c r="V240" s="162"/>
    </row>
    <row r="241" spans="1:22" ht="15.75" customHeight="1" x14ac:dyDescent="0.25">
      <c r="A241" s="167" t="s">
        <v>2677</v>
      </c>
      <c r="B241" s="163" t="s">
        <v>13</v>
      </c>
      <c r="C241" s="163" t="s">
        <v>548</v>
      </c>
      <c r="D241" s="172">
        <v>44613</v>
      </c>
      <c r="E241" s="194" t="s">
        <v>23</v>
      </c>
      <c r="F241" s="194"/>
      <c r="G241" s="194">
        <v>88</v>
      </c>
      <c r="H241" s="162" t="s">
        <v>2787</v>
      </c>
      <c r="I241" s="162"/>
      <c r="J241" s="169" t="s">
        <v>2681</v>
      </c>
      <c r="K241" s="162" t="s">
        <v>2685</v>
      </c>
      <c r="L241" s="162">
        <v>92</v>
      </c>
      <c r="M241" s="162"/>
      <c r="N241" s="162"/>
      <c r="O241" s="162"/>
      <c r="P241" s="162"/>
      <c r="Q241" s="162"/>
      <c r="R241" s="162"/>
      <c r="S241" s="162"/>
      <c r="T241" s="162" t="s">
        <v>2689</v>
      </c>
      <c r="U241" s="162"/>
      <c r="V241" s="162"/>
    </row>
    <row r="242" spans="1:22" ht="15.75" customHeight="1" x14ac:dyDescent="0.25">
      <c r="A242" s="171" t="s">
        <v>2677</v>
      </c>
      <c r="B242" s="163" t="s">
        <v>13</v>
      </c>
      <c r="C242" s="163" t="s">
        <v>548</v>
      </c>
      <c r="D242" s="172">
        <v>44613</v>
      </c>
      <c r="E242" s="187" t="s">
        <v>23</v>
      </c>
      <c r="F242" s="187"/>
      <c r="G242" s="187"/>
      <c r="H242" s="163"/>
      <c r="I242" s="163"/>
      <c r="J242" s="164" t="s">
        <v>2682</v>
      </c>
      <c r="K242" s="163" t="s">
        <v>66</v>
      </c>
      <c r="L242" s="163">
        <v>30</v>
      </c>
      <c r="M242" s="163"/>
      <c r="N242" s="163"/>
      <c r="O242" s="163"/>
      <c r="P242" s="163"/>
      <c r="Q242" s="163"/>
      <c r="R242" s="163"/>
      <c r="S242" s="163"/>
      <c r="T242" s="163" t="s">
        <v>2690</v>
      </c>
      <c r="U242" s="163"/>
      <c r="V242" s="163"/>
    </row>
    <row r="243" spans="1:22" ht="15.75" customHeight="1" x14ac:dyDescent="0.25">
      <c r="A243" s="167">
        <v>89</v>
      </c>
      <c r="B243" s="163" t="s">
        <v>13</v>
      </c>
      <c r="C243" s="162" t="s">
        <v>663</v>
      </c>
      <c r="D243" s="172">
        <v>44613</v>
      </c>
      <c r="E243" s="194" t="s">
        <v>23</v>
      </c>
      <c r="F243" s="194"/>
      <c r="G243" s="194"/>
      <c r="H243" s="162"/>
      <c r="I243" s="162"/>
      <c r="J243" s="169" t="s">
        <v>2691</v>
      </c>
      <c r="K243" s="162">
        <v>216</v>
      </c>
      <c r="L243" s="162">
        <v>54</v>
      </c>
      <c r="M243" s="162">
        <v>0.31</v>
      </c>
      <c r="N243" s="162">
        <v>1.2010000000000001</v>
      </c>
      <c r="O243" s="162">
        <v>66.959999999999994</v>
      </c>
      <c r="P243" s="162">
        <v>259.416</v>
      </c>
      <c r="Q243" s="162">
        <v>8.6999999999999993</v>
      </c>
      <c r="R243" s="162">
        <v>77.5</v>
      </c>
      <c r="S243" s="162">
        <v>250</v>
      </c>
      <c r="T243" s="162">
        <v>16740</v>
      </c>
      <c r="U243" s="162"/>
      <c r="V243" s="162"/>
    </row>
    <row r="244" spans="1:22" ht="16.149999999999999" customHeight="1" x14ac:dyDescent="0.25">
      <c r="A244" s="171">
        <v>89</v>
      </c>
      <c r="B244" s="163" t="s">
        <v>13</v>
      </c>
      <c r="C244" s="162" t="s">
        <v>663</v>
      </c>
      <c r="D244" s="172">
        <v>44613</v>
      </c>
      <c r="E244" s="187" t="s">
        <v>23</v>
      </c>
      <c r="F244" s="187"/>
      <c r="G244" s="187"/>
      <c r="H244" s="163"/>
      <c r="I244" s="163"/>
      <c r="J244" s="164" t="s">
        <v>2692</v>
      </c>
      <c r="K244" s="163">
        <v>528</v>
      </c>
      <c r="L244" s="163">
        <v>88</v>
      </c>
      <c r="M244" s="163">
        <v>0.31</v>
      </c>
      <c r="N244" s="163">
        <v>1.2010000000000001</v>
      </c>
      <c r="O244" s="163">
        <v>163.68</v>
      </c>
      <c r="P244" s="163">
        <v>634.12800000000004</v>
      </c>
      <c r="Q244" s="163">
        <v>21.28</v>
      </c>
      <c r="R244" s="163">
        <v>77.5</v>
      </c>
      <c r="S244" s="163">
        <v>250</v>
      </c>
      <c r="T244" s="163">
        <v>40920</v>
      </c>
      <c r="U244" s="163"/>
      <c r="V244" s="163"/>
    </row>
    <row r="245" spans="1:22" ht="15.75" customHeight="1" x14ac:dyDescent="0.25">
      <c r="A245" s="171">
        <v>90</v>
      </c>
      <c r="B245" s="163" t="s">
        <v>13</v>
      </c>
      <c r="C245" s="163" t="s">
        <v>292</v>
      </c>
      <c r="D245" s="172">
        <v>44613</v>
      </c>
      <c r="E245" s="187" t="s">
        <v>23</v>
      </c>
      <c r="F245" s="187"/>
      <c r="G245" s="187">
        <v>80</v>
      </c>
      <c r="H245" s="163"/>
      <c r="I245" s="163"/>
      <c r="J245" s="164" t="s">
        <v>291</v>
      </c>
      <c r="K245" s="163">
        <v>336</v>
      </c>
      <c r="L245" s="163">
        <v>80</v>
      </c>
      <c r="M245" s="163">
        <v>0.3266</v>
      </c>
      <c r="N245" s="163">
        <v>0.84099999999999997</v>
      </c>
      <c r="O245" s="163">
        <v>109.7376</v>
      </c>
      <c r="P245" s="163">
        <v>282.57600000000002</v>
      </c>
      <c r="Q245" s="163">
        <v>14.27</v>
      </c>
      <c r="R245" s="163">
        <v>102.88</v>
      </c>
      <c r="S245" s="163">
        <v>315</v>
      </c>
      <c r="T245" s="163">
        <v>34567.339999999997</v>
      </c>
      <c r="U245" s="163"/>
      <c r="V245" s="163"/>
    </row>
    <row r="246" spans="1:22" ht="16.899999999999999" customHeight="1" x14ac:dyDescent="0.25">
      <c r="A246" s="171">
        <v>91</v>
      </c>
      <c r="B246" s="163" t="s">
        <v>13</v>
      </c>
      <c r="C246" s="163" t="s">
        <v>28</v>
      </c>
      <c r="D246" s="172">
        <v>44613</v>
      </c>
      <c r="E246" s="187" t="s">
        <v>23</v>
      </c>
      <c r="F246" s="187"/>
      <c r="G246" s="187">
        <v>113</v>
      </c>
      <c r="H246" s="163"/>
      <c r="I246" s="172"/>
      <c r="J246" s="175" t="s">
        <v>2608</v>
      </c>
      <c r="K246" s="163">
        <v>678</v>
      </c>
      <c r="L246" s="163">
        <v>113</v>
      </c>
      <c r="M246" s="163">
        <v>0.30719999999999997</v>
      </c>
      <c r="N246" s="163">
        <v>0.69199999999999995</v>
      </c>
      <c r="O246" s="163">
        <v>208.2816</v>
      </c>
      <c r="P246" s="163">
        <v>469.17599999999999</v>
      </c>
      <c r="Q246" s="163">
        <v>27.08</v>
      </c>
      <c r="R246" s="163">
        <v>96.77</v>
      </c>
      <c r="S246" s="163">
        <v>315</v>
      </c>
      <c r="T246" s="163">
        <v>65608.7</v>
      </c>
      <c r="U246" s="163"/>
      <c r="V246" s="163"/>
    </row>
    <row r="247" spans="1:22" s="313" customFormat="1" ht="15.75" customHeight="1" x14ac:dyDescent="0.25">
      <c r="A247" s="238">
        <v>93</v>
      </c>
      <c r="B247" s="204" t="s">
        <v>13</v>
      </c>
      <c r="C247" s="204" t="s">
        <v>32</v>
      </c>
      <c r="D247" s="239">
        <v>44613</v>
      </c>
      <c r="E247" s="240" t="s">
        <v>23</v>
      </c>
      <c r="F247" s="240"/>
      <c r="G247" s="240">
        <v>30</v>
      </c>
      <c r="H247" s="204"/>
      <c r="I247" s="204"/>
      <c r="J247" s="205" t="s">
        <v>2369</v>
      </c>
      <c r="K247" s="208">
        <v>180</v>
      </c>
      <c r="L247" s="204">
        <v>30</v>
      </c>
      <c r="M247" s="204">
        <v>8.4900000000000003E-2</v>
      </c>
      <c r="N247" s="204">
        <v>0.13700000000000001</v>
      </c>
      <c r="O247" s="204">
        <v>15.282</v>
      </c>
      <c r="P247" s="204">
        <v>24.66</v>
      </c>
      <c r="Q247" s="204">
        <v>1.99</v>
      </c>
      <c r="R247" s="204">
        <v>16.73</v>
      </c>
      <c r="S247" s="204">
        <v>197</v>
      </c>
      <c r="T247" s="204">
        <v>3010.55</v>
      </c>
      <c r="U247" s="204"/>
      <c r="V247" s="204"/>
    </row>
    <row r="248" spans="1:22" ht="15.75" customHeight="1" x14ac:dyDescent="0.25">
      <c r="A248" s="171">
        <v>94</v>
      </c>
      <c r="B248" s="163" t="s">
        <v>13</v>
      </c>
      <c r="C248" s="163" t="s">
        <v>32</v>
      </c>
      <c r="D248" s="172">
        <v>44613</v>
      </c>
      <c r="E248" s="187" t="s">
        <v>23</v>
      </c>
      <c r="F248" s="187">
        <v>96</v>
      </c>
      <c r="G248" s="187"/>
      <c r="H248" s="163"/>
      <c r="I248" s="163"/>
      <c r="J248" s="164" t="s">
        <v>2841</v>
      </c>
      <c r="K248" s="179">
        <v>465.6</v>
      </c>
      <c r="L248" s="163">
        <v>96</v>
      </c>
      <c r="M248" s="163">
        <v>9.5600000000000004E-2</v>
      </c>
      <c r="N248" s="163">
        <v>0.16</v>
      </c>
      <c r="O248" s="163">
        <v>44.511400000000002</v>
      </c>
      <c r="P248" s="163">
        <v>74.495999999999995</v>
      </c>
      <c r="Q248" s="163">
        <v>5.79</v>
      </c>
      <c r="R248" s="163">
        <v>24.47</v>
      </c>
      <c r="S248" s="163">
        <v>256</v>
      </c>
      <c r="T248" s="163">
        <v>11394.91</v>
      </c>
      <c r="U248" s="163"/>
      <c r="V248" s="163"/>
    </row>
    <row r="249" spans="1:22" ht="15.75" customHeight="1" x14ac:dyDescent="0.25">
      <c r="A249" s="171">
        <v>94</v>
      </c>
      <c r="B249" s="163" t="s">
        <v>13</v>
      </c>
      <c r="C249" s="163" t="s">
        <v>32</v>
      </c>
      <c r="D249" s="172">
        <v>44613</v>
      </c>
      <c r="E249" s="194" t="s">
        <v>23</v>
      </c>
      <c r="F249" s="187"/>
      <c r="G249" s="187">
        <v>45</v>
      </c>
      <c r="H249" s="162" t="s">
        <v>2901</v>
      </c>
      <c r="I249" s="162"/>
      <c r="J249" s="169" t="s">
        <v>2773</v>
      </c>
      <c r="K249" s="162">
        <v>259.7</v>
      </c>
      <c r="L249" s="162">
        <v>49</v>
      </c>
      <c r="M249" s="162">
        <v>0.2651</v>
      </c>
      <c r="N249" s="162">
        <v>0.82099999999999995</v>
      </c>
      <c r="O249" s="162">
        <v>68.846500000000006</v>
      </c>
      <c r="P249" s="162">
        <v>213.21369999999999</v>
      </c>
      <c r="Q249" s="162">
        <v>8.9499999999999993</v>
      </c>
      <c r="R249" s="162">
        <v>67.87</v>
      </c>
      <c r="S249" s="162">
        <v>256</v>
      </c>
      <c r="T249" s="162">
        <v>17625.84</v>
      </c>
      <c r="U249" s="162"/>
      <c r="V249" s="162"/>
    </row>
    <row r="250" spans="1:22" ht="15.75" customHeight="1" x14ac:dyDescent="0.25">
      <c r="A250" s="171">
        <v>94</v>
      </c>
      <c r="B250" s="163" t="s">
        <v>13</v>
      </c>
      <c r="C250" s="163" t="s">
        <v>32</v>
      </c>
      <c r="D250" s="172">
        <v>44613</v>
      </c>
      <c r="E250" s="187" t="s">
        <v>23</v>
      </c>
      <c r="F250" s="187"/>
      <c r="G250" s="187"/>
      <c r="H250" s="163" t="s">
        <v>2900</v>
      </c>
      <c r="I250" s="163"/>
      <c r="J250" s="164" t="s">
        <v>2773</v>
      </c>
      <c r="K250" s="163">
        <v>837.4</v>
      </c>
      <c r="L250" s="163">
        <v>158</v>
      </c>
      <c r="M250" s="163">
        <v>0.2651</v>
      </c>
      <c r="N250" s="163">
        <v>0.82099999999999995</v>
      </c>
      <c r="O250" s="163">
        <v>221.99469999999999</v>
      </c>
      <c r="P250" s="163">
        <v>687.50540000000001</v>
      </c>
      <c r="Q250" s="163">
        <v>28.86</v>
      </c>
      <c r="R250" s="163">
        <v>64.42</v>
      </c>
      <c r="S250" s="163">
        <v>243</v>
      </c>
      <c r="T250" s="163">
        <v>53945.31</v>
      </c>
      <c r="U250" s="163"/>
      <c r="V250" s="163"/>
    </row>
    <row r="251" spans="1:22" ht="15.75" customHeight="1" x14ac:dyDescent="0.25">
      <c r="A251" s="171" t="s">
        <v>2693</v>
      </c>
      <c r="B251" s="163" t="s">
        <v>13</v>
      </c>
      <c r="C251" s="163" t="s">
        <v>37</v>
      </c>
      <c r="D251" s="172">
        <v>44617</v>
      </c>
      <c r="E251" s="187" t="s">
        <v>23</v>
      </c>
      <c r="F251" s="187"/>
      <c r="G251" s="187"/>
      <c r="H251" s="163"/>
      <c r="I251" s="163"/>
      <c r="J251" s="164" t="s">
        <v>505</v>
      </c>
      <c r="K251" s="163">
        <v>24</v>
      </c>
      <c r="L251" s="163"/>
      <c r="M251" s="163"/>
      <c r="N251" s="163"/>
      <c r="O251" s="163"/>
      <c r="P251" s="163"/>
      <c r="Q251" s="163"/>
      <c r="R251" s="163"/>
      <c r="S251" s="163"/>
      <c r="T251" s="163">
        <v>36000</v>
      </c>
      <c r="U251" s="163"/>
      <c r="V251" s="163"/>
    </row>
    <row r="252" spans="1:22" ht="15.75" customHeight="1" x14ac:dyDescent="0.25">
      <c r="A252" s="167" t="s">
        <v>2694</v>
      </c>
      <c r="B252" s="163" t="s">
        <v>13</v>
      </c>
      <c r="C252" s="162" t="s">
        <v>289</v>
      </c>
      <c r="D252" s="168">
        <v>44617</v>
      </c>
      <c r="E252" s="194" t="s">
        <v>23</v>
      </c>
      <c r="F252" s="194"/>
      <c r="G252" s="194"/>
      <c r="H252" s="162"/>
      <c r="I252" s="162"/>
      <c r="J252" s="169" t="s">
        <v>177</v>
      </c>
      <c r="K252" s="162"/>
      <c r="L252" s="162">
        <v>1</v>
      </c>
      <c r="M252" s="162"/>
      <c r="N252" s="162"/>
      <c r="O252" s="162"/>
      <c r="P252" s="162"/>
      <c r="Q252" s="162"/>
      <c r="R252" s="162"/>
      <c r="S252" s="162"/>
      <c r="T252" s="162" t="s">
        <v>2695</v>
      </c>
      <c r="U252" s="162"/>
      <c r="V252" s="162"/>
    </row>
    <row r="253" spans="1:22" ht="15.75" customHeight="1" x14ac:dyDescent="0.25">
      <c r="A253" s="167" t="s">
        <v>2694</v>
      </c>
      <c r="B253" s="163" t="s">
        <v>13</v>
      </c>
      <c r="C253" s="162" t="s">
        <v>289</v>
      </c>
      <c r="D253" s="168">
        <v>44617</v>
      </c>
      <c r="E253" s="194" t="s">
        <v>23</v>
      </c>
      <c r="F253" s="194"/>
      <c r="G253" s="194"/>
      <c r="H253" s="162"/>
      <c r="I253" s="162"/>
      <c r="J253" s="169" t="s">
        <v>290</v>
      </c>
      <c r="K253" s="162"/>
      <c r="L253" s="162">
        <v>1</v>
      </c>
      <c r="M253" s="162"/>
      <c r="N253" s="162"/>
      <c r="O253" s="162"/>
      <c r="P253" s="162"/>
      <c r="Q253" s="162"/>
      <c r="R253" s="162"/>
      <c r="S253" s="162"/>
      <c r="T253" s="162" t="s">
        <v>495</v>
      </c>
      <c r="U253" s="162"/>
      <c r="V253" s="162"/>
    </row>
    <row r="254" spans="1:22" ht="15.75" customHeight="1" x14ac:dyDescent="0.25">
      <c r="A254" s="167" t="s">
        <v>2694</v>
      </c>
      <c r="B254" s="163" t="s">
        <v>13</v>
      </c>
      <c r="C254" s="162" t="s">
        <v>289</v>
      </c>
      <c r="D254" s="168">
        <v>44617</v>
      </c>
      <c r="E254" s="194" t="s">
        <v>23</v>
      </c>
      <c r="F254" s="194"/>
      <c r="G254" s="194"/>
      <c r="H254" s="162"/>
      <c r="I254" s="162"/>
      <c r="J254" s="169" t="s">
        <v>241</v>
      </c>
      <c r="K254" s="162"/>
      <c r="L254" s="162">
        <v>1</v>
      </c>
      <c r="M254" s="162"/>
      <c r="N254" s="162"/>
      <c r="O254" s="162"/>
      <c r="P254" s="162"/>
      <c r="Q254" s="162"/>
      <c r="R254" s="162"/>
      <c r="S254" s="162"/>
      <c r="T254" s="162" t="s">
        <v>494</v>
      </c>
      <c r="U254" s="162"/>
      <c r="V254" s="162"/>
    </row>
    <row r="255" spans="1:22" s="71" customFormat="1" ht="15.75" customHeight="1" x14ac:dyDescent="0.25">
      <c r="A255" s="212" t="s">
        <v>2697</v>
      </c>
      <c r="B255" s="213" t="s">
        <v>13</v>
      </c>
      <c r="C255" s="213" t="s">
        <v>2696</v>
      </c>
      <c r="D255" s="214">
        <v>44617</v>
      </c>
      <c r="E255" s="215" t="s">
        <v>677</v>
      </c>
      <c r="F255" s="215"/>
      <c r="G255" s="215"/>
      <c r="H255" s="213"/>
      <c r="I255" s="213"/>
      <c r="J255" s="216" t="s">
        <v>2698</v>
      </c>
      <c r="K255" s="213"/>
      <c r="L255" s="213">
        <v>2</v>
      </c>
      <c r="M255" s="213"/>
      <c r="N255" s="213"/>
      <c r="O255" s="213"/>
      <c r="P255" s="213"/>
      <c r="Q255" s="213"/>
      <c r="R255" s="213"/>
      <c r="S255" s="213"/>
      <c r="T255" s="213" t="s">
        <v>2700</v>
      </c>
      <c r="U255" s="213"/>
      <c r="V255" s="213"/>
    </row>
    <row r="256" spans="1:22" s="71" customFormat="1" ht="15.75" customHeight="1" x14ac:dyDescent="0.25">
      <c r="A256" s="212" t="s">
        <v>2697</v>
      </c>
      <c r="B256" s="213" t="s">
        <v>13</v>
      </c>
      <c r="C256" s="213" t="s">
        <v>2696</v>
      </c>
      <c r="D256" s="214">
        <v>44617</v>
      </c>
      <c r="E256" s="215" t="s">
        <v>677</v>
      </c>
      <c r="F256" s="215"/>
      <c r="G256" s="215"/>
      <c r="H256" s="213"/>
      <c r="I256" s="213"/>
      <c r="J256" s="216" t="s">
        <v>2699</v>
      </c>
      <c r="K256" s="213"/>
      <c r="L256" s="213">
        <v>97</v>
      </c>
      <c r="M256" s="213"/>
      <c r="N256" s="213"/>
      <c r="O256" s="213"/>
      <c r="P256" s="213"/>
      <c r="Q256" s="213"/>
      <c r="R256" s="213"/>
      <c r="S256" s="213"/>
      <c r="T256" s="213" t="s">
        <v>2701</v>
      </c>
      <c r="U256" s="213"/>
      <c r="V256" s="213"/>
    </row>
    <row r="257" spans="1:22" ht="15.75" customHeight="1" x14ac:dyDescent="0.25">
      <c r="A257" s="171" t="s">
        <v>2702</v>
      </c>
      <c r="B257" s="163" t="s">
        <v>13</v>
      </c>
      <c r="C257" s="163" t="s">
        <v>27</v>
      </c>
      <c r="D257" s="172">
        <v>44617</v>
      </c>
      <c r="E257" s="187" t="s">
        <v>23</v>
      </c>
      <c r="F257" s="187"/>
      <c r="G257" s="187"/>
      <c r="H257" s="163"/>
      <c r="I257" s="163"/>
      <c r="J257" s="164" t="s">
        <v>1663</v>
      </c>
      <c r="K257" s="163" t="s">
        <v>2704</v>
      </c>
      <c r="L257" s="163"/>
      <c r="M257" s="163"/>
      <c r="N257" s="163"/>
      <c r="O257" s="163"/>
      <c r="P257" s="163"/>
      <c r="Q257" s="163"/>
      <c r="R257" s="163"/>
      <c r="S257" s="163"/>
      <c r="T257" s="163" t="s">
        <v>2706</v>
      </c>
      <c r="U257" s="163"/>
      <c r="V257" s="163"/>
    </row>
    <row r="258" spans="1:22" ht="15.75" customHeight="1" x14ac:dyDescent="0.25">
      <c r="A258" s="171" t="s">
        <v>2702</v>
      </c>
      <c r="B258" s="163" t="s">
        <v>13</v>
      </c>
      <c r="C258" s="163" t="s">
        <v>27</v>
      </c>
      <c r="D258" s="172">
        <v>44617</v>
      </c>
      <c r="E258" s="187" t="s">
        <v>23</v>
      </c>
      <c r="F258" s="187"/>
      <c r="G258" s="187"/>
      <c r="H258" s="163"/>
      <c r="I258" s="163"/>
      <c r="J258" s="164" t="s">
        <v>2703</v>
      </c>
      <c r="K258" s="163" t="s">
        <v>2705</v>
      </c>
      <c r="L258" s="163"/>
      <c r="M258" s="163"/>
      <c r="N258" s="163"/>
      <c r="O258" s="163"/>
      <c r="P258" s="163"/>
      <c r="Q258" s="163"/>
      <c r="R258" s="163"/>
      <c r="S258" s="163"/>
      <c r="T258" s="163" t="s">
        <v>2706</v>
      </c>
      <c r="U258" s="163"/>
      <c r="V258" s="163"/>
    </row>
    <row r="259" spans="1:22" ht="15.75" customHeight="1" x14ac:dyDescent="0.25">
      <c r="A259" s="171" t="s">
        <v>2702</v>
      </c>
      <c r="B259" s="163" t="s">
        <v>13</v>
      </c>
      <c r="C259" s="163" t="s">
        <v>27</v>
      </c>
      <c r="D259" s="172">
        <v>44617</v>
      </c>
      <c r="E259" s="187" t="s">
        <v>23</v>
      </c>
      <c r="F259" s="187"/>
      <c r="G259" s="187"/>
      <c r="H259" s="163"/>
      <c r="I259" s="163"/>
      <c r="J259" s="164" t="s">
        <v>668</v>
      </c>
      <c r="K259" s="163" t="s">
        <v>26</v>
      </c>
      <c r="L259" s="163"/>
      <c r="M259" s="163"/>
      <c r="N259" s="163"/>
      <c r="O259" s="163"/>
      <c r="P259" s="163"/>
      <c r="Q259" s="163"/>
      <c r="R259" s="163"/>
      <c r="S259" s="163"/>
      <c r="T259" s="163" t="s">
        <v>2707</v>
      </c>
      <c r="U259" s="163"/>
      <c r="V259" s="163"/>
    </row>
    <row r="260" spans="1:22" ht="15.75" customHeight="1" x14ac:dyDescent="0.25">
      <c r="A260" s="171" t="s">
        <v>2708</v>
      </c>
      <c r="B260" s="163" t="s">
        <v>13</v>
      </c>
      <c r="C260" s="163" t="s">
        <v>2399</v>
      </c>
      <c r="D260" s="172">
        <v>44617</v>
      </c>
      <c r="E260" s="187" t="s">
        <v>23</v>
      </c>
      <c r="F260" s="187"/>
      <c r="G260" s="187"/>
      <c r="H260" s="163"/>
      <c r="I260" s="163"/>
      <c r="J260" s="164" t="s">
        <v>2709</v>
      </c>
      <c r="K260" s="179"/>
      <c r="L260" s="163">
        <v>20</v>
      </c>
      <c r="M260" s="163"/>
      <c r="N260" s="163"/>
      <c r="O260" s="163"/>
      <c r="P260" s="163"/>
      <c r="Q260" s="163"/>
      <c r="R260" s="163"/>
      <c r="S260" s="163"/>
      <c r="T260" s="163" t="s">
        <v>2712</v>
      </c>
      <c r="U260" s="163"/>
      <c r="V260" s="163"/>
    </row>
    <row r="261" spans="1:22" ht="15.75" customHeight="1" x14ac:dyDescent="0.25">
      <c r="A261" s="171" t="s">
        <v>2708</v>
      </c>
      <c r="B261" s="163" t="s">
        <v>13</v>
      </c>
      <c r="C261" s="163" t="s">
        <v>2399</v>
      </c>
      <c r="D261" s="172">
        <v>44617</v>
      </c>
      <c r="E261" s="187" t="s">
        <v>23</v>
      </c>
      <c r="F261" s="187"/>
      <c r="G261" s="187"/>
      <c r="H261" s="163"/>
      <c r="I261" s="163"/>
      <c r="J261" s="164" t="s">
        <v>2710</v>
      </c>
      <c r="K261" s="179"/>
      <c r="L261" s="163">
        <v>12</v>
      </c>
      <c r="M261" s="163"/>
      <c r="N261" s="163"/>
      <c r="O261" s="163"/>
      <c r="P261" s="163"/>
      <c r="Q261" s="163"/>
      <c r="R261" s="163"/>
      <c r="S261" s="163"/>
      <c r="T261" s="163" t="s">
        <v>2713</v>
      </c>
      <c r="U261" s="163"/>
      <c r="V261" s="163"/>
    </row>
    <row r="262" spans="1:22" ht="15.75" customHeight="1" x14ac:dyDescent="0.25">
      <c r="A262" s="171" t="s">
        <v>2708</v>
      </c>
      <c r="B262" s="163" t="s">
        <v>13</v>
      </c>
      <c r="C262" s="163" t="s">
        <v>2399</v>
      </c>
      <c r="D262" s="172">
        <v>44617</v>
      </c>
      <c r="E262" s="187" t="s">
        <v>23</v>
      </c>
      <c r="F262" s="187"/>
      <c r="G262" s="187"/>
      <c r="H262" s="163"/>
      <c r="I262" s="163"/>
      <c r="J262" s="164" t="s">
        <v>2711</v>
      </c>
      <c r="K262" s="179"/>
      <c r="L262" s="163">
        <v>280</v>
      </c>
      <c r="M262" s="163"/>
      <c r="N262" s="163"/>
      <c r="O262" s="163"/>
      <c r="P262" s="163"/>
      <c r="Q262" s="163"/>
      <c r="R262" s="163"/>
      <c r="S262" s="163"/>
      <c r="T262" s="163" t="s">
        <v>2714</v>
      </c>
      <c r="U262" s="163"/>
      <c r="V262" s="163"/>
    </row>
    <row r="263" spans="1:22" ht="15.75" customHeight="1" x14ac:dyDescent="0.25">
      <c r="A263" s="167" t="s">
        <v>2715</v>
      </c>
      <c r="B263" s="163" t="s">
        <v>13</v>
      </c>
      <c r="C263" s="162" t="s">
        <v>30</v>
      </c>
      <c r="D263" s="172">
        <v>44617</v>
      </c>
      <c r="E263" s="194" t="s">
        <v>23</v>
      </c>
      <c r="F263" s="194"/>
      <c r="G263" s="194"/>
      <c r="H263" s="162"/>
      <c r="I263" s="162"/>
      <c r="J263" s="169" t="s">
        <v>99</v>
      </c>
      <c r="K263" s="149"/>
      <c r="L263" s="162">
        <v>96</v>
      </c>
      <c r="M263" s="162"/>
      <c r="N263" s="162"/>
      <c r="O263" s="162"/>
      <c r="P263" s="162"/>
      <c r="Q263" s="162"/>
      <c r="R263" s="162"/>
      <c r="S263" s="162"/>
      <c r="T263" s="162" t="s">
        <v>2716</v>
      </c>
      <c r="U263" s="162"/>
      <c r="V263" s="162"/>
    </row>
    <row r="264" spans="1:22" ht="15.75" customHeight="1" x14ac:dyDescent="0.25">
      <c r="A264" s="167" t="s">
        <v>2715</v>
      </c>
      <c r="B264" s="163" t="s">
        <v>13</v>
      </c>
      <c r="C264" s="162" t="s">
        <v>30</v>
      </c>
      <c r="D264" s="172">
        <v>44617</v>
      </c>
      <c r="E264" s="194" t="s">
        <v>23</v>
      </c>
      <c r="F264" s="194"/>
      <c r="G264" s="194"/>
      <c r="H264" s="162"/>
      <c r="I264" s="162"/>
      <c r="J264" s="169" t="s">
        <v>102</v>
      </c>
      <c r="K264" s="149"/>
      <c r="L264" s="162">
        <v>96</v>
      </c>
      <c r="M264" s="162"/>
      <c r="N264" s="162"/>
      <c r="O264" s="162"/>
      <c r="P264" s="162"/>
      <c r="Q264" s="162"/>
      <c r="R264" s="162"/>
      <c r="S264" s="162"/>
      <c r="T264" s="162" t="s">
        <v>2716</v>
      </c>
      <c r="U264" s="162"/>
      <c r="V264" s="162"/>
    </row>
    <row r="265" spans="1:22" ht="15.75" customHeight="1" x14ac:dyDescent="0.25">
      <c r="A265" s="167" t="s">
        <v>2715</v>
      </c>
      <c r="B265" s="163" t="s">
        <v>13</v>
      </c>
      <c r="C265" s="162" t="s">
        <v>30</v>
      </c>
      <c r="D265" s="172">
        <v>44617</v>
      </c>
      <c r="E265" s="194" t="s">
        <v>23</v>
      </c>
      <c r="F265" s="194"/>
      <c r="G265" s="194"/>
      <c r="H265" s="162"/>
      <c r="I265" s="162"/>
      <c r="J265" s="169" t="s">
        <v>95</v>
      </c>
      <c r="K265" s="149"/>
      <c r="L265" s="162">
        <v>10</v>
      </c>
      <c r="M265" s="162"/>
      <c r="N265" s="162"/>
      <c r="O265" s="162"/>
      <c r="P265" s="162"/>
      <c r="Q265" s="162"/>
      <c r="R265" s="162"/>
      <c r="S265" s="162"/>
      <c r="T265" s="162" t="s">
        <v>2717</v>
      </c>
      <c r="U265" s="162"/>
      <c r="V265" s="162"/>
    </row>
    <row r="266" spans="1:22" ht="15.75" customHeight="1" x14ac:dyDescent="0.25">
      <c r="A266" s="167" t="s">
        <v>2715</v>
      </c>
      <c r="B266" s="163" t="s">
        <v>13</v>
      </c>
      <c r="C266" s="162" t="s">
        <v>30</v>
      </c>
      <c r="D266" s="172">
        <v>44617</v>
      </c>
      <c r="E266" s="194" t="s">
        <v>23</v>
      </c>
      <c r="F266" s="194"/>
      <c r="G266" s="194"/>
      <c r="H266" s="162"/>
      <c r="I266" s="162"/>
      <c r="J266" s="169" t="s">
        <v>98</v>
      </c>
      <c r="K266" s="149"/>
      <c r="L266" s="162">
        <v>10</v>
      </c>
      <c r="M266" s="162"/>
      <c r="N266" s="162"/>
      <c r="O266" s="162"/>
      <c r="P266" s="162"/>
      <c r="Q266" s="162"/>
      <c r="R266" s="162"/>
      <c r="S266" s="162"/>
      <c r="T266" s="162" t="s">
        <v>2717</v>
      </c>
      <c r="U266" s="162"/>
      <c r="V266" s="162"/>
    </row>
    <row r="267" spans="1:22" ht="15.75" customHeight="1" x14ac:dyDescent="0.25">
      <c r="A267" s="167" t="s">
        <v>2715</v>
      </c>
      <c r="B267" s="163" t="s">
        <v>13</v>
      </c>
      <c r="C267" s="162" t="s">
        <v>30</v>
      </c>
      <c r="D267" s="172">
        <v>44617</v>
      </c>
      <c r="E267" s="194" t="s">
        <v>23</v>
      </c>
      <c r="F267" s="194"/>
      <c r="G267" s="194"/>
      <c r="H267" s="162"/>
      <c r="I267" s="162"/>
      <c r="J267" s="169" t="s">
        <v>92</v>
      </c>
      <c r="K267" s="149"/>
      <c r="L267" s="162">
        <v>38</v>
      </c>
      <c r="M267" s="162"/>
      <c r="N267" s="162"/>
      <c r="O267" s="162"/>
      <c r="P267" s="162"/>
      <c r="Q267" s="162"/>
      <c r="R267" s="162"/>
      <c r="S267" s="162"/>
      <c r="T267" s="162" t="s">
        <v>2718</v>
      </c>
      <c r="U267" s="162"/>
      <c r="V267" s="162"/>
    </row>
    <row r="268" spans="1:22" ht="15.75" customHeight="1" x14ac:dyDescent="0.25">
      <c r="A268" s="167" t="s">
        <v>2715</v>
      </c>
      <c r="B268" s="163" t="s">
        <v>13</v>
      </c>
      <c r="C268" s="162" t="s">
        <v>30</v>
      </c>
      <c r="D268" s="172">
        <v>44617</v>
      </c>
      <c r="E268" s="194" t="s">
        <v>23</v>
      </c>
      <c r="F268" s="187"/>
      <c r="G268" s="187"/>
      <c r="H268" s="163"/>
      <c r="I268" s="163"/>
      <c r="J268" s="164" t="s">
        <v>94</v>
      </c>
      <c r="K268" s="150"/>
      <c r="L268" s="163">
        <v>38</v>
      </c>
      <c r="M268" s="163"/>
      <c r="N268" s="163"/>
      <c r="O268" s="163"/>
      <c r="P268" s="163"/>
      <c r="Q268" s="163"/>
      <c r="R268" s="163"/>
      <c r="S268" s="163"/>
      <c r="T268" s="163" t="s">
        <v>2718</v>
      </c>
      <c r="U268" s="163"/>
      <c r="V268" s="163"/>
    </row>
    <row r="269" spans="1:22" s="14" customFormat="1" ht="15.75" customHeight="1" x14ac:dyDescent="0.25">
      <c r="A269" s="147">
        <v>100</v>
      </c>
      <c r="B269" s="145" t="s">
        <v>34</v>
      </c>
      <c r="C269" s="145" t="s">
        <v>201</v>
      </c>
      <c r="D269" s="148">
        <v>44621</v>
      </c>
      <c r="E269" s="187" t="s">
        <v>23</v>
      </c>
      <c r="F269" s="187"/>
      <c r="G269" s="187"/>
      <c r="H269" s="145"/>
      <c r="I269" s="145"/>
      <c r="J269" s="146" t="s">
        <v>2719</v>
      </c>
      <c r="K269" s="145">
        <v>168</v>
      </c>
      <c r="L269" s="145">
        <v>28</v>
      </c>
      <c r="M269" s="145">
        <v>0.68820000000000003</v>
      </c>
      <c r="N269" s="145">
        <v>3.2480000000000002</v>
      </c>
      <c r="O269" s="145">
        <v>115.6176</v>
      </c>
      <c r="P269" s="145">
        <v>545.66399999999999</v>
      </c>
      <c r="Q269" s="145">
        <v>15.03</v>
      </c>
      <c r="R269" s="145">
        <v>209.9</v>
      </c>
      <c r="S269" s="145">
        <v>305</v>
      </c>
      <c r="T269" s="145">
        <v>35263.370000000003</v>
      </c>
      <c r="U269" s="145"/>
      <c r="V269" s="145"/>
    </row>
    <row r="270" spans="1:22" ht="15.75" customHeight="1" x14ac:dyDescent="0.25">
      <c r="A270" s="171">
        <v>101</v>
      </c>
      <c r="B270" s="163" t="s">
        <v>13</v>
      </c>
      <c r="C270" s="163" t="s">
        <v>32</v>
      </c>
      <c r="D270" s="172">
        <v>44621</v>
      </c>
      <c r="E270" s="187" t="s">
        <v>23</v>
      </c>
      <c r="F270" s="187">
        <v>3392</v>
      </c>
      <c r="G270" s="187">
        <v>62</v>
      </c>
      <c r="H270" s="163" t="s">
        <v>3055</v>
      </c>
      <c r="I270" s="172">
        <v>44687</v>
      </c>
      <c r="J270" s="164" t="s">
        <v>2024</v>
      </c>
      <c r="K270" s="163">
        <v>16824.650000000001</v>
      </c>
      <c r="L270" s="163">
        <v>3469</v>
      </c>
      <c r="M270" s="163">
        <v>9.5600000000000004E-2</v>
      </c>
      <c r="N270" s="163">
        <v>0.16</v>
      </c>
      <c r="O270" s="163">
        <v>1608.4365</v>
      </c>
      <c r="P270" s="163">
        <v>2691.944</v>
      </c>
      <c r="Q270" s="163">
        <v>209.1</v>
      </c>
      <c r="R270" s="163">
        <v>24.47</v>
      </c>
      <c r="S270" s="163">
        <v>256</v>
      </c>
      <c r="T270" s="163">
        <v>411759.75</v>
      </c>
      <c r="U270" s="163"/>
      <c r="V270" s="163"/>
    </row>
    <row r="271" spans="1:22" ht="15.75" customHeight="1" x14ac:dyDescent="0.25">
      <c r="A271" s="171" t="s">
        <v>2720</v>
      </c>
      <c r="B271" s="163" t="s">
        <v>13</v>
      </c>
      <c r="C271" s="163" t="s">
        <v>295</v>
      </c>
      <c r="D271" s="172">
        <v>44621</v>
      </c>
      <c r="E271" s="187" t="s">
        <v>23</v>
      </c>
      <c r="F271" s="187"/>
      <c r="G271" s="187"/>
      <c r="H271" s="163"/>
      <c r="I271" s="163"/>
      <c r="J271" s="164" t="s">
        <v>2721</v>
      </c>
      <c r="K271" s="150"/>
      <c r="L271" s="163">
        <v>46</v>
      </c>
      <c r="M271" s="163"/>
      <c r="N271" s="163"/>
      <c r="O271" s="163"/>
      <c r="P271" s="163"/>
      <c r="Q271" s="163"/>
      <c r="R271" s="163"/>
      <c r="S271" s="163"/>
      <c r="T271" s="163">
        <v>18900</v>
      </c>
      <c r="U271" s="163"/>
      <c r="V271" s="163"/>
    </row>
    <row r="272" spans="1:22" ht="30.75" customHeight="1" x14ac:dyDescent="0.25">
      <c r="A272" s="171">
        <v>102</v>
      </c>
      <c r="B272" s="163" t="s">
        <v>13</v>
      </c>
      <c r="C272" s="163" t="s">
        <v>28</v>
      </c>
      <c r="D272" s="172">
        <v>44621</v>
      </c>
      <c r="E272" s="187" t="s">
        <v>23</v>
      </c>
      <c r="F272" s="187">
        <f>240+120+141</f>
        <v>501</v>
      </c>
      <c r="G272" s="187"/>
      <c r="H272" s="163" t="s">
        <v>2722</v>
      </c>
      <c r="I272" s="163"/>
      <c r="J272" s="164" t="s">
        <v>2608</v>
      </c>
      <c r="K272" s="150">
        <v>3006</v>
      </c>
      <c r="L272" s="163">
        <v>501</v>
      </c>
      <c r="M272" s="163">
        <v>0.30719999999999997</v>
      </c>
      <c r="N272" s="163">
        <v>0.69199999999999995</v>
      </c>
      <c r="O272" s="163">
        <v>923.44320000000005</v>
      </c>
      <c r="P272" s="163">
        <v>2080.152</v>
      </c>
      <c r="Q272" s="163">
        <v>120.05</v>
      </c>
      <c r="R272" s="163">
        <v>96.77</v>
      </c>
      <c r="S272" s="163">
        <v>315</v>
      </c>
      <c r="T272" s="163">
        <v>290884.61</v>
      </c>
      <c r="U272" s="163"/>
      <c r="V272" s="163"/>
    </row>
    <row r="273" spans="1:22" ht="15.75" customHeight="1" x14ac:dyDescent="0.25">
      <c r="A273" s="171">
        <v>103</v>
      </c>
      <c r="B273" s="163" t="s">
        <v>13</v>
      </c>
      <c r="C273" s="163" t="s">
        <v>489</v>
      </c>
      <c r="D273" s="172">
        <v>44621</v>
      </c>
      <c r="E273" s="187" t="s">
        <v>23</v>
      </c>
      <c r="F273" s="187"/>
      <c r="G273" s="187"/>
      <c r="H273" s="163"/>
      <c r="I273" s="163"/>
      <c r="J273" s="164" t="s">
        <v>783</v>
      </c>
      <c r="K273" s="179">
        <v>507</v>
      </c>
      <c r="L273" s="163">
        <v>169</v>
      </c>
      <c r="M273" s="163">
        <v>0.15310000000000001</v>
      </c>
      <c r="N273" s="163">
        <v>1.1000000000000001</v>
      </c>
      <c r="O273" s="163">
        <v>77.621700000000004</v>
      </c>
      <c r="P273" s="163">
        <v>557.70000000000005</v>
      </c>
      <c r="Q273" s="163">
        <v>10.09</v>
      </c>
      <c r="R273" s="163">
        <v>43.63</v>
      </c>
      <c r="S273" s="163">
        <v>285</v>
      </c>
      <c r="T273" s="163">
        <v>22122.18</v>
      </c>
      <c r="U273" s="163"/>
      <c r="V273" s="163"/>
    </row>
    <row r="274" spans="1:22" ht="15.75" customHeight="1" x14ac:dyDescent="0.25">
      <c r="A274" s="171">
        <v>104</v>
      </c>
      <c r="B274" s="163" t="s">
        <v>13</v>
      </c>
      <c r="C274" s="163" t="s">
        <v>37</v>
      </c>
      <c r="D274" s="172">
        <v>44621</v>
      </c>
      <c r="E274" s="187" t="s">
        <v>23</v>
      </c>
      <c r="F274" s="187">
        <f>243+246+543+21</f>
        <v>1053</v>
      </c>
      <c r="G274" s="187">
        <v>3</v>
      </c>
      <c r="H274" s="163" t="s">
        <v>3376</v>
      </c>
      <c r="I274" s="163"/>
      <c r="J274" s="164" t="s">
        <v>2723</v>
      </c>
      <c r="K274" s="163">
        <v>3321</v>
      </c>
      <c r="L274" s="163">
        <v>1107</v>
      </c>
      <c r="M274" s="163">
        <v>5.9499999999999997E-2</v>
      </c>
      <c r="N274" s="163">
        <v>0.14899999999999999</v>
      </c>
      <c r="O274" s="163">
        <v>197.59950000000001</v>
      </c>
      <c r="P274" s="163">
        <v>494.82900000000001</v>
      </c>
      <c r="Q274" s="163">
        <v>25.69</v>
      </c>
      <c r="R274" s="163">
        <v>44.67</v>
      </c>
      <c r="S274" s="163">
        <v>750.75</v>
      </c>
      <c r="T274" s="163">
        <v>148347.82</v>
      </c>
      <c r="U274" s="163"/>
      <c r="V274" s="163"/>
    </row>
    <row r="275" spans="1:22" ht="15.75" customHeight="1" x14ac:dyDescent="0.25">
      <c r="A275" s="167">
        <v>105</v>
      </c>
      <c r="B275" s="163" t="s">
        <v>13</v>
      </c>
      <c r="C275" s="162" t="s">
        <v>663</v>
      </c>
      <c r="D275" s="172">
        <v>44621</v>
      </c>
      <c r="E275" s="194" t="s">
        <v>23</v>
      </c>
      <c r="F275" s="194">
        <v>145</v>
      </c>
      <c r="G275" s="194"/>
      <c r="H275" s="162"/>
      <c r="I275" s="162"/>
      <c r="J275" s="169" t="s">
        <v>2691</v>
      </c>
      <c r="K275" s="162">
        <v>600</v>
      </c>
      <c r="L275" s="173">
        <v>150</v>
      </c>
      <c r="M275" s="162">
        <v>0.31</v>
      </c>
      <c r="N275" s="162">
        <v>1.2010000000000001</v>
      </c>
      <c r="O275" s="162">
        <v>186</v>
      </c>
      <c r="P275" s="162">
        <v>720.6</v>
      </c>
      <c r="Q275" s="162">
        <v>24.18</v>
      </c>
      <c r="R275" s="162">
        <v>77.5</v>
      </c>
      <c r="S275" s="162">
        <v>250</v>
      </c>
      <c r="T275" s="162">
        <v>46500</v>
      </c>
      <c r="U275" s="162"/>
      <c r="V275" s="162"/>
    </row>
    <row r="276" spans="1:22" ht="15.75" customHeight="1" x14ac:dyDescent="0.25">
      <c r="A276" s="171">
        <v>105</v>
      </c>
      <c r="B276" s="163" t="s">
        <v>13</v>
      </c>
      <c r="C276" s="162" t="s">
        <v>663</v>
      </c>
      <c r="D276" s="172">
        <v>44621</v>
      </c>
      <c r="E276" s="187" t="s">
        <v>23</v>
      </c>
      <c r="F276" s="187"/>
      <c r="G276" s="187">
        <v>152</v>
      </c>
      <c r="H276" s="163"/>
      <c r="I276" s="163"/>
      <c r="J276" s="164" t="s">
        <v>2692</v>
      </c>
      <c r="K276" s="163">
        <v>1194</v>
      </c>
      <c r="L276" s="163">
        <v>199</v>
      </c>
      <c r="M276" s="163">
        <v>0.31</v>
      </c>
      <c r="N276" s="163">
        <v>1.2010000000000001</v>
      </c>
      <c r="O276" s="163">
        <v>370.14</v>
      </c>
      <c r="P276" s="163">
        <v>1433.9939999999999</v>
      </c>
      <c r="Q276" s="163">
        <v>48.12</v>
      </c>
      <c r="R276" s="163">
        <v>77.5</v>
      </c>
      <c r="S276" s="163">
        <v>250</v>
      </c>
      <c r="T276" s="163">
        <v>92535</v>
      </c>
      <c r="U276" s="163"/>
      <c r="V276" s="163"/>
    </row>
    <row r="277" spans="1:22" s="14" customFormat="1" ht="15.75" customHeight="1" x14ac:dyDescent="0.25">
      <c r="A277" s="147" t="s">
        <v>2724</v>
      </c>
      <c r="B277" s="145" t="s">
        <v>34</v>
      </c>
      <c r="C277" s="145" t="s">
        <v>16</v>
      </c>
      <c r="D277" s="148">
        <v>44622</v>
      </c>
      <c r="E277" s="187" t="s">
        <v>23</v>
      </c>
      <c r="F277" s="187"/>
      <c r="G277" s="187"/>
      <c r="H277" s="145"/>
      <c r="I277" s="145"/>
      <c r="J277" s="146" t="s">
        <v>2423</v>
      </c>
      <c r="K277" s="145">
        <v>198</v>
      </c>
      <c r="L277" s="145">
        <v>33</v>
      </c>
      <c r="M277" s="145">
        <v>0.29970000000000002</v>
      </c>
      <c r="N277" s="145">
        <v>1.6739999999999999</v>
      </c>
      <c r="O277" s="145">
        <v>59.340600000000002</v>
      </c>
      <c r="P277" s="145">
        <v>331.452</v>
      </c>
      <c r="Q277" s="145">
        <v>7.71</v>
      </c>
      <c r="R277" s="145">
        <v>91.41</v>
      </c>
      <c r="S277" s="145">
        <v>305</v>
      </c>
      <c r="T277" s="145">
        <v>18098.88</v>
      </c>
      <c r="U277" s="145"/>
      <c r="V277" s="145"/>
    </row>
    <row r="278" spans="1:22" ht="15.75" customHeight="1" x14ac:dyDescent="0.25">
      <c r="A278" s="171" t="s">
        <v>2725</v>
      </c>
      <c r="B278" s="163" t="s">
        <v>13</v>
      </c>
      <c r="C278" s="163" t="s">
        <v>15</v>
      </c>
      <c r="D278" s="172">
        <v>44622</v>
      </c>
      <c r="E278" s="187" t="s">
        <v>23</v>
      </c>
      <c r="F278" s="187"/>
      <c r="G278" s="187"/>
      <c r="H278" s="163"/>
      <c r="I278" s="163"/>
      <c r="J278" s="164" t="s">
        <v>89</v>
      </c>
      <c r="K278" s="145"/>
      <c r="L278" s="163">
        <v>48</v>
      </c>
      <c r="M278" s="163"/>
      <c r="N278" s="163"/>
      <c r="O278" s="163"/>
      <c r="P278" s="163"/>
      <c r="Q278" s="163"/>
      <c r="R278" s="163"/>
      <c r="S278" s="163"/>
      <c r="T278" s="163">
        <v>34992</v>
      </c>
      <c r="U278" s="163"/>
      <c r="V278" s="163"/>
    </row>
    <row r="279" spans="1:22" ht="15.75" customHeight="1" x14ac:dyDescent="0.25">
      <c r="A279" s="167">
        <v>107</v>
      </c>
      <c r="B279" s="163" t="s">
        <v>13</v>
      </c>
      <c r="C279" s="162" t="s">
        <v>663</v>
      </c>
      <c r="D279" s="172">
        <v>44622</v>
      </c>
      <c r="E279" s="194" t="s">
        <v>23</v>
      </c>
      <c r="F279" s="194">
        <v>171</v>
      </c>
      <c r="G279" s="194"/>
      <c r="H279" s="162"/>
      <c r="I279" s="162"/>
      <c r="J279" s="169" t="s">
        <v>1112</v>
      </c>
      <c r="K279" s="162">
        <v>1118</v>
      </c>
      <c r="L279" s="162">
        <v>172</v>
      </c>
      <c r="M279" s="162">
        <v>0.67</v>
      </c>
      <c r="N279" s="162">
        <v>1.9690000000000001</v>
      </c>
      <c r="O279" s="162">
        <v>749.06</v>
      </c>
      <c r="P279" s="162">
        <v>2201.3420000000001</v>
      </c>
      <c r="Q279" s="162">
        <v>97.38</v>
      </c>
      <c r="R279" s="162">
        <v>167.5</v>
      </c>
      <c r="S279" s="162">
        <v>250</v>
      </c>
      <c r="T279" s="162">
        <v>187265</v>
      </c>
      <c r="U279" s="162"/>
      <c r="V279" s="162"/>
    </row>
    <row r="280" spans="1:22" ht="15.75" customHeight="1" x14ac:dyDescent="0.25">
      <c r="A280" s="171">
        <v>107</v>
      </c>
      <c r="B280" s="163" t="s">
        <v>13</v>
      </c>
      <c r="C280" s="162" t="s">
        <v>663</v>
      </c>
      <c r="D280" s="172">
        <v>44622</v>
      </c>
      <c r="E280" s="187" t="s">
        <v>23</v>
      </c>
      <c r="F280" s="187"/>
      <c r="G280" s="187">
        <v>92</v>
      </c>
      <c r="H280" s="163"/>
      <c r="I280" s="163"/>
      <c r="J280" s="164" t="s">
        <v>1140</v>
      </c>
      <c r="K280" s="179">
        <v>294.39999999999998</v>
      </c>
      <c r="L280" s="163">
        <v>92</v>
      </c>
      <c r="M280" s="163">
        <v>0.31</v>
      </c>
      <c r="N280" s="163">
        <v>1.2010000000000001</v>
      </c>
      <c r="O280" s="163">
        <v>91.263999999999996</v>
      </c>
      <c r="P280" s="163">
        <v>353.57440000000003</v>
      </c>
      <c r="Q280" s="163">
        <v>11.86</v>
      </c>
      <c r="R280" s="163">
        <v>77.5</v>
      </c>
      <c r="S280" s="163">
        <v>250</v>
      </c>
      <c r="T280" s="163">
        <v>22816</v>
      </c>
      <c r="U280" s="163"/>
      <c r="V280" s="163"/>
    </row>
    <row r="281" spans="1:22" ht="15.75" customHeight="1" x14ac:dyDescent="0.25">
      <c r="A281" s="167" t="s">
        <v>2726</v>
      </c>
      <c r="B281" s="163" t="s">
        <v>13</v>
      </c>
      <c r="C281" s="162" t="s">
        <v>30</v>
      </c>
      <c r="D281" s="168">
        <v>44623</v>
      </c>
      <c r="E281" s="194" t="s">
        <v>23</v>
      </c>
      <c r="F281" s="194"/>
      <c r="G281" s="194"/>
      <c r="H281" s="162"/>
      <c r="I281" s="162"/>
      <c r="J281" s="169" t="s">
        <v>214</v>
      </c>
      <c r="K281" s="162"/>
      <c r="L281" s="162">
        <v>8</v>
      </c>
      <c r="M281" s="162"/>
      <c r="N281" s="162"/>
      <c r="O281" s="162"/>
      <c r="P281" s="162"/>
      <c r="Q281" s="162"/>
      <c r="R281" s="162"/>
      <c r="S281" s="162"/>
      <c r="T281" s="162" t="s">
        <v>419</v>
      </c>
      <c r="U281" s="162"/>
      <c r="V281" s="162"/>
    </row>
    <row r="282" spans="1:22" ht="15.75" customHeight="1" x14ac:dyDescent="0.25">
      <c r="A282" s="167" t="s">
        <v>2726</v>
      </c>
      <c r="B282" s="163" t="s">
        <v>13</v>
      </c>
      <c r="C282" s="162" t="s">
        <v>30</v>
      </c>
      <c r="D282" s="168">
        <v>44623</v>
      </c>
      <c r="E282" s="194" t="s">
        <v>23</v>
      </c>
      <c r="F282" s="194"/>
      <c r="G282" s="194"/>
      <c r="H282" s="162"/>
      <c r="I282" s="162"/>
      <c r="J282" s="169" t="s">
        <v>215</v>
      </c>
      <c r="K282" s="162"/>
      <c r="L282" s="162">
        <v>8</v>
      </c>
      <c r="M282" s="162"/>
      <c r="N282" s="162"/>
      <c r="O282" s="162"/>
      <c r="P282" s="162"/>
      <c r="Q282" s="162"/>
      <c r="R282" s="162"/>
      <c r="S282" s="162"/>
      <c r="T282" s="162" t="s">
        <v>2649</v>
      </c>
      <c r="U282" s="162"/>
      <c r="V282" s="162"/>
    </row>
    <row r="283" spans="1:22" ht="15.75" customHeight="1" x14ac:dyDescent="0.25">
      <c r="A283" s="167" t="s">
        <v>2726</v>
      </c>
      <c r="B283" s="163" t="s">
        <v>13</v>
      </c>
      <c r="C283" s="162" t="s">
        <v>30</v>
      </c>
      <c r="D283" s="168">
        <v>44623</v>
      </c>
      <c r="E283" s="194" t="s">
        <v>23</v>
      </c>
      <c r="F283" s="194"/>
      <c r="G283" s="194"/>
      <c r="H283" s="162"/>
      <c r="I283" s="162"/>
      <c r="J283" s="169" t="s">
        <v>216</v>
      </c>
      <c r="K283" s="162"/>
      <c r="L283" s="162">
        <v>8</v>
      </c>
      <c r="M283" s="162"/>
      <c r="N283" s="162"/>
      <c r="O283" s="162"/>
      <c r="P283" s="162"/>
      <c r="Q283" s="162"/>
      <c r="R283" s="162"/>
      <c r="S283" s="162"/>
      <c r="T283" s="162" t="s">
        <v>267</v>
      </c>
      <c r="U283" s="162"/>
      <c r="V283" s="162"/>
    </row>
    <row r="284" spans="1:22" ht="15.75" customHeight="1" x14ac:dyDescent="0.25">
      <c r="A284" s="167" t="s">
        <v>2726</v>
      </c>
      <c r="B284" s="163" t="s">
        <v>13</v>
      </c>
      <c r="C284" s="162" t="s">
        <v>30</v>
      </c>
      <c r="D284" s="168">
        <v>44623</v>
      </c>
      <c r="E284" s="194" t="s">
        <v>23</v>
      </c>
      <c r="F284" s="194"/>
      <c r="G284" s="194"/>
      <c r="H284" s="162"/>
      <c r="I284" s="162"/>
      <c r="J284" s="169" t="s">
        <v>219</v>
      </c>
      <c r="K284" s="162"/>
      <c r="L284" s="162">
        <v>8</v>
      </c>
      <c r="M284" s="162"/>
      <c r="N284" s="162"/>
      <c r="O284" s="162"/>
      <c r="P284" s="162"/>
      <c r="Q284" s="162"/>
      <c r="R284" s="162"/>
      <c r="S284" s="162"/>
      <c r="T284" s="162" t="s">
        <v>2727</v>
      </c>
      <c r="U284" s="162"/>
      <c r="V284" s="162"/>
    </row>
    <row r="285" spans="1:22" ht="15.75" customHeight="1" x14ac:dyDescent="0.25">
      <c r="A285" s="167" t="s">
        <v>2726</v>
      </c>
      <c r="B285" s="163" t="s">
        <v>13</v>
      </c>
      <c r="C285" s="162" t="s">
        <v>30</v>
      </c>
      <c r="D285" s="168">
        <v>44623</v>
      </c>
      <c r="E285" s="194" t="s">
        <v>23</v>
      </c>
      <c r="F285" s="187"/>
      <c r="G285" s="187"/>
      <c r="H285" s="163"/>
      <c r="I285" s="163"/>
      <c r="J285" s="164" t="s">
        <v>220</v>
      </c>
      <c r="K285" s="163"/>
      <c r="L285" s="162">
        <v>8</v>
      </c>
      <c r="M285" s="163"/>
      <c r="N285" s="163"/>
      <c r="O285" s="163"/>
      <c r="P285" s="163"/>
      <c r="Q285" s="163"/>
      <c r="R285" s="163"/>
      <c r="S285" s="163"/>
      <c r="T285" s="163" t="s">
        <v>797</v>
      </c>
      <c r="U285" s="163"/>
      <c r="V285" s="163"/>
    </row>
    <row r="286" spans="1:22" ht="15.75" customHeight="1" x14ac:dyDescent="0.25">
      <c r="A286" s="167" t="s">
        <v>2729</v>
      </c>
      <c r="B286" s="163" t="s">
        <v>13</v>
      </c>
      <c r="C286" s="162" t="s">
        <v>30</v>
      </c>
      <c r="D286" s="168">
        <v>44623</v>
      </c>
      <c r="E286" s="194" t="s">
        <v>23</v>
      </c>
      <c r="F286" s="194"/>
      <c r="G286" s="194"/>
      <c r="H286" s="162"/>
      <c r="I286" s="162"/>
      <c r="J286" s="169" t="s">
        <v>742</v>
      </c>
      <c r="K286" s="162"/>
      <c r="L286" s="162">
        <v>8</v>
      </c>
      <c r="M286" s="162"/>
      <c r="N286" s="162"/>
      <c r="O286" s="162"/>
      <c r="P286" s="162"/>
      <c r="Q286" s="162"/>
      <c r="R286" s="162"/>
      <c r="S286" s="162"/>
      <c r="T286" s="162" t="s">
        <v>504</v>
      </c>
      <c r="U286" s="162"/>
      <c r="V286" s="162"/>
    </row>
    <row r="287" spans="1:22" ht="15.75" customHeight="1" x14ac:dyDescent="0.25">
      <c r="A287" s="167" t="s">
        <v>2729</v>
      </c>
      <c r="B287" s="163" t="s">
        <v>13</v>
      </c>
      <c r="C287" s="162" t="s">
        <v>30</v>
      </c>
      <c r="D287" s="168">
        <v>44623</v>
      </c>
      <c r="E287" s="194" t="s">
        <v>23</v>
      </c>
      <c r="F287" s="194"/>
      <c r="G287" s="194"/>
      <c r="H287" s="162"/>
      <c r="I287" s="162"/>
      <c r="J287" s="169" t="s">
        <v>731</v>
      </c>
      <c r="K287" s="162"/>
      <c r="L287" s="162">
        <v>18</v>
      </c>
      <c r="M287" s="162"/>
      <c r="N287" s="162"/>
      <c r="O287" s="162"/>
      <c r="P287" s="162"/>
      <c r="Q287" s="162"/>
      <c r="R287" s="162"/>
      <c r="S287" s="162"/>
      <c r="T287" s="162" t="s">
        <v>2739</v>
      </c>
      <c r="U287" s="162"/>
      <c r="V287" s="162"/>
    </row>
    <row r="288" spans="1:22" ht="15.75" customHeight="1" x14ac:dyDescent="0.25">
      <c r="A288" s="167" t="s">
        <v>2729</v>
      </c>
      <c r="B288" s="163" t="s">
        <v>13</v>
      </c>
      <c r="C288" s="162" t="s">
        <v>30</v>
      </c>
      <c r="D288" s="168">
        <v>44623</v>
      </c>
      <c r="E288" s="194" t="s">
        <v>23</v>
      </c>
      <c r="F288" s="194"/>
      <c r="G288" s="194"/>
      <c r="H288" s="162"/>
      <c r="I288" s="162"/>
      <c r="J288" s="169" t="s">
        <v>744</v>
      </c>
      <c r="K288" s="162"/>
      <c r="L288" s="162">
        <v>80</v>
      </c>
      <c r="M288" s="162"/>
      <c r="N288" s="162"/>
      <c r="O288" s="162"/>
      <c r="P288" s="162"/>
      <c r="Q288" s="162"/>
      <c r="R288" s="162"/>
      <c r="S288" s="162"/>
      <c r="T288" s="162" t="s">
        <v>2740</v>
      </c>
      <c r="U288" s="162"/>
      <c r="V288" s="162"/>
    </row>
    <row r="289" spans="1:22" ht="15.75" customHeight="1" x14ac:dyDescent="0.25">
      <c r="A289" s="167" t="s">
        <v>2729</v>
      </c>
      <c r="B289" s="163" t="s">
        <v>13</v>
      </c>
      <c r="C289" s="162" t="s">
        <v>30</v>
      </c>
      <c r="D289" s="168">
        <v>44623</v>
      </c>
      <c r="E289" s="194" t="s">
        <v>23</v>
      </c>
      <c r="F289" s="194"/>
      <c r="G289" s="194"/>
      <c r="H289" s="162"/>
      <c r="I289" s="162"/>
      <c r="J289" s="169" t="s">
        <v>733</v>
      </c>
      <c r="K289" s="162"/>
      <c r="L289" s="162">
        <v>8</v>
      </c>
      <c r="M289" s="162"/>
      <c r="N289" s="162"/>
      <c r="O289" s="162"/>
      <c r="P289" s="162"/>
      <c r="Q289" s="162"/>
      <c r="R289" s="162"/>
      <c r="S289" s="162"/>
      <c r="T289" s="162" t="s">
        <v>503</v>
      </c>
      <c r="U289" s="162"/>
      <c r="V289" s="162"/>
    </row>
    <row r="290" spans="1:22" ht="15.75" customHeight="1" x14ac:dyDescent="0.25">
      <c r="A290" s="167" t="s">
        <v>2729</v>
      </c>
      <c r="B290" s="163" t="s">
        <v>13</v>
      </c>
      <c r="C290" s="162" t="s">
        <v>30</v>
      </c>
      <c r="D290" s="168">
        <v>44623</v>
      </c>
      <c r="E290" s="194" t="s">
        <v>23</v>
      </c>
      <c r="F290" s="194"/>
      <c r="G290" s="194"/>
      <c r="H290" s="162"/>
      <c r="I290" s="162"/>
      <c r="J290" s="169" t="s">
        <v>1255</v>
      </c>
      <c r="K290" s="162"/>
      <c r="L290" s="162">
        <v>8</v>
      </c>
      <c r="M290" s="162"/>
      <c r="N290" s="162"/>
      <c r="O290" s="162"/>
      <c r="P290" s="162"/>
      <c r="Q290" s="162"/>
      <c r="R290" s="162"/>
      <c r="S290" s="162"/>
      <c r="T290" s="162" t="s">
        <v>502</v>
      </c>
      <c r="U290" s="162"/>
      <c r="V290" s="162"/>
    </row>
    <row r="291" spans="1:22" ht="15.75" customHeight="1" x14ac:dyDescent="0.25">
      <c r="A291" s="167" t="s">
        <v>2729</v>
      </c>
      <c r="B291" s="163" t="s">
        <v>13</v>
      </c>
      <c r="C291" s="162" t="s">
        <v>30</v>
      </c>
      <c r="D291" s="168">
        <v>44623</v>
      </c>
      <c r="E291" s="194" t="s">
        <v>23</v>
      </c>
      <c r="F291" s="194"/>
      <c r="G291" s="194"/>
      <c r="H291" s="162"/>
      <c r="I291" s="162"/>
      <c r="J291" s="169" t="s">
        <v>739</v>
      </c>
      <c r="K291" s="162"/>
      <c r="L291" s="162">
        <v>4</v>
      </c>
      <c r="M291" s="162"/>
      <c r="N291" s="162"/>
      <c r="O291" s="162"/>
      <c r="P291" s="162"/>
      <c r="Q291" s="162"/>
      <c r="R291" s="162"/>
      <c r="S291" s="162"/>
      <c r="T291" s="162" t="s">
        <v>617</v>
      </c>
      <c r="U291" s="162"/>
      <c r="V291" s="162"/>
    </row>
    <row r="292" spans="1:22" ht="15.75" customHeight="1" x14ac:dyDescent="0.25">
      <c r="A292" s="167" t="s">
        <v>2729</v>
      </c>
      <c r="B292" s="163" t="s">
        <v>13</v>
      </c>
      <c r="C292" s="162" t="s">
        <v>30</v>
      </c>
      <c r="D292" s="168">
        <v>44623</v>
      </c>
      <c r="E292" s="194" t="s">
        <v>23</v>
      </c>
      <c r="F292" s="194"/>
      <c r="G292" s="194"/>
      <c r="H292" s="162"/>
      <c r="I292" s="162"/>
      <c r="J292" s="169" t="s">
        <v>740</v>
      </c>
      <c r="K292" s="162"/>
      <c r="L292" s="162">
        <v>24</v>
      </c>
      <c r="M292" s="162"/>
      <c r="N292" s="162"/>
      <c r="O292" s="162"/>
      <c r="P292" s="162"/>
      <c r="Q292" s="162"/>
      <c r="R292" s="162"/>
      <c r="S292" s="162"/>
      <c r="T292" s="162" t="s">
        <v>2260</v>
      </c>
      <c r="U292" s="162"/>
      <c r="V292" s="162"/>
    </row>
    <row r="293" spans="1:22" ht="15.75" customHeight="1" x14ac:dyDescent="0.25">
      <c r="A293" s="167" t="s">
        <v>2729</v>
      </c>
      <c r="B293" s="163" t="s">
        <v>13</v>
      </c>
      <c r="C293" s="162" t="s">
        <v>30</v>
      </c>
      <c r="D293" s="168">
        <v>44623</v>
      </c>
      <c r="E293" s="194" t="s">
        <v>23</v>
      </c>
      <c r="F293" s="194"/>
      <c r="G293" s="194"/>
      <c r="H293" s="162"/>
      <c r="I293" s="162"/>
      <c r="J293" s="169" t="s">
        <v>1243</v>
      </c>
      <c r="K293" s="162"/>
      <c r="L293" s="162">
        <v>4</v>
      </c>
      <c r="M293" s="162"/>
      <c r="N293" s="162"/>
      <c r="O293" s="162"/>
      <c r="P293" s="162"/>
      <c r="Q293" s="162"/>
      <c r="R293" s="162"/>
      <c r="S293" s="162"/>
      <c r="T293" s="162" t="s">
        <v>2741</v>
      </c>
      <c r="U293" s="162"/>
      <c r="V293" s="162"/>
    </row>
    <row r="294" spans="1:22" ht="15.75" customHeight="1" x14ac:dyDescent="0.25">
      <c r="A294" s="167" t="s">
        <v>2729</v>
      </c>
      <c r="B294" s="163" t="s">
        <v>13</v>
      </c>
      <c r="C294" s="162" t="s">
        <v>30</v>
      </c>
      <c r="D294" s="168">
        <v>44623</v>
      </c>
      <c r="E294" s="194" t="s">
        <v>23</v>
      </c>
      <c r="F294" s="194"/>
      <c r="G294" s="194"/>
      <c r="H294" s="162"/>
      <c r="I294" s="162"/>
      <c r="J294" s="169" t="s">
        <v>741</v>
      </c>
      <c r="K294" s="162"/>
      <c r="L294" s="162">
        <v>20</v>
      </c>
      <c r="M294" s="162"/>
      <c r="N294" s="162"/>
      <c r="O294" s="162"/>
      <c r="P294" s="162"/>
      <c r="Q294" s="162"/>
      <c r="R294" s="162"/>
      <c r="S294" s="162"/>
      <c r="T294" s="162" t="s">
        <v>2642</v>
      </c>
      <c r="U294" s="162"/>
      <c r="V294" s="162"/>
    </row>
    <row r="295" spans="1:22" ht="15.75" customHeight="1" x14ac:dyDescent="0.25">
      <c r="A295" s="171" t="s">
        <v>2729</v>
      </c>
      <c r="B295" s="163" t="s">
        <v>13</v>
      </c>
      <c r="C295" s="163" t="s">
        <v>30</v>
      </c>
      <c r="D295" s="172">
        <v>44623</v>
      </c>
      <c r="E295" s="194" t="s">
        <v>23</v>
      </c>
      <c r="F295" s="187"/>
      <c r="G295" s="187"/>
      <c r="H295" s="163"/>
      <c r="I295" s="163"/>
      <c r="J295" s="164" t="s">
        <v>2728</v>
      </c>
      <c r="K295" s="163"/>
      <c r="L295" s="163">
        <v>154</v>
      </c>
      <c r="M295" s="163"/>
      <c r="N295" s="163"/>
      <c r="O295" s="163"/>
      <c r="P295" s="163"/>
      <c r="Q295" s="163"/>
      <c r="R295" s="163"/>
      <c r="S295" s="163"/>
      <c r="T295" s="163" t="s">
        <v>2742</v>
      </c>
      <c r="U295" s="163"/>
      <c r="V295" s="163"/>
    </row>
    <row r="296" spans="1:22" ht="15.75" customHeight="1" x14ac:dyDescent="0.25">
      <c r="A296" s="167" t="s">
        <v>2733</v>
      </c>
      <c r="B296" s="162" t="s">
        <v>13</v>
      </c>
      <c r="C296" s="162" t="s">
        <v>15</v>
      </c>
      <c r="D296" s="168">
        <v>44624</v>
      </c>
      <c r="E296" s="194" t="s">
        <v>23</v>
      </c>
      <c r="F296" s="194"/>
      <c r="G296" s="194"/>
      <c r="H296" s="162"/>
      <c r="I296" s="162"/>
      <c r="J296" s="169" t="s">
        <v>89</v>
      </c>
      <c r="K296" s="142"/>
      <c r="L296" s="162">
        <v>48</v>
      </c>
      <c r="M296" s="162"/>
      <c r="N296" s="162"/>
      <c r="O296" s="162"/>
      <c r="P296" s="162"/>
      <c r="Q296" s="162"/>
      <c r="R296" s="162"/>
      <c r="S296" s="162"/>
      <c r="T296" s="162">
        <v>34992</v>
      </c>
      <c r="U296" s="162"/>
      <c r="V296" s="162"/>
    </row>
    <row r="297" spans="1:22" ht="15.75" customHeight="1" x14ac:dyDescent="0.25">
      <c r="A297" s="171" t="s">
        <v>2738</v>
      </c>
      <c r="B297" s="163" t="s">
        <v>13</v>
      </c>
      <c r="C297" s="163" t="s">
        <v>2654</v>
      </c>
      <c r="D297" s="172">
        <v>44624</v>
      </c>
      <c r="E297" s="187" t="s">
        <v>23</v>
      </c>
      <c r="F297" s="187"/>
      <c r="G297" s="187"/>
      <c r="H297" s="163"/>
      <c r="I297" s="163"/>
      <c r="J297" s="164" t="s">
        <v>1830</v>
      </c>
      <c r="K297" s="150">
        <v>156</v>
      </c>
      <c r="L297" s="163">
        <v>26</v>
      </c>
      <c r="M297" s="163"/>
      <c r="N297" s="163"/>
      <c r="O297" s="163"/>
      <c r="P297" s="163"/>
      <c r="Q297" s="163"/>
      <c r="R297" s="163"/>
      <c r="S297" s="163"/>
      <c r="T297" s="163">
        <v>15700</v>
      </c>
      <c r="U297" s="163"/>
      <c r="V297" s="163"/>
    </row>
    <row r="298" spans="1:22" ht="15.75" customHeight="1" x14ac:dyDescent="0.25">
      <c r="A298" s="167" t="s">
        <v>2745</v>
      </c>
      <c r="B298" s="163" t="s">
        <v>13</v>
      </c>
      <c r="C298" s="162" t="s">
        <v>384</v>
      </c>
      <c r="D298" s="168">
        <v>44625</v>
      </c>
      <c r="E298" s="194" t="s">
        <v>23</v>
      </c>
      <c r="F298" s="194"/>
      <c r="G298" s="194">
        <v>66</v>
      </c>
      <c r="H298" s="162"/>
      <c r="I298" s="162"/>
      <c r="J298" s="169" t="s">
        <v>2743</v>
      </c>
      <c r="K298" s="162">
        <v>396</v>
      </c>
      <c r="L298" s="162">
        <v>66</v>
      </c>
      <c r="M298" s="162"/>
      <c r="N298" s="162"/>
      <c r="O298" s="162"/>
      <c r="P298" s="162"/>
      <c r="Q298" s="162"/>
      <c r="R298" s="162"/>
      <c r="S298" s="162"/>
      <c r="T298" s="162" t="s">
        <v>2746</v>
      </c>
      <c r="U298" s="162"/>
      <c r="V298" s="162"/>
    </row>
    <row r="299" spans="1:22" ht="15.75" customHeight="1" x14ac:dyDescent="0.25">
      <c r="A299" s="167" t="s">
        <v>2745</v>
      </c>
      <c r="B299" s="163" t="s">
        <v>13</v>
      </c>
      <c r="C299" s="162" t="s">
        <v>384</v>
      </c>
      <c r="D299" s="168">
        <v>44625</v>
      </c>
      <c r="E299" s="194" t="s">
        <v>23</v>
      </c>
      <c r="F299" s="187"/>
      <c r="G299" s="187">
        <v>7</v>
      </c>
      <c r="H299" s="163"/>
      <c r="I299" s="163"/>
      <c r="J299" s="164" t="s">
        <v>2744</v>
      </c>
      <c r="K299" s="163">
        <v>42</v>
      </c>
      <c r="L299" s="163">
        <v>7</v>
      </c>
      <c r="M299" s="163"/>
      <c r="N299" s="163"/>
      <c r="O299" s="163"/>
      <c r="P299" s="163"/>
      <c r="Q299" s="163"/>
      <c r="R299" s="163"/>
      <c r="S299" s="163"/>
      <c r="T299" s="163" t="s">
        <v>2747</v>
      </c>
      <c r="U299" s="163"/>
      <c r="V299" s="163"/>
    </row>
    <row r="300" spans="1:22" ht="15.75" customHeight="1" x14ac:dyDescent="0.25">
      <c r="A300" s="171" t="s">
        <v>2750</v>
      </c>
      <c r="B300" s="163" t="s">
        <v>13</v>
      </c>
      <c r="C300" s="163" t="s">
        <v>2399</v>
      </c>
      <c r="D300" s="172">
        <v>44629</v>
      </c>
      <c r="E300" s="187" t="s">
        <v>23</v>
      </c>
      <c r="F300" s="187"/>
      <c r="G300" s="187"/>
      <c r="H300" s="163"/>
      <c r="I300" s="163"/>
      <c r="J300" s="164" t="s">
        <v>2403</v>
      </c>
      <c r="K300" s="163"/>
      <c r="L300" s="163">
        <v>240</v>
      </c>
      <c r="M300" s="163"/>
      <c r="N300" s="163"/>
      <c r="O300" s="163"/>
      <c r="P300" s="163"/>
      <c r="Q300" s="163"/>
      <c r="R300" s="163"/>
      <c r="S300" s="163"/>
      <c r="T300" s="163">
        <v>37485</v>
      </c>
      <c r="U300" s="163"/>
      <c r="V300" s="163"/>
    </row>
    <row r="301" spans="1:22" ht="15.75" customHeight="1" x14ac:dyDescent="0.25">
      <c r="A301" s="171" t="s">
        <v>2751</v>
      </c>
      <c r="B301" s="163" t="s">
        <v>13</v>
      </c>
      <c r="C301" s="163" t="s">
        <v>30</v>
      </c>
      <c r="D301" s="172">
        <v>44630</v>
      </c>
      <c r="E301" s="187" t="s">
        <v>23</v>
      </c>
      <c r="F301" s="187"/>
      <c r="G301" s="187"/>
      <c r="H301" s="163"/>
      <c r="I301" s="163"/>
      <c r="J301" s="164" t="s">
        <v>871</v>
      </c>
      <c r="K301" s="163"/>
      <c r="L301" s="163">
        <v>100</v>
      </c>
      <c r="M301" s="163"/>
      <c r="N301" s="163"/>
      <c r="O301" s="163"/>
      <c r="P301" s="163"/>
      <c r="Q301" s="163"/>
      <c r="R301" s="163"/>
      <c r="S301" s="163"/>
      <c r="T301" s="163" t="s">
        <v>2752</v>
      </c>
      <c r="U301" s="163"/>
      <c r="V301" s="163"/>
    </row>
    <row r="302" spans="1:22" ht="15.75" customHeight="1" x14ac:dyDescent="0.25">
      <c r="A302" s="171" t="s">
        <v>2751</v>
      </c>
      <c r="B302" s="163" t="s">
        <v>13</v>
      </c>
      <c r="C302" s="163" t="s">
        <v>30</v>
      </c>
      <c r="D302" s="172">
        <v>44630</v>
      </c>
      <c r="E302" s="187" t="s">
        <v>23</v>
      </c>
      <c r="F302" s="187"/>
      <c r="G302" s="187"/>
      <c r="H302" s="163"/>
      <c r="I302" s="163"/>
      <c r="J302" s="164" t="s">
        <v>872</v>
      </c>
      <c r="K302" s="163"/>
      <c r="L302" s="163">
        <v>30</v>
      </c>
      <c r="M302" s="163"/>
      <c r="N302" s="163"/>
      <c r="O302" s="163"/>
      <c r="P302" s="163"/>
      <c r="Q302" s="163"/>
      <c r="R302" s="163"/>
      <c r="S302" s="163"/>
      <c r="T302" s="163" t="s">
        <v>1212</v>
      </c>
      <c r="U302" s="163"/>
      <c r="V302" s="163"/>
    </row>
    <row r="303" spans="1:22" ht="15.75" customHeight="1" x14ac:dyDescent="0.25">
      <c r="A303" s="167" t="s">
        <v>2753</v>
      </c>
      <c r="B303" s="163" t="s">
        <v>13</v>
      </c>
      <c r="C303" s="163" t="s">
        <v>30</v>
      </c>
      <c r="D303" s="172">
        <v>44630</v>
      </c>
      <c r="E303" s="194" t="s">
        <v>23</v>
      </c>
      <c r="F303" s="194"/>
      <c r="G303" s="194"/>
      <c r="H303" s="162"/>
      <c r="I303" s="162"/>
      <c r="J303" s="169" t="s">
        <v>710</v>
      </c>
      <c r="K303" s="149"/>
      <c r="L303" s="162">
        <v>15</v>
      </c>
      <c r="M303" s="162"/>
      <c r="N303" s="162"/>
      <c r="O303" s="162"/>
      <c r="P303" s="162"/>
      <c r="Q303" s="162"/>
      <c r="R303" s="162"/>
      <c r="S303" s="162"/>
      <c r="T303" s="162" t="s">
        <v>726</v>
      </c>
      <c r="U303" s="162"/>
      <c r="V303" s="162"/>
    </row>
    <row r="304" spans="1:22" ht="15.75" customHeight="1" x14ac:dyDescent="0.25">
      <c r="A304" s="167" t="s">
        <v>2753</v>
      </c>
      <c r="B304" s="163" t="s">
        <v>13</v>
      </c>
      <c r="C304" s="163" t="s">
        <v>30</v>
      </c>
      <c r="D304" s="172">
        <v>44630</v>
      </c>
      <c r="E304" s="194" t="s">
        <v>23</v>
      </c>
      <c r="F304" s="194">
        <v>5</v>
      </c>
      <c r="G304" s="194"/>
      <c r="H304" s="162"/>
      <c r="I304" s="162"/>
      <c r="J304" s="169" t="s">
        <v>711</v>
      </c>
      <c r="K304" s="159"/>
      <c r="L304" s="162">
        <v>15</v>
      </c>
      <c r="M304" s="162"/>
      <c r="N304" s="162"/>
      <c r="O304" s="162"/>
      <c r="P304" s="162"/>
      <c r="Q304" s="162"/>
      <c r="R304" s="162"/>
      <c r="S304" s="162"/>
      <c r="T304" s="162" t="s">
        <v>726</v>
      </c>
      <c r="U304" s="162"/>
      <c r="V304" s="162"/>
    </row>
    <row r="305" spans="1:22" ht="15.75" customHeight="1" x14ac:dyDescent="0.25">
      <c r="A305" s="167" t="s">
        <v>2753</v>
      </c>
      <c r="B305" s="163" t="s">
        <v>13</v>
      </c>
      <c r="C305" s="163" t="s">
        <v>30</v>
      </c>
      <c r="D305" s="172">
        <v>44630</v>
      </c>
      <c r="E305" s="194" t="s">
        <v>23</v>
      </c>
      <c r="F305" s="194"/>
      <c r="G305" s="194"/>
      <c r="H305" s="162"/>
      <c r="I305" s="162"/>
      <c r="J305" s="169" t="s">
        <v>712</v>
      </c>
      <c r="K305" s="149"/>
      <c r="L305" s="162">
        <v>30</v>
      </c>
      <c r="M305" s="162"/>
      <c r="N305" s="162"/>
      <c r="O305" s="162"/>
      <c r="P305" s="162"/>
      <c r="Q305" s="162"/>
      <c r="R305" s="162"/>
      <c r="S305" s="162"/>
      <c r="T305" s="162" t="s">
        <v>2754</v>
      </c>
      <c r="U305" s="162"/>
      <c r="V305" s="162"/>
    </row>
    <row r="306" spans="1:22" ht="15.75" customHeight="1" x14ac:dyDescent="0.25">
      <c r="A306" s="167" t="s">
        <v>2753</v>
      </c>
      <c r="B306" s="163" t="s">
        <v>13</v>
      </c>
      <c r="C306" s="163" t="s">
        <v>30</v>
      </c>
      <c r="D306" s="172">
        <v>44630</v>
      </c>
      <c r="E306" s="194" t="s">
        <v>23</v>
      </c>
      <c r="F306" s="194"/>
      <c r="G306" s="194"/>
      <c r="H306" s="162"/>
      <c r="I306" s="162"/>
      <c r="J306" s="169" t="s">
        <v>713</v>
      </c>
      <c r="K306" s="149"/>
      <c r="L306" s="162">
        <v>30</v>
      </c>
      <c r="M306" s="162"/>
      <c r="N306" s="162"/>
      <c r="O306" s="162"/>
      <c r="P306" s="162"/>
      <c r="Q306" s="162"/>
      <c r="R306" s="162"/>
      <c r="S306" s="162"/>
      <c r="T306" s="162" t="s">
        <v>2755</v>
      </c>
      <c r="U306" s="162"/>
      <c r="V306" s="162"/>
    </row>
    <row r="307" spans="1:22" ht="15.75" customHeight="1" x14ac:dyDescent="0.25">
      <c r="A307" s="167" t="s">
        <v>2753</v>
      </c>
      <c r="B307" s="163" t="s">
        <v>13</v>
      </c>
      <c r="C307" s="163" t="s">
        <v>30</v>
      </c>
      <c r="D307" s="172">
        <v>44630</v>
      </c>
      <c r="E307" s="194" t="s">
        <v>23</v>
      </c>
      <c r="F307" s="194"/>
      <c r="G307" s="194"/>
      <c r="H307" s="162"/>
      <c r="I307" s="162"/>
      <c r="J307" s="169" t="s">
        <v>714</v>
      </c>
      <c r="K307" s="159"/>
      <c r="L307" s="162">
        <v>15</v>
      </c>
      <c r="M307" s="162"/>
      <c r="N307" s="162"/>
      <c r="O307" s="162"/>
      <c r="P307" s="162"/>
      <c r="Q307" s="162"/>
      <c r="R307" s="162"/>
      <c r="S307" s="162"/>
      <c r="T307" s="162" t="s">
        <v>1187</v>
      </c>
      <c r="U307" s="162"/>
      <c r="V307" s="162"/>
    </row>
    <row r="308" spans="1:22" ht="15.75" customHeight="1" x14ac:dyDescent="0.25">
      <c r="A308" s="167" t="s">
        <v>2753</v>
      </c>
      <c r="B308" s="163" t="s">
        <v>13</v>
      </c>
      <c r="C308" s="163" t="s">
        <v>30</v>
      </c>
      <c r="D308" s="172">
        <v>44630</v>
      </c>
      <c r="E308" s="194" t="s">
        <v>23</v>
      </c>
      <c r="F308" s="194"/>
      <c r="G308" s="194"/>
      <c r="H308" s="162"/>
      <c r="I308" s="162"/>
      <c r="J308" s="169" t="s">
        <v>715</v>
      </c>
      <c r="K308" s="159"/>
      <c r="L308" s="162">
        <v>15</v>
      </c>
      <c r="M308" s="162"/>
      <c r="N308" s="162"/>
      <c r="O308" s="162"/>
      <c r="P308" s="162"/>
      <c r="Q308" s="162"/>
      <c r="R308" s="162"/>
      <c r="S308" s="162"/>
      <c r="T308" s="162" t="s">
        <v>1187</v>
      </c>
      <c r="U308" s="162"/>
      <c r="V308" s="162"/>
    </row>
    <row r="309" spans="1:22" ht="15.75" customHeight="1" x14ac:dyDescent="0.25">
      <c r="A309" s="167" t="s">
        <v>2753</v>
      </c>
      <c r="B309" s="163" t="s">
        <v>13</v>
      </c>
      <c r="C309" s="163" t="s">
        <v>30</v>
      </c>
      <c r="D309" s="172">
        <v>44630</v>
      </c>
      <c r="E309" s="194" t="s">
        <v>23</v>
      </c>
      <c r="F309" s="194"/>
      <c r="G309" s="194"/>
      <c r="H309" s="162"/>
      <c r="I309" s="162"/>
      <c r="J309" s="169" t="s">
        <v>718</v>
      </c>
      <c r="K309" s="159"/>
      <c r="L309" s="162">
        <v>15</v>
      </c>
      <c r="M309" s="162"/>
      <c r="N309" s="162"/>
      <c r="O309" s="162"/>
      <c r="P309" s="162"/>
      <c r="Q309" s="162"/>
      <c r="R309" s="162"/>
      <c r="S309" s="162"/>
      <c r="T309" s="162" t="s">
        <v>2756</v>
      </c>
      <c r="U309" s="162"/>
      <c r="V309" s="162"/>
    </row>
    <row r="310" spans="1:22" ht="15.75" customHeight="1" x14ac:dyDescent="0.25">
      <c r="A310" s="167" t="s">
        <v>2753</v>
      </c>
      <c r="B310" s="163" t="s">
        <v>13</v>
      </c>
      <c r="C310" s="163" t="s">
        <v>30</v>
      </c>
      <c r="D310" s="172">
        <v>44630</v>
      </c>
      <c r="E310" s="194" t="s">
        <v>23</v>
      </c>
      <c r="F310" s="194"/>
      <c r="G310" s="194"/>
      <c r="H310" s="163"/>
      <c r="I310" s="163"/>
      <c r="J310" s="164" t="s">
        <v>719</v>
      </c>
      <c r="K310" s="179"/>
      <c r="L310" s="162">
        <v>15</v>
      </c>
      <c r="M310" s="163"/>
      <c r="N310" s="163"/>
      <c r="O310" s="163"/>
      <c r="P310" s="163"/>
      <c r="Q310" s="163"/>
      <c r="R310" s="163"/>
      <c r="S310" s="163"/>
      <c r="T310" s="163" t="s">
        <v>2756</v>
      </c>
      <c r="U310" s="163"/>
      <c r="V310" s="163"/>
    </row>
    <row r="311" spans="1:22" ht="15.75" customHeight="1" x14ac:dyDescent="0.25">
      <c r="A311" s="171" t="s">
        <v>2757</v>
      </c>
      <c r="B311" s="163" t="s">
        <v>13</v>
      </c>
      <c r="C311" s="163" t="s">
        <v>37</v>
      </c>
      <c r="D311" s="172">
        <v>44630</v>
      </c>
      <c r="E311" s="187" t="s">
        <v>23</v>
      </c>
      <c r="F311" s="187"/>
      <c r="G311" s="187"/>
      <c r="H311" s="163"/>
      <c r="I311" s="163"/>
      <c r="J311" s="164" t="s">
        <v>1619</v>
      </c>
      <c r="K311" s="150"/>
      <c r="L311" s="163">
        <v>24</v>
      </c>
      <c r="M311" s="163"/>
      <c r="N311" s="163"/>
      <c r="O311" s="163"/>
      <c r="P311" s="163"/>
      <c r="Q311" s="163"/>
      <c r="R311" s="163"/>
      <c r="S311" s="163"/>
      <c r="T311" s="163">
        <v>15498</v>
      </c>
      <c r="U311" s="163"/>
      <c r="V311" s="163"/>
    </row>
    <row r="312" spans="1:22" ht="15.75" customHeight="1" x14ac:dyDescent="0.25">
      <c r="A312" s="171" t="s">
        <v>2758</v>
      </c>
      <c r="B312" s="163" t="s">
        <v>13</v>
      </c>
      <c r="C312" s="163" t="s">
        <v>15</v>
      </c>
      <c r="D312" s="172">
        <v>44631</v>
      </c>
      <c r="E312" s="187" t="s">
        <v>23</v>
      </c>
      <c r="F312" s="187"/>
      <c r="G312" s="187"/>
      <c r="H312" s="163"/>
      <c r="I312" s="163"/>
      <c r="J312" s="164" t="s">
        <v>2759</v>
      </c>
      <c r="K312" s="163"/>
      <c r="L312" s="163">
        <v>48</v>
      </c>
      <c r="M312" s="163"/>
      <c r="N312" s="163"/>
      <c r="O312" s="163"/>
      <c r="P312" s="163"/>
      <c r="Q312" s="163"/>
      <c r="R312" s="163"/>
      <c r="S312" s="163"/>
      <c r="T312" s="163">
        <v>37440</v>
      </c>
      <c r="U312" s="163"/>
      <c r="V312" s="163"/>
    </row>
    <row r="313" spans="1:22" ht="15.75" customHeight="1" x14ac:dyDescent="0.25">
      <c r="A313" s="167" t="s">
        <v>2767</v>
      </c>
      <c r="B313" s="163" t="s">
        <v>13</v>
      </c>
      <c r="C313" s="163" t="s">
        <v>30</v>
      </c>
      <c r="D313" s="172">
        <v>44631</v>
      </c>
      <c r="E313" s="194" t="s">
        <v>23</v>
      </c>
      <c r="F313" s="194"/>
      <c r="G313" s="194"/>
      <c r="H313" s="162"/>
      <c r="I313" s="162"/>
      <c r="J313" s="169" t="s">
        <v>2760</v>
      </c>
      <c r="K313" s="159"/>
      <c r="L313" s="162">
        <v>2</v>
      </c>
      <c r="M313" s="162"/>
      <c r="N313" s="162"/>
      <c r="O313" s="162"/>
      <c r="P313" s="162"/>
      <c r="Q313" s="162"/>
      <c r="R313" s="162"/>
      <c r="S313" s="162"/>
      <c r="T313" s="162" t="s">
        <v>335</v>
      </c>
      <c r="U313" s="162"/>
      <c r="V313" s="162"/>
    </row>
    <row r="314" spans="1:22" ht="15.75" customHeight="1" x14ac:dyDescent="0.25">
      <c r="A314" s="167" t="s">
        <v>2767</v>
      </c>
      <c r="B314" s="163" t="s">
        <v>13</v>
      </c>
      <c r="C314" s="163" t="s">
        <v>30</v>
      </c>
      <c r="D314" s="172">
        <v>44631</v>
      </c>
      <c r="E314" s="194" t="s">
        <v>23</v>
      </c>
      <c r="F314" s="194"/>
      <c r="G314" s="194"/>
      <c r="H314" s="162"/>
      <c r="I314" s="162"/>
      <c r="J314" s="169" t="s">
        <v>2761</v>
      </c>
      <c r="K314" s="159"/>
      <c r="L314" s="162">
        <v>2</v>
      </c>
      <c r="M314" s="162"/>
      <c r="N314" s="162"/>
      <c r="O314" s="162"/>
      <c r="P314" s="162"/>
      <c r="Q314" s="162"/>
      <c r="R314" s="162"/>
      <c r="S314" s="162"/>
      <c r="T314" s="162" t="s">
        <v>269</v>
      </c>
      <c r="U314" s="162"/>
      <c r="V314" s="162"/>
    </row>
    <row r="315" spans="1:22" ht="15.75" customHeight="1" x14ac:dyDescent="0.25">
      <c r="A315" s="167" t="s">
        <v>2767</v>
      </c>
      <c r="B315" s="163" t="s">
        <v>13</v>
      </c>
      <c r="C315" s="163" t="s">
        <v>30</v>
      </c>
      <c r="D315" s="172">
        <v>44631</v>
      </c>
      <c r="E315" s="194" t="s">
        <v>23</v>
      </c>
      <c r="F315" s="194"/>
      <c r="G315" s="194"/>
      <c r="H315" s="162"/>
      <c r="I315" s="162"/>
      <c r="J315" s="169" t="s">
        <v>2762</v>
      </c>
      <c r="K315" s="159"/>
      <c r="L315" s="162">
        <v>2</v>
      </c>
      <c r="M315" s="162"/>
      <c r="N315" s="162"/>
      <c r="O315" s="162"/>
      <c r="P315" s="162"/>
      <c r="Q315" s="162"/>
      <c r="R315" s="162"/>
      <c r="S315" s="162"/>
      <c r="T315" s="162" t="s">
        <v>1253</v>
      </c>
      <c r="U315" s="162"/>
      <c r="V315" s="162"/>
    </row>
    <row r="316" spans="1:22" ht="15.75" customHeight="1" x14ac:dyDescent="0.25">
      <c r="A316" s="167" t="s">
        <v>2767</v>
      </c>
      <c r="B316" s="163" t="s">
        <v>13</v>
      </c>
      <c r="C316" s="163" t="s">
        <v>30</v>
      </c>
      <c r="D316" s="172">
        <v>44631</v>
      </c>
      <c r="E316" s="194" t="s">
        <v>23</v>
      </c>
      <c r="F316" s="194"/>
      <c r="G316" s="194"/>
      <c r="H316" s="162"/>
      <c r="I316" s="162"/>
      <c r="J316" s="169" t="s">
        <v>2763</v>
      </c>
      <c r="K316" s="159"/>
      <c r="L316" s="162">
        <v>1</v>
      </c>
      <c r="M316" s="162"/>
      <c r="N316" s="162"/>
      <c r="O316" s="162"/>
      <c r="P316" s="162"/>
      <c r="Q316" s="162"/>
      <c r="R316" s="162"/>
      <c r="S316" s="162"/>
      <c r="T316" s="162" t="s">
        <v>1451</v>
      </c>
      <c r="U316" s="162"/>
      <c r="V316" s="162"/>
    </row>
    <row r="317" spans="1:22" ht="15.75" customHeight="1" x14ac:dyDescent="0.25">
      <c r="A317" s="167" t="s">
        <v>2767</v>
      </c>
      <c r="B317" s="163" t="s">
        <v>13</v>
      </c>
      <c r="C317" s="163" t="s">
        <v>30</v>
      </c>
      <c r="D317" s="172">
        <v>44631</v>
      </c>
      <c r="E317" s="194" t="s">
        <v>23</v>
      </c>
      <c r="F317" s="194"/>
      <c r="G317" s="194"/>
      <c r="H317" s="162"/>
      <c r="I317" s="162"/>
      <c r="J317" s="169" t="s">
        <v>2764</v>
      </c>
      <c r="K317" s="159"/>
      <c r="L317" s="162">
        <v>1</v>
      </c>
      <c r="M317" s="162"/>
      <c r="N317" s="162"/>
      <c r="O317" s="162"/>
      <c r="P317" s="162"/>
      <c r="Q317" s="162"/>
      <c r="R317" s="162"/>
      <c r="S317" s="162"/>
      <c r="T317" s="162" t="s">
        <v>1451</v>
      </c>
      <c r="U317" s="162"/>
      <c r="V317" s="162"/>
    </row>
    <row r="318" spans="1:22" ht="15.75" customHeight="1" x14ac:dyDescent="0.25">
      <c r="A318" s="167" t="s">
        <v>2767</v>
      </c>
      <c r="B318" s="163" t="s">
        <v>13</v>
      </c>
      <c r="C318" s="163" t="s">
        <v>30</v>
      </c>
      <c r="D318" s="172">
        <v>44631</v>
      </c>
      <c r="E318" s="194" t="s">
        <v>23</v>
      </c>
      <c r="F318" s="194"/>
      <c r="G318" s="194"/>
      <c r="H318" s="162"/>
      <c r="I318" s="162"/>
      <c r="J318" s="169" t="s">
        <v>2765</v>
      </c>
      <c r="K318" s="159"/>
      <c r="L318" s="162">
        <v>1</v>
      </c>
      <c r="M318" s="162"/>
      <c r="N318" s="162"/>
      <c r="O318" s="162"/>
      <c r="P318" s="162"/>
      <c r="Q318" s="162"/>
      <c r="R318" s="162"/>
      <c r="S318" s="162"/>
      <c r="T318" s="162" t="s">
        <v>2768</v>
      </c>
      <c r="U318" s="162"/>
      <c r="V318" s="162"/>
    </row>
    <row r="319" spans="1:22" ht="15.75" customHeight="1" x14ac:dyDescent="0.25">
      <c r="A319" s="167" t="s">
        <v>2767</v>
      </c>
      <c r="B319" s="163" t="s">
        <v>13</v>
      </c>
      <c r="C319" s="163" t="s">
        <v>30</v>
      </c>
      <c r="D319" s="172">
        <v>44631</v>
      </c>
      <c r="E319" s="194" t="s">
        <v>23</v>
      </c>
      <c r="F319" s="194"/>
      <c r="G319" s="194"/>
      <c r="H319" s="163"/>
      <c r="I319" s="163"/>
      <c r="J319" s="164" t="s">
        <v>2766</v>
      </c>
      <c r="K319" s="179"/>
      <c r="L319" s="163">
        <v>1</v>
      </c>
      <c r="M319" s="163"/>
      <c r="N319" s="163"/>
      <c r="O319" s="163"/>
      <c r="P319" s="163"/>
      <c r="Q319" s="163"/>
      <c r="R319" s="163"/>
      <c r="S319" s="163"/>
      <c r="T319" s="163" t="s">
        <v>1451</v>
      </c>
      <c r="U319" s="163"/>
      <c r="V319" s="163"/>
    </row>
    <row r="320" spans="1:22" ht="15.75" customHeight="1" x14ac:dyDescent="0.25">
      <c r="A320" s="167" t="s">
        <v>2767</v>
      </c>
      <c r="B320" s="163" t="s">
        <v>13</v>
      </c>
      <c r="C320" s="163" t="s">
        <v>30</v>
      </c>
      <c r="D320" s="172">
        <v>44631</v>
      </c>
      <c r="E320" s="194" t="s">
        <v>23</v>
      </c>
      <c r="F320" s="187"/>
      <c r="G320" s="187"/>
      <c r="H320" s="163"/>
      <c r="I320" s="163"/>
      <c r="J320" s="164" t="s">
        <v>2769</v>
      </c>
      <c r="K320" s="179"/>
      <c r="L320" s="163">
        <v>2</v>
      </c>
      <c r="M320" s="163"/>
      <c r="N320" s="163"/>
      <c r="O320" s="163"/>
      <c r="P320" s="163"/>
      <c r="Q320" s="163"/>
      <c r="R320" s="163"/>
      <c r="S320" s="163"/>
      <c r="T320" s="163">
        <v>10100</v>
      </c>
      <c r="U320" s="163"/>
      <c r="V320" s="163"/>
    </row>
    <row r="321" spans="1:22" ht="15.75" customHeight="1" x14ac:dyDescent="0.25">
      <c r="A321" s="171" t="s">
        <v>2770</v>
      </c>
      <c r="B321" s="163" t="s">
        <v>13</v>
      </c>
      <c r="C321" s="163" t="s">
        <v>2771</v>
      </c>
      <c r="D321" s="172">
        <v>44631</v>
      </c>
      <c r="E321" s="187" t="s">
        <v>23</v>
      </c>
      <c r="F321" s="187"/>
      <c r="G321" s="187"/>
      <c r="H321" s="163"/>
      <c r="I321" s="163"/>
      <c r="J321" s="164" t="s">
        <v>1830</v>
      </c>
      <c r="K321" s="150"/>
      <c r="L321" s="163"/>
      <c r="M321" s="163"/>
      <c r="N321" s="163"/>
      <c r="O321" s="163"/>
      <c r="P321" s="163"/>
      <c r="Q321" s="163"/>
      <c r="R321" s="163"/>
      <c r="S321" s="163"/>
      <c r="T321" s="163">
        <v>31993</v>
      </c>
      <c r="U321" s="163"/>
      <c r="V321" s="163"/>
    </row>
    <row r="322" spans="1:22" s="14" customFormat="1" ht="15.75" customHeight="1" x14ac:dyDescent="0.25">
      <c r="A322" s="147">
        <v>119</v>
      </c>
      <c r="B322" s="145" t="s">
        <v>34</v>
      </c>
      <c r="C322" s="145" t="s">
        <v>861</v>
      </c>
      <c r="D322" s="148">
        <v>44634</v>
      </c>
      <c r="E322" s="187" t="s">
        <v>23</v>
      </c>
      <c r="F322" s="187">
        <v>840</v>
      </c>
      <c r="G322" s="187">
        <v>870</v>
      </c>
      <c r="H322" s="145"/>
      <c r="I322" s="145"/>
      <c r="J322" s="146" t="s">
        <v>2670</v>
      </c>
      <c r="K322" s="145">
        <v>1710</v>
      </c>
      <c r="L322" s="145">
        <v>285</v>
      </c>
      <c r="M322" s="145">
        <v>0.4803</v>
      </c>
      <c r="N322" s="145">
        <v>1.3580000000000001</v>
      </c>
      <c r="O322" s="145">
        <v>821.31299999999999</v>
      </c>
      <c r="P322" s="145">
        <v>2322.1799999999998</v>
      </c>
      <c r="Q322" s="145">
        <v>106.77</v>
      </c>
      <c r="R322" s="145">
        <v>151.29</v>
      </c>
      <c r="S322" s="145">
        <v>315</v>
      </c>
      <c r="T322" s="145">
        <v>258713.60000000001</v>
      </c>
      <c r="U322" s="145"/>
      <c r="V322" s="145"/>
    </row>
    <row r="323" spans="1:22" s="14" customFormat="1" ht="30.75" customHeight="1" x14ac:dyDescent="0.25">
      <c r="A323" s="147" t="s">
        <v>2772</v>
      </c>
      <c r="B323" s="145" t="s">
        <v>34</v>
      </c>
      <c r="C323" s="145" t="s">
        <v>16</v>
      </c>
      <c r="D323" s="148">
        <v>44634</v>
      </c>
      <c r="E323" s="187" t="s">
        <v>23</v>
      </c>
      <c r="F323" s="187"/>
      <c r="G323" s="227"/>
      <c r="H323" s="145" t="s">
        <v>3026</v>
      </c>
      <c r="I323" s="145"/>
      <c r="J323" s="146" t="s">
        <v>2581</v>
      </c>
      <c r="K323" s="145">
        <v>318</v>
      </c>
      <c r="L323" s="145">
        <v>53</v>
      </c>
      <c r="M323" s="145">
        <v>0.56989999999999996</v>
      </c>
      <c r="N323" s="145">
        <v>1.304</v>
      </c>
      <c r="O323" s="145">
        <v>181.22819999999999</v>
      </c>
      <c r="P323" s="145">
        <v>414.67200000000003</v>
      </c>
      <c r="Q323" s="145">
        <v>23.56</v>
      </c>
      <c r="R323" s="145">
        <v>249.62</v>
      </c>
      <c r="S323" s="145">
        <v>438</v>
      </c>
      <c r="T323" s="145">
        <v>79377.95</v>
      </c>
      <c r="U323" s="145"/>
      <c r="V323" s="145"/>
    </row>
    <row r="324" spans="1:22" ht="15.75" customHeight="1" x14ac:dyDescent="0.25">
      <c r="A324" s="171">
        <v>120</v>
      </c>
      <c r="B324" s="163" t="s">
        <v>13</v>
      </c>
      <c r="C324" s="163" t="s">
        <v>2784</v>
      </c>
      <c r="D324" s="172">
        <v>44634</v>
      </c>
      <c r="E324" s="187" t="s">
        <v>23</v>
      </c>
      <c r="F324" s="187"/>
      <c r="G324" s="187"/>
      <c r="H324" s="163"/>
      <c r="I324" s="163"/>
      <c r="J324" s="164" t="s">
        <v>38</v>
      </c>
      <c r="K324" s="179">
        <v>10563</v>
      </c>
      <c r="L324" s="163">
        <v>3521</v>
      </c>
      <c r="M324" s="163">
        <v>6.4500000000000002E-2</v>
      </c>
      <c r="N324" s="163">
        <v>8.5000000000000006E-2</v>
      </c>
      <c r="O324" s="163">
        <v>681.31349999999998</v>
      </c>
      <c r="P324" s="163">
        <v>897.85500000000002</v>
      </c>
      <c r="Q324" s="163">
        <v>88.57</v>
      </c>
      <c r="R324" s="163">
        <v>18.38</v>
      </c>
      <c r="S324" s="163">
        <v>285</v>
      </c>
      <c r="T324" s="163">
        <v>194147.94</v>
      </c>
      <c r="U324" s="163"/>
      <c r="V324" s="163"/>
    </row>
    <row r="325" spans="1:22" ht="15.75" customHeight="1" x14ac:dyDescent="0.25">
      <c r="A325" s="171">
        <v>121</v>
      </c>
      <c r="B325" s="163" t="s">
        <v>13</v>
      </c>
      <c r="C325" s="163" t="s">
        <v>32</v>
      </c>
      <c r="D325" s="172">
        <v>44634</v>
      </c>
      <c r="E325" s="187" t="s">
        <v>23</v>
      </c>
      <c r="F325" s="187">
        <v>182</v>
      </c>
      <c r="G325" s="187"/>
      <c r="H325" s="163" t="s">
        <v>1973</v>
      </c>
      <c r="I325" s="163"/>
      <c r="J325" s="164" t="s">
        <v>2773</v>
      </c>
      <c r="K325" s="163">
        <v>969.9</v>
      </c>
      <c r="L325" s="163">
        <v>183</v>
      </c>
      <c r="M325" s="163">
        <v>0.2651</v>
      </c>
      <c r="N325" s="163">
        <v>0.82099999999999995</v>
      </c>
      <c r="O325" s="163">
        <v>257.12049999999999</v>
      </c>
      <c r="P325" s="163">
        <v>796.28790000000004</v>
      </c>
      <c r="Q325" s="163">
        <v>33.43</v>
      </c>
      <c r="R325" s="163">
        <v>98.35</v>
      </c>
      <c r="S325" s="163">
        <v>371</v>
      </c>
      <c r="T325" s="163">
        <v>95391.7</v>
      </c>
      <c r="U325" s="163"/>
      <c r="V325" s="163"/>
    </row>
    <row r="326" spans="1:22" ht="15.75" customHeight="1" x14ac:dyDescent="0.25">
      <c r="A326" s="167">
        <v>122</v>
      </c>
      <c r="B326" s="162" t="s">
        <v>13</v>
      </c>
      <c r="C326" s="162" t="s">
        <v>663</v>
      </c>
      <c r="D326" s="168">
        <v>44634</v>
      </c>
      <c r="E326" s="194" t="s">
        <v>23</v>
      </c>
      <c r="F326" s="194"/>
      <c r="G326" s="194">
        <v>30</v>
      </c>
      <c r="H326" s="162"/>
      <c r="I326" s="162"/>
      <c r="J326" s="169" t="s">
        <v>2691</v>
      </c>
      <c r="K326" s="149">
        <v>120</v>
      </c>
      <c r="L326" s="162">
        <v>30</v>
      </c>
      <c r="M326" s="162">
        <v>0.31</v>
      </c>
      <c r="N326" s="162">
        <v>1.2010000000000001</v>
      </c>
      <c r="O326" s="162">
        <v>37.200000000000003</v>
      </c>
      <c r="P326" s="162">
        <v>144.12</v>
      </c>
      <c r="Q326" s="162">
        <v>4.84</v>
      </c>
      <c r="R326" s="162">
        <v>77.5</v>
      </c>
      <c r="S326" s="162">
        <v>250</v>
      </c>
      <c r="T326" s="162">
        <v>9300</v>
      </c>
      <c r="U326" s="162"/>
      <c r="V326" s="162"/>
    </row>
    <row r="327" spans="1:22" ht="15.75" customHeight="1" x14ac:dyDescent="0.25">
      <c r="A327" s="171">
        <v>122</v>
      </c>
      <c r="B327" s="163" t="s">
        <v>13</v>
      </c>
      <c r="C327" s="163" t="s">
        <v>663</v>
      </c>
      <c r="D327" s="172">
        <v>44634</v>
      </c>
      <c r="E327" s="194" t="s">
        <v>23</v>
      </c>
      <c r="F327" s="194"/>
      <c r="G327" s="194">
        <v>113</v>
      </c>
      <c r="H327" s="163"/>
      <c r="I327" s="163"/>
      <c r="J327" s="164" t="s">
        <v>2692</v>
      </c>
      <c r="K327" s="150">
        <v>678</v>
      </c>
      <c r="L327" s="163">
        <v>113</v>
      </c>
      <c r="M327" s="163">
        <v>0.31</v>
      </c>
      <c r="N327" s="163">
        <v>1.2010000000000001</v>
      </c>
      <c r="O327" s="163">
        <v>210.18</v>
      </c>
      <c r="P327" s="163">
        <v>814.27800000000002</v>
      </c>
      <c r="Q327" s="163">
        <v>27.32</v>
      </c>
      <c r="R327" s="163">
        <v>77.5</v>
      </c>
      <c r="S327" s="163">
        <v>250</v>
      </c>
      <c r="T327" s="163">
        <v>52545</v>
      </c>
      <c r="U327" s="163"/>
      <c r="V327" s="163"/>
    </row>
    <row r="328" spans="1:22" ht="15.75" customHeight="1" x14ac:dyDescent="0.25">
      <c r="A328" s="171">
        <v>123</v>
      </c>
      <c r="B328" s="163" t="s">
        <v>13</v>
      </c>
      <c r="C328" s="163" t="s">
        <v>2798</v>
      </c>
      <c r="D328" s="172">
        <v>44634</v>
      </c>
      <c r="E328" s="187" t="s">
        <v>23</v>
      </c>
      <c r="F328" s="187">
        <v>63</v>
      </c>
      <c r="G328" s="187"/>
      <c r="H328" s="163" t="s">
        <v>2943</v>
      </c>
      <c r="I328" s="172">
        <v>44687</v>
      </c>
      <c r="J328" s="164" t="s">
        <v>2774</v>
      </c>
      <c r="K328" s="179">
        <v>409.5</v>
      </c>
      <c r="L328" s="163">
        <v>63</v>
      </c>
      <c r="M328" s="163">
        <v>0.66830000000000001</v>
      </c>
      <c r="N328" s="163">
        <v>1.37</v>
      </c>
      <c r="O328" s="163">
        <v>273.66890000000001</v>
      </c>
      <c r="P328" s="163">
        <v>561.01499999999999</v>
      </c>
      <c r="Q328" s="163">
        <v>35.58</v>
      </c>
      <c r="R328" s="163">
        <v>167.08</v>
      </c>
      <c r="S328" s="163">
        <v>250</v>
      </c>
      <c r="T328" s="163">
        <v>68419.259999999995</v>
      </c>
      <c r="U328" s="163"/>
      <c r="V328" s="163"/>
    </row>
    <row r="329" spans="1:22" ht="15.75" customHeight="1" x14ac:dyDescent="0.25">
      <c r="A329" s="171">
        <v>124</v>
      </c>
      <c r="B329" s="163" t="s">
        <v>13</v>
      </c>
      <c r="C329" s="163" t="s">
        <v>2798</v>
      </c>
      <c r="D329" s="172">
        <v>44634</v>
      </c>
      <c r="E329" s="187" t="s">
        <v>23</v>
      </c>
      <c r="F329" s="187">
        <v>162</v>
      </c>
      <c r="G329" s="187"/>
      <c r="H329" s="163"/>
      <c r="I329" s="163"/>
      <c r="J329" s="164" t="s">
        <v>2433</v>
      </c>
      <c r="K329" s="145">
        <v>972</v>
      </c>
      <c r="L329" s="163">
        <v>162</v>
      </c>
      <c r="M329" s="163">
        <v>0.222</v>
      </c>
      <c r="N329" s="163">
        <v>0.74399999999999999</v>
      </c>
      <c r="O329" s="163">
        <v>215.78399999999999</v>
      </c>
      <c r="P329" s="163">
        <v>723.16800000000001</v>
      </c>
      <c r="Q329" s="163">
        <v>28.05</v>
      </c>
      <c r="R329" s="163">
        <v>62.16</v>
      </c>
      <c r="S329" s="163">
        <v>280</v>
      </c>
      <c r="T329" s="163">
        <v>60419.519999999997</v>
      </c>
      <c r="U329" s="163"/>
      <c r="V329" s="163"/>
    </row>
    <row r="330" spans="1:22" ht="15.75" customHeight="1" x14ac:dyDescent="0.25">
      <c r="A330" s="171">
        <v>124</v>
      </c>
      <c r="B330" s="163" t="s">
        <v>13</v>
      </c>
      <c r="C330" s="163" t="s">
        <v>2798</v>
      </c>
      <c r="D330" s="172">
        <v>44634</v>
      </c>
      <c r="E330" s="187" t="s">
        <v>23</v>
      </c>
      <c r="F330" s="187"/>
      <c r="G330" s="187"/>
      <c r="H330" s="163" t="s">
        <v>17</v>
      </c>
      <c r="I330" s="163"/>
      <c r="J330" s="164" t="s">
        <v>876</v>
      </c>
      <c r="K330" s="185">
        <v>364</v>
      </c>
      <c r="L330" s="163">
        <v>56</v>
      </c>
      <c r="M330" s="163">
        <v>0.5605</v>
      </c>
      <c r="N330" s="163">
        <v>2.254</v>
      </c>
      <c r="O330" s="163">
        <v>204.02199999999999</v>
      </c>
      <c r="P330" s="163">
        <v>820.45600000000002</v>
      </c>
      <c r="Q330" s="163">
        <v>26.52</v>
      </c>
      <c r="R330" s="163">
        <v>156.94</v>
      </c>
      <c r="S330" s="163">
        <v>280</v>
      </c>
      <c r="T330" s="163">
        <v>57126.16</v>
      </c>
      <c r="U330" s="163"/>
      <c r="V330" s="163"/>
    </row>
    <row r="331" spans="1:22" ht="15.75" customHeight="1" x14ac:dyDescent="0.25">
      <c r="A331" s="171" t="s">
        <v>2775</v>
      </c>
      <c r="B331" s="163" t="s">
        <v>13</v>
      </c>
      <c r="C331" s="163" t="s">
        <v>43</v>
      </c>
      <c r="D331" s="172">
        <v>44635</v>
      </c>
      <c r="E331" s="187" t="s">
        <v>23</v>
      </c>
      <c r="F331" s="187"/>
      <c r="G331" s="187"/>
      <c r="H331" s="163"/>
      <c r="I331" s="163"/>
      <c r="J331" s="164" t="s">
        <v>2022</v>
      </c>
      <c r="K331" s="179"/>
      <c r="L331" s="163">
        <v>50</v>
      </c>
      <c r="M331" s="163"/>
      <c r="N331" s="163"/>
      <c r="O331" s="163"/>
      <c r="P331" s="163"/>
      <c r="Q331" s="163"/>
      <c r="R331" s="163"/>
      <c r="S331" s="163"/>
      <c r="T331" s="163"/>
      <c r="U331" s="163"/>
      <c r="V331" s="163"/>
    </row>
    <row r="332" spans="1:22" ht="15.75" customHeight="1" x14ac:dyDescent="0.25">
      <c r="A332" s="171" t="s">
        <v>2775</v>
      </c>
      <c r="B332" s="163" t="s">
        <v>13</v>
      </c>
      <c r="C332" s="163" t="s">
        <v>43</v>
      </c>
      <c r="D332" s="172">
        <v>44635</v>
      </c>
      <c r="E332" s="187" t="s">
        <v>23</v>
      </c>
      <c r="F332" s="187"/>
      <c r="G332" s="187"/>
      <c r="H332" s="162"/>
      <c r="I332" s="162"/>
      <c r="J332" s="169" t="s">
        <v>406</v>
      </c>
      <c r="K332" s="159"/>
      <c r="L332" s="162">
        <v>15</v>
      </c>
      <c r="M332" s="162"/>
      <c r="N332" s="162"/>
      <c r="O332" s="162"/>
      <c r="P332" s="162"/>
      <c r="Q332" s="162"/>
      <c r="R332" s="162"/>
      <c r="S332" s="162"/>
      <c r="T332" s="162"/>
      <c r="U332" s="162"/>
      <c r="V332" s="162"/>
    </row>
    <row r="333" spans="1:22" ht="15.75" customHeight="1" x14ac:dyDescent="0.25">
      <c r="A333" s="171" t="s">
        <v>2775</v>
      </c>
      <c r="B333" s="163" t="s">
        <v>13</v>
      </c>
      <c r="C333" s="163" t="s">
        <v>43</v>
      </c>
      <c r="D333" s="172">
        <v>44635</v>
      </c>
      <c r="E333" s="187" t="s">
        <v>23</v>
      </c>
      <c r="F333" s="187"/>
      <c r="G333" s="187"/>
      <c r="H333" s="162"/>
      <c r="I333" s="162"/>
      <c r="J333" s="169" t="s">
        <v>347</v>
      </c>
      <c r="K333" s="159"/>
      <c r="L333" s="162">
        <v>230</v>
      </c>
      <c r="M333" s="162"/>
      <c r="N333" s="162"/>
      <c r="O333" s="162"/>
      <c r="P333" s="162"/>
      <c r="Q333" s="162"/>
      <c r="R333" s="162"/>
      <c r="S333" s="162"/>
      <c r="T333" s="162"/>
      <c r="U333" s="162"/>
      <c r="V333" s="162"/>
    </row>
    <row r="334" spans="1:22" ht="15.75" customHeight="1" x14ac:dyDescent="0.25">
      <c r="A334" s="171" t="s">
        <v>2777</v>
      </c>
      <c r="B334" s="163" t="s">
        <v>13</v>
      </c>
      <c r="C334" s="163" t="s">
        <v>15</v>
      </c>
      <c r="D334" s="172">
        <v>44636</v>
      </c>
      <c r="E334" s="187" t="s">
        <v>23</v>
      </c>
      <c r="F334" s="187"/>
      <c r="G334" s="187"/>
      <c r="H334" s="163"/>
      <c r="I334" s="163"/>
      <c r="J334" s="164" t="s">
        <v>2759</v>
      </c>
      <c r="K334" s="145"/>
      <c r="L334" s="163">
        <v>48</v>
      </c>
      <c r="M334" s="163"/>
      <c r="N334" s="163"/>
      <c r="O334" s="163"/>
      <c r="P334" s="163"/>
      <c r="Q334" s="163"/>
      <c r="R334" s="163"/>
      <c r="S334" s="163"/>
      <c r="T334" s="163">
        <v>40450</v>
      </c>
      <c r="U334" s="163"/>
      <c r="V334" s="163"/>
    </row>
    <row r="335" spans="1:22" s="14" customFormat="1" ht="15.75" customHeight="1" x14ac:dyDescent="0.25">
      <c r="A335" s="147">
        <v>128</v>
      </c>
      <c r="B335" s="145" t="s">
        <v>34</v>
      </c>
      <c r="C335" s="145" t="s">
        <v>328</v>
      </c>
      <c r="D335" s="148">
        <v>44636</v>
      </c>
      <c r="E335" s="187" t="s">
        <v>23</v>
      </c>
      <c r="F335" s="187">
        <v>96</v>
      </c>
      <c r="G335" s="187"/>
      <c r="H335" s="145" t="s">
        <v>3082</v>
      </c>
      <c r="I335" s="145"/>
      <c r="J335" s="146" t="s">
        <v>650</v>
      </c>
      <c r="K335" s="145">
        <v>96</v>
      </c>
      <c r="L335" s="145">
        <v>16</v>
      </c>
      <c r="M335" s="145">
        <v>0.30919999999999997</v>
      </c>
      <c r="N335" s="145">
        <v>1.1000000000000001</v>
      </c>
      <c r="O335" s="145">
        <v>29.683199999999999</v>
      </c>
      <c r="P335" s="145">
        <v>105.6</v>
      </c>
      <c r="Q335" s="145">
        <v>3.86</v>
      </c>
      <c r="R335" s="145">
        <v>128.32</v>
      </c>
      <c r="S335" s="145">
        <v>415</v>
      </c>
      <c r="T335" s="145">
        <v>12318.53</v>
      </c>
      <c r="U335" s="145"/>
      <c r="V335" s="145"/>
    </row>
    <row r="336" spans="1:22" ht="15.75" customHeight="1" x14ac:dyDescent="0.25">
      <c r="A336" s="171" t="s">
        <v>2778</v>
      </c>
      <c r="B336" s="163" t="s">
        <v>13</v>
      </c>
      <c r="C336" s="163" t="s">
        <v>2399</v>
      </c>
      <c r="D336" s="172">
        <v>44637</v>
      </c>
      <c r="E336" s="187" t="s">
        <v>23</v>
      </c>
      <c r="F336" s="187"/>
      <c r="G336" s="187"/>
      <c r="H336" s="163"/>
      <c r="I336" s="163"/>
      <c r="J336" s="164" t="s">
        <v>2403</v>
      </c>
      <c r="K336" s="150"/>
      <c r="L336" s="163">
        <v>160</v>
      </c>
      <c r="M336" s="163"/>
      <c r="N336" s="163"/>
      <c r="O336" s="163"/>
      <c r="P336" s="163"/>
      <c r="Q336" s="163"/>
      <c r="R336" s="163"/>
      <c r="S336" s="163"/>
      <c r="T336" s="163">
        <v>27370</v>
      </c>
      <c r="U336" s="163"/>
      <c r="V336" s="163"/>
    </row>
    <row r="337" spans="1:22" ht="15.75" customHeight="1" x14ac:dyDescent="0.25">
      <c r="A337" s="167" t="s">
        <v>2779</v>
      </c>
      <c r="B337" s="163" t="s">
        <v>13</v>
      </c>
      <c r="C337" s="162" t="s">
        <v>2566</v>
      </c>
      <c r="D337" s="172">
        <v>44637</v>
      </c>
      <c r="E337" s="187" t="s">
        <v>23</v>
      </c>
      <c r="F337" s="194"/>
      <c r="G337" s="194"/>
      <c r="H337" s="162"/>
      <c r="I337" s="162"/>
      <c r="J337" s="169" t="s">
        <v>2165</v>
      </c>
      <c r="K337" s="159" t="s">
        <v>2780</v>
      </c>
      <c r="L337" s="162">
        <v>325</v>
      </c>
      <c r="M337" s="162"/>
      <c r="N337" s="162"/>
      <c r="O337" s="162"/>
      <c r="P337" s="162"/>
      <c r="Q337" s="162"/>
      <c r="R337" s="162"/>
      <c r="S337" s="162"/>
      <c r="T337" s="162" t="s">
        <v>2782</v>
      </c>
      <c r="U337" s="162"/>
      <c r="V337" s="162"/>
    </row>
    <row r="338" spans="1:22" ht="15.75" customHeight="1" x14ac:dyDescent="0.25">
      <c r="A338" s="167" t="s">
        <v>2779</v>
      </c>
      <c r="B338" s="163" t="s">
        <v>13</v>
      </c>
      <c r="C338" s="162" t="s">
        <v>2566</v>
      </c>
      <c r="D338" s="172">
        <v>44637</v>
      </c>
      <c r="E338" s="187" t="s">
        <v>23</v>
      </c>
      <c r="F338" s="218"/>
      <c r="G338" s="218"/>
      <c r="H338" s="163"/>
      <c r="I338" s="163"/>
      <c r="J338" s="164" t="s">
        <v>241</v>
      </c>
      <c r="K338" s="179" t="s">
        <v>2781</v>
      </c>
      <c r="L338" s="163"/>
      <c r="M338" s="163"/>
      <c r="N338" s="163"/>
      <c r="O338" s="163"/>
      <c r="P338" s="163"/>
      <c r="Q338" s="163"/>
      <c r="R338" s="163"/>
      <c r="S338" s="163"/>
      <c r="T338" s="163" t="s">
        <v>2783</v>
      </c>
      <c r="U338" s="163"/>
      <c r="V338" s="163"/>
    </row>
    <row r="339" spans="1:22" ht="30.75" customHeight="1" x14ac:dyDescent="0.25">
      <c r="A339" s="171" t="s">
        <v>2785</v>
      </c>
      <c r="B339" s="163" t="s">
        <v>13</v>
      </c>
      <c r="C339" s="163" t="s">
        <v>15</v>
      </c>
      <c r="D339" s="172"/>
      <c r="E339" s="187" t="s">
        <v>23</v>
      </c>
      <c r="F339" s="187"/>
      <c r="G339" s="187"/>
      <c r="H339" s="163"/>
      <c r="I339" s="163"/>
      <c r="J339" s="164" t="s">
        <v>2786</v>
      </c>
      <c r="K339" s="145"/>
      <c r="L339" s="163">
        <v>48</v>
      </c>
      <c r="M339" s="163"/>
      <c r="N339" s="163"/>
      <c r="O339" s="163"/>
      <c r="P339" s="163"/>
      <c r="Q339" s="163"/>
      <c r="R339" s="163"/>
      <c r="S339" s="163"/>
      <c r="T339" s="163">
        <v>40450</v>
      </c>
      <c r="U339" s="163"/>
      <c r="V339" s="163"/>
    </row>
    <row r="340" spans="1:22" s="14" customFormat="1" ht="15.75" customHeight="1" x14ac:dyDescent="0.25">
      <c r="A340" s="147">
        <v>133</v>
      </c>
      <c r="B340" s="145" t="s">
        <v>34</v>
      </c>
      <c r="C340" s="145" t="s">
        <v>861</v>
      </c>
      <c r="D340" s="148">
        <v>21</v>
      </c>
      <c r="E340" s="187" t="s">
        <v>23</v>
      </c>
      <c r="F340" s="187"/>
      <c r="G340" s="187"/>
      <c r="H340" s="145"/>
      <c r="I340" s="148">
        <v>44644</v>
      </c>
      <c r="J340" s="146" t="s">
        <v>2670</v>
      </c>
      <c r="K340" s="145">
        <v>1530</v>
      </c>
      <c r="L340" s="145">
        <v>255</v>
      </c>
      <c r="M340" s="145">
        <v>0.4803</v>
      </c>
      <c r="N340" s="145">
        <v>1.3580000000000001</v>
      </c>
      <c r="O340" s="145">
        <v>734.85900000000004</v>
      </c>
      <c r="P340" s="145">
        <v>2077.7399999999998</v>
      </c>
      <c r="Q340" s="145">
        <v>95.53</v>
      </c>
      <c r="R340" s="145">
        <v>164.74</v>
      </c>
      <c r="S340" s="145">
        <v>343</v>
      </c>
      <c r="T340" s="145">
        <v>252056.64</v>
      </c>
      <c r="U340" s="145"/>
      <c r="V340" s="145"/>
    </row>
    <row r="341" spans="1:22" ht="30.75" customHeight="1" x14ac:dyDescent="0.25">
      <c r="A341" s="171" t="s">
        <v>2788</v>
      </c>
      <c r="B341" s="163" t="s">
        <v>13</v>
      </c>
      <c r="C341" s="163" t="s">
        <v>15</v>
      </c>
      <c r="D341" s="172">
        <v>44641</v>
      </c>
      <c r="E341" s="187" t="s">
        <v>23</v>
      </c>
      <c r="F341" s="187"/>
      <c r="G341" s="187"/>
      <c r="H341" s="163"/>
      <c r="I341" s="163"/>
      <c r="J341" s="164" t="s">
        <v>2786</v>
      </c>
      <c r="K341" s="145"/>
      <c r="L341" s="163">
        <v>48</v>
      </c>
      <c r="M341" s="163"/>
      <c r="N341" s="163"/>
      <c r="O341" s="163"/>
      <c r="P341" s="163"/>
      <c r="Q341" s="163"/>
      <c r="R341" s="163"/>
      <c r="S341" s="163"/>
      <c r="T341" s="163">
        <v>400450</v>
      </c>
      <c r="U341" s="163"/>
      <c r="V341" s="163"/>
    </row>
    <row r="342" spans="1:22" ht="15.75" customHeight="1" x14ac:dyDescent="0.25">
      <c r="A342" s="171">
        <v>134</v>
      </c>
      <c r="B342" s="163" t="s">
        <v>13</v>
      </c>
      <c r="C342" s="163" t="s">
        <v>1610</v>
      </c>
      <c r="D342" s="172">
        <v>44641</v>
      </c>
      <c r="E342" s="187" t="s">
        <v>23</v>
      </c>
      <c r="F342" s="187">
        <v>1534</v>
      </c>
      <c r="G342" s="187">
        <f>760+716</f>
        <v>1476</v>
      </c>
      <c r="H342" s="163"/>
      <c r="I342" s="163"/>
      <c r="J342" s="164" t="s">
        <v>38</v>
      </c>
      <c r="K342" s="179">
        <v>9030</v>
      </c>
      <c r="L342" s="163">
        <v>3010</v>
      </c>
      <c r="M342" s="163">
        <v>6.4500000000000002E-2</v>
      </c>
      <c r="N342" s="163">
        <v>8.5000000000000006E-2</v>
      </c>
      <c r="O342" s="163">
        <v>582.43499999999995</v>
      </c>
      <c r="P342" s="163">
        <v>767.55</v>
      </c>
      <c r="Q342" s="163">
        <v>75.72</v>
      </c>
      <c r="R342" s="163">
        <v>18.38</v>
      </c>
      <c r="S342" s="163">
        <v>285</v>
      </c>
      <c r="T342" s="163">
        <v>165993.98000000001</v>
      </c>
      <c r="U342" s="163"/>
      <c r="V342" s="163"/>
    </row>
    <row r="343" spans="1:22" ht="15.75" customHeight="1" x14ac:dyDescent="0.25">
      <c r="A343" s="171">
        <v>136</v>
      </c>
      <c r="B343" s="163" t="s">
        <v>13</v>
      </c>
      <c r="C343" s="163" t="s">
        <v>32</v>
      </c>
      <c r="D343" s="172">
        <v>44641</v>
      </c>
      <c r="E343" s="187" t="s">
        <v>23</v>
      </c>
      <c r="F343" s="194">
        <v>16</v>
      </c>
      <c r="G343" s="194"/>
      <c r="H343" s="163"/>
      <c r="I343" s="163"/>
      <c r="J343" s="164" t="s">
        <v>2773</v>
      </c>
      <c r="K343" s="163">
        <v>84.8</v>
      </c>
      <c r="L343" s="163">
        <v>16</v>
      </c>
      <c r="M343" s="163">
        <v>0.2651</v>
      </c>
      <c r="N343" s="163">
        <v>0.82099999999999995</v>
      </c>
      <c r="O343" s="163">
        <v>22.480499999999999</v>
      </c>
      <c r="P343" s="163">
        <v>69.620800000000003</v>
      </c>
      <c r="Q343" s="163">
        <v>2.92</v>
      </c>
      <c r="R343" s="163">
        <v>76.08</v>
      </c>
      <c r="S343" s="163">
        <v>287</v>
      </c>
      <c r="T343" s="163">
        <v>6451.9</v>
      </c>
      <c r="U343" s="163"/>
      <c r="V343" s="163"/>
    </row>
    <row r="344" spans="1:22" ht="15.75" customHeight="1" x14ac:dyDescent="0.25">
      <c r="A344" s="167">
        <v>137</v>
      </c>
      <c r="B344" s="163" t="s">
        <v>13</v>
      </c>
      <c r="C344" s="162" t="s">
        <v>625</v>
      </c>
      <c r="D344" s="172">
        <v>44641</v>
      </c>
      <c r="E344" s="187" t="s">
        <v>23</v>
      </c>
      <c r="F344" s="194"/>
      <c r="G344" s="194">
        <f>128+64+128+348</f>
        <v>668</v>
      </c>
      <c r="H344" s="162" t="s">
        <v>2854</v>
      </c>
      <c r="I344" s="162"/>
      <c r="J344" s="169" t="s">
        <v>2161</v>
      </c>
      <c r="K344" s="162">
        <v>3214.8</v>
      </c>
      <c r="L344" s="162">
        <v>684</v>
      </c>
      <c r="M344" s="162">
        <v>0.34810000000000002</v>
      </c>
      <c r="N344" s="162">
        <v>1.4930000000000001</v>
      </c>
      <c r="O344" s="162">
        <v>1119.0718999999999</v>
      </c>
      <c r="P344" s="162">
        <v>4799.6963999999998</v>
      </c>
      <c r="Q344" s="162">
        <v>145.47999999999999</v>
      </c>
      <c r="R344" s="162">
        <v>74.150000000000006</v>
      </c>
      <c r="S344" s="162">
        <v>213</v>
      </c>
      <c r="T344" s="162">
        <v>238362.31</v>
      </c>
      <c r="U344" s="162"/>
      <c r="V344" s="162"/>
    </row>
    <row r="345" spans="1:22" ht="15.75" customHeight="1" x14ac:dyDescent="0.25">
      <c r="A345" s="171">
        <v>137</v>
      </c>
      <c r="B345" s="163" t="s">
        <v>13</v>
      </c>
      <c r="C345" s="162" t="s">
        <v>625</v>
      </c>
      <c r="D345" s="172">
        <v>44641</v>
      </c>
      <c r="E345" s="187" t="s">
        <v>23</v>
      </c>
      <c r="F345" s="194"/>
      <c r="G345" s="194">
        <f>50+151</f>
        <v>201</v>
      </c>
      <c r="H345" s="163" t="s">
        <v>2850</v>
      </c>
      <c r="I345" s="163"/>
      <c r="J345" s="164" t="s">
        <v>681</v>
      </c>
      <c r="K345" s="163">
        <v>954.1</v>
      </c>
      <c r="L345" s="163">
        <v>203</v>
      </c>
      <c r="M345" s="163">
        <v>0.34789999999999999</v>
      </c>
      <c r="N345" s="163">
        <v>1.643</v>
      </c>
      <c r="O345" s="163">
        <v>331.9314</v>
      </c>
      <c r="P345" s="163">
        <v>1567.5862999999999</v>
      </c>
      <c r="Q345" s="163">
        <v>43.15</v>
      </c>
      <c r="R345" s="163">
        <v>74.099999999999994</v>
      </c>
      <c r="S345" s="163">
        <v>213</v>
      </c>
      <c r="T345" s="163">
        <v>70701.39</v>
      </c>
      <c r="U345" s="163"/>
      <c r="V345" s="163"/>
    </row>
    <row r="346" spans="1:22" ht="15.75" customHeight="1" x14ac:dyDescent="0.25">
      <c r="A346" s="167">
        <v>138</v>
      </c>
      <c r="B346" s="163" t="s">
        <v>13</v>
      </c>
      <c r="C346" s="162" t="s">
        <v>625</v>
      </c>
      <c r="D346" s="172">
        <v>44641</v>
      </c>
      <c r="E346" s="187" t="s">
        <v>23</v>
      </c>
      <c r="F346" s="194"/>
      <c r="G346" s="194">
        <f>264+236</f>
        <v>500</v>
      </c>
      <c r="H346" s="162" t="s">
        <v>2855</v>
      </c>
      <c r="I346" s="162"/>
      <c r="J346" s="169" t="s">
        <v>2789</v>
      </c>
      <c r="K346" s="162">
        <v>2367</v>
      </c>
      <c r="L346" s="162">
        <v>526</v>
      </c>
      <c r="M346" s="162">
        <v>0.13400000000000001</v>
      </c>
      <c r="N346" s="162">
        <v>0.23200000000000001</v>
      </c>
      <c r="O346" s="162">
        <v>317.178</v>
      </c>
      <c r="P346" s="162">
        <v>549.14400000000001</v>
      </c>
      <c r="Q346" s="162">
        <v>41.23</v>
      </c>
      <c r="R346" s="162">
        <v>45.96</v>
      </c>
      <c r="S346" s="162">
        <v>343</v>
      </c>
      <c r="T346" s="162">
        <v>108792.05</v>
      </c>
      <c r="U346" s="162"/>
      <c r="V346" s="162"/>
    </row>
    <row r="347" spans="1:22" ht="15.75" customHeight="1" x14ac:dyDescent="0.25">
      <c r="A347" s="171">
        <v>138</v>
      </c>
      <c r="B347" s="163" t="s">
        <v>13</v>
      </c>
      <c r="C347" s="162" t="s">
        <v>625</v>
      </c>
      <c r="D347" s="172">
        <v>44641</v>
      </c>
      <c r="E347" s="187" t="s">
        <v>23</v>
      </c>
      <c r="F347" s="194">
        <v>852</v>
      </c>
      <c r="G347" s="194"/>
      <c r="H347" s="163"/>
      <c r="I347" s="163"/>
      <c r="J347" s="164" t="s">
        <v>2790</v>
      </c>
      <c r="K347" s="163">
        <v>3865.5</v>
      </c>
      <c r="L347" s="163">
        <v>859</v>
      </c>
      <c r="M347" s="163">
        <v>0.15329999999999999</v>
      </c>
      <c r="N347" s="163">
        <v>0.26600000000000001</v>
      </c>
      <c r="O347" s="163">
        <v>592.58119999999997</v>
      </c>
      <c r="P347" s="163">
        <v>1028.223</v>
      </c>
      <c r="Q347" s="163">
        <v>77.040000000000006</v>
      </c>
      <c r="R347" s="163">
        <v>52.58</v>
      </c>
      <c r="S347" s="163">
        <v>343</v>
      </c>
      <c r="T347" s="163">
        <v>203255.33</v>
      </c>
      <c r="U347" s="163"/>
      <c r="V347" s="163"/>
    </row>
    <row r="348" spans="1:22" ht="15.75" customHeight="1" x14ac:dyDescent="0.25">
      <c r="A348" s="171">
        <v>139</v>
      </c>
      <c r="B348" s="163" t="s">
        <v>13</v>
      </c>
      <c r="C348" s="163" t="s">
        <v>595</v>
      </c>
      <c r="D348" s="172">
        <v>44642</v>
      </c>
      <c r="E348" s="187" t="s">
        <v>23</v>
      </c>
      <c r="F348" s="194"/>
      <c r="G348" s="194">
        <v>20</v>
      </c>
      <c r="H348" s="163"/>
      <c r="I348" s="163"/>
      <c r="J348" s="164" t="s">
        <v>2791</v>
      </c>
      <c r="K348" s="179">
        <v>126</v>
      </c>
      <c r="L348" s="163">
        <v>21</v>
      </c>
      <c r="M348" s="163">
        <v>0.33660000000000001</v>
      </c>
      <c r="N348" s="163">
        <v>1.2350000000000001</v>
      </c>
      <c r="O348" s="163">
        <v>42.4116</v>
      </c>
      <c r="P348" s="163">
        <v>155.61000000000001</v>
      </c>
      <c r="Q348" s="163">
        <v>5.51</v>
      </c>
      <c r="R348" s="163">
        <v>115.45</v>
      </c>
      <c r="S348" s="163">
        <v>343</v>
      </c>
      <c r="T348" s="163">
        <v>14547.18</v>
      </c>
      <c r="U348" s="163"/>
      <c r="V348" s="163"/>
    </row>
    <row r="349" spans="1:22" ht="15.75" customHeight="1" x14ac:dyDescent="0.25">
      <c r="A349" s="167" t="s">
        <v>2792</v>
      </c>
      <c r="B349" s="163" t="s">
        <v>13</v>
      </c>
      <c r="C349" s="162" t="s">
        <v>548</v>
      </c>
      <c r="D349" s="168">
        <v>44643</v>
      </c>
      <c r="E349" s="194" t="s">
        <v>23</v>
      </c>
      <c r="F349" s="194"/>
      <c r="G349" s="194"/>
      <c r="H349" s="162"/>
      <c r="I349" s="162"/>
      <c r="J349" s="169" t="s">
        <v>2048</v>
      </c>
      <c r="K349" s="149" t="s">
        <v>2796</v>
      </c>
      <c r="L349" s="162">
        <v>300</v>
      </c>
      <c r="M349" s="162"/>
      <c r="N349" s="162"/>
      <c r="O349" s="162"/>
      <c r="P349" s="162"/>
      <c r="Q349" s="162"/>
      <c r="R349" s="162"/>
      <c r="S349" s="162"/>
      <c r="T349" s="162" t="s">
        <v>2797</v>
      </c>
      <c r="U349" s="162"/>
      <c r="V349" s="162"/>
    </row>
    <row r="350" spans="1:22" ht="15.75" customHeight="1" x14ac:dyDescent="0.25">
      <c r="A350" s="167" t="s">
        <v>2792</v>
      </c>
      <c r="B350" s="163" t="s">
        <v>13</v>
      </c>
      <c r="C350" s="162" t="s">
        <v>548</v>
      </c>
      <c r="D350" s="168">
        <v>44643</v>
      </c>
      <c r="E350" s="187" t="s">
        <v>23</v>
      </c>
      <c r="F350" s="194"/>
      <c r="G350" s="194"/>
      <c r="H350" s="163"/>
      <c r="I350" s="163"/>
      <c r="J350" s="164" t="s">
        <v>2110</v>
      </c>
      <c r="K350" s="150" t="s">
        <v>2793</v>
      </c>
      <c r="L350" s="163">
        <v>551</v>
      </c>
      <c r="M350" s="163"/>
      <c r="N350" s="163"/>
      <c r="O350" s="163"/>
      <c r="P350" s="163"/>
      <c r="Q350" s="163"/>
      <c r="R350" s="163"/>
      <c r="S350" s="163"/>
      <c r="T350" s="163" t="s">
        <v>2794</v>
      </c>
      <c r="U350" s="163"/>
      <c r="V350" s="163"/>
    </row>
    <row r="351" spans="1:22" ht="15.75" customHeight="1" x14ac:dyDescent="0.25">
      <c r="A351" s="171">
        <v>141</v>
      </c>
      <c r="B351" s="163" t="s">
        <v>13</v>
      </c>
      <c r="C351" s="163" t="s">
        <v>595</v>
      </c>
      <c r="D351" s="168">
        <v>44643</v>
      </c>
      <c r="E351" s="187" t="s">
        <v>23</v>
      </c>
      <c r="F351" s="187"/>
      <c r="G351" s="187"/>
      <c r="H351" s="163"/>
      <c r="I351" s="163"/>
      <c r="J351" s="164" t="s">
        <v>2795</v>
      </c>
      <c r="K351" s="179">
        <v>180</v>
      </c>
      <c r="L351" s="163">
        <v>30</v>
      </c>
      <c r="M351" s="163">
        <v>0.1479</v>
      </c>
      <c r="N351" s="163">
        <v>0.40899999999999997</v>
      </c>
      <c r="O351" s="163">
        <v>26.622</v>
      </c>
      <c r="P351" s="163">
        <v>73.62</v>
      </c>
      <c r="Q351" s="163">
        <v>3.46</v>
      </c>
      <c r="R351" s="163">
        <v>50.73</v>
      </c>
      <c r="S351" s="163">
        <v>343</v>
      </c>
      <c r="T351" s="163">
        <v>9131.4</v>
      </c>
      <c r="U351" s="163"/>
      <c r="V351" s="163"/>
    </row>
    <row r="352" spans="1:22" ht="15.75" customHeight="1" x14ac:dyDescent="0.25">
      <c r="A352" s="167">
        <v>145</v>
      </c>
      <c r="B352" s="163" t="s">
        <v>13</v>
      </c>
      <c r="C352" s="162" t="s">
        <v>30</v>
      </c>
      <c r="D352" s="168">
        <v>44644</v>
      </c>
      <c r="E352" s="194" t="s">
        <v>23</v>
      </c>
      <c r="F352" s="194"/>
      <c r="G352" s="194"/>
      <c r="H352" s="162"/>
      <c r="I352" s="162"/>
      <c r="J352" s="169" t="s">
        <v>215</v>
      </c>
      <c r="K352" s="149"/>
      <c r="L352" s="162">
        <v>8</v>
      </c>
      <c r="M352" s="162"/>
      <c r="N352" s="162"/>
      <c r="O352" s="162"/>
      <c r="P352" s="162"/>
      <c r="Q352" s="162"/>
      <c r="R352" s="162"/>
      <c r="S352" s="162"/>
      <c r="T352" s="162" t="s">
        <v>195</v>
      </c>
      <c r="U352" s="162"/>
      <c r="V352" s="162"/>
    </row>
    <row r="353" spans="1:22" ht="15.75" customHeight="1" x14ac:dyDescent="0.25">
      <c r="A353" s="167">
        <v>145</v>
      </c>
      <c r="B353" s="163" t="s">
        <v>13</v>
      </c>
      <c r="C353" s="162" t="s">
        <v>30</v>
      </c>
      <c r="D353" s="168">
        <v>44644</v>
      </c>
      <c r="E353" s="194" t="s">
        <v>23</v>
      </c>
      <c r="F353" s="194"/>
      <c r="G353" s="194"/>
      <c r="H353" s="162"/>
      <c r="I353" s="162"/>
      <c r="J353" s="169" t="s">
        <v>216</v>
      </c>
      <c r="K353" s="149"/>
      <c r="L353" s="162">
        <v>8</v>
      </c>
      <c r="M353" s="162"/>
      <c r="N353" s="162"/>
      <c r="O353" s="162"/>
      <c r="P353" s="162"/>
      <c r="Q353" s="162"/>
      <c r="R353" s="162"/>
      <c r="S353" s="162"/>
      <c r="T353" s="162" t="s">
        <v>1338</v>
      </c>
      <c r="U353" s="162"/>
      <c r="V353" s="162"/>
    </row>
    <row r="354" spans="1:22" ht="15.75" customHeight="1" x14ac:dyDescent="0.25">
      <c r="A354" s="167">
        <v>145</v>
      </c>
      <c r="B354" s="163" t="s">
        <v>13</v>
      </c>
      <c r="C354" s="162" t="s">
        <v>30</v>
      </c>
      <c r="D354" s="168">
        <v>44644</v>
      </c>
      <c r="E354" s="194" t="s">
        <v>23</v>
      </c>
      <c r="F354" s="194"/>
      <c r="G354" s="194"/>
      <c r="H354" s="162"/>
      <c r="I354" s="162"/>
      <c r="J354" s="169" t="s">
        <v>219</v>
      </c>
      <c r="K354" s="149"/>
      <c r="L354" s="162">
        <v>8</v>
      </c>
      <c r="M354" s="162"/>
      <c r="N354" s="162"/>
      <c r="O354" s="162"/>
      <c r="P354" s="162"/>
      <c r="Q354" s="162"/>
      <c r="R354" s="162"/>
      <c r="S354" s="162"/>
      <c r="T354" s="162" t="s">
        <v>807</v>
      </c>
      <c r="U354" s="162"/>
      <c r="V354" s="162"/>
    </row>
    <row r="355" spans="1:22" ht="15.75" customHeight="1" x14ac:dyDescent="0.25">
      <c r="A355" s="167">
        <v>145</v>
      </c>
      <c r="B355" s="163" t="s">
        <v>13</v>
      </c>
      <c r="C355" s="162" t="s">
        <v>30</v>
      </c>
      <c r="D355" s="168">
        <v>44644</v>
      </c>
      <c r="E355" s="194" t="s">
        <v>23</v>
      </c>
      <c r="F355" s="194"/>
      <c r="G355" s="194"/>
      <c r="H355" s="162"/>
      <c r="I355" s="162"/>
      <c r="J355" s="169" t="s">
        <v>220</v>
      </c>
      <c r="K355" s="149"/>
      <c r="L355" s="162">
        <v>8</v>
      </c>
      <c r="M355" s="162"/>
      <c r="N355" s="162"/>
      <c r="O355" s="162"/>
      <c r="P355" s="162"/>
      <c r="Q355" s="162"/>
      <c r="R355" s="162"/>
      <c r="S355" s="162"/>
      <c r="T355" s="162" t="s">
        <v>470</v>
      </c>
      <c r="U355" s="162"/>
      <c r="V355" s="162"/>
    </row>
    <row r="356" spans="1:22" ht="15.75" customHeight="1" x14ac:dyDescent="0.25">
      <c r="A356" s="167">
        <v>145</v>
      </c>
      <c r="B356" s="163" t="s">
        <v>13</v>
      </c>
      <c r="C356" s="162" t="s">
        <v>30</v>
      </c>
      <c r="D356" s="168">
        <v>44644</v>
      </c>
      <c r="E356" s="194" t="s">
        <v>23</v>
      </c>
      <c r="F356" s="194"/>
      <c r="G356" s="194"/>
      <c r="H356" s="163"/>
      <c r="I356" s="163"/>
      <c r="J356" s="164" t="s">
        <v>214</v>
      </c>
      <c r="K356" s="150"/>
      <c r="L356" s="163">
        <v>8</v>
      </c>
      <c r="M356" s="163"/>
      <c r="N356" s="163"/>
      <c r="O356" s="163"/>
      <c r="P356" s="163"/>
      <c r="Q356" s="163"/>
      <c r="R356" s="163"/>
      <c r="S356" s="163"/>
      <c r="T356" s="163" t="s">
        <v>434</v>
      </c>
      <c r="U356" s="163"/>
      <c r="V356" s="163"/>
    </row>
    <row r="357" spans="1:22" ht="15.75" customHeight="1" x14ac:dyDescent="0.25">
      <c r="A357" s="167">
        <v>146</v>
      </c>
      <c r="B357" s="163" t="s">
        <v>13</v>
      </c>
      <c r="C357" s="162" t="s">
        <v>30</v>
      </c>
      <c r="D357" s="168">
        <v>44644</v>
      </c>
      <c r="E357" s="194" t="s">
        <v>23</v>
      </c>
      <c r="F357" s="194"/>
      <c r="G357" s="194"/>
      <c r="H357" s="162"/>
      <c r="I357" s="162"/>
      <c r="J357" s="169" t="s">
        <v>742</v>
      </c>
      <c r="K357" s="149"/>
      <c r="L357" s="162">
        <v>8</v>
      </c>
      <c r="M357" s="162"/>
      <c r="N357" s="162"/>
      <c r="O357" s="162"/>
      <c r="P357" s="162"/>
      <c r="Q357" s="162"/>
      <c r="R357" s="162"/>
      <c r="S357" s="162"/>
      <c r="T357" s="162"/>
      <c r="U357" s="162"/>
      <c r="V357" s="162"/>
    </row>
    <row r="358" spans="1:22" ht="15.75" customHeight="1" x14ac:dyDescent="0.25">
      <c r="A358" s="167">
        <v>146</v>
      </c>
      <c r="B358" s="163" t="s">
        <v>13</v>
      </c>
      <c r="C358" s="162" t="s">
        <v>30</v>
      </c>
      <c r="D358" s="168">
        <v>44644</v>
      </c>
      <c r="E358" s="194" t="s">
        <v>23</v>
      </c>
      <c r="F358" s="194"/>
      <c r="G358" s="194"/>
      <c r="H358" s="162"/>
      <c r="I358" s="162"/>
      <c r="J358" s="169" t="s">
        <v>731</v>
      </c>
      <c r="K358" s="149"/>
      <c r="L358" s="162">
        <v>20</v>
      </c>
      <c r="M358" s="162"/>
      <c r="N358" s="162"/>
      <c r="O358" s="162"/>
      <c r="P358" s="162"/>
      <c r="Q358" s="162"/>
      <c r="R358" s="162"/>
      <c r="S358" s="162"/>
      <c r="T358" s="162"/>
      <c r="U358" s="162"/>
      <c r="V358" s="162"/>
    </row>
    <row r="359" spans="1:22" ht="15.75" customHeight="1" x14ac:dyDescent="0.25">
      <c r="A359" s="167">
        <v>146</v>
      </c>
      <c r="B359" s="163" t="s">
        <v>13</v>
      </c>
      <c r="C359" s="162" t="s">
        <v>30</v>
      </c>
      <c r="D359" s="168">
        <v>44644</v>
      </c>
      <c r="E359" s="194" t="s">
        <v>23</v>
      </c>
      <c r="F359" s="194"/>
      <c r="G359" s="194"/>
      <c r="H359" s="162"/>
      <c r="I359" s="162"/>
      <c r="J359" s="169" t="s">
        <v>744</v>
      </c>
      <c r="K359" s="149"/>
      <c r="L359" s="162">
        <v>88</v>
      </c>
      <c r="M359" s="162"/>
      <c r="N359" s="162"/>
      <c r="O359" s="162"/>
      <c r="P359" s="162"/>
      <c r="Q359" s="162"/>
      <c r="R359" s="162"/>
      <c r="S359" s="162"/>
      <c r="T359" s="162"/>
      <c r="U359" s="162"/>
      <c r="V359" s="162"/>
    </row>
    <row r="360" spans="1:22" ht="15.75" customHeight="1" x14ac:dyDescent="0.25">
      <c r="A360" s="167">
        <v>146</v>
      </c>
      <c r="B360" s="163" t="s">
        <v>13</v>
      </c>
      <c r="C360" s="162" t="s">
        <v>30</v>
      </c>
      <c r="D360" s="168">
        <v>44644</v>
      </c>
      <c r="E360" s="194" t="s">
        <v>23</v>
      </c>
      <c r="F360" s="194"/>
      <c r="G360" s="194"/>
      <c r="H360" s="162"/>
      <c r="I360" s="162"/>
      <c r="J360" s="169" t="s">
        <v>733</v>
      </c>
      <c r="K360" s="149"/>
      <c r="L360" s="162">
        <v>8</v>
      </c>
      <c r="M360" s="162"/>
      <c r="N360" s="162"/>
      <c r="O360" s="162"/>
      <c r="P360" s="162"/>
      <c r="Q360" s="162"/>
      <c r="R360" s="162"/>
      <c r="S360" s="162"/>
      <c r="T360" s="162"/>
      <c r="U360" s="162"/>
      <c r="V360" s="162"/>
    </row>
    <row r="361" spans="1:22" ht="15.75" customHeight="1" x14ac:dyDescent="0.25">
      <c r="A361" s="167">
        <v>146</v>
      </c>
      <c r="B361" s="163" t="s">
        <v>13</v>
      </c>
      <c r="C361" s="162" t="s">
        <v>30</v>
      </c>
      <c r="D361" s="168">
        <v>44644</v>
      </c>
      <c r="E361" s="194" t="s">
        <v>23</v>
      </c>
      <c r="F361" s="194"/>
      <c r="G361" s="194"/>
      <c r="H361" s="162"/>
      <c r="I361" s="162"/>
      <c r="J361" s="169" t="s">
        <v>1255</v>
      </c>
      <c r="K361" s="149"/>
      <c r="L361" s="162">
        <v>8</v>
      </c>
      <c r="M361" s="162"/>
      <c r="N361" s="162"/>
      <c r="O361" s="162"/>
      <c r="P361" s="162"/>
      <c r="Q361" s="162"/>
      <c r="R361" s="162"/>
      <c r="S361" s="162"/>
      <c r="T361" s="162"/>
      <c r="U361" s="162"/>
      <c r="V361" s="162"/>
    </row>
    <row r="362" spans="1:22" ht="15.75" customHeight="1" x14ac:dyDescent="0.25">
      <c r="A362" s="167">
        <v>146</v>
      </c>
      <c r="B362" s="163" t="s">
        <v>13</v>
      </c>
      <c r="C362" s="162" t="s">
        <v>30</v>
      </c>
      <c r="D362" s="168">
        <v>44644</v>
      </c>
      <c r="E362" s="194" t="s">
        <v>23</v>
      </c>
      <c r="F362" s="194"/>
      <c r="G362" s="194"/>
      <c r="H362" s="162"/>
      <c r="I362" s="162"/>
      <c r="J362" s="169" t="s">
        <v>739</v>
      </c>
      <c r="K362" s="149"/>
      <c r="L362" s="162">
        <v>4</v>
      </c>
      <c r="M362" s="162"/>
      <c r="N362" s="162"/>
      <c r="O362" s="162"/>
      <c r="P362" s="162"/>
      <c r="Q362" s="162"/>
      <c r="R362" s="162"/>
      <c r="S362" s="162"/>
      <c r="T362" s="162"/>
      <c r="U362" s="162"/>
      <c r="V362" s="162"/>
    </row>
    <row r="363" spans="1:22" ht="15.75" customHeight="1" x14ac:dyDescent="0.25">
      <c r="A363" s="167">
        <v>146</v>
      </c>
      <c r="B363" s="163" t="s">
        <v>13</v>
      </c>
      <c r="C363" s="162" t="s">
        <v>30</v>
      </c>
      <c r="D363" s="168">
        <v>44644</v>
      </c>
      <c r="E363" s="194" t="s">
        <v>23</v>
      </c>
      <c r="F363" s="194"/>
      <c r="G363" s="194"/>
      <c r="H363" s="162"/>
      <c r="I363" s="162"/>
      <c r="J363" s="169" t="s">
        <v>740</v>
      </c>
      <c r="K363" s="149"/>
      <c r="L363" s="162">
        <v>28</v>
      </c>
      <c r="M363" s="162"/>
      <c r="N363" s="162"/>
      <c r="O363" s="162"/>
      <c r="P363" s="162"/>
      <c r="Q363" s="162"/>
      <c r="R363" s="162"/>
      <c r="S363" s="162"/>
      <c r="T363" s="162"/>
      <c r="U363" s="162"/>
      <c r="V363" s="162"/>
    </row>
    <row r="364" spans="1:22" ht="15.75" customHeight="1" x14ac:dyDescent="0.25">
      <c r="A364" s="167">
        <v>146</v>
      </c>
      <c r="B364" s="163" t="s">
        <v>13</v>
      </c>
      <c r="C364" s="162" t="s">
        <v>30</v>
      </c>
      <c r="D364" s="168">
        <v>44644</v>
      </c>
      <c r="E364" s="194" t="s">
        <v>23</v>
      </c>
      <c r="F364" s="194"/>
      <c r="G364" s="194"/>
      <c r="H364" s="162"/>
      <c r="I364" s="162"/>
      <c r="J364" s="169" t="s">
        <v>1243</v>
      </c>
      <c r="K364" s="149"/>
      <c r="L364" s="162">
        <v>4</v>
      </c>
      <c r="M364" s="162"/>
      <c r="N364" s="162"/>
      <c r="O364" s="162"/>
      <c r="P364" s="162"/>
      <c r="Q364" s="162"/>
      <c r="R364" s="162"/>
      <c r="S364" s="162"/>
      <c r="T364" s="162"/>
      <c r="U364" s="162"/>
      <c r="V364" s="162"/>
    </row>
    <row r="365" spans="1:22" ht="15.75" customHeight="1" x14ac:dyDescent="0.25">
      <c r="A365" s="167">
        <v>146</v>
      </c>
      <c r="B365" s="163" t="s">
        <v>13</v>
      </c>
      <c r="C365" s="162" t="s">
        <v>30</v>
      </c>
      <c r="D365" s="168">
        <v>44644</v>
      </c>
      <c r="E365" s="194" t="s">
        <v>23</v>
      </c>
      <c r="F365" s="194"/>
      <c r="G365" s="194"/>
      <c r="H365" s="162"/>
      <c r="I365" s="162"/>
      <c r="J365" s="169" t="s">
        <v>741</v>
      </c>
      <c r="K365" s="149"/>
      <c r="L365" s="162">
        <v>24</v>
      </c>
      <c r="M365" s="162"/>
      <c r="N365" s="162"/>
      <c r="O365" s="162"/>
      <c r="P365" s="162"/>
      <c r="Q365" s="162"/>
      <c r="R365" s="162"/>
      <c r="S365" s="162"/>
      <c r="T365" s="162"/>
      <c r="U365" s="162"/>
      <c r="V365" s="162"/>
    </row>
    <row r="366" spans="1:22" ht="15.75" customHeight="1" x14ac:dyDescent="0.25">
      <c r="A366" s="167">
        <v>146</v>
      </c>
      <c r="B366" s="163" t="s">
        <v>13</v>
      </c>
      <c r="C366" s="162" t="s">
        <v>30</v>
      </c>
      <c r="D366" s="168">
        <v>44644</v>
      </c>
      <c r="E366" s="194" t="s">
        <v>23</v>
      </c>
      <c r="F366" s="194"/>
      <c r="G366" s="194"/>
      <c r="H366" s="163"/>
      <c r="I366" s="163"/>
      <c r="J366" s="164" t="s">
        <v>2728</v>
      </c>
      <c r="K366" s="150"/>
      <c r="L366" s="163">
        <v>172</v>
      </c>
      <c r="M366" s="163"/>
      <c r="N366" s="163"/>
      <c r="O366" s="163"/>
      <c r="P366" s="163"/>
      <c r="Q366" s="163"/>
      <c r="R366" s="163"/>
      <c r="S366" s="163"/>
      <c r="T366" s="163"/>
      <c r="U366" s="163"/>
      <c r="V366" s="163"/>
    </row>
    <row r="367" spans="1:22" ht="30.75" customHeight="1" x14ac:dyDescent="0.25">
      <c r="A367" s="171" t="s">
        <v>2799</v>
      </c>
      <c r="B367" s="163" t="s">
        <v>13</v>
      </c>
      <c r="C367" s="163" t="s">
        <v>15</v>
      </c>
      <c r="D367" s="172">
        <v>44645</v>
      </c>
      <c r="E367" s="187" t="s">
        <v>23</v>
      </c>
      <c r="F367" s="187"/>
      <c r="G367" s="187"/>
      <c r="H367" s="163"/>
      <c r="I367" s="163"/>
      <c r="J367" s="164" t="s">
        <v>2786</v>
      </c>
      <c r="K367" s="145"/>
      <c r="L367" s="163">
        <v>48</v>
      </c>
      <c r="M367" s="163"/>
      <c r="N367" s="163"/>
      <c r="O367" s="163"/>
      <c r="P367" s="163"/>
      <c r="Q367" s="163"/>
      <c r="R367" s="163"/>
      <c r="S367" s="163"/>
      <c r="T367" s="163">
        <v>40450</v>
      </c>
      <c r="U367" s="163"/>
      <c r="V367" s="163"/>
    </row>
    <row r="368" spans="1:22" s="14" customFormat="1" ht="15.75" customHeight="1" x14ac:dyDescent="0.25">
      <c r="A368" s="141" t="s">
        <v>2804</v>
      </c>
      <c r="B368" s="142" t="s">
        <v>34</v>
      </c>
      <c r="C368" s="142" t="s">
        <v>576</v>
      </c>
      <c r="D368" s="143">
        <v>44645</v>
      </c>
      <c r="E368" s="187" t="s">
        <v>23</v>
      </c>
      <c r="F368" s="194"/>
      <c r="G368" s="194"/>
      <c r="H368" s="142"/>
      <c r="I368" s="142"/>
      <c r="J368" s="144" t="s">
        <v>2800</v>
      </c>
      <c r="K368" s="142" t="s">
        <v>2805</v>
      </c>
      <c r="L368" s="142"/>
      <c r="M368" s="142"/>
      <c r="N368" s="142"/>
      <c r="O368" s="142"/>
      <c r="P368" s="142"/>
      <c r="Q368" s="142"/>
      <c r="R368" s="142" t="s">
        <v>2807</v>
      </c>
      <c r="S368" s="142">
        <v>2028.47</v>
      </c>
      <c r="T368" s="142" t="s">
        <v>2818</v>
      </c>
      <c r="U368" s="142"/>
      <c r="V368" s="142"/>
    </row>
    <row r="369" spans="1:22" s="14" customFormat="1" ht="15.75" customHeight="1" x14ac:dyDescent="0.25">
      <c r="A369" s="141" t="s">
        <v>2804</v>
      </c>
      <c r="B369" s="142" t="s">
        <v>34</v>
      </c>
      <c r="C369" s="142" t="s">
        <v>576</v>
      </c>
      <c r="D369" s="143">
        <v>44645</v>
      </c>
      <c r="E369" s="187" t="s">
        <v>23</v>
      </c>
      <c r="F369" s="194"/>
      <c r="G369" s="194"/>
      <c r="H369" s="142"/>
      <c r="I369" s="142"/>
      <c r="J369" s="144" t="s">
        <v>2801</v>
      </c>
      <c r="K369" s="142" t="s">
        <v>2806</v>
      </c>
      <c r="L369" s="142"/>
      <c r="M369" s="142"/>
      <c r="N369" s="142"/>
      <c r="O369" s="142"/>
      <c r="P369" s="142"/>
      <c r="Q369" s="142"/>
      <c r="R369" s="142" t="s">
        <v>2808</v>
      </c>
      <c r="S369" s="142">
        <v>833.38</v>
      </c>
      <c r="T369" s="142" t="s">
        <v>2819</v>
      </c>
      <c r="U369" s="142"/>
      <c r="V369" s="142"/>
    </row>
    <row r="370" spans="1:22" s="14" customFormat="1" ht="15.75" customHeight="1" x14ac:dyDescent="0.25">
      <c r="A370" s="141" t="s">
        <v>2804</v>
      </c>
      <c r="B370" s="142" t="s">
        <v>34</v>
      </c>
      <c r="C370" s="142" t="s">
        <v>576</v>
      </c>
      <c r="D370" s="143">
        <v>44645</v>
      </c>
      <c r="E370" s="187" t="s">
        <v>23</v>
      </c>
      <c r="F370" s="194"/>
      <c r="G370" s="194"/>
      <c r="H370" s="142"/>
      <c r="I370" s="142"/>
      <c r="J370" s="144" t="s">
        <v>2802</v>
      </c>
      <c r="K370" s="142" t="s">
        <v>2805</v>
      </c>
      <c r="L370" s="142"/>
      <c r="M370" s="142"/>
      <c r="N370" s="142"/>
      <c r="O370" s="142"/>
      <c r="P370" s="142"/>
      <c r="Q370" s="142"/>
      <c r="R370" s="142" t="s">
        <v>2809</v>
      </c>
      <c r="S370" s="142">
        <v>2419.2800000000002</v>
      </c>
      <c r="T370" s="142" t="s">
        <v>2820</v>
      </c>
      <c r="U370" s="142"/>
      <c r="V370" s="142"/>
    </row>
    <row r="371" spans="1:22" s="14" customFormat="1" ht="15.75" customHeight="1" x14ac:dyDescent="0.25">
      <c r="A371" s="141" t="s">
        <v>2804</v>
      </c>
      <c r="B371" s="142" t="s">
        <v>34</v>
      </c>
      <c r="C371" s="142" t="s">
        <v>576</v>
      </c>
      <c r="D371" s="143">
        <v>44645</v>
      </c>
      <c r="E371" s="187" t="s">
        <v>23</v>
      </c>
      <c r="F371" s="194"/>
      <c r="G371" s="194"/>
      <c r="H371" s="145"/>
      <c r="I371" s="145"/>
      <c r="J371" s="146" t="s">
        <v>2803</v>
      </c>
      <c r="K371" s="145" t="s">
        <v>2806</v>
      </c>
      <c r="L371" s="145"/>
      <c r="M371" s="145"/>
      <c r="N371" s="145"/>
      <c r="O371" s="145"/>
      <c r="P371" s="145"/>
      <c r="Q371" s="145"/>
      <c r="R371" s="145" t="s">
        <v>2810</v>
      </c>
      <c r="S371" s="145">
        <v>993.94</v>
      </c>
      <c r="T371" s="145" t="s">
        <v>2821</v>
      </c>
      <c r="U371" s="145"/>
      <c r="V371" s="145"/>
    </row>
    <row r="372" spans="1:22" s="14" customFormat="1" ht="15.75" customHeight="1" x14ac:dyDescent="0.25">
      <c r="A372" s="141" t="s">
        <v>2811</v>
      </c>
      <c r="B372" s="142" t="s">
        <v>34</v>
      </c>
      <c r="C372" s="142" t="s">
        <v>576</v>
      </c>
      <c r="D372" s="143">
        <v>44645</v>
      </c>
      <c r="E372" s="187" t="s">
        <v>23</v>
      </c>
      <c r="F372" s="194"/>
      <c r="G372" s="194"/>
      <c r="H372" s="142" t="s">
        <v>2812</v>
      </c>
      <c r="I372" s="142"/>
      <c r="J372" s="144" t="s">
        <v>1988</v>
      </c>
      <c r="K372" s="142" t="s">
        <v>2813</v>
      </c>
      <c r="L372" s="142"/>
      <c r="M372" s="142"/>
      <c r="N372" s="142"/>
      <c r="O372" s="142"/>
      <c r="P372" s="142"/>
      <c r="Q372" s="142"/>
      <c r="R372" s="142" t="s">
        <v>2814</v>
      </c>
      <c r="S372" s="142"/>
      <c r="T372" s="142" t="s">
        <v>2816</v>
      </c>
      <c r="U372" s="142"/>
      <c r="V372" s="142"/>
    </row>
    <row r="373" spans="1:22" s="14" customFormat="1" ht="15.75" customHeight="1" x14ac:dyDescent="0.25">
      <c r="A373" s="141" t="s">
        <v>2811</v>
      </c>
      <c r="B373" s="142" t="s">
        <v>34</v>
      </c>
      <c r="C373" s="142" t="s">
        <v>576</v>
      </c>
      <c r="D373" s="143">
        <v>44645</v>
      </c>
      <c r="E373" s="187" t="s">
        <v>23</v>
      </c>
      <c r="F373" s="194"/>
      <c r="G373" s="194"/>
      <c r="H373" s="142" t="s">
        <v>2812</v>
      </c>
      <c r="I373" s="145"/>
      <c r="J373" s="146" t="s">
        <v>1700</v>
      </c>
      <c r="K373" s="145" t="s">
        <v>2294</v>
      </c>
      <c r="L373" s="145"/>
      <c r="M373" s="145"/>
      <c r="N373" s="145"/>
      <c r="O373" s="145"/>
      <c r="P373" s="145"/>
      <c r="Q373" s="145"/>
      <c r="R373" s="145" t="s">
        <v>2815</v>
      </c>
      <c r="S373" s="145"/>
      <c r="T373" s="145" t="s">
        <v>2817</v>
      </c>
      <c r="U373" s="145"/>
      <c r="V373" s="145"/>
    </row>
    <row r="374" spans="1:22" ht="30.75" customHeight="1" x14ac:dyDescent="0.25">
      <c r="A374" s="171" t="s">
        <v>2824</v>
      </c>
      <c r="B374" s="163" t="s">
        <v>13</v>
      </c>
      <c r="C374" s="163" t="s">
        <v>15</v>
      </c>
      <c r="D374" s="172">
        <v>44648</v>
      </c>
      <c r="E374" s="187" t="s">
        <v>23</v>
      </c>
      <c r="F374" s="187"/>
      <c r="G374" s="187"/>
      <c r="H374" s="163"/>
      <c r="I374" s="163"/>
      <c r="J374" s="164" t="s">
        <v>2825</v>
      </c>
      <c r="K374" s="145"/>
      <c r="L374" s="163">
        <v>48</v>
      </c>
      <c r="M374" s="163"/>
      <c r="N374" s="163"/>
      <c r="O374" s="163"/>
      <c r="P374" s="163"/>
      <c r="Q374" s="163"/>
      <c r="R374" s="163"/>
      <c r="S374" s="163"/>
      <c r="T374" s="163">
        <v>32600</v>
      </c>
      <c r="U374" s="163"/>
      <c r="V374" s="163"/>
    </row>
    <row r="375" spans="1:22" s="14" customFormat="1" ht="15.75" customHeight="1" x14ac:dyDescent="0.25">
      <c r="A375" s="147">
        <v>145</v>
      </c>
      <c r="B375" s="145" t="s">
        <v>34</v>
      </c>
      <c r="C375" s="145" t="s">
        <v>328</v>
      </c>
      <c r="D375" s="148">
        <v>44648</v>
      </c>
      <c r="E375" s="187" t="s">
        <v>23</v>
      </c>
      <c r="F375" s="187">
        <v>1086</v>
      </c>
      <c r="G375" s="187"/>
      <c r="H375" s="145"/>
      <c r="I375" s="145"/>
      <c r="J375" s="146" t="s">
        <v>2826</v>
      </c>
      <c r="K375" s="145">
        <v>1086</v>
      </c>
      <c r="L375" s="145">
        <v>181</v>
      </c>
      <c r="M375" s="145">
        <v>0.252</v>
      </c>
      <c r="N375" s="145">
        <v>0.70599999999999996</v>
      </c>
      <c r="O375" s="145">
        <v>273.67200000000003</v>
      </c>
      <c r="P375" s="145">
        <v>766.71600000000001</v>
      </c>
      <c r="Q375" s="145">
        <v>35.58</v>
      </c>
      <c r="R375" s="145">
        <v>79.38</v>
      </c>
      <c r="S375" s="145">
        <v>315</v>
      </c>
      <c r="T375" s="145">
        <v>86206.68</v>
      </c>
      <c r="U375" s="145"/>
      <c r="V375" s="145"/>
    </row>
    <row r="376" spans="1:22" ht="15.75" customHeight="1" x14ac:dyDescent="0.25">
      <c r="A376" s="171">
        <v>147</v>
      </c>
      <c r="B376" s="163" t="s">
        <v>13</v>
      </c>
      <c r="C376" s="163" t="s">
        <v>45</v>
      </c>
      <c r="D376" s="172">
        <v>44649</v>
      </c>
      <c r="E376" s="187" t="s">
        <v>23</v>
      </c>
      <c r="F376" s="187"/>
      <c r="G376" s="187"/>
      <c r="H376" s="163"/>
      <c r="I376" s="163"/>
      <c r="J376" s="164" t="s">
        <v>2840</v>
      </c>
      <c r="K376" s="163">
        <v>161.19999999999999</v>
      </c>
      <c r="L376" s="163">
        <v>52</v>
      </c>
      <c r="M376" s="163">
        <v>0.9929</v>
      </c>
      <c r="N376" s="163">
        <v>4.5880000000000001</v>
      </c>
      <c r="O376" s="163">
        <v>160.05549999999999</v>
      </c>
      <c r="P376" s="163">
        <v>739.5856</v>
      </c>
      <c r="Q376" s="163">
        <v>20.81</v>
      </c>
      <c r="R376" s="163">
        <v>312.76</v>
      </c>
      <c r="S376" s="163">
        <v>315</v>
      </c>
      <c r="T376" s="163">
        <v>50417.48</v>
      </c>
      <c r="U376" s="163"/>
      <c r="V376" s="163"/>
    </row>
    <row r="377" spans="1:22" ht="15.75" customHeight="1" x14ac:dyDescent="0.25">
      <c r="A377" s="171">
        <v>148</v>
      </c>
      <c r="B377" s="163" t="s">
        <v>13</v>
      </c>
      <c r="C377" s="163" t="s">
        <v>1610</v>
      </c>
      <c r="D377" s="172">
        <v>44649</v>
      </c>
      <c r="E377" s="187" t="s">
        <v>23</v>
      </c>
      <c r="F377" s="187"/>
      <c r="G377" s="187">
        <v>1329</v>
      </c>
      <c r="H377" s="163"/>
      <c r="I377" s="163"/>
      <c r="J377" s="164" t="s">
        <v>38</v>
      </c>
      <c r="K377" s="179">
        <v>4002</v>
      </c>
      <c r="L377" s="163">
        <v>1334</v>
      </c>
      <c r="M377" s="163">
        <v>6.4500000000000002E-2</v>
      </c>
      <c r="N377" s="163">
        <v>8.5000000000000006E-2</v>
      </c>
      <c r="O377" s="163">
        <v>258.12900000000002</v>
      </c>
      <c r="P377" s="163">
        <v>340.17</v>
      </c>
      <c r="Q377" s="163">
        <v>33.56</v>
      </c>
      <c r="R377" s="163">
        <v>18.38</v>
      </c>
      <c r="S377" s="163">
        <v>285</v>
      </c>
      <c r="T377" s="163">
        <v>73566.77</v>
      </c>
      <c r="U377" s="163"/>
      <c r="V377" s="163"/>
    </row>
    <row r="378" spans="1:22" ht="15.75" customHeight="1" x14ac:dyDescent="0.25">
      <c r="A378" s="171">
        <v>149</v>
      </c>
      <c r="B378" s="163" t="s">
        <v>13</v>
      </c>
      <c r="C378" s="163" t="s">
        <v>625</v>
      </c>
      <c r="D378" s="172">
        <v>44649</v>
      </c>
      <c r="E378" s="187" t="s">
        <v>23</v>
      </c>
      <c r="F378" s="187">
        <f>168+112+176</f>
        <v>456</v>
      </c>
      <c r="G378" s="187"/>
      <c r="H378" s="163"/>
      <c r="I378" s="163"/>
      <c r="J378" s="164" t="s">
        <v>681</v>
      </c>
      <c r="K378" s="163">
        <v>2143.1999999999998</v>
      </c>
      <c r="L378" s="163">
        <v>456</v>
      </c>
      <c r="M378" s="163">
        <v>0.34789999999999999</v>
      </c>
      <c r="N378" s="163">
        <v>1.643</v>
      </c>
      <c r="O378" s="163">
        <v>745.61929999999995</v>
      </c>
      <c r="P378" s="163">
        <v>3521.2775999999999</v>
      </c>
      <c r="Q378" s="163">
        <v>96.93</v>
      </c>
      <c r="R378" s="163">
        <v>74.099999999999994</v>
      </c>
      <c r="S378" s="163">
        <v>213</v>
      </c>
      <c r="T378" s="163">
        <v>158816.91</v>
      </c>
      <c r="U378" s="163"/>
      <c r="V378" s="163"/>
    </row>
    <row r="379" spans="1:22" ht="15.75" customHeight="1" x14ac:dyDescent="0.25">
      <c r="A379" s="171">
        <v>150</v>
      </c>
      <c r="B379" s="163" t="s">
        <v>13</v>
      </c>
      <c r="C379" s="163" t="s">
        <v>625</v>
      </c>
      <c r="D379" s="172">
        <v>44649</v>
      </c>
      <c r="E379" s="187" t="s">
        <v>23</v>
      </c>
      <c r="F379" s="187">
        <v>204</v>
      </c>
      <c r="G379" s="218"/>
      <c r="H379" s="163" t="s">
        <v>559</v>
      </c>
      <c r="I379" s="163"/>
      <c r="J379" s="164" t="s">
        <v>2789</v>
      </c>
      <c r="K379" s="163">
        <v>936</v>
      </c>
      <c r="L379" s="163">
        <v>208</v>
      </c>
      <c r="M379" s="163">
        <v>0.13400000000000001</v>
      </c>
      <c r="N379" s="163">
        <v>0.23200000000000001</v>
      </c>
      <c r="O379" s="163">
        <v>125.42400000000001</v>
      </c>
      <c r="P379" s="163">
        <v>217.15199999999999</v>
      </c>
      <c r="Q379" s="163">
        <v>16.309999999999999</v>
      </c>
      <c r="R379" s="163">
        <v>58.69</v>
      </c>
      <c r="S379" s="163">
        <v>438</v>
      </c>
      <c r="T379" s="163">
        <v>54935.71</v>
      </c>
      <c r="U379" s="163"/>
      <c r="V379" s="163"/>
    </row>
    <row r="380" spans="1:22" s="86" customFormat="1" ht="15.75" customHeight="1" x14ac:dyDescent="0.25">
      <c r="A380" s="158" t="s">
        <v>2952</v>
      </c>
      <c r="B380" s="179" t="s">
        <v>13</v>
      </c>
      <c r="C380" s="159" t="s">
        <v>2953</v>
      </c>
      <c r="D380" s="180">
        <v>44649</v>
      </c>
      <c r="E380" s="209" t="s">
        <v>23</v>
      </c>
      <c r="F380" s="195"/>
      <c r="G380" s="195"/>
      <c r="H380" s="159"/>
      <c r="I380" s="160">
        <v>44774</v>
      </c>
      <c r="J380" s="161" t="s">
        <v>177</v>
      </c>
      <c r="K380" s="159"/>
      <c r="L380" s="159">
        <v>6</v>
      </c>
      <c r="M380" s="159"/>
      <c r="N380" s="159"/>
      <c r="O380" s="159"/>
      <c r="P380" s="159"/>
      <c r="Q380" s="159"/>
      <c r="R380" s="159"/>
      <c r="S380" s="159"/>
      <c r="T380" s="159">
        <v>10900</v>
      </c>
      <c r="U380" s="159"/>
      <c r="V380" s="159"/>
    </row>
    <row r="381" spans="1:22" s="14" customFormat="1" ht="15.75" customHeight="1" x14ac:dyDescent="0.25">
      <c r="A381" s="147">
        <v>151</v>
      </c>
      <c r="B381" s="145" t="s">
        <v>13</v>
      </c>
      <c r="C381" s="145" t="s">
        <v>32</v>
      </c>
      <c r="D381" s="148">
        <v>44649</v>
      </c>
      <c r="E381" s="194" t="s">
        <v>23</v>
      </c>
      <c r="F381" s="241">
        <f>420+408</f>
        <v>828</v>
      </c>
      <c r="G381" s="241"/>
      <c r="H381" s="145" t="s">
        <v>3209</v>
      </c>
      <c r="I381" s="145"/>
      <c r="J381" s="146" t="s">
        <v>2841</v>
      </c>
      <c r="K381" s="145">
        <v>4093.4</v>
      </c>
      <c r="L381" s="145">
        <v>844</v>
      </c>
      <c r="M381" s="145">
        <v>9.5600000000000004E-2</v>
      </c>
      <c r="N381" s="145">
        <v>0.16</v>
      </c>
      <c r="O381" s="145">
        <v>391.32900000000001</v>
      </c>
      <c r="P381" s="145">
        <v>654.94399999999996</v>
      </c>
      <c r="Q381" s="145">
        <v>50.87</v>
      </c>
      <c r="R381" s="145">
        <v>29.54</v>
      </c>
      <c r="S381" s="145">
        <v>309</v>
      </c>
      <c r="T381" s="145">
        <v>120920.67</v>
      </c>
      <c r="U381" s="145"/>
      <c r="V381" s="145"/>
    </row>
    <row r="382" spans="1:22" ht="15.75" customHeight="1" x14ac:dyDescent="0.25">
      <c r="A382" s="167">
        <v>152</v>
      </c>
      <c r="B382" s="163" t="s">
        <v>13</v>
      </c>
      <c r="C382" s="163" t="s">
        <v>32</v>
      </c>
      <c r="D382" s="172">
        <v>44649</v>
      </c>
      <c r="E382" s="194" t="s">
        <v>23</v>
      </c>
      <c r="F382" s="194"/>
      <c r="G382" s="194"/>
      <c r="H382" s="162"/>
      <c r="I382" s="162"/>
      <c r="J382" s="169" t="s">
        <v>2842</v>
      </c>
      <c r="K382" s="162">
        <v>24</v>
      </c>
      <c r="L382" s="162">
        <v>4</v>
      </c>
      <c r="M382" s="162">
        <v>0.1467</v>
      </c>
      <c r="N382" s="162">
        <v>1.3560000000000001</v>
      </c>
      <c r="O382" s="162">
        <v>3.5207999999999999</v>
      </c>
      <c r="P382" s="162">
        <v>32.543999999999997</v>
      </c>
      <c r="Q382" s="162">
        <v>0.46</v>
      </c>
      <c r="R382" s="162">
        <v>45.33</v>
      </c>
      <c r="S382" s="162">
        <v>309</v>
      </c>
      <c r="T382" s="162">
        <v>1087.93</v>
      </c>
      <c r="U382" s="162"/>
      <c r="V382" s="162"/>
    </row>
    <row r="383" spans="1:22" ht="15.75" customHeight="1" x14ac:dyDescent="0.25">
      <c r="A383" s="167">
        <v>152</v>
      </c>
      <c r="B383" s="163" t="s">
        <v>13</v>
      </c>
      <c r="C383" s="163" t="s">
        <v>32</v>
      </c>
      <c r="D383" s="172">
        <v>44649</v>
      </c>
      <c r="E383" s="194" t="s">
        <v>23</v>
      </c>
      <c r="F383" s="194"/>
      <c r="G383" s="194"/>
      <c r="H383" s="162"/>
      <c r="I383" s="162"/>
      <c r="J383" s="169" t="s">
        <v>2843</v>
      </c>
      <c r="K383" s="162">
        <v>192</v>
      </c>
      <c r="L383" s="162">
        <v>32</v>
      </c>
      <c r="M383" s="162">
        <v>6.3399999999999998E-2</v>
      </c>
      <c r="N383" s="162">
        <v>0.16200000000000001</v>
      </c>
      <c r="O383" s="162">
        <v>12.172800000000001</v>
      </c>
      <c r="P383" s="162">
        <v>31.103999999999999</v>
      </c>
      <c r="Q383" s="162">
        <v>1.58</v>
      </c>
      <c r="R383" s="162">
        <v>19.59</v>
      </c>
      <c r="S383" s="162">
        <v>309</v>
      </c>
      <c r="T383" s="162">
        <v>3761.4</v>
      </c>
      <c r="U383" s="162"/>
      <c r="V383" s="162"/>
    </row>
    <row r="384" spans="1:22" ht="15.75" customHeight="1" x14ac:dyDescent="0.25">
      <c r="A384" s="171">
        <v>152</v>
      </c>
      <c r="B384" s="163" t="s">
        <v>13</v>
      </c>
      <c r="C384" s="163" t="s">
        <v>32</v>
      </c>
      <c r="D384" s="172">
        <v>44649</v>
      </c>
      <c r="E384" s="194" t="s">
        <v>23</v>
      </c>
      <c r="F384" s="194"/>
      <c r="G384" s="194"/>
      <c r="H384" s="163"/>
      <c r="I384" s="163"/>
      <c r="J384" s="164" t="s">
        <v>2844</v>
      </c>
      <c r="K384" s="163">
        <v>192</v>
      </c>
      <c r="L384" s="163">
        <v>32</v>
      </c>
      <c r="M384" s="163">
        <v>6.1400000000000003E-2</v>
      </c>
      <c r="N384" s="163">
        <v>0.157</v>
      </c>
      <c r="O384" s="163">
        <v>11.7888</v>
      </c>
      <c r="P384" s="163">
        <v>30.143999999999998</v>
      </c>
      <c r="Q384" s="163">
        <v>1.53</v>
      </c>
      <c r="R384" s="163">
        <v>18.97</v>
      </c>
      <c r="S384" s="163">
        <v>309</v>
      </c>
      <c r="T384" s="163">
        <v>3642.74</v>
      </c>
      <c r="U384" s="163"/>
      <c r="V384" s="163"/>
    </row>
    <row r="385" spans="1:22" s="14" customFormat="1" ht="15.75" customHeight="1" x14ac:dyDescent="0.25">
      <c r="A385" s="147" t="s">
        <v>2846</v>
      </c>
      <c r="B385" s="145" t="s">
        <v>34</v>
      </c>
      <c r="C385" s="145" t="s">
        <v>16</v>
      </c>
      <c r="D385" s="148">
        <v>44649</v>
      </c>
      <c r="E385" s="187" t="s">
        <v>23</v>
      </c>
      <c r="F385" s="187">
        <v>1932</v>
      </c>
      <c r="G385" s="187"/>
      <c r="H385" s="145" t="s">
        <v>2969</v>
      </c>
      <c r="I385" s="134">
        <v>44683</v>
      </c>
      <c r="J385" s="146" t="s">
        <v>2845</v>
      </c>
      <c r="K385" s="145">
        <v>1962</v>
      </c>
      <c r="L385" s="145">
        <v>327</v>
      </c>
      <c r="M385" s="145">
        <v>0.15909999999999999</v>
      </c>
      <c r="N385" s="145">
        <v>0.26</v>
      </c>
      <c r="O385" s="145">
        <v>312.1542</v>
      </c>
      <c r="P385" s="145">
        <v>510.12</v>
      </c>
      <c r="Q385" s="145">
        <v>40.58</v>
      </c>
      <c r="R385" s="145">
        <v>69.69</v>
      </c>
      <c r="S385" s="145">
        <v>438</v>
      </c>
      <c r="T385" s="145">
        <v>136723.54</v>
      </c>
      <c r="U385" s="145"/>
      <c r="V385" s="145"/>
    </row>
    <row r="386" spans="1:22" s="14" customFormat="1" ht="45.75" customHeight="1" x14ac:dyDescent="0.25">
      <c r="A386" s="147" t="s">
        <v>2848</v>
      </c>
      <c r="B386" s="145" t="s">
        <v>34</v>
      </c>
      <c r="C386" s="145" t="s">
        <v>16</v>
      </c>
      <c r="D386" s="148">
        <v>44649</v>
      </c>
      <c r="E386" s="187" t="s">
        <v>23</v>
      </c>
      <c r="F386" s="187"/>
      <c r="G386" s="187"/>
      <c r="H386" s="264" t="s">
        <v>3219</v>
      </c>
      <c r="I386" s="145"/>
      <c r="J386" s="146" t="s">
        <v>2423</v>
      </c>
      <c r="K386" s="145">
        <v>1878</v>
      </c>
      <c r="L386" s="145">
        <v>313</v>
      </c>
      <c r="M386" s="145">
        <v>0.29970000000000002</v>
      </c>
      <c r="N386" s="145">
        <v>1.6739999999999999</v>
      </c>
      <c r="O386" s="145">
        <v>562.83659999999998</v>
      </c>
      <c r="P386" s="145">
        <v>3143.7719999999999</v>
      </c>
      <c r="Q386" s="145">
        <v>73.17</v>
      </c>
      <c r="R386" s="145">
        <v>102.8</v>
      </c>
      <c r="S386" s="145">
        <v>343</v>
      </c>
      <c r="T386" s="145">
        <v>193052.95</v>
      </c>
      <c r="U386" s="145"/>
      <c r="V386" s="145"/>
    </row>
    <row r="387" spans="1:22" s="14" customFormat="1" ht="15.75" customHeight="1" x14ac:dyDescent="0.25">
      <c r="A387" s="147" t="s">
        <v>2847</v>
      </c>
      <c r="B387" s="145" t="s">
        <v>34</v>
      </c>
      <c r="C387" s="145" t="s">
        <v>16</v>
      </c>
      <c r="D387" s="148">
        <v>44649</v>
      </c>
      <c r="E387" s="187" t="s">
        <v>23</v>
      </c>
      <c r="F387" s="187"/>
      <c r="G387" s="187"/>
      <c r="H387" s="145"/>
      <c r="I387" s="134">
        <v>44683</v>
      </c>
      <c r="J387" s="146" t="s">
        <v>2730</v>
      </c>
      <c r="K387" s="145">
        <v>822</v>
      </c>
      <c r="L387" s="145">
        <v>137</v>
      </c>
      <c r="M387" s="145">
        <v>0.3498</v>
      </c>
      <c r="N387" s="145">
        <v>1.425</v>
      </c>
      <c r="O387" s="145">
        <v>287.53559999999999</v>
      </c>
      <c r="P387" s="145">
        <v>1171.3499999999999</v>
      </c>
      <c r="Q387" s="145">
        <v>37.380000000000003</v>
      </c>
      <c r="R387" s="145">
        <v>119.98</v>
      </c>
      <c r="S387" s="145">
        <v>343</v>
      </c>
      <c r="T387" s="145">
        <v>98624.71</v>
      </c>
      <c r="U387" s="145"/>
      <c r="V387" s="145"/>
    </row>
    <row r="388" spans="1:22" ht="15.75" customHeight="1" x14ac:dyDescent="0.25">
      <c r="A388" s="167">
        <v>163</v>
      </c>
      <c r="B388" s="163" t="s">
        <v>13</v>
      </c>
      <c r="C388" s="162" t="s">
        <v>289</v>
      </c>
      <c r="D388" s="168">
        <v>44651</v>
      </c>
      <c r="E388" s="194" t="s">
        <v>23</v>
      </c>
      <c r="F388" s="194"/>
      <c r="G388" s="194"/>
      <c r="H388" s="162"/>
      <c r="I388" s="162"/>
      <c r="J388" s="169" t="s">
        <v>177</v>
      </c>
      <c r="K388" s="142"/>
      <c r="L388" s="162">
        <v>1</v>
      </c>
      <c r="M388" s="162"/>
      <c r="N388" s="162"/>
      <c r="O388" s="162"/>
      <c r="P388" s="162"/>
      <c r="Q388" s="162"/>
      <c r="R388" s="162"/>
      <c r="S388" s="162"/>
      <c r="T388" s="162" t="s">
        <v>2849</v>
      </c>
      <c r="U388" s="162"/>
      <c r="V388" s="162"/>
    </row>
    <row r="389" spans="1:22" ht="15.75" customHeight="1" x14ac:dyDescent="0.25">
      <c r="A389" s="167">
        <v>163</v>
      </c>
      <c r="B389" s="163" t="s">
        <v>13</v>
      </c>
      <c r="C389" s="162" t="s">
        <v>289</v>
      </c>
      <c r="D389" s="168">
        <v>44651</v>
      </c>
      <c r="E389" s="194" t="s">
        <v>23</v>
      </c>
      <c r="F389" s="194"/>
      <c r="G389" s="194"/>
      <c r="H389" s="162"/>
      <c r="I389" s="162"/>
      <c r="J389" s="169" t="s">
        <v>290</v>
      </c>
      <c r="K389" s="142"/>
      <c r="L389" s="162">
        <v>1</v>
      </c>
      <c r="M389" s="162"/>
      <c r="N389" s="162"/>
      <c r="O389" s="162"/>
      <c r="P389" s="162"/>
      <c r="Q389" s="162"/>
      <c r="R389" s="162"/>
      <c r="S389" s="162"/>
      <c r="T389" s="162" t="s">
        <v>1421</v>
      </c>
      <c r="U389" s="162"/>
      <c r="V389" s="162"/>
    </row>
    <row r="390" spans="1:22" ht="15.75" customHeight="1" x14ac:dyDescent="0.25">
      <c r="A390" s="167">
        <v>163</v>
      </c>
      <c r="B390" s="163" t="s">
        <v>13</v>
      </c>
      <c r="C390" s="162" t="s">
        <v>289</v>
      </c>
      <c r="D390" s="168">
        <v>44651</v>
      </c>
      <c r="E390" s="194" t="s">
        <v>23</v>
      </c>
      <c r="F390" s="194"/>
      <c r="G390" s="194"/>
      <c r="H390" s="163"/>
      <c r="I390" s="163"/>
      <c r="J390" s="164" t="s">
        <v>241</v>
      </c>
      <c r="K390" s="145"/>
      <c r="L390" s="163">
        <v>1</v>
      </c>
      <c r="M390" s="163"/>
      <c r="N390" s="163"/>
      <c r="O390" s="163"/>
      <c r="P390" s="163"/>
      <c r="Q390" s="163"/>
      <c r="R390" s="163"/>
      <c r="S390" s="163"/>
      <c r="T390" s="163" t="s">
        <v>495</v>
      </c>
      <c r="U390" s="163"/>
      <c r="V390" s="163"/>
    </row>
    <row r="391" spans="1:22" ht="15.75" customHeight="1" x14ac:dyDescent="0.25">
      <c r="A391" s="167" t="s">
        <v>2853</v>
      </c>
      <c r="B391" s="163" t="s">
        <v>13</v>
      </c>
      <c r="C391" s="162" t="s">
        <v>43</v>
      </c>
      <c r="D391" s="168">
        <v>44655</v>
      </c>
      <c r="E391" s="194" t="s">
        <v>23</v>
      </c>
      <c r="F391" s="194"/>
      <c r="G391" s="194"/>
      <c r="H391" s="162"/>
      <c r="I391" s="162"/>
      <c r="J391" s="169" t="s">
        <v>143</v>
      </c>
      <c r="K391" s="142" t="s">
        <v>552</v>
      </c>
      <c r="L391" s="162">
        <v>100</v>
      </c>
      <c r="M391" s="162"/>
      <c r="N391" s="162"/>
      <c r="O391" s="162"/>
      <c r="P391" s="162"/>
      <c r="Q391" s="162"/>
      <c r="R391" s="162"/>
      <c r="S391" s="162"/>
      <c r="T391" s="162" t="s">
        <v>2851</v>
      </c>
      <c r="U391" s="162"/>
      <c r="V391" s="162"/>
    </row>
    <row r="392" spans="1:22" ht="15.75" customHeight="1" x14ac:dyDescent="0.25">
      <c r="A392" s="167" t="s">
        <v>2853</v>
      </c>
      <c r="B392" s="163" t="s">
        <v>13</v>
      </c>
      <c r="C392" s="162" t="s">
        <v>43</v>
      </c>
      <c r="D392" s="168">
        <v>44655</v>
      </c>
      <c r="E392" s="194" t="s">
        <v>23</v>
      </c>
      <c r="F392" s="194"/>
      <c r="G392" s="194"/>
      <c r="H392" s="163"/>
      <c r="I392" s="163"/>
      <c r="J392" s="164" t="s">
        <v>2022</v>
      </c>
      <c r="K392" s="145" t="s">
        <v>279</v>
      </c>
      <c r="L392" s="163">
        <v>50</v>
      </c>
      <c r="M392" s="163"/>
      <c r="N392" s="163"/>
      <c r="O392" s="163"/>
      <c r="P392" s="163"/>
      <c r="Q392" s="163"/>
      <c r="R392" s="163"/>
      <c r="S392" s="163"/>
      <c r="T392" s="163" t="s">
        <v>2852</v>
      </c>
      <c r="U392" s="163"/>
      <c r="V392" s="163"/>
    </row>
    <row r="393" spans="1:22" ht="15.75" customHeight="1" x14ac:dyDescent="0.25">
      <c r="A393" s="167" t="s">
        <v>2856</v>
      </c>
      <c r="B393" s="163" t="s">
        <v>13</v>
      </c>
      <c r="C393" s="162" t="s">
        <v>30</v>
      </c>
      <c r="D393" s="168">
        <v>44658</v>
      </c>
      <c r="E393" s="194" t="s">
        <v>23</v>
      </c>
      <c r="F393" s="194"/>
      <c r="G393" s="194"/>
      <c r="H393" s="162"/>
      <c r="I393" s="162"/>
      <c r="J393" s="169" t="s">
        <v>711</v>
      </c>
      <c r="K393" s="149"/>
      <c r="L393" s="162">
        <v>15</v>
      </c>
      <c r="M393" s="162"/>
      <c r="N393" s="162"/>
      <c r="O393" s="162"/>
      <c r="P393" s="162"/>
      <c r="Q393" s="162"/>
      <c r="R393" s="162"/>
      <c r="S393" s="162"/>
      <c r="T393" s="162" t="s">
        <v>2875</v>
      </c>
      <c r="U393" s="162"/>
      <c r="V393" s="162"/>
    </row>
    <row r="394" spans="1:22" ht="15.75" customHeight="1" x14ac:dyDescent="0.25">
      <c r="A394" s="167" t="s">
        <v>2856</v>
      </c>
      <c r="B394" s="163" t="s">
        <v>13</v>
      </c>
      <c r="C394" s="162" t="s">
        <v>30</v>
      </c>
      <c r="D394" s="168">
        <v>44658</v>
      </c>
      <c r="E394" s="194" t="s">
        <v>23</v>
      </c>
      <c r="F394" s="194"/>
      <c r="G394" s="194"/>
      <c r="H394" s="162"/>
      <c r="I394" s="162"/>
      <c r="J394" s="169" t="s">
        <v>710</v>
      </c>
      <c r="K394" s="149"/>
      <c r="L394" s="162">
        <v>15</v>
      </c>
      <c r="M394" s="162"/>
      <c r="N394" s="162"/>
      <c r="O394" s="162"/>
      <c r="P394" s="162"/>
      <c r="Q394" s="162"/>
      <c r="R394" s="162"/>
      <c r="S394" s="162"/>
      <c r="T394" s="162" t="s">
        <v>2875</v>
      </c>
      <c r="U394" s="162"/>
      <c r="V394" s="162"/>
    </row>
    <row r="395" spans="1:22" ht="15.75" customHeight="1" x14ac:dyDescent="0.25">
      <c r="A395" s="167" t="s">
        <v>2856</v>
      </c>
      <c r="B395" s="163" t="s">
        <v>13</v>
      </c>
      <c r="C395" s="162" t="s">
        <v>30</v>
      </c>
      <c r="D395" s="168">
        <v>44658</v>
      </c>
      <c r="E395" s="194" t="s">
        <v>23</v>
      </c>
      <c r="F395" s="194"/>
      <c r="G395" s="194"/>
      <c r="H395" s="162"/>
      <c r="I395" s="162"/>
      <c r="J395" s="169" t="s">
        <v>712</v>
      </c>
      <c r="K395" s="149"/>
      <c r="L395" s="162">
        <v>30</v>
      </c>
      <c r="M395" s="162"/>
      <c r="N395" s="162"/>
      <c r="O395" s="162"/>
      <c r="P395" s="162"/>
      <c r="Q395" s="162"/>
      <c r="R395" s="162"/>
      <c r="S395" s="162"/>
      <c r="T395" s="162" t="s">
        <v>2640</v>
      </c>
      <c r="U395" s="162"/>
      <c r="V395" s="162"/>
    </row>
    <row r="396" spans="1:22" ht="15.75" customHeight="1" x14ac:dyDescent="0.25">
      <c r="A396" s="167" t="s">
        <v>2856</v>
      </c>
      <c r="B396" s="163" t="s">
        <v>13</v>
      </c>
      <c r="C396" s="162" t="s">
        <v>30</v>
      </c>
      <c r="D396" s="168">
        <v>44658</v>
      </c>
      <c r="E396" s="194" t="s">
        <v>23</v>
      </c>
      <c r="F396" s="194"/>
      <c r="G396" s="194"/>
      <c r="H396" s="162"/>
      <c r="I396" s="162"/>
      <c r="J396" s="169" t="s">
        <v>713</v>
      </c>
      <c r="K396" s="149"/>
      <c r="L396" s="162">
        <v>30</v>
      </c>
      <c r="M396" s="162"/>
      <c r="N396" s="162"/>
      <c r="O396" s="162"/>
      <c r="P396" s="162"/>
      <c r="Q396" s="162"/>
      <c r="R396" s="162"/>
      <c r="S396" s="162"/>
      <c r="T396" s="162" t="s">
        <v>40</v>
      </c>
      <c r="U396" s="162"/>
      <c r="V396" s="162"/>
    </row>
    <row r="397" spans="1:22" ht="15.75" customHeight="1" x14ac:dyDescent="0.25">
      <c r="A397" s="167" t="s">
        <v>2856</v>
      </c>
      <c r="B397" s="163" t="s">
        <v>13</v>
      </c>
      <c r="C397" s="162" t="s">
        <v>30</v>
      </c>
      <c r="D397" s="168">
        <v>44658</v>
      </c>
      <c r="E397" s="194" t="s">
        <v>23</v>
      </c>
      <c r="F397" s="194"/>
      <c r="G397" s="194"/>
      <c r="H397" s="162"/>
      <c r="I397" s="162"/>
      <c r="J397" s="169" t="s">
        <v>714</v>
      </c>
      <c r="K397" s="149"/>
      <c r="L397" s="162">
        <v>15</v>
      </c>
      <c r="M397" s="162"/>
      <c r="N397" s="162"/>
      <c r="O397" s="162"/>
      <c r="P397" s="162"/>
      <c r="Q397" s="162"/>
      <c r="R397" s="162"/>
      <c r="S397" s="162"/>
      <c r="T397" s="162" t="s">
        <v>336</v>
      </c>
      <c r="U397" s="162"/>
      <c r="V397" s="162"/>
    </row>
    <row r="398" spans="1:22" ht="15.75" customHeight="1" x14ac:dyDescent="0.25">
      <c r="A398" s="167" t="s">
        <v>2856</v>
      </c>
      <c r="B398" s="163" t="s">
        <v>13</v>
      </c>
      <c r="C398" s="162" t="s">
        <v>30</v>
      </c>
      <c r="D398" s="168">
        <v>44658</v>
      </c>
      <c r="E398" s="194" t="s">
        <v>23</v>
      </c>
      <c r="F398" s="194"/>
      <c r="G398" s="194"/>
      <c r="H398" s="162"/>
      <c r="I398" s="162"/>
      <c r="J398" s="169" t="s">
        <v>715</v>
      </c>
      <c r="K398" s="149"/>
      <c r="L398" s="162">
        <v>15</v>
      </c>
      <c r="M398" s="162"/>
      <c r="N398" s="162"/>
      <c r="O398" s="162"/>
      <c r="P398" s="162"/>
      <c r="Q398" s="162"/>
      <c r="R398" s="162"/>
      <c r="S398" s="162"/>
      <c r="T398" s="162" t="s">
        <v>336</v>
      </c>
      <c r="U398" s="162"/>
      <c r="V398" s="162"/>
    </row>
    <row r="399" spans="1:22" ht="15.75" customHeight="1" x14ac:dyDescent="0.25">
      <c r="A399" s="167" t="s">
        <v>2856</v>
      </c>
      <c r="B399" s="163" t="s">
        <v>13</v>
      </c>
      <c r="C399" s="162" t="s">
        <v>30</v>
      </c>
      <c r="D399" s="168">
        <v>44658</v>
      </c>
      <c r="E399" s="194" t="s">
        <v>23</v>
      </c>
      <c r="F399" s="194"/>
      <c r="G399" s="194"/>
      <c r="H399" s="162"/>
      <c r="I399" s="162"/>
      <c r="J399" s="169" t="s">
        <v>718</v>
      </c>
      <c r="K399" s="149"/>
      <c r="L399" s="162">
        <v>15</v>
      </c>
      <c r="M399" s="162"/>
      <c r="N399" s="162"/>
      <c r="O399" s="162"/>
      <c r="P399" s="162"/>
      <c r="Q399" s="162"/>
      <c r="R399" s="162"/>
      <c r="S399" s="162"/>
      <c r="T399" s="162" t="s">
        <v>2876</v>
      </c>
      <c r="U399" s="162"/>
      <c r="V399" s="162"/>
    </row>
    <row r="400" spans="1:22" ht="15.75" customHeight="1" x14ac:dyDescent="0.25">
      <c r="A400" s="167" t="s">
        <v>2856</v>
      </c>
      <c r="B400" s="163" t="s">
        <v>13</v>
      </c>
      <c r="C400" s="162" t="s">
        <v>30</v>
      </c>
      <c r="D400" s="168">
        <v>44658</v>
      </c>
      <c r="E400" s="194" t="s">
        <v>23</v>
      </c>
      <c r="F400" s="194"/>
      <c r="G400" s="194"/>
      <c r="H400" s="162"/>
      <c r="I400" s="162"/>
      <c r="J400" s="169" t="s">
        <v>719</v>
      </c>
      <c r="K400" s="149"/>
      <c r="L400" s="162">
        <v>15</v>
      </c>
      <c r="M400" s="162"/>
      <c r="N400" s="162"/>
      <c r="O400" s="162"/>
      <c r="P400" s="162"/>
      <c r="Q400" s="162"/>
      <c r="R400" s="162"/>
      <c r="S400" s="162"/>
      <c r="T400" s="162" t="s">
        <v>2876</v>
      </c>
      <c r="U400" s="162"/>
      <c r="V400" s="162"/>
    </row>
    <row r="401" spans="1:22" ht="15.75" customHeight="1" x14ac:dyDescent="0.25">
      <c r="A401" s="167" t="s">
        <v>2856</v>
      </c>
      <c r="B401" s="163" t="s">
        <v>13</v>
      </c>
      <c r="C401" s="162" t="s">
        <v>30</v>
      </c>
      <c r="D401" s="168">
        <v>44658</v>
      </c>
      <c r="E401" s="194" t="s">
        <v>23</v>
      </c>
      <c r="F401" s="194"/>
      <c r="G401" s="194"/>
      <c r="H401" s="162"/>
      <c r="I401" s="162"/>
      <c r="J401" s="169" t="s">
        <v>871</v>
      </c>
      <c r="K401" s="149"/>
      <c r="L401" s="162">
        <v>95</v>
      </c>
      <c r="M401" s="162"/>
      <c r="N401" s="162"/>
      <c r="O401" s="162"/>
      <c r="P401" s="162"/>
      <c r="Q401" s="162"/>
      <c r="R401" s="162"/>
      <c r="S401" s="162"/>
      <c r="T401" s="162" t="s">
        <v>2877</v>
      </c>
      <c r="U401" s="162"/>
      <c r="V401" s="162"/>
    </row>
    <row r="402" spans="1:22" ht="15.75" customHeight="1" x14ac:dyDescent="0.25">
      <c r="A402" s="167" t="s">
        <v>2856</v>
      </c>
      <c r="B402" s="163" t="s">
        <v>13</v>
      </c>
      <c r="C402" s="162" t="s">
        <v>30</v>
      </c>
      <c r="D402" s="168">
        <v>44658</v>
      </c>
      <c r="E402" s="194" t="s">
        <v>23</v>
      </c>
      <c r="F402" s="194"/>
      <c r="G402" s="194"/>
      <c r="H402" s="163"/>
      <c r="I402" s="163"/>
      <c r="J402" s="164" t="s">
        <v>872</v>
      </c>
      <c r="K402" s="150"/>
      <c r="L402" s="163">
        <v>70</v>
      </c>
      <c r="M402" s="163"/>
      <c r="N402" s="163"/>
      <c r="O402" s="163"/>
      <c r="P402" s="163"/>
      <c r="Q402" s="163"/>
      <c r="R402" s="163"/>
      <c r="S402" s="163"/>
      <c r="T402" s="163" t="s">
        <v>2878</v>
      </c>
      <c r="U402" s="163"/>
      <c r="V402" s="163"/>
    </row>
    <row r="403" spans="1:22" ht="15.75" customHeight="1" x14ac:dyDescent="0.25">
      <c r="A403" s="167" t="s">
        <v>2857</v>
      </c>
      <c r="B403" s="163" t="s">
        <v>13</v>
      </c>
      <c r="C403" s="162" t="s">
        <v>30</v>
      </c>
      <c r="D403" s="168">
        <v>44658</v>
      </c>
      <c r="E403" s="194" t="s">
        <v>23</v>
      </c>
      <c r="F403" s="194"/>
      <c r="G403" s="194"/>
      <c r="H403" s="162"/>
      <c r="I403" s="162"/>
      <c r="J403" s="169" t="s">
        <v>731</v>
      </c>
      <c r="K403" s="149"/>
      <c r="L403" s="162">
        <v>2</v>
      </c>
      <c r="M403" s="162"/>
      <c r="N403" s="162"/>
      <c r="O403" s="162"/>
      <c r="P403" s="162"/>
      <c r="Q403" s="162"/>
      <c r="R403" s="162"/>
      <c r="S403" s="162"/>
      <c r="T403" s="162" t="s">
        <v>2871</v>
      </c>
      <c r="U403" s="162"/>
      <c r="V403" s="162"/>
    </row>
    <row r="404" spans="1:22" ht="15.75" customHeight="1" x14ac:dyDescent="0.25">
      <c r="A404" s="167" t="s">
        <v>2857</v>
      </c>
      <c r="B404" s="163" t="s">
        <v>13</v>
      </c>
      <c r="C404" s="162" t="s">
        <v>30</v>
      </c>
      <c r="D404" s="168">
        <v>44658</v>
      </c>
      <c r="E404" s="194" t="s">
        <v>23</v>
      </c>
      <c r="F404" s="194"/>
      <c r="G404" s="194"/>
      <c r="H404" s="162"/>
      <c r="I404" s="162"/>
      <c r="J404" s="169" t="s">
        <v>744</v>
      </c>
      <c r="K404" s="149"/>
      <c r="L404" s="162">
        <v>8</v>
      </c>
      <c r="M404" s="162"/>
      <c r="N404" s="162"/>
      <c r="O404" s="162"/>
      <c r="P404" s="162"/>
      <c r="Q404" s="162"/>
      <c r="R404" s="162"/>
      <c r="S404" s="162"/>
      <c r="T404" s="162" t="s">
        <v>2872</v>
      </c>
      <c r="U404" s="162"/>
      <c r="V404" s="162"/>
    </row>
    <row r="405" spans="1:22" ht="15.75" customHeight="1" x14ac:dyDescent="0.25">
      <c r="A405" s="167" t="s">
        <v>2857</v>
      </c>
      <c r="B405" s="163" t="s">
        <v>13</v>
      </c>
      <c r="C405" s="162" t="s">
        <v>30</v>
      </c>
      <c r="D405" s="168">
        <v>44658</v>
      </c>
      <c r="E405" s="194" t="s">
        <v>23</v>
      </c>
      <c r="F405" s="194"/>
      <c r="G405" s="194"/>
      <c r="H405" s="162"/>
      <c r="I405" s="162"/>
      <c r="J405" s="169" t="s">
        <v>740</v>
      </c>
      <c r="K405" s="149"/>
      <c r="L405" s="162">
        <v>4</v>
      </c>
      <c r="M405" s="162"/>
      <c r="N405" s="162"/>
      <c r="O405" s="162"/>
      <c r="P405" s="162"/>
      <c r="Q405" s="162"/>
      <c r="R405" s="162"/>
      <c r="S405" s="162"/>
      <c r="T405" s="162" t="s">
        <v>2873</v>
      </c>
      <c r="U405" s="162"/>
      <c r="V405" s="162"/>
    </row>
    <row r="406" spans="1:22" ht="15.75" customHeight="1" x14ac:dyDescent="0.25">
      <c r="A406" s="167" t="s">
        <v>2857</v>
      </c>
      <c r="B406" s="163" t="s">
        <v>13</v>
      </c>
      <c r="C406" s="162" t="s">
        <v>30</v>
      </c>
      <c r="D406" s="168">
        <v>44658</v>
      </c>
      <c r="E406" s="194" t="s">
        <v>23</v>
      </c>
      <c r="F406" s="194"/>
      <c r="G406" s="194"/>
      <c r="H406" s="163"/>
      <c r="I406" s="163"/>
      <c r="J406" s="164" t="s">
        <v>741</v>
      </c>
      <c r="K406" s="150"/>
      <c r="L406" s="163">
        <v>4</v>
      </c>
      <c r="M406" s="163"/>
      <c r="N406" s="163"/>
      <c r="O406" s="163"/>
      <c r="P406" s="163"/>
      <c r="Q406" s="163"/>
      <c r="R406" s="163"/>
      <c r="S406" s="163"/>
      <c r="T406" s="163" t="s">
        <v>2874</v>
      </c>
      <c r="U406" s="163"/>
      <c r="V406" s="163"/>
    </row>
    <row r="407" spans="1:22" s="14" customFormat="1" ht="15.75" customHeight="1" x14ac:dyDescent="0.25">
      <c r="A407" s="147" t="s">
        <v>2860</v>
      </c>
      <c r="B407" s="145" t="s">
        <v>34</v>
      </c>
      <c r="C407" s="145" t="s">
        <v>16</v>
      </c>
      <c r="D407" s="148">
        <v>44659</v>
      </c>
      <c r="E407" s="187" t="s">
        <v>23</v>
      </c>
      <c r="F407" s="187"/>
      <c r="G407" s="187"/>
      <c r="H407" s="145" t="s">
        <v>559</v>
      </c>
      <c r="I407" s="145"/>
      <c r="J407" s="146" t="s">
        <v>2859</v>
      </c>
      <c r="K407" s="145">
        <v>930</v>
      </c>
      <c r="L407" s="145" t="s">
        <v>1511</v>
      </c>
      <c r="M407" s="145">
        <v>0.27260000000000001</v>
      </c>
      <c r="N407" s="145">
        <v>0.72899999999999998</v>
      </c>
      <c r="O407" s="145">
        <v>253.518</v>
      </c>
      <c r="P407" s="145">
        <v>677.97</v>
      </c>
      <c r="Q407" s="145">
        <v>32.96</v>
      </c>
      <c r="R407" s="145">
        <v>93.5</v>
      </c>
      <c r="S407" s="145">
        <v>343</v>
      </c>
      <c r="T407" s="145">
        <v>86956.67</v>
      </c>
      <c r="U407" s="145"/>
      <c r="V407" s="145"/>
    </row>
    <row r="408" spans="1:22" s="14" customFormat="1" ht="15.75" customHeight="1" x14ac:dyDescent="0.25">
      <c r="A408" s="147" t="s">
        <v>2861</v>
      </c>
      <c r="B408" s="145" t="s">
        <v>34</v>
      </c>
      <c r="C408" s="145" t="s">
        <v>16</v>
      </c>
      <c r="D408" s="148">
        <v>44659</v>
      </c>
      <c r="E408" s="187" t="s">
        <v>23</v>
      </c>
      <c r="F408" s="187"/>
      <c r="G408" s="187"/>
      <c r="H408" s="145"/>
      <c r="I408" s="145"/>
      <c r="J408" s="146" t="s">
        <v>2730</v>
      </c>
      <c r="K408" s="145">
        <v>240</v>
      </c>
      <c r="L408" s="145">
        <v>40</v>
      </c>
      <c r="M408" s="145">
        <v>0.3498</v>
      </c>
      <c r="N408" s="145">
        <v>1.425</v>
      </c>
      <c r="O408" s="145">
        <v>83.951999999999998</v>
      </c>
      <c r="P408" s="145">
        <v>342</v>
      </c>
      <c r="Q408" s="145">
        <v>10.91</v>
      </c>
      <c r="R408" s="145">
        <v>125.98</v>
      </c>
      <c r="S408" s="145">
        <v>360.15</v>
      </c>
      <c r="T408" s="145">
        <v>30235.31</v>
      </c>
      <c r="U408" s="145"/>
      <c r="V408" s="145"/>
    </row>
    <row r="409" spans="1:22" s="14" customFormat="1" ht="15.75" customHeight="1" x14ac:dyDescent="0.25">
      <c r="A409" s="147" t="s">
        <v>2862</v>
      </c>
      <c r="B409" s="145" t="s">
        <v>34</v>
      </c>
      <c r="C409" s="145" t="s">
        <v>16</v>
      </c>
      <c r="D409" s="148">
        <v>44659</v>
      </c>
      <c r="E409" s="187" t="s">
        <v>23</v>
      </c>
      <c r="F409" s="187"/>
      <c r="G409" s="187"/>
      <c r="H409" s="145" t="s">
        <v>3317</v>
      </c>
      <c r="I409" s="145"/>
      <c r="J409" s="146" t="s">
        <v>2423</v>
      </c>
      <c r="K409" s="145">
        <v>384</v>
      </c>
      <c r="L409" s="145">
        <v>64</v>
      </c>
      <c r="M409" s="145">
        <v>0.29970000000000002</v>
      </c>
      <c r="N409" s="145">
        <v>1.6739999999999999</v>
      </c>
      <c r="O409" s="145">
        <v>115.0848</v>
      </c>
      <c r="P409" s="145">
        <v>642.81600000000003</v>
      </c>
      <c r="Q409" s="145">
        <v>14.96</v>
      </c>
      <c r="R409" s="145">
        <v>107.94</v>
      </c>
      <c r="S409" s="145">
        <v>360.15</v>
      </c>
      <c r="T409" s="145">
        <v>41447.79</v>
      </c>
      <c r="U409" s="145"/>
      <c r="V409" s="145"/>
    </row>
    <row r="410" spans="1:22" ht="15.75" customHeight="1" x14ac:dyDescent="0.25">
      <c r="A410" s="167" t="s">
        <v>2867</v>
      </c>
      <c r="B410" s="162" t="s">
        <v>13</v>
      </c>
      <c r="C410" s="162" t="s">
        <v>548</v>
      </c>
      <c r="D410" s="172">
        <v>44659</v>
      </c>
      <c r="E410" s="194" t="s">
        <v>23</v>
      </c>
      <c r="F410" s="194"/>
      <c r="G410" s="194"/>
      <c r="H410" s="162"/>
      <c r="I410" s="162"/>
      <c r="J410" s="169" t="s">
        <v>2863</v>
      </c>
      <c r="K410" s="149" t="s">
        <v>2868</v>
      </c>
      <c r="L410" s="162">
        <v>114</v>
      </c>
      <c r="M410" s="162"/>
      <c r="N410" s="162"/>
      <c r="O410" s="162"/>
      <c r="P410" s="162"/>
      <c r="Q410" s="162"/>
      <c r="R410" s="162"/>
      <c r="S410" s="162"/>
      <c r="T410" s="162" t="s">
        <v>2869</v>
      </c>
      <c r="U410" s="162"/>
      <c r="V410" s="162"/>
    </row>
    <row r="411" spans="1:22" ht="15.75" customHeight="1" x14ac:dyDescent="0.25">
      <c r="A411" s="167" t="s">
        <v>2867</v>
      </c>
      <c r="B411" s="162" t="s">
        <v>13</v>
      </c>
      <c r="C411" s="162" t="s">
        <v>548</v>
      </c>
      <c r="D411" s="172">
        <v>44659</v>
      </c>
      <c r="E411" s="194" t="s">
        <v>23</v>
      </c>
      <c r="F411" s="194"/>
      <c r="G411" s="194"/>
      <c r="H411" s="162"/>
      <c r="I411" s="162"/>
      <c r="J411" s="169" t="s">
        <v>2864</v>
      </c>
      <c r="K411" s="149" t="s">
        <v>1378</v>
      </c>
      <c r="L411" s="162">
        <v>28</v>
      </c>
      <c r="M411" s="162"/>
      <c r="N411" s="162"/>
      <c r="O411" s="162"/>
      <c r="P411" s="162"/>
      <c r="Q411" s="162"/>
      <c r="R411" s="162"/>
      <c r="S411" s="162"/>
      <c r="T411" s="162" t="s">
        <v>2870</v>
      </c>
      <c r="U411" s="162"/>
      <c r="V411" s="162"/>
    </row>
    <row r="412" spans="1:22" ht="15.75" customHeight="1" x14ac:dyDescent="0.25">
      <c r="A412" s="167" t="s">
        <v>2867</v>
      </c>
      <c r="B412" s="162" t="s">
        <v>13</v>
      </c>
      <c r="C412" s="162" t="s">
        <v>548</v>
      </c>
      <c r="D412" s="172">
        <v>44659</v>
      </c>
      <c r="E412" s="194" t="s">
        <v>23</v>
      </c>
      <c r="F412" s="194"/>
      <c r="G412" s="194">
        <v>3695</v>
      </c>
      <c r="H412" s="162" t="s">
        <v>2955</v>
      </c>
      <c r="I412" s="162"/>
      <c r="J412" s="169" t="s">
        <v>2865</v>
      </c>
      <c r="K412" s="162" t="s">
        <v>2886</v>
      </c>
      <c r="L412" s="162">
        <v>3699</v>
      </c>
      <c r="M412" s="162"/>
      <c r="N412" s="162"/>
      <c r="O412" s="162"/>
      <c r="P412" s="162"/>
      <c r="Q412" s="162"/>
      <c r="R412" s="162"/>
      <c r="S412" s="162"/>
      <c r="T412" s="162">
        <v>319799</v>
      </c>
      <c r="U412" s="162"/>
      <c r="V412" s="162"/>
    </row>
    <row r="413" spans="1:22" ht="15.75" customHeight="1" x14ac:dyDescent="0.25">
      <c r="A413" s="167" t="s">
        <v>2867</v>
      </c>
      <c r="B413" s="162" t="s">
        <v>13</v>
      </c>
      <c r="C413" s="162" t="s">
        <v>548</v>
      </c>
      <c r="D413" s="172">
        <v>44659</v>
      </c>
      <c r="E413" s="194" t="s">
        <v>23</v>
      </c>
      <c r="F413" s="194"/>
      <c r="G413" s="194">
        <v>337</v>
      </c>
      <c r="H413" s="163" t="s">
        <v>1634</v>
      </c>
      <c r="I413" s="163"/>
      <c r="J413" s="164" t="s">
        <v>2866</v>
      </c>
      <c r="K413" s="163" t="s">
        <v>524</v>
      </c>
      <c r="L413" s="163">
        <v>340</v>
      </c>
      <c r="M413" s="163"/>
      <c r="N413" s="163"/>
      <c r="O413" s="163"/>
      <c r="P413" s="163"/>
      <c r="Q413" s="163"/>
      <c r="R413" s="163"/>
      <c r="S413" s="163"/>
      <c r="T413" s="163">
        <v>264180</v>
      </c>
      <c r="U413" s="163"/>
      <c r="V413" s="163"/>
    </row>
    <row r="414" spans="1:22" ht="15.75" customHeight="1" x14ac:dyDescent="0.25">
      <c r="A414" s="171">
        <v>164</v>
      </c>
      <c r="B414" s="162" t="s">
        <v>13</v>
      </c>
      <c r="C414" s="163" t="s">
        <v>45</v>
      </c>
      <c r="D414" s="172">
        <v>44659</v>
      </c>
      <c r="E414" s="187" t="s">
        <v>23</v>
      </c>
      <c r="F414" s="187">
        <v>20</v>
      </c>
      <c r="G414" s="187">
        <v>33</v>
      </c>
      <c r="H414" s="163"/>
      <c r="I414" s="163"/>
      <c r="J414" s="164" t="s">
        <v>2840</v>
      </c>
      <c r="K414" s="163">
        <v>164.3</v>
      </c>
      <c r="L414" s="163">
        <v>53</v>
      </c>
      <c r="M414" s="163">
        <v>0.9929</v>
      </c>
      <c r="N414" s="163">
        <v>4.5880000000000001</v>
      </c>
      <c r="O414" s="163">
        <v>163.1335</v>
      </c>
      <c r="P414" s="163">
        <v>753.80840000000001</v>
      </c>
      <c r="Q414" s="163">
        <v>21.21</v>
      </c>
      <c r="R414" s="163">
        <v>312.76</v>
      </c>
      <c r="S414" s="163">
        <v>315</v>
      </c>
      <c r="T414" s="163">
        <v>51387.040000000001</v>
      </c>
      <c r="U414" s="163"/>
      <c r="V414" s="163"/>
    </row>
    <row r="415" spans="1:22" s="28" customFormat="1" ht="15.75" customHeight="1" x14ac:dyDescent="0.25">
      <c r="A415" s="254">
        <v>165</v>
      </c>
      <c r="B415" s="149" t="s">
        <v>13</v>
      </c>
      <c r="C415" s="150" t="s">
        <v>663</v>
      </c>
      <c r="D415" s="255">
        <v>44659</v>
      </c>
      <c r="E415" s="256" t="s">
        <v>23</v>
      </c>
      <c r="F415" s="256">
        <v>92</v>
      </c>
      <c r="G415" s="256"/>
      <c r="H415" s="150" t="s">
        <v>3201</v>
      </c>
      <c r="I415" s="150"/>
      <c r="J415" s="257" t="s">
        <v>1400</v>
      </c>
      <c r="K415" s="150">
        <v>576</v>
      </c>
      <c r="L415" s="150">
        <v>96</v>
      </c>
      <c r="M415" s="150">
        <v>0.29759999999999998</v>
      </c>
      <c r="N415" s="150">
        <v>0.67600000000000005</v>
      </c>
      <c r="O415" s="150">
        <v>171.41759999999999</v>
      </c>
      <c r="P415" s="150">
        <v>389.37599999999998</v>
      </c>
      <c r="Q415" s="150">
        <v>22.28</v>
      </c>
      <c r="R415" s="150">
        <v>74.400000000000006</v>
      </c>
      <c r="S415" s="150">
        <v>250</v>
      </c>
      <c r="T415" s="150">
        <v>42854.400000000001</v>
      </c>
      <c r="U415" s="150"/>
      <c r="V415" s="150"/>
    </row>
    <row r="416" spans="1:22" ht="15.75" customHeight="1" x14ac:dyDescent="0.25">
      <c r="A416" s="167">
        <v>166</v>
      </c>
      <c r="B416" s="162" t="s">
        <v>13</v>
      </c>
      <c r="C416" s="163" t="s">
        <v>663</v>
      </c>
      <c r="D416" s="172">
        <v>44659</v>
      </c>
      <c r="E416" s="194" t="s">
        <v>23</v>
      </c>
      <c r="F416" s="194"/>
      <c r="G416" s="194">
        <v>132</v>
      </c>
      <c r="H416" s="162"/>
      <c r="I416" s="168">
        <v>44687</v>
      </c>
      <c r="J416" s="169" t="s">
        <v>2879</v>
      </c>
      <c r="K416" s="149">
        <v>422.4</v>
      </c>
      <c r="L416" s="162">
        <v>132</v>
      </c>
      <c r="M416" s="162">
        <v>0.31</v>
      </c>
      <c r="N416" s="162">
        <v>1.2010000000000001</v>
      </c>
      <c r="O416" s="162">
        <v>130.94399999999999</v>
      </c>
      <c r="P416" s="162">
        <v>507.30239999999998</v>
      </c>
      <c r="Q416" s="162">
        <v>17.02</v>
      </c>
      <c r="R416" s="162">
        <v>77.5</v>
      </c>
      <c r="S416" s="162">
        <v>250</v>
      </c>
      <c r="T416" s="162">
        <v>32736</v>
      </c>
      <c r="U416" s="162"/>
      <c r="V416" s="162"/>
    </row>
    <row r="417" spans="1:22" ht="15.75" customHeight="1" x14ac:dyDescent="0.25">
      <c r="A417" s="167">
        <v>166</v>
      </c>
      <c r="B417" s="162" t="s">
        <v>13</v>
      </c>
      <c r="C417" s="163" t="s">
        <v>663</v>
      </c>
      <c r="D417" s="172">
        <v>44659</v>
      </c>
      <c r="E417" s="194" t="s">
        <v>23</v>
      </c>
      <c r="F417" s="194"/>
      <c r="G417" s="194">
        <v>119</v>
      </c>
      <c r="H417" s="162"/>
      <c r="I417" s="168">
        <v>44687</v>
      </c>
      <c r="J417" s="169" t="s">
        <v>2691</v>
      </c>
      <c r="K417" s="149">
        <v>476</v>
      </c>
      <c r="L417" s="162">
        <v>119</v>
      </c>
      <c r="M417" s="162">
        <v>0.31</v>
      </c>
      <c r="N417" s="162">
        <v>1.2010000000000001</v>
      </c>
      <c r="O417" s="162">
        <v>147.56</v>
      </c>
      <c r="P417" s="162">
        <v>571.67600000000004</v>
      </c>
      <c r="Q417" s="162">
        <v>19.18</v>
      </c>
      <c r="R417" s="162">
        <v>77.5</v>
      </c>
      <c r="S417" s="162">
        <v>250</v>
      </c>
      <c r="T417" s="162">
        <v>36890</v>
      </c>
      <c r="U417" s="162"/>
      <c r="V417" s="162"/>
    </row>
    <row r="418" spans="1:22" ht="15.75" customHeight="1" x14ac:dyDescent="0.25">
      <c r="A418" s="167">
        <v>166</v>
      </c>
      <c r="B418" s="162" t="s">
        <v>13</v>
      </c>
      <c r="C418" s="163" t="s">
        <v>663</v>
      </c>
      <c r="D418" s="172">
        <v>44659</v>
      </c>
      <c r="E418" s="194" t="s">
        <v>23</v>
      </c>
      <c r="F418" s="194"/>
      <c r="G418" s="194">
        <v>75</v>
      </c>
      <c r="H418" s="163"/>
      <c r="I418" s="172">
        <v>44687</v>
      </c>
      <c r="J418" s="164" t="s">
        <v>2692</v>
      </c>
      <c r="K418" s="150">
        <v>450</v>
      </c>
      <c r="L418" s="163">
        <v>75</v>
      </c>
      <c r="M418" s="163">
        <v>0.31</v>
      </c>
      <c r="N418" s="163">
        <v>1.2010000000000001</v>
      </c>
      <c r="O418" s="163">
        <v>139.5</v>
      </c>
      <c r="P418" s="163">
        <v>540.45000000000005</v>
      </c>
      <c r="Q418" s="163">
        <v>18.14</v>
      </c>
      <c r="R418" s="163">
        <v>77.5</v>
      </c>
      <c r="S418" s="163">
        <v>250</v>
      </c>
      <c r="T418" s="163">
        <v>34875</v>
      </c>
      <c r="U418" s="163"/>
      <c r="V418" s="163"/>
    </row>
    <row r="419" spans="1:22" ht="15.75" customHeight="1" x14ac:dyDescent="0.25">
      <c r="A419" s="171">
        <v>195</v>
      </c>
      <c r="B419" s="162" t="s">
        <v>13</v>
      </c>
      <c r="C419" s="163" t="s">
        <v>663</v>
      </c>
      <c r="D419" s="172">
        <v>44676</v>
      </c>
      <c r="E419" s="187" t="s">
        <v>23</v>
      </c>
      <c r="F419" s="194">
        <v>73</v>
      </c>
      <c r="G419" s="194"/>
      <c r="H419" s="163"/>
      <c r="I419" s="172">
        <v>44718</v>
      </c>
      <c r="J419" s="164" t="s">
        <v>999</v>
      </c>
      <c r="K419" s="145">
        <v>474.5</v>
      </c>
      <c r="L419" s="163" t="s">
        <v>3075</v>
      </c>
      <c r="M419" s="163">
        <v>0.626</v>
      </c>
      <c r="N419" s="163">
        <v>2.1869999999999998</v>
      </c>
      <c r="O419" s="163">
        <v>297.03699999999998</v>
      </c>
      <c r="P419" s="163">
        <v>1037.7315000000001</v>
      </c>
      <c r="Q419" s="163">
        <v>38.61</v>
      </c>
      <c r="R419" s="163">
        <v>175.28</v>
      </c>
      <c r="S419" s="163">
        <v>280</v>
      </c>
      <c r="T419" s="163">
        <v>83170.36</v>
      </c>
      <c r="U419" s="163"/>
      <c r="V419" s="163"/>
    </row>
    <row r="420" spans="1:22" s="14" customFormat="1" ht="15.75" customHeight="1" x14ac:dyDescent="0.25">
      <c r="A420" s="141">
        <v>168</v>
      </c>
      <c r="B420" s="142" t="s">
        <v>13</v>
      </c>
      <c r="C420" s="142" t="s">
        <v>32</v>
      </c>
      <c r="D420" s="148">
        <v>44659</v>
      </c>
      <c r="E420" s="242" t="s">
        <v>23</v>
      </c>
      <c r="F420" s="242"/>
      <c r="G420" s="242">
        <v>285</v>
      </c>
      <c r="H420" s="142" t="s">
        <v>3232</v>
      </c>
      <c r="I420" s="142"/>
      <c r="J420" s="144" t="s">
        <v>2841</v>
      </c>
      <c r="K420" s="142">
        <v>1382.25</v>
      </c>
      <c r="L420" s="142">
        <v>285</v>
      </c>
      <c r="M420" s="142">
        <v>9.5600000000000004E-2</v>
      </c>
      <c r="N420" s="142">
        <v>0.16</v>
      </c>
      <c r="O420" s="142">
        <v>132.1431</v>
      </c>
      <c r="P420" s="142">
        <v>221.16</v>
      </c>
      <c r="Q420" s="142">
        <v>17.18</v>
      </c>
      <c r="R420" s="142">
        <v>29.54</v>
      </c>
      <c r="S420" s="142">
        <v>309</v>
      </c>
      <c r="T420" s="142">
        <v>40832.22</v>
      </c>
      <c r="U420" s="142"/>
      <c r="V420" s="142"/>
    </row>
    <row r="421" spans="1:22" ht="15.75" customHeight="1" x14ac:dyDescent="0.25">
      <c r="A421" s="171">
        <v>168</v>
      </c>
      <c r="B421" s="162" t="s">
        <v>13</v>
      </c>
      <c r="C421" s="162" t="s">
        <v>32</v>
      </c>
      <c r="D421" s="172">
        <v>44659</v>
      </c>
      <c r="E421" s="187" t="s">
        <v>23</v>
      </c>
      <c r="F421" s="194">
        <v>99</v>
      </c>
      <c r="G421" s="194"/>
      <c r="H421" s="163"/>
      <c r="I421" s="163"/>
      <c r="J421" s="164" t="s">
        <v>2880</v>
      </c>
      <c r="K421" s="150">
        <v>519.75</v>
      </c>
      <c r="L421" s="163">
        <v>105</v>
      </c>
      <c r="M421" s="163">
        <v>9.5600000000000004E-2</v>
      </c>
      <c r="N421" s="163">
        <v>0.16</v>
      </c>
      <c r="O421" s="163">
        <v>49.688099999999999</v>
      </c>
      <c r="P421" s="163">
        <v>83.16</v>
      </c>
      <c r="Q421" s="163">
        <v>6.46</v>
      </c>
      <c r="R421" s="163">
        <v>29.54</v>
      </c>
      <c r="S421" s="163">
        <v>309</v>
      </c>
      <c r="T421" s="163">
        <v>15353.62</v>
      </c>
      <c r="U421" s="163"/>
      <c r="V421" s="163"/>
    </row>
    <row r="422" spans="1:22" ht="15.75" customHeight="1" x14ac:dyDescent="0.25">
      <c r="A422" s="171" t="s">
        <v>2881</v>
      </c>
      <c r="B422" s="162" t="s">
        <v>13</v>
      </c>
      <c r="C422" s="163" t="s">
        <v>37</v>
      </c>
      <c r="D422" s="172">
        <v>44659</v>
      </c>
      <c r="E422" s="187" t="s">
        <v>23</v>
      </c>
      <c r="F422" s="187"/>
      <c r="G422" s="187"/>
      <c r="H422" s="163"/>
      <c r="I422" s="163"/>
      <c r="J422" s="164" t="s">
        <v>2257</v>
      </c>
      <c r="K422" s="163"/>
      <c r="L422" s="163">
        <v>12</v>
      </c>
      <c r="M422" s="163"/>
      <c r="N422" s="163"/>
      <c r="O422" s="163"/>
      <c r="P422" s="163"/>
      <c r="Q422" s="163"/>
      <c r="R422" s="163"/>
      <c r="S422" s="163"/>
      <c r="T422" s="163">
        <v>8900</v>
      </c>
      <c r="U422" s="163"/>
      <c r="V422" s="163"/>
    </row>
    <row r="423" spans="1:22" ht="15.75" customHeight="1" x14ac:dyDescent="0.25">
      <c r="A423" s="171" t="s">
        <v>2884</v>
      </c>
      <c r="B423" s="162" t="s">
        <v>13</v>
      </c>
      <c r="C423" s="163" t="s">
        <v>295</v>
      </c>
      <c r="D423" s="172">
        <v>44662</v>
      </c>
      <c r="E423" s="187" t="s">
        <v>23</v>
      </c>
      <c r="F423" s="187"/>
      <c r="G423" s="187"/>
      <c r="H423" s="163"/>
      <c r="I423" s="163"/>
      <c r="J423" s="164" t="s">
        <v>2165</v>
      </c>
      <c r="K423" s="163">
        <v>360</v>
      </c>
      <c r="L423" s="163">
        <v>60</v>
      </c>
      <c r="M423" s="163"/>
      <c r="N423" s="163"/>
      <c r="O423" s="163"/>
      <c r="P423" s="163"/>
      <c r="Q423" s="163"/>
      <c r="R423" s="163"/>
      <c r="S423" s="163"/>
      <c r="T423" s="163" t="s">
        <v>2885</v>
      </c>
      <c r="U423" s="163"/>
      <c r="V423" s="163"/>
    </row>
    <row r="424" spans="1:22" ht="15.75" customHeight="1" x14ac:dyDescent="0.25">
      <c r="A424" s="171" t="s">
        <v>2888</v>
      </c>
      <c r="B424" s="162" t="s">
        <v>13</v>
      </c>
      <c r="C424" s="163" t="s">
        <v>2399</v>
      </c>
      <c r="D424" s="172">
        <v>44663</v>
      </c>
      <c r="E424" s="187" t="s">
        <v>23</v>
      </c>
      <c r="F424" s="187"/>
      <c r="G424" s="187"/>
      <c r="H424" s="163"/>
      <c r="I424" s="163"/>
      <c r="J424" s="164" t="s">
        <v>2403</v>
      </c>
      <c r="K424" s="145"/>
      <c r="L424" s="163">
        <v>160</v>
      </c>
      <c r="M424" s="163"/>
      <c r="N424" s="163"/>
      <c r="O424" s="163"/>
      <c r="P424" s="163"/>
      <c r="Q424" s="163"/>
      <c r="R424" s="163"/>
      <c r="S424" s="163"/>
      <c r="T424" s="163" t="s">
        <v>2887</v>
      </c>
      <c r="U424" s="163"/>
      <c r="V424" s="163"/>
    </row>
    <row r="425" spans="1:22" ht="15.75" customHeight="1" x14ac:dyDescent="0.25">
      <c r="A425" s="171" t="s">
        <v>2889</v>
      </c>
      <c r="B425" s="162" t="s">
        <v>13</v>
      </c>
      <c r="C425" s="163" t="s">
        <v>43</v>
      </c>
      <c r="D425" s="172">
        <v>44663</v>
      </c>
      <c r="E425" s="194" t="s">
        <v>23</v>
      </c>
      <c r="F425" s="187"/>
      <c r="G425" s="187"/>
      <c r="H425" s="162"/>
      <c r="I425" s="162"/>
      <c r="J425" s="169" t="s">
        <v>551</v>
      </c>
      <c r="K425" s="149" t="s">
        <v>362</v>
      </c>
      <c r="L425" s="162">
        <v>15</v>
      </c>
      <c r="M425" s="162"/>
      <c r="N425" s="162"/>
      <c r="O425" s="162"/>
      <c r="P425" s="162"/>
      <c r="Q425" s="162"/>
      <c r="R425" s="162"/>
      <c r="S425" s="162"/>
      <c r="T425" s="162" t="s">
        <v>2891</v>
      </c>
      <c r="U425" s="162"/>
      <c r="V425" s="162"/>
    </row>
    <row r="426" spans="1:22" ht="15.75" customHeight="1" x14ac:dyDescent="0.25">
      <c r="A426" s="171" t="s">
        <v>2889</v>
      </c>
      <c r="B426" s="162" t="s">
        <v>13</v>
      </c>
      <c r="C426" s="163" t="s">
        <v>43</v>
      </c>
      <c r="D426" s="172">
        <v>44663</v>
      </c>
      <c r="E426" s="194" t="s">
        <v>23</v>
      </c>
      <c r="F426" s="194">
        <f>59+3</f>
        <v>62</v>
      </c>
      <c r="G426" s="194"/>
      <c r="H426" s="162"/>
      <c r="I426" s="162"/>
      <c r="J426" s="169" t="s">
        <v>760</v>
      </c>
      <c r="K426" s="149" t="s">
        <v>908</v>
      </c>
      <c r="L426" s="162">
        <v>62</v>
      </c>
      <c r="M426" s="162"/>
      <c r="N426" s="162"/>
      <c r="O426" s="162"/>
      <c r="P426" s="162"/>
      <c r="Q426" s="162"/>
      <c r="R426" s="162"/>
      <c r="S426" s="162"/>
      <c r="T426" s="162" t="s">
        <v>2891</v>
      </c>
      <c r="U426" s="162"/>
      <c r="V426" s="162"/>
    </row>
    <row r="427" spans="1:22" ht="15.75" customHeight="1" x14ac:dyDescent="0.25">
      <c r="A427" s="171" t="s">
        <v>2889</v>
      </c>
      <c r="B427" s="162" t="s">
        <v>13</v>
      </c>
      <c r="C427" s="163" t="s">
        <v>43</v>
      </c>
      <c r="D427" s="172">
        <v>44663</v>
      </c>
      <c r="E427" s="194" t="s">
        <v>23</v>
      </c>
      <c r="F427" s="194">
        <v>5</v>
      </c>
      <c r="G427" s="194"/>
      <c r="H427" s="162"/>
      <c r="I427" s="162"/>
      <c r="J427" s="169" t="s">
        <v>275</v>
      </c>
      <c r="K427" s="149" t="s">
        <v>233</v>
      </c>
      <c r="L427" s="162">
        <v>5</v>
      </c>
      <c r="M427" s="162"/>
      <c r="N427" s="162"/>
      <c r="O427" s="162"/>
      <c r="P427" s="162"/>
      <c r="Q427" s="162"/>
      <c r="R427" s="162"/>
      <c r="S427" s="162"/>
      <c r="T427" s="162" t="s">
        <v>2892</v>
      </c>
      <c r="U427" s="162"/>
      <c r="V427" s="162"/>
    </row>
    <row r="428" spans="1:22" ht="15.75" customHeight="1" x14ac:dyDescent="0.25">
      <c r="A428" s="171" t="s">
        <v>2889</v>
      </c>
      <c r="B428" s="162" t="s">
        <v>13</v>
      </c>
      <c r="C428" s="163" t="s">
        <v>43</v>
      </c>
      <c r="D428" s="172">
        <v>44663</v>
      </c>
      <c r="E428" s="194" t="s">
        <v>23</v>
      </c>
      <c r="F428" s="194">
        <v>11</v>
      </c>
      <c r="G428" s="194"/>
      <c r="H428" s="163"/>
      <c r="I428" s="163"/>
      <c r="J428" s="164" t="s">
        <v>349</v>
      </c>
      <c r="K428" s="150" t="s">
        <v>2890</v>
      </c>
      <c r="L428" s="163">
        <v>11</v>
      </c>
      <c r="M428" s="163"/>
      <c r="N428" s="163"/>
      <c r="O428" s="163"/>
      <c r="P428" s="163"/>
      <c r="Q428" s="163"/>
      <c r="R428" s="163"/>
      <c r="S428" s="163"/>
      <c r="T428" s="163" t="s">
        <v>2893</v>
      </c>
      <c r="U428" s="163"/>
      <c r="V428" s="163"/>
    </row>
    <row r="429" spans="1:22" ht="15.75" customHeight="1" x14ac:dyDescent="0.25">
      <c r="A429" s="171" t="s">
        <v>2894</v>
      </c>
      <c r="B429" s="162" t="s">
        <v>13</v>
      </c>
      <c r="C429" s="163" t="s">
        <v>37</v>
      </c>
      <c r="D429" s="172">
        <v>44664</v>
      </c>
      <c r="E429" s="187" t="s">
        <v>23</v>
      </c>
      <c r="F429" s="187"/>
      <c r="G429" s="187"/>
      <c r="H429" s="163"/>
      <c r="I429" s="163"/>
      <c r="J429" s="164" t="s">
        <v>1152</v>
      </c>
      <c r="K429" s="163"/>
      <c r="L429" s="163">
        <v>24</v>
      </c>
      <c r="M429" s="163"/>
      <c r="N429" s="163"/>
      <c r="O429" s="163"/>
      <c r="P429" s="163"/>
      <c r="Q429" s="163"/>
      <c r="R429" s="163"/>
      <c r="S429" s="163"/>
      <c r="T429" s="163">
        <v>44400</v>
      </c>
      <c r="U429" s="163"/>
      <c r="V429" s="163"/>
    </row>
    <row r="430" spans="1:22" ht="15.75" customHeight="1" x14ac:dyDescent="0.25">
      <c r="A430" s="171" t="s">
        <v>2899</v>
      </c>
      <c r="B430" s="163" t="s">
        <v>13</v>
      </c>
      <c r="C430" s="163" t="s">
        <v>2399</v>
      </c>
      <c r="D430" s="172">
        <v>44665</v>
      </c>
      <c r="E430" s="187" t="s">
        <v>23</v>
      </c>
      <c r="F430" s="187"/>
      <c r="G430" s="187"/>
      <c r="H430" s="163"/>
      <c r="I430" s="163"/>
      <c r="J430" s="164" t="s">
        <v>2403</v>
      </c>
      <c r="K430" s="150"/>
      <c r="L430" s="163">
        <v>80</v>
      </c>
      <c r="M430" s="163"/>
      <c r="N430" s="163"/>
      <c r="O430" s="163"/>
      <c r="P430" s="163"/>
      <c r="Q430" s="163"/>
      <c r="R430" s="163"/>
      <c r="S430" s="163"/>
      <c r="T430" s="163">
        <v>13685</v>
      </c>
      <c r="U430" s="163"/>
      <c r="V430" s="163"/>
    </row>
    <row r="431" spans="1:22" ht="15.75" customHeight="1" x14ac:dyDescent="0.25">
      <c r="A431" s="171" t="s">
        <v>2902</v>
      </c>
      <c r="B431" s="163" t="s">
        <v>13</v>
      </c>
      <c r="C431" s="163" t="s">
        <v>43</v>
      </c>
      <c r="D431" s="172">
        <v>44666</v>
      </c>
      <c r="E431" s="194" t="s">
        <v>23</v>
      </c>
      <c r="F431" s="187"/>
      <c r="G431" s="187"/>
      <c r="H431" s="163"/>
      <c r="I431" s="163"/>
      <c r="J431" s="164" t="s">
        <v>1514</v>
      </c>
      <c r="K431" s="150">
        <v>768</v>
      </c>
      <c r="L431" s="163">
        <v>128</v>
      </c>
      <c r="M431" s="163"/>
      <c r="N431" s="163"/>
      <c r="O431" s="163"/>
      <c r="P431" s="163"/>
      <c r="Q431" s="163"/>
      <c r="R431" s="163"/>
      <c r="S431" s="163"/>
      <c r="T431" s="163">
        <v>43000</v>
      </c>
      <c r="U431" s="163"/>
      <c r="V431" s="163"/>
    </row>
    <row r="432" spans="1:22" ht="15.75" customHeight="1" x14ac:dyDescent="0.25">
      <c r="A432" s="167">
        <v>177</v>
      </c>
      <c r="B432" s="163" t="s">
        <v>13</v>
      </c>
      <c r="C432" s="162" t="s">
        <v>1433</v>
      </c>
      <c r="D432" s="172">
        <v>44666</v>
      </c>
      <c r="E432" s="194" t="s">
        <v>23</v>
      </c>
      <c r="F432" s="194"/>
      <c r="G432" s="194">
        <v>206</v>
      </c>
      <c r="H432" s="162"/>
      <c r="I432" s="168">
        <v>44691</v>
      </c>
      <c r="J432" s="169" t="s">
        <v>1435</v>
      </c>
      <c r="K432" s="162">
        <v>1236</v>
      </c>
      <c r="L432" s="162">
        <v>206</v>
      </c>
      <c r="M432" s="162">
        <v>0.18940000000000001</v>
      </c>
      <c r="N432" s="162">
        <v>0.39300000000000002</v>
      </c>
      <c r="O432" s="162">
        <v>234.0984</v>
      </c>
      <c r="P432" s="162">
        <v>485.74799999999999</v>
      </c>
      <c r="Q432" s="162">
        <v>30.43</v>
      </c>
      <c r="R432" s="162">
        <v>64.959999999999994</v>
      </c>
      <c r="S432" s="162">
        <v>343</v>
      </c>
      <c r="T432" s="162">
        <v>80295.75</v>
      </c>
      <c r="U432" s="162"/>
      <c r="V432" s="162"/>
    </row>
    <row r="433" spans="1:22" ht="15.75" customHeight="1" x14ac:dyDescent="0.25">
      <c r="A433" s="171">
        <v>177</v>
      </c>
      <c r="B433" s="163" t="s">
        <v>13</v>
      </c>
      <c r="C433" s="162" t="s">
        <v>1433</v>
      </c>
      <c r="D433" s="172">
        <v>44666</v>
      </c>
      <c r="E433" s="194" t="s">
        <v>23</v>
      </c>
      <c r="F433" s="194"/>
      <c r="G433" s="194">
        <f>88+92</f>
        <v>180</v>
      </c>
      <c r="H433" s="163"/>
      <c r="I433" s="168">
        <v>44691</v>
      </c>
      <c r="J433" s="164" t="s">
        <v>1512</v>
      </c>
      <c r="K433" s="163">
        <v>1080</v>
      </c>
      <c r="L433" s="163">
        <v>180</v>
      </c>
      <c r="M433" s="163">
        <v>0.2198</v>
      </c>
      <c r="N433" s="163">
        <v>0.49199999999999999</v>
      </c>
      <c r="O433" s="163">
        <v>237.38399999999999</v>
      </c>
      <c r="P433" s="163">
        <v>531.36</v>
      </c>
      <c r="Q433" s="163">
        <v>30.86</v>
      </c>
      <c r="R433" s="163">
        <v>75.39</v>
      </c>
      <c r="S433" s="163">
        <v>343</v>
      </c>
      <c r="T433" s="163">
        <v>81421.2</v>
      </c>
      <c r="U433" s="163"/>
      <c r="V433" s="163"/>
    </row>
    <row r="434" spans="1:22" ht="15.75" customHeight="1" x14ac:dyDescent="0.25">
      <c r="A434" s="171">
        <v>178</v>
      </c>
      <c r="B434" s="163" t="s">
        <v>13</v>
      </c>
      <c r="C434" s="162" t="s">
        <v>1433</v>
      </c>
      <c r="D434" s="172">
        <v>44666</v>
      </c>
      <c r="E434" s="194" t="s">
        <v>23</v>
      </c>
      <c r="F434" s="187"/>
      <c r="G434" s="187">
        <v>71</v>
      </c>
      <c r="H434" s="163"/>
      <c r="I434" s="168">
        <v>44691</v>
      </c>
      <c r="J434" s="164" t="s">
        <v>1472</v>
      </c>
      <c r="K434" s="150">
        <v>426</v>
      </c>
      <c r="L434" s="163">
        <v>71</v>
      </c>
      <c r="M434" s="163">
        <v>0.41239999999999999</v>
      </c>
      <c r="N434" s="163">
        <v>1.1619999999999999</v>
      </c>
      <c r="O434" s="163">
        <v>175.6824</v>
      </c>
      <c r="P434" s="163">
        <v>495.012</v>
      </c>
      <c r="Q434" s="163">
        <v>22.84</v>
      </c>
      <c r="R434" s="163">
        <v>141.44999999999999</v>
      </c>
      <c r="S434" s="163">
        <v>343</v>
      </c>
      <c r="T434" s="163">
        <v>60257.7</v>
      </c>
      <c r="U434" s="163"/>
      <c r="V434" s="163"/>
    </row>
    <row r="435" spans="1:22" ht="15.75" customHeight="1" x14ac:dyDescent="0.25">
      <c r="A435" s="167">
        <v>179</v>
      </c>
      <c r="B435" s="163" t="s">
        <v>13</v>
      </c>
      <c r="C435" s="162" t="s">
        <v>32</v>
      </c>
      <c r="D435" s="172">
        <v>44666</v>
      </c>
      <c r="E435" s="194" t="s">
        <v>23</v>
      </c>
      <c r="F435" s="187"/>
      <c r="G435" s="187"/>
      <c r="H435" s="162"/>
      <c r="I435" s="162"/>
      <c r="J435" s="169" t="s">
        <v>2842</v>
      </c>
      <c r="K435" s="159">
        <v>84</v>
      </c>
      <c r="L435" s="162">
        <v>14</v>
      </c>
      <c r="M435" s="162">
        <v>0.1467</v>
      </c>
      <c r="N435" s="162">
        <v>1.3560000000000001</v>
      </c>
      <c r="O435" s="162">
        <v>12.322800000000001</v>
      </c>
      <c r="P435" s="162">
        <v>113.904</v>
      </c>
      <c r="Q435" s="162">
        <v>1.6</v>
      </c>
      <c r="R435" s="162">
        <v>45.33</v>
      </c>
      <c r="S435" s="162">
        <v>309</v>
      </c>
      <c r="T435" s="162">
        <v>3807.75</v>
      </c>
      <c r="U435" s="162"/>
      <c r="V435" s="162"/>
    </row>
    <row r="436" spans="1:22" ht="15.75" customHeight="1" x14ac:dyDescent="0.25">
      <c r="A436" s="171">
        <v>179</v>
      </c>
      <c r="B436" s="163" t="s">
        <v>13</v>
      </c>
      <c r="C436" s="162" t="s">
        <v>32</v>
      </c>
      <c r="D436" s="172">
        <v>44666</v>
      </c>
      <c r="E436" s="194" t="s">
        <v>23</v>
      </c>
      <c r="F436" s="194"/>
      <c r="G436" s="194"/>
      <c r="H436" s="163"/>
      <c r="I436" s="163"/>
      <c r="J436" s="164" t="s">
        <v>2903</v>
      </c>
      <c r="K436" s="179">
        <v>84</v>
      </c>
      <c r="L436" s="163">
        <v>14</v>
      </c>
      <c r="M436" s="163">
        <v>0.17610000000000001</v>
      </c>
      <c r="N436" s="163">
        <v>1.23</v>
      </c>
      <c r="O436" s="163">
        <v>14.792400000000001</v>
      </c>
      <c r="P436" s="163">
        <v>103.32</v>
      </c>
      <c r="Q436" s="163">
        <v>1.92</v>
      </c>
      <c r="R436" s="163">
        <v>54.41</v>
      </c>
      <c r="S436" s="163">
        <v>309</v>
      </c>
      <c r="T436" s="163">
        <v>4570.8500000000004</v>
      </c>
      <c r="U436" s="163"/>
      <c r="V436" s="163"/>
    </row>
    <row r="437" spans="1:22" ht="21" customHeight="1" x14ac:dyDescent="0.25">
      <c r="A437" s="167" t="s">
        <v>2904</v>
      </c>
      <c r="B437" s="163" t="s">
        <v>13</v>
      </c>
      <c r="C437" s="162" t="s">
        <v>2566</v>
      </c>
      <c r="D437" s="172">
        <v>44666</v>
      </c>
      <c r="E437" s="194" t="s">
        <v>23</v>
      </c>
      <c r="F437" s="194"/>
      <c r="G437" s="194"/>
      <c r="H437" s="162" t="s">
        <v>2956</v>
      </c>
      <c r="I437" s="168">
        <v>44686</v>
      </c>
      <c r="J437" s="169" t="s">
        <v>2165</v>
      </c>
      <c r="K437" s="162">
        <v>1657.5</v>
      </c>
      <c r="L437" s="162">
        <v>325</v>
      </c>
      <c r="M437" s="162"/>
      <c r="N437" s="162"/>
      <c r="O437" s="162"/>
      <c r="P437" s="162"/>
      <c r="Q437" s="162"/>
      <c r="R437" s="162"/>
      <c r="S437" s="162"/>
      <c r="T437" s="221">
        <v>108171</v>
      </c>
      <c r="U437" s="162"/>
      <c r="V437" s="162"/>
    </row>
    <row r="438" spans="1:22" ht="19.899999999999999" customHeight="1" x14ac:dyDescent="0.25">
      <c r="A438" s="167" t="s">
        <v>2904</v>
      </c>
      <c r="B438" s="163" t="s">
        <v>13</v>
      </c>
      <c r="C438" s="162" t="s">
        <v>2566</v>
      </c>
      <c r="D438" s="172">
        <v>44666</v>
      </c>
      <c r="E438" s="194" t="s">
        <v>23</v>
      </c>
      <c r="F438" s="194"/>
      <c r="G438" s="194"/>
      <c r="H438" s="163"/>
      <c r="I438" s="163"/>
      <c r="J438" s="164" t="s">
        <v>241</v>
      </c>
      <c r="K438" s="163">
        <v>245.31</v>
      </c>
      <c r="L438" s="163"/>
      <c r="M438" s="163"/>
      <c r="N438" s="163"/>
      <c r="O438" s="163"/>
      <c r="P438" s="163"/>
      <c r="Q438" s="163"/>
      <c r="R438" s="163"/>
      <c r="S438" s="163"/>
      <c r="T438" s="222" t="s">
        <v>2947</v>
      </c>
      <c r="U438" s="163"/>
      <c r="V438" s="163"/>
    </row>
    <row r="439" spans="1:22" s="14" customFormat="1" ht="75.75" customHeight="1" x14ac:dyDescent="0.25">
      <c r="A439" s="147">
        <v>180</v>
      </c>
      <c r="B439" s="145" t="s">
        <v>34</v>
      </c>
      <c r="C439" s="145" t="s">
        <v>328</v>
      </c>
      <c r="D439" s="148">
        <v>44669</v>
      </c>
      <c r="E439" s="187" t="s">
        <v>23</v>
      </c>
      <c r="F439" s="187">
        <v>1080</v>
      </c>
      <c r="G439" s="187"/>
      <c r="H439" s="220" t="s">
        <v>3097</v>
      </c>
      <c r="I439" s="148"/>
      <c r="J439" s="146" t="s">
        <v>650</v>
      </c>
      <c r="K439" s="145">
        <v>1590</v>
      </c>
      <c r="L439" s="145">
        <v>265</v>
      </c>
      <c r="M439" s="145">
        <v>0.30919999999999997</v>
      </c>
      <c r="N439" s="145">
        <v>1.1000000000000001</v>
      </c>
      <c r="O439" s="145">
        <v>491.62799999999999</v>
      </c>
      <c r="P439" s="145">
        <v>1749</v>
      </c>
      <c r="Q439" s="145">
        <v>63.91</v>
      </c>
      <c r="R439" s="145">
        <v>111.31</v>
      </c>
      <c r="S439" s="145">
        <v>360</v>
      </c>
      <c r="T439" s="145">
        <v>176986.08</v>
      </c>
      <c r="U439" s="145"/>
      <c r="V439" s="145"/>
    </row>
    <row r="440" spans="1:22" ht="15.75" customHeight="1" x14ac:dyDescent="0.25">
      <c r="A440" s="171">
        <v>181</v>
      </c>
      <c r="B440" s="163" t="s">
        <v>13</v>
      </c>
      <c r="C440" s="163" t="s">
        <v>32</v>
      </c>
      <c r="D440" s="172">
        <v>44669</v>
      </c>
      <c r="E440" s="187" t="s">
        <v>23</v>
      </c>
      <c r="F440" s="187">
        <v>105</v>
      </c>
      <c r="G440" s="187"/>
      <c r="H440" s="163" t="s">
        <v>2976</v>
      </c>
      <c r="I440" s="163"/>
      <c r="J440" s="164" t="s">
        <v>1598</v>
      </c>
      <c r="K440" s="150">
        <v>713.7</v>
      </c>
      <c r="L440" s="163">
        <v>117</v>
      </c>
      <c r="M440" s="163">
        <v>0.2651</v>
      </c>
      <c r="N440" s="163">
        <v>0.82099999999999995</v>
      </c>
      <c r="O440" s="163">
        <v>189.20189999999999</v>
      </c>
      <c r="P440" s="163">
        <v>585.94770000000005</v>
      </c>
      <c r="Q440" s="163">
        <v>24.6</v>
      </c>
      <c r="R440" s="163">
        <v>81.92</v>
      </c>
      <c r="S440" s="163">
        <v>309</v>
      </c>
      <c r="T440" s="163">
        <v>58463.38</v>
      </c>
      <c r="U440" s="163"/>
      <c r="V440" s="163"/>
    </row>
    <row r="441" spans="1:22" ht="15.75" customHeight="1" x14ac:dyDescent="0.25">
      <c r="A441" s="171" t="s">
        <v>3036</v>
      </c>
      <c r="B441" s="163" t="s">
        <v>13</v>
      </c>
      <c r="C441" s="163" t="s">
        <v>43</v>
      </c>
      <c r="D441" s="172">
        <v>44711</v>
      </c>
      <c r="E441" s="187" t="s">
        <v>23</v>
      </c>
      <c r="F441" s="187"/>
      <c r="G441" s="187"/>
      <c r="H441" s="163"/>
      <c r="I441" s="172">
        <v>44718</v>
      </c>
      <c r="J441" s="164" t="s">
        <v>3032</v>
      </c>
      <c r="K441" s="185" t="s">
        <v>3035</v>
      </c>
      <c r="L441" s="163">
        <v>128</v>
      </c>
      <c r="M441" s="163"/>
      <c r="N441" s="163"/>
      <c r="O441" s="163"/>
      <c r="P441" s="163"/>
      <c r="Q441" s="163"/>
      <c r="R441" s="163"/>
      <c r="S441" s="163"/>
      <c r="T441" s="163" t="s">
        <v>3037</v>
      </c>
      <c r="U441" s="163"/>
      <c r="V441" s="163"/>
    </row>
    <row r="442" spans="1:22" s="14" customFormat="1" ht="15.75" customHeight="1" x14ac:dyDescent="0.25">
      <c r="A442" s="141">
        <v>182</v>
      </c>
      <c r="B442" s="142" t="s">
        <v>34</v>
      </c>
      <c r="C442" s="142" t="s">
        <v>19</v>
      </c>
      <c r="D442" s="143">
        <v>44669</v>
      </c>
      <c r="E442" s="194" t="s">
        <v>23</v>
      </c>
      <c r="F442" s="194"/>
      <c r="G442" s="194"/>
      <c r="H442" s="142"/>
      <c r="I442" s="143">
        <v>44676</v>
      </c>
      <c r="J442" s="144" t="s">
        <v>2612</v>
      </c>
      <c r="K442" s="142">
        <v>688.2</v>
      </c>
      <c r="L442" s="142">
        <v>222</v>
      </c>
      <c r="M442" s="142">
        <v>0.3402</v>
      </c>
      <c r="N442" s="142">
        <v>1.4530000000000001</v>
      </c>
      <c r="O442" s="142">
        <v>234.12559999999999</v>
      </c>
      <c r="P442" s="142">
        <v>999.95460000000003</v>
      </c>
      <c r="Q442" s="142">
        <v>30.44</v>
      </c>
      <c r="R442" s="142">
        <v>72.459999999999994</v>
      </c>
      <c r="S442" s="142">
        <v>213</v>
      </c>
      <c r="T442" s="142">
        <v>49868.76</v>
      </c>
      <c r="U442" s="142"/>
      <c r="V442" s="142"/>
    </row>
    <row r="443" spans="1:22" s="14" customFormat="1" ht="15.75" customHeight="1" x14ac:dyDescent="0.25">
      <c r="A443" s="147">
        <v>182</v>
      </c>
      <c r="B443" s="145" t="s">
        <v>34</v>
      </c>
      <c r="C443" s="145" t="s">
        <v>19</v>
      </c>
      <c r="D443" s="148">
        <v>44669</v>
      </c>
      <c r="E443" s="187" t="s">
        <v>23</v>
      </c>
      <c r="F443" s="194"/>
      <c r="G443" s="194"/>
      <c r="H443" s="145"/>
      <c r="I443" s="148">
        <v>44676</v>
      </c>
      <c r="J443" s="146" t="s">
        <v>2594</v>
      </c>
      <c r="K443" s="145">
        <v>384.8</v>
      </c>
      <c r="L443" s="145">
        <v>104</v>
      </c>
      <c r="M443" s="145">
        <v>0.3402</v>
      </c>
      <c r="N443" s="145">
        <v>1.4530000000000001</v>
      </c>
      <c r="O443" s="145">
        <v>130.90899999999999</v>
      </c>
      <c r="P443" s="145">
        <v>559.11440000000005</v>
      </c>
      <c r="Q443" s="145">
        <v>17.02</v>
      </c>
      <c r="R443" s="145">
        <v>72.459999999999994</v>
      </c>
      <c r="S443" s="145">
        <v>213</v>
      </c>
      <c r="T443" s="145">
        <v>27883.61</v>
      </c>
      <c r="U443" s="145"/>
      <c r="V443" s="145"/>
    </row>
    <row r="444" spans="1:22" s="14" customFormat="1" ht="36" customHeight="1" x14ac:dyDescent="0.25">
      <c r="A444" s="147" t="s">
        <v>2907</v>
      </c>
      <c r="B444" s="145" t="s">
        <v>34</v>
      </c>
      <c r="C444" s="145" t="s">
        <v>16</v>
      </c>
      <c r="D444" s="148">
        <v>44669</v>
      </c>
      <c r="E444" s="187" t="s">
        <v>23</v>
      </c>
      <c r="F444" s="187">
        <v>6</v>
      </c>
      <c r="G444" s="187" t="s">
        <v>3688</v>
      </c>
      <c r="H444" s="220" t="s">
        <v>3319</v>
      </c>
      <c r="I444" s="145"/>
      <c r="J444" s="146" t="s">
        <v>2469</v>
      </c>
      <c r="K444" s="145">
        <v>516</v>
      </c>
      <c r="L444" s="145">
        <v>86</v>
      </c>
      <c r="M444" s="145">
        <v>0.70820000000000005</v>
      </c>
      <c r="N444" s="145">
        <v>3.4609999999999999</v>
      </c>
      <c r="O444" s="145">
        <v>365.43119999999999</v>
      </c>
      <c r="P444" s="145">
        <v>1785.876</v>
      </c>
      <c r="Q444" s="145">
        <v>47.51</v>
      </c>
      <c r="R444" s="145">
        <v>255.06</v>
      </c>
      <c r="S444" s="145">
        <v>360.15</v>
      </c>
      <c r="T444" s="145">
        <v>131610.04999999999</v>
      </c>
      <c r="U444" s="145"/>
      <c r="V444" s="145"/>
    </row>
    <row r="445" spans="1:22" ht="15.75" customHeight="1" x14ac:dyDescent="0.25">
      <c r="A445" s="167">
        <v>184</v>
      </c>
      <c r="B445" s="163" t="s">
        <v>13</v>
      </c>
      <c r="C445" s="162" t="s">
        <v>2466</v>
      </c>
      <c r="D445" s="172">
        <v>44669</v>
      </c>
      <c r="E445" s="194" t="s">
        <v>23</v>
      </c>
      <c r="F445" s="187"/>
      <c r="G445" s="187">
        <v>156</v>
      </c>
      <c r="H445" s="162"/>
      <c r="I445" s="168">
        <v>44685</v>
      </c>
      <c r="J445" s="169" t="s">
        <v>149</v>
      </c>
      <c r="K445" s="162">
        <v>780</v>
      </c>
      <c r="L445" s="162">
        <v>156</v>
      </c>
      <c r="M445" s="162">
        <v>0.18360000000000001</v>
      </c>
      <c r="N445" s="162">
        <v>0.39400000000000002</v>
      </c>
      <c r="O445" s="162">
        <v>143.208</v>
      </c>
      <c r="P445" s="162">
        <v>307.32</v>
      </c>
      <c r="Q445" s="162">
        <v>18.62</v>
      </c>
      <c r="R445" s="162">
        <v>62.97</v>
      </c>
      <c r="S445" s="162">
        <v>343</v>
      </c>
      <c r="T445" s="162">
        <v>49120.34</v>
      </c>
      <c r="U445" s="162"/>
      <c r="V445" s="162"/>
    </row>
    <row r="446" spans="1:22" ht="15.75" customHeight="1" x14ac:dyDescent="0.25">
      <c r="A446" s="167">
        <v>184</v>
      </c>
      <c r="B446" s="163" t="s">
        <v>13</v>
      </c>
      <c r="C446" s="162" t="s">
        <v>2466</v>
      </c>
      <c r="D446" s="172">
        <v>44669</v>
      </c>
      <c r="E446" s="194" t="s">
        <v>23</v>
      </c>
      <c r="F446" s="194">
        <v>179</v>
      </c>
      <c r="G446" s="194"/>
      <c r="H446" s="162"/>
      <c r="I446" s="162"/>
      <c r="J446" s="169" t="s">
        <v>117</v>
      </c>
      <c r="K446" s="162">
        <v>920</v>
      </c>
      <c r="L446" s="162">
        <v>184</v>
      </c>
      <c r="M446" s="162">
        <v>0.1734</v>
      </c>
      <c r="N446" s="162">
        <v>0.35099999999999998</v>
      </c>
      <c r="O446" s="162">
        <v>159.52799999999999</v>
      </c>
      <c r="P446" s="162">
        <v>322.92</v>
      </c>
      <c r="Q446" s="162">
        <v>20.74</v>
      </c>
      <c r="R446" s="162">
        <v>59.48</v>
      </c>
      <c r="S446" s="162">
        <v>343</v>
      </c>
      <c r="T446" s="162">
        <v>54718.1</v>
      </c>
      <c r="U446" s="162"/>
      <c r="V446" s="162"/>
    </row>
    <row r="447" spans="1:22" ht="15.75" customHeight="1" x14ac:dyDescent="0.25">
      <c r="A447" s="167">
        <v>184</v>
      </c>
      <c r="B447" s="163" t="s">
        <v>13</v>
      </c>
      <c r="C447" s="162" t="s">
        <v>2466</v>
      </c>
      <c r="D447" s="172">
        <v>44669</v>
      </c>
      <c r="E447" s="187" t="s">
        <v>23</v>
      </c>
      <c r="F447" s="194">
        <v>77</v>
      </c>
      <c r="G447" s="218"/>
      <c r="H447" s="163"/>
      <c r="I447" s="163"/>
      <c r="J447" s="164" t="s">
        <v>299</v>
      </c>
      <c r="K447" s="163">
        <v>400</v>
      </c>
      <c r="L447" s="163">
        <v>80</v>
      </c>
      <c r="M447" s="163">
        <v>0.1381</v>
      </c>
      <c r="N447" s="163">
        <v>0.35199999999999998</v>
      </c>
      <c r="O447" s="163">
        <v>55.24</v>
      </c>
      <c r="P447" s="163">
        <v>140.80000000000001</v>
      </c>
      <c r="Q447" s="163">
        <v>7.18</v>
      </c>
      <c r="R447" s="163">
        <v>47.37</v>
      </c>
      <c r="S447" s="163">
        <v>343</v>
      </c>
      <c r="T447" s="163">
        <v>18947.32</v>
      </c>
      <c r="U447" s="163"/>
      <c r="V447" s="163"/>
    </row>
    <row r="448" spans="1:22" s="14" customFormat="1" ht="30.75" customHeight="1" x14ac:dyDescent="0.25">
      <c r="A448" s="147" t="s">
        <v>2908</v>
      </c>
      <c r="B448" s="145" t="s">
        <v>34</v>
      </c>
      <c r="C448" s="145" t="s">
        <v>284</v>
      </c>
      <c r="D448" s="148">
        <v>44669</v>
      </c>
      <c r="E448" s="187" t="s">
        <v>23</v>
      </c>
      <c r="F448" s="187"/>
      <c r="G448" s="187"/>
      <c r="H448" s="219" t="s">
        <v>2933</v>
      </c>
      <c r="I448" s="148">
        <v>44677</v>
      </c>
      <c r="J448" s="146" t="s">
        <v>2932</v>
      </c>
      <c r="K448" s="145" t="s">
        <v>2920</v>
      </c>
      <c r="L448" s="145">
        <v>80</v>
      </c>
      <c r="M448" s="145"/>
      <c r="N448" s="145"/>
      <c r="O448" s="145"/>
      <c r="P448" s="145"/>
      <c r="Q448" s="145"/>
      <c r="R448" s="145" t="s">
        <v>2922</v>
      </c>
      <c r="S448" s="145"/>
      <c r="T448" s="145" t="s">
        <v>2909</v>
      </c>
      <c r="U448" s="145"/>
      <c r="V448" s="145"/>
    </row>
    <row r="449" spans="1:22" s="14" customFormat="1" ht="15.75" customHeight="1" x14ac:dyDescent="0.25">
      <c r="A449" s="147" t="s">
        <v>2908</v>
      </c>
      <c r="B449" s="145" t="s">
        <v>34</v>
      </c>
      <c r="C449" s="145" t="s">
        <v>284</v>
      </c>
      <c r="D449" s="148">
        <v>44669</v>
      </c>
      <c r="E449" s="187" t="s">
        <v>23</v>
      </c>
      <c r="F449" s="187"/>
      <c r="G449" s="187"/>
      <c r="H449" s="219" t="s">
        <v>2934</v>
      </c>
      <c r="I449" s="148">
        <v>44677</v>
      </c>
      <c r="J449" s="146" t="s">
        <v>2919</v>
      </c>
      <c r="K449" s="145" t="s">
        <v>2921</v>
      </c>
      <c r="L449" s="145">
        <v>32</v>
      </c>
      <c r="M449" s="145"/>
      <c r="N449" s="145"/>
      <c r="O449" s="145"/>
      <c r="P449" s="145"/>
      <c r="Q449" s="145"/>
      <c r="R449" s="145" t="s">
        <v>2922</v>
      </c>
      <c r="S449" s="145"/>
      <c r="T449" s="145" t="s">
        <v>435</v>
      </c>
      <c r="U449" s="145"/>
      <c r="V449" s="145"/>
    </row>
    <row r="450" spans="1:22" ht="15.75" customHeight="1" x14ac:dyDescent="0.25">
      <c r="A450" s="171" t="s">
        <v>2910</v>
      </c>
      <c r="B450" s="163" t="s">
        <v>13</v>
      </c>
      <c r="C450" s="163" t="s">
        <v>2399</v>
      </c>
      <c r="D450" s="172">
        <v>44670</v>
      </c>
      <c r="E450" s="187" t="s">
        <v>23</v>
      </c>
      <c r="F450" s="187"/>
      <c r="G450" s="187"/>
      <c r="H450" s="163"/>
      <c r="I450" s="163"/>
      <c r="J450" s="164" t="s">
        <v>2403</v>
      </c>
      <c r="K450" s="179"/>
      <c r="L450" s="163">
        <v>80</v>
      </c>
      <c r="M450" s="163"/>
      <c r="N450" s="163"/>
      <c r="O450" s="163"/>
      <c r="P450" s="163"/>
      <c r="Q450" s="163"/>
      <c r="R450" s="163"/>
      <c r="S450" s="163"/>
      <c r="T450" s="163">
        <v>13865</v>
      </c>
      <c r="U450" s="163"/>
      <c r="V450" s="163"/>
    </row>
    <row r="451" spans="1:22" s="14" customFormat="1" ht="15.75" customHeight="1" x14ac:dyDescent="0.25">
      <c r="A451" s="141">
        <v>186</v>
      </c>
      <c r="B451" s="142" t="s">
        <v>34</v>
      </c>
      <c r="C451" s="142" t="s">
        <v>19</v>
      </c>
      <c r="D451" s="143">
        <v>44671</v>
      </c>
      <c r="E451" s="194" t="s">
        <v>23</v>
      </c>
      <c r="F451" s="194">
        <v>117.6</v>
      </c>
      <c r="G451" s="194"/>
      <c r="H451" s="142" t="s">
        <v>2918</v>
      </c>
      <c r="I451" s="143">
        <v>44672</v>
      </c>
      <c r="J451" s="144" t="s">
        <v>2671</v>
      </c>
      <c r="K451" s="142">
        <v>119.7</v>
      </c>
      <c r="L451" s="142">
        <v>57</v>
      </c>
      <c r="M451" s="142">
        <v>0.27529999999999999</v>
      </c>
      <c r="N451" s="142">
        <v>0.626</v>
      </c>
      <c r="O451" s="142">
        <v>32.953400000000002</v>
      </c>
      <c r="P451" s="142">
        <v>74.932199999999995</v>
      </c>
      <c r="Q451" s="142">
        <v>4.28</v>
      </c>
      <c r="R451" s="142">
        <v>94.43</v>
      </c>
      <c r="S451" s="142">
        <v>343</v>
      </c>
      <c r="T451" s="142">
        <v>11303.02</v>
      </c>
      <c r="U451" s="142"/>
      <c r="V451" s="142"/>
    </row>
    <row r="452" spans="1:22" s="14" customFormat="1" ht="15.75" customHeight="1" x14ac:dyDescent="0.25">
      <c r="A452" s="141">
        <v>186</v>
      </c>
      <c r="B452" s="142" t="s">
        <v>34</v>
      </c>
      <c r="C452" s="142" t="s">
        <v>19</v>
      </c>
      <c r="D452" s="143">
        <v>44671</v>
      </c>
      <c r="E452" s="194" t="s">
        <v>23</v>
      </c>
      <c r="F452" s="194"/>
      <c r="G452" s="194"/>
      <c r="H452" s="142"/>
      <c r="I452" s="142"/>
      <c r="J452" s="144" t="s">
        <v>2911</v>
      </c>
      <c r="K452" s="142">
        <v>153.4</v>
      </c>
      <c r="L452" s="142">
        <v>52</v>
      </c>
      <c r="M452" s="142">
        <v>0.27529999999999999</v>
      </c>
      <c r="N452" s="142">
        <v>0.626</v>
      </c>
      <c r="O452" s="142">
        <v>42.231000000000002</v>
      </c>
      <c r="P452" s="142">
        <v>96.028400000000005</v>
      </c>
      <c r="Q452" s="142">
        <v>5.49</v>
      </c>
      <c r="R452" s="142">
        <v>94.43</v>
      </c>
      <c r="S452" s="142">
        <v>343</v>
      </c>
      <c r="T452" s="142">
        <v>14485.24</v>
      </c>
      <c r="U452" s="142"/>
      <c r="V452" s="142"/>
    </row>
    <row r="453" spans="1:22" s="14" customFormat="1" ht="15.75" customHeight="1" x14ac:dyDescent="0.25">
      <c r="A453" s="141">
        <v>186</v>
      </c>
      <c r="B453" s="142" t="s">
        <v>34</v>
      </c>
      <c r="C453" s="142" t="s">
        <v>19</v>
      </c>
      <c r="D453" s="143">
        <v>44671</v>
      </c>
      <c r="E453" s="194" t="s">
        <v>22</v>
      </c>
      <c r="F453" s="194">
        <v>1606.5</v>
      </c>
      <c r="G453" s="194">
        <v>1288</v>
      </c>
      <c r="H453" s="142" t="s">
        <v>3344</v>
      </c>
      <c r="I453" s="142"/>
      <c r="J453" s="144" t="s">
        <v>2672</v>
      </c>
      <c r="K453" s="142">
        <v>2908.5</v>
      </c>
      <c r="L453" s="142">
        <v>831</v>
      </c>
      <c r="M453" s="142">
        <v>0.27529999999999999</v>
      </c>
      <c r="N453" s="142">
        <v>0.626</v>
      </c>
      <c r="O453" s="142">
        <v>800.71010000000001</v>
      </c>
      <c r="P453" s="142">
        <v>1820.721</v>
      </c>
      <c r="Q453" s="142">
        <v>104.09</v>
      </c>
      <c r="R453" s="142">
        <v>94.43</v>
      </c>
      <c r="S453" s="142">
        <v>343</v>
      </c>
      <c r="T453" s="142">
        <v>274643.55</v>
      </c>
      <c r="U453" s="142"/>
      <c r="V453" s="142"/>
    </row>
    <row r="454" spans="1:22" s="14" customFormat="1" ht="15.75" customHeight="1" x14ac:dyDescent="0.25">
      <c r="A454" s="141">
        <v>186</v>
      </c>
      <c r="B454" s="142" t="s">
        <v>34</v>
      </c>
      <c r="C454" s="142" t="s">
        <v>19</v>
      </c>
      <c r="D454" s="143">
        <v>44671</v>
      </c>
      <c r="E454" s="187" t="s">
        <v>23</v>
      </c>
      <c r="F454" s="194"/>
      <c r="G454" s="194"/>
      <c r="H454" s="145"/>
      <c r="I454" s="145"/>
      <c r="J454" s="146" t="s">
        <v>2912</v>
      </c>
      <c r="K454" s="145">
        <v>431.2</v>
      </c>
      <c r="L454" s="145">
        <v>112</v>
      </c>
      <c r="M454" s="145">
        <v>0.27529999999999999</v>
      </c>
      <c r="N454" s="145">
        <v>0.626</v>
      </c>
      <c r="O454" s="145">
        <v>118.7094</v>
      </c>
      <c r="P454" s="145">
        <v>269.93119999999999</v>
      </c>
      <c r="Q454" s="145">
        <v>15.43</v>
      </c>
      <c r="R454" s="145">
        <v>94.43</v>
      </c>
      <c r="S454" s="145">
        <v>343</v>
      </c>
      <c r="T454" s="145">
        <v>40717.31</v>
      </c>
      <c r="U454" s="145"/>
      <c r="V454" s="145"/>
    </row>
    <row r="455" spans="1:22" ht="15.75" customHeight="1" x14ac:dyDescent="0.25">
      <c r="A455" s="167" t="s">
        <v>2944</v>
      </c>
      <c r="B455" s="163" t="s">
        <v>13</v>
      </c>
      <c r="C455" s="162" t="s">
        <v>589</v>
      </c>
      <c r="D455" s="168">
        <v>44670</v>
      </c>
      <c r="E455" s="194" t="s">
        <v>23</v>
      </c>
      <c r="F455" s="187"/>
      <c r="G455" s="187"/>
      <c r="H455" s="162" t="s">
        <v>3024</v>
      </c>
      <c r="I455" s="168">
        <v>44694</v>
      </c>
      <c r="J455" s="169" t="s">
        <v>3023</v>
      </c>
      <c r="K455" s="162">
        <v>7590</v>
      </c>
      <c r="L455" s="162">
        <v>2530</v>
      </c>
      <c r="M455" s="162"/>
      <c r="N455" s="162"/>
      <c r="O455" s="162"/>
      <c r="P455" s="162"/>
      <c r="Q455" s="162"/>
      <c r="R455" s="162"/>
      <c r="S455" s="162"/>
      <c r="T455" s="162">
        <v>227700</v>
      </c>
      <c r="U455" s="162"/>
      <c r="V455" s="162"/>
    </row>
    <row r="456" spans="1:22" ht="15.75" customHeight="1" x14ac:dyDescent="0.25">
      <c r="A456" s="171" t="s">
        <v>2915</v>
      </c>
      <c r="B456" s="163" t="s">
        <v>13</v>
      </c>
      <c r="C456" s="163" t="s">
        <v>2654</v>
      </c>
      <c r="D456" s="172">
        <v>44672</v>
      </c>
      <c r="E456" s="187" t="s">
        <v>23</v>
      </c>
      <c r="F456" s="187"/>
      <c r="G456" s="187"/>
      <c r="H456" s="163"/>
      <c r="I456" s="172"/>
      <c r="J456" s="164" t="s">
        <v>1830</v>
      </c>
      <c r="K456" s="145">
        <v>306</v>
      </c>
      <c r="L456" s="163">
        <v>51</v>
      </c>
      <c r="M456" s="163"/>
      <c r="N456" s="163"/>
      <c r="O456" s="163"/>
      <c r="P456" s="163"/>
      <c r="Q456" s="163"/>
      <c r="R456" s="163"/>
      <c r="S456" s="163"/>
      <c r="T456" s="163">
        <v>29900</v>
      </c>
      <c r="U456" s="163"/>
      <c r="V456" s="163"/>
    </row>
    <row r="457" spans="1:22" ht="15.75" customHeight="1" x14ac:dyDescent="0.25">
      <c r="A457" s="171" t="s">
        <v>2917</v>
      </c>
      <c r="B457" s="163" t="s">
        <v>13</v>
      </c>
      <c r="C457" s="163" t="s">
        <v>295</v>
      </c>
      <c r="D457" s="172">
        <v>44672</v>
      </c>
      <c r="E457" s="187" t="s">
        <v>23</v>
      </c>
      <c r="F457" s="187"/>
      <c r="G457" s="187"/>
      <c r="H457" s="163"/>
      <c r="I457" s="163"/>
      <c r="J457" s="164" t="s">
        <v>177</v>
      </c>
      <c r="K457" s="163"/>
      <c r="L457" s="163">
        <v>1</v>
      </c>
      <c r="M457" s="163"/>
      <c r="N457" s="163"/>
      <c r="O457" s="163"/>
      <c r="P457" s="163"/>
      <c r="Q457" s="163"/>
      <c r="R457" s="163"/>
      <c r="S457" s="163"/>
      <c r="T457" s="163">
        <v>14828</v>
      </c>
      <c r="U457" s="163"/>
      <c r="V457" s="163"/>
    </row>
    <row r="458" spans="1:22" ht="15.75" customHeight="1" x14ac:dyDescent="0.25">
      <c r="A458" s="167" t="s">
        <v>2927</v>
      </c>
      <c r="B458" s="163" t="s">
        <v>13</v>
      </c>
      <c r="C458" s="162" t="s">
        <v>30</v>
      </c>
      <c r="D458" s="168">
        <v>44673</v>
      </c>
      <c r="E458" s="194" t="s">
        <v>23</v>
      </c>
      <c r="F458" s="194"/>
      <c r="G458" s="194"/>
      <c r="H458" s="162"/>
      <c r="I458" s="168">
        <v>44685</v>
      </c>
      <c r="J458" s="169" t="s">
        <v>710</v>
      </c>
      <c r="K458" s="159"/>
      <c r="L458" s="162">
        <v>20</v>
      </c>
      <c r="M458" s="162"/>
      <c r="N458" s="162"/>
      <c r="O458" s="162"/>
      <c r="P458" s="162"/>
      <c r="Q458" s="162"/>
      <c r="R458" s="162"/>
      <c r="S458" s="162"/>
      <c r="T458" s="162">
        <v>22000</v>
      </c>
      <c r="U458" s="162"/>
      <c r="V458" s="162"/>
    </row>
    <row r="459" spans="1:22" ht="15.75" customHeight="1" x14ac:dyDescent="0.25">
      <c r="A459" s="167" t="s">
        <v>2927</v>
      </c>
      <c r="B459" s="163" t="s">
        <v>13</v>
      </c>
      <c r="C459" s="162" t="s">
        <v>30</v>
      </c>
      <c r="D459" s="168">
        <v>44673</v>
      </c>
      <c r="E459" s="194" t="s">
        <v>23</v>
      </c>
      <c r="F459" s="194"/>
      <c r="G459" s="194"/>
      <c r="H459" s="162"/>
      <c r="I459" s="168">
        <v>44685</v>
      </c>
      <c r="J459" s="169" t="s">
        <v>711</v>
      </c>
      <c r="K459" s="159"/>
      <c r="L459" s="162">
        <v>20</v>
      </c>
      <c r="M459" s="162"/>
      <c r="N459" s="162"/>
      <c r="O459" s="162"/>
      <c r="P459" s="162"/>
      <c r="Q459" s="162"/>
      <c r="R459" s="162"/>
      <c r="S459" s="162"/>
      <c r="T459" s="162">
        <v>22000</v>
      </c>
      <c r="U459" s="162"/>
      <c r="V459" s="162"/>
    </row>
    <row r="460" spans="1:22" ht="15.75" customHeight="1" x14ac:dyDescent="0.25">
      <c r="A460" s="167" t="s">
        <v>2927</v>
      </c>
      <c r="B460" s="163" t="s">
        <v>13</v>
      </c>
      <c r="C460" s="162" t="s">
        <v>30</v>
      </c>
      <c r="D460" s="168">
        <v>44673</v>
      </c>
      <c r="E460" s="194" t="s">
        <v>23</v>
      </c>
      <c r="F460" s="194"/>
      <c r="G460" s="194"/>
      <c r="H460" s="162"/>
      <c r="I460" s="168">
        <v>44685</v>
      </c>
      <c r="J460" s="169" t="s">
        <v>712</v>
      </c>
      <c r="K460" s="159"/>
      <c r="L460" s="162">
        <v>40</v>
      </c>
      <c r="M460" s="162"/>
      <c r="N460" s="162"/>
      <c r="O460" s="162"/>
      <c r="P460" s="162"/>
      <c r="Q460" s="162"/>
      <c r="R460" s="162"/>
      <c r="S460" s="162"/>
      <c r="T460" s="162">
        <v>56000</v>
      </c>
      <c r="U460" s="162"/>
      <c r="V460" s="162"/>
    </row>
    <row r="461" spans="1:22" ht="15.75" customHeight="1" x14ac:dyDescent="0.25">
      <c r="A461" s="167" t="s">
        <v>2927</v>
      </c>
      <c r="B461" s="163" t="s">
        <v>13</v>
      </c>
      <c r="C461" s="162" t="s">
        <v>30</v>
      </c>
      <c r="D461" s="168">
        <v>44673</v>
      </c>
      <c r="E461" s="194" t="s">
        <v>23</v>
      </c>
      <c r="F461" s="194"/>
      <c r="G461" s="194"/>
      <c r="H461" s="162"/>
      <c r="I461" s="168">
        <v>44685</v>
      </c>
      <c r="J461" s="169" t="s">
        <v>713</v>
      </c>
      <c r="K461" s="159"/>
      <c r="L461" s="162">
        <v>40</v>
      </c>
      <c r="M461" s="162"/>
      <c r="N461" s="162"/>
      <c r="O461" s="162"/>
      <c r="P461" s="162"/>
      <c r="Q461" s="162"/>
      <c r="R461" s="162"/>
      <c r="S461" s="162"/>
      <c r="T461" s="162">
        <v>38000</v>
      </c>
      <c r="U461" s="162"/>
      <c r="V461" s="162"/>
    </row>
    <row r="462" spans="1:22" ht="15.75" customHeight="1" x14ac:dyDescent="0.25">
      <c r="A462" s="167" t="s">
        <v>2927</v>
      </c>
      <c r="B462" s="163" t="s">
        <v>13</v>
      </c>
      <c r="C462" s="162" t="s">
        <v>30</v>
      </c>
      <c r="D462" s="168">
        <v>44673</v>
      </c>
      <c r="E462" s="194" t="s">
        <v>23</v>
      </c>
      <c r="F462" s="194"/>
      <c r="G462" s="194"/>
      <c r="H462" s="162"/>
      <c r="I462" s="168">
        <v>44685</v>
      </c>
      <c r="J462" s="169" t="s">
        <v>714</v>
      </c>
      <c r="K462" s="159"/>
      <c r="L462" s="162">
        <v>20</v>
      </c>
      <c r="M462" s="162"/>
      <c r="N462" s="162"/>
      <c r="O462" s="162"/>
      <c r="P462" s="162"/>
      <c r="Q462" s="162"/>
      <c r="R462" s="162"/>
      <c r="S462" s="162"/>
      <c r="T462" s="162">
        <v>19000</v>
      </c>
      <c r="U462" s="162"/>
      <c r="V462" s="162"/>
    </row>
    <row r="463" spans="1:22" ht="15.75" customHeight="1" x14ac:dyDescent="0.25">
      <c r="A463" s="167" t="s">
        <v>2927</v>
      </c>
      <c r="B463" s="163" t="s">
        <v>13</v>
      </c>
      <c r="C463" s="162" t="s">
        <v>30</v>
      </c>
      <c r="D463" s="168">
        <v>44673</v>
      </c>
      <c r="E463" s="194" t="s">
        <v>23</v>
      </c>
      <c r="F463" s="194"/>
      <c r="G463" s="194"/>
      <c r="H463" s="162"/>
      <c r="I463" s="168">
        <v>44685</v>
      </c>
      <c r="J463" s="169" t="s">
        <v>715</v>
      </c>
      <c r="K463" s="159"/>
      <c r="L463" s="162">
        <v>20</v>
      </c>
      <c r="M463" s="162"/>
      <c r="N463" s="162"/>
      <c r="O463" s="162"/>
      <c r="P463" s="162"/>
      <c r="Q463" s="162"/>
      <c r="R463" s="162"/>
      <c r="S463" s="162"/>
      <c r="T463" s="162">
        <v>19000</v>
      </c>
      <c r="U463" s="162"/>
      <c r="V463" s="162"/>
    </row>
    <row r="464" spans="1:22" ht="15.75" customHeight="1" x14ac:dyDescent="0.25">
      <c r="A464" s="167" t="s">
        <v>2927</v>
      </c>
      <c r="B464" s="163" t="s">
        <v>13</v>
      </c>
      <c r="C464" s="162" t="s">
        <v>30</v>
      </c>
      <c r="D464" s="168">
        <v>44673</v>
      </c>
      <c r="E464" s="194" t="s">
        <v>23</v>
      </c>
      <c r="F464" s="194"/>
      <c r="G464" s="194"/>
      <c r="H464" s="162"/>
      <c r="I464" s="168">
        <v>44685</v>
      </c>
      <c r="J464" s="169" t="s">
        <v>718</v>
      </c>
      <c r="K464" s="159"/>
      <c r="L464" s="162">
        <v>20</v>
      </c>
      <c r="M464" s="162"/>
      <c r="N464" s="162"/>
      <c r="O464" s="162"/>
      <c r="P464" s="162"/>
      <c r="Q464" s="162"/>
      <c r="R464" s="162"/>
      <c r="S464" s="162"/>
      <c r="T464" s="162">
        <v>28000</v>
      </c>
      <c r="U464" s="162"/>
      <c r="V464" s="162"/>
    </row>
    <row r="465" spans="1:22" ht="15.75" customHeight="1" x14ac:dyDescent="0.25">
      <c r="A465" s="167" t="s">
        <v>2927</v>
      </c>
      <c r="B465" s="163" t="s">
        <v>13</v>
      </c>
      <c r="C465" s="162" t="s">
        <v>30</v>
      </c>
      <c r="D465" s="168">
        <v>44673</v>
      </c>
      <c r="E465" s="194" t="s">
        <v>23</v>
      </c>
      <c r="F465" s="194"/>
      <c r="G465" s="194"/>
      <c r="H465" s="162"/>
      <c r="I465" s="168">
        <v>44685</v>
      </c>
      <c r="J465" s="169" t="s">
        <v>719</v>
      </c>
      <c r="K465" s="159"/>
      <c r="L465" s="162">
        <v>20</v>
      </c>
      <c r="M465" s="162"/>
      <c r="N465" s="162"/>
      <c r="O465" s="162"/>
      <c r="P465" s="162"/>
      <c r="Q465" s="162"/>
      <c r="R465" s="162"/>
      <c r="S465" s="162"/>
      <c r="T465" s="162">
        <v>28000</v>
      </c>
      <c r="U465" s="162"/>
      <c r="V465" s="162"/>
    </row>
    <row r="466" spans="1:22" ht="15.75" customHeight="1" x14ac:dyDescent="0.25">
      <c r="A466" s="167" t="s">
        <v>2927</v>
      </c>
      <c r="B466" s="163" t="s">
        <v>13</v>
      </c>
      <c r="C466" s="162" t="s">
        <v>30</v>
      </c>
      <c r="D466" s="168">
        <v>44673</v>
      </c>
      <c r="E466" s="194" t="s">
        <v>23</v>
      </c>
      <c r="F466" s="194"/>
      <c r="G466" s="194"/>
      <c r="H466" s="162"/>
      <c r="I466" s="168">
        <v>44685</v>
      </c>
      <c r="J466" s="169" t="s">
        <v>2923</v>
      </c>
      <c r="K466" s="159"/>
      <c r="L466" s="162">
        <v>1</v>
      </c>
      <c r="M466" s="162"/>
      <c r="N466" s="162"/>
      <c r="O466" s="162"/>
      <c r="P466" s="162"/>
      <c r="Q466" s="162"/>
      <c r="R466" s="162"/>
      <c r="S466" s="162"/>
      <c r="T466" s="162">
        <v>900</v>
      </c>
      <c r="U466" s="162"/>
      <c r="V466" s="162"/>
    </row>
    <row r="467" spans="1:22" ht="15.75" customHeight="1" x14ac:dyDescent="0.25">
      <c r="A467" s="167" t="s">
        <v>2927</v>
      </c>
      <c r="B467" s="163" t="s">
        <v>13</v>
      </c>
      <c r="C467" s="162" t="s">
        <v>30</v>
      </c>
      <c r="D467" s="168">
        <v>44673</v>
      </c>
      <c r="E467" s="194" t="s">
        <v>23</v>
      </c>
      <c r="F467" s="194"/>
      <c r="G467" s="194"/>
      <c r="H467" s="162"/>
      <c r="I467" s="168">
        <v>44685</v>
      </c>
      <c r="J467" s="169" t="s">
        <v>2924</v>
      </c>
      <c r="K467" s="159"/>
      <c r="L467" s="162">
        <v>1</v>
      </c>
      <c r="M467" s="162"/>
      <c r="N467" s="162"/>
      <c r="O467" s="162"/>
      <c r="P467" s="162"/>
      <c r="Q467" s="162"/>
      <c r="R467" s="162"/>
      <c r="S467" s="162"/>
      <c r="T467" s="162">
        <v>900</v>
      </c>
      <c r="U467" s="162"/>
      <c r="V467" s="162"/>
    </row>
    <row r="468" spans="1:22" ht="15.75" customHeight="1" x14ac:dyDescent="0.25">
      <c r="A468" s="167" t="s">
        <v>2927</v>
      </c>
      <c r="B468" s="163" t="s">
        <v>13</v>
      </c>
      <c r="C468" s="162" t="s">
        <v>30</v>
      </c>
      <c r="D468" s="168">
        <v>44673</v>
      </c>
      <c r="E468" s="194" t="s">
        <v>23</v>
      </c>
      <c r="F468" s="194"/>
      <c r="G468" s="194"/>
      <c r="H468" s="162"/>
      <c r="I468" s="168">
        <v>44685</v>
      </c>
      <c r="J468" s="169" t="s">
        <v>2925</v>
      </c>
      <c r="K468" s="159"/>
      <c r="L468" s="162">
        <v>1</v>
      </c>
      <c r="M468" s="162"/>
      <c r="N468" s="162"/>
      <c r="O468" s="162"/>
      <c r="P468" s="162"/>
      <c r="Q468" s="162"/>
      <c r="R468" s="162"/>
      <c r="S468" s="162"/>
      <c r="T468" s="162">
        <v>800</v>
      </c>
      <c r="U468" s="162"/>
      <c r="V468" s="162"/>
    </row>
    <row r="469" spans="1:22" ht="15.75" customHeight="1" x14ac:dyDescent="0.25">
      <c r="A469" s="167" t="s">
        <v>2927</v>
      </c>
      <c r="B469" s="163" t="s">
        <v>13</v>
      </c>
      <c r="C469" s="162" t="s">
        <v>30</v>
      </c>
      <c r="D469" s="168">
        <v>44673</v>
      </c>
      <c r="E469" s="194" t="s">
        <v>23</v>
      </c>
      <c r="F469" s="194"/>
      <c r="G469" s="194"/>
      <c r="H469" s="163"/>
      <c r="I469" s="168">
        <v>44685</v>
      </c>
      <c r="J469" s="164" t="s">
        <v>2926</v>
      </c>
      <c r="K469" s="179"/>
      <c r="L469" s="163">
        <v>1</v>
      </c>
      <c r="M469" s="163"/>
      <c r="N469" s="163"/>
      <c r="O469" s="163"/>
      <c r="P469" s="163"/>
      <c r="Q469" s="163"/>
      <c r="R469" s="163"/>
      <c r="S469" s="163"/>
      <c r="T469" s="163">
        <v>800</v>
      </c>
      <c r="U469" s="163"/>
      <c r="V469" s="163"/>
    </row>
    <row r="470" spans="1:22" ht="15.75" customHeight="1" x14ac:dyDescent="0.25">
      <c r="A470" s="167" t="s">
        <v>2940</v>
      </c>
      <c r="B470" s="163" t="s">
        <v>13</v>
      </c>
      <c r="C470" s="162" t="s">
        <v>313</v>
      </c>
      <c r="D470" s="168">
        <v>44673</v>
      </c>
      <c r="E470" s="194" t="s">
        <v>23</v>
      </c>
      <c r="F470" s="187"/>
      <c r="G470" s="187"/>
      <c r="H470" s="162"/>
      <c r="I470" s="168">
        <v>44685</v>
      </c>
      <c r="J470" s="169" t="s">
        <v>77</v>
      </c>
      <c r="K470" s="142"/>
      <c r="L470" s="162">
        <v>10</v>
      </c>
      <c r="M470" s="162"/>
      <c r="N470" s="162"/>
      <c r="O470" s="162"/>
      <c r="P470" s="162"/>
      <c r="Q470" s="162"/>
      <c r="R470" s="162"/>
      <c r="S470" s="162"/>
      <c r="T470" s="162">
        <v>13050</v>
      </c>
      <c r="U470" s="162"/>
      <c r="V470" s="162"/>
    </row>
    <row r="471" spans="1:22" ht="15.75" customHeight="1" x14ac:dyDescent="0.25">
      <c r="A471" s="171">
        <v>190</v>
      </c>
      <c r="B471" s="163" t="s">
        <v>13</v>
      </c>
      <c r="C471" s="163" t="s">
        <v>2466</v>
      </c>
      <c r="D471" s="168">
        <v>44673</v>
      </c>
      <c r="E471" s="187" t="s">
        <v>23</v>
      </c>
      <c r="F471" s="187"/>
      <c r="G471" s="187"/>
      <c r="H471" s="163"/>
      <c r="I471" s="163"/>
      <c r="J471" s="164" t="s">
        <v>149</v>
      </c>
      <c r="K471" s="179">
        <v>840</v>
      </c>
      <c r="L471" s="163">
        <v>168</v>
      </c>
      <c r="M471" s="163">
        <v>0.18360000000000001</v>
      </c>
      <c r="N471" s="163">
        <v>0.39400000000000002</v>
      </c>
      <c r="O471" s="163">
        <v>154.22399999999999</v>
      </c>
      <c r="P471" s="163">
        <v>330.96</v>
      </c>
      <c r="Q471" s="163">
        <v>20.05</v>
      </c>
      <c r="R471" s="163">
        <v>62.97</v>
      </c>
      <c r="S471" s="163">
        <v>343</v>
      </c>
      <c r="T471" s="163">
        <v>52898.83</v>
      </c>
      <c r="U471" s="163"/>
      <c r="V471" s="163"/>
    </row>
    <row r="472" spans="1:22" s="14" customFormat="1" ht="45.75" customHeight="1" x14ac:dyDescent="0.25">
      <c r="A472" s="147" t="s">
        <v>2931</v>
      </c>
      <c r="B472" s="145" t="s">
        <v>34</v>
      </c>
      <c r="C472" s="145" t="s">
        <v>2930</v>
      </c>
      <c r="D472" s="148">
        <v>44648</v>
      </c>
      <c r="E472" s="187" t="s">
        <v>23</v>
      </c>
      <c r="F472" s="187"/>
      <c r="G472" s="187"/>
      <c r="H472" s="145" t="s">
        <v>2942</v>
      </c>
      <c r="I472" s="145"/>
      <c r="J472" s="146" t="s">
        <v>2929</v>
      </c>
      <c r="K472" s="145"/>
      <c r="L472" s="145"/>
      <c r="M472" s="145">
        <v>0.13569999999999999</v>
      </c>
      <c r="N472" s="145"/>
      <c r="O472" s="145"/>
      <c r="P472" s="145"/>
      <c r="Q472" s="145"/>
      <c r="R472" s="145"/>
      <c r="S472" s="145"/>
      <c r="T472" s="145" t="s">
        <v>2928</v>
      </c>
      <c r="U472" s="145"/>
      <c r="V472" s="145"/>
    </row>
    <row r="473" spans="1:22" ht="15.75" customHeight="1" x14ac:dyDescent="0.25">
      <c r="A473" s="171" t="s">
        <v>2936</v>
      </c>
      <c r="B473" s="163" t="s">
        <v>13</v>
      </c>
      <c r="C473" s="163" t="s">
        <v>37</v>
      </c>
      <c r="D473" s="172">
        <v>44676</v>
      </c>
      <c r="E473" s="187" t="s">
        <v>23</v>
      </c>
      <c r="F473" s="187"/>
      <c r="G473" s="187"/>
      <c r="H473" s="163"/>
      <c r="I473" s="163"/>
      <c r="J473" s="164" t="s">
        <v>2935</v>
      </c>
      <c r="K473" s="145"/>
      <c r="L473" s="163">
        <v>12</v>
      </c>
      <c r="M473" s="163"/>
      <c r="N473" s="163"/>
      <c r="O473" s="163"/>
      <c r="P473" s="163"/>
      <c r="Q473" s="163"/>
      <c r="R473" s="163"/>
      <c r="S473" s="163"/>
      <c r="T473" s="163">
        <v>8900</v>
      </c>
      <c r="U473" s="163"/>
      <c r="V473" s="163"/>
    </row>
    <row r="474" spans="1:22" ht="15.75" customHeight="1" x14ac:dyDescent="0.25">
      <c r="A474" s="171">
        <v>193</v>
      </c>
      <c r="B474" s="163" t="s">
        <v>13</v>
      </c>
      <c r="C474" s="163" t="s">
        <v>2937</v>
      </c>
      <c r="D474" s="172">
        <v>44676</v>
      </c>
      <c r="E474" s="187" t="s">
        <v>23</v>
      </c>
      <c r="F474" s="187"/>
      <c r="G474" s="187">
        <v>53</v>
      </c>
      <c r="H474" s="163"/>
      <c r="I474" s="163"/>
      <c r="J474" s="164" t="s">
        <v>2791</v>
      </c>
      <c r="K474" s="185">
        <v>336</v>
      </c>
      <c r="L474" s="163">
        <v>56</v>
      </c>
      <c r="M474" s="163">
        <v>0.33660000000000001</v>
      </c>
      <c r="N474" s="163">
        <v>1.2350000000000001</v>
      </c>
      <c r="O474" s="163">
        <v>113.0976</v>
      </c>
      <c r="P474" s="163">
        <v>414.96</v>
      </c>
      <c r="Q474" s="163">
        <v>14.7</v>
      </c>
      <c r="R474" s="163">
        <v>115.45</v>
      </c>
      <c r="S474" s="163">
        <v>343</v>
      </c>
      <c r="T474" s="163">
        <v>38791.199999999997</v>
      </c>
      <c r="U474" s="163"/>
      <c r="V474" s="163"/>
    </row>
    <row r="475" spans="1:22" ht="15.75" customHeight="1" x14ac:dyDescent="0.25">
      <c r="A475" s="171">
        <v>194</v>
      </c>
      <c r="B475" s="163" t="s">
        <v>13</v>
      </c>
      <c r="C475" s="163" t="s">
        <v>591</v>
      </c>
      <c r="D475" s="172">
        <v>44676</v>
      </c>
      <c r="E475" s="187" t="s">
        <v>23</v>
      </c>
      <c r="F475" s="194"/>
      <c r="G475" s="194">
        <v>1932</v>
      </c>
      <c r="H475" s="163"/>
      <c r="I475" s="163"/>
      <c r="J475" s="164" t="s">
        <v>38</v>
      </c>
      <c r="K475" s="163">
        <v>5796</v>
      </c>
      <c r="L475" s="163">
        <v>1932</v>
      </c>
      <c r="M475" s="163">
        <v>6.4500000000000002E-2</v>
      </c>
      <c r="N475" s="163">
        <v>8.5000000000000006E-2</v>
      </c>
      <c r="O475" s="163">
        <v>373.84199999999998</v>
      </c>
      <c r="P475" s="163">
        <v>492.66</v>
      </c>
      <c r="Q475" s="163">
        <v>48.6</v>
      </c>
      <c r="R475" s="163">
        <v>18.38</v>
      </c>
      <c r="S475" s="163">
        <v>285</v>
      </c>
      <c r="T475" s="163">
        <v>106544.97</v>
      </c>
      <c r="U475" s="163"/>
      <c r="V475" s="163"/>
    </row>
    <row r="476" spans="1:22" ht="15.75" customHeight="1" x14ac:dyDescent="0.25">
      <c r="A476" s="167">
        <v>195</v>
      </c>
      <c r="B476" s="163" t="s">
        <v>13</v>
      </c>
      <c r="C476" s="162" t="s">
        <v>663</v>
      </c>
      <c r="D476" s="172">
        <v>44676</v>
      </c>
      <c r="E476" s="194" t="s">
        <v>23</v>
      </c>
      <c r="F476" s="194"/>
      <c r="G476" s="194">
        <v>108</v>
      </c>
      <c r="H476" s="162"/>
      <c r="I476" s="168">
        <v>44687</v>
      </c>
      <c r="J476" s="169" t="s">
        <v>630</v>
      </c>
      <c r="K476" s="149">
        <v>702</v>
      </c>
      <c r="L476" s="162">
        <v>108</v>
      </c>
      <c r="M476" s="162">
        <v>0.54049999999999998</v>
      </c>
      <c r="N476" s="162">
        <v>2.0979999999999999</v>
      </c>
      <c r="O476" s="162">
        <v>379.43099999999998</v>
      </c>
      <c r="P476" s="162">
        <v>1472.796</v>
      </c>
      <c r="Q476" s="162">
        <v>49.33</v>
      </c>
      <c r="R476" s="162">
        <v>151.34</v>
      </c>
      <c r="S476" s="162">
        <v>280</v>
      </c>
      <c r="T476" s="162">
        <v>106240.68</v>
      </c>
      <c r="U476" s="162"/>
      <c r="V476" s="162"/>
    </row>
    <row r="477" spans="1:22" ht="15.75" customHeight="1" x14ac:dyDescent="0.25">
      <c r="A477" s="171" t="s">
        <v>3036</v>
      </c>
      <c r="B477" s="163" t="s">
        <v>13</v>
      </c>
      <c r="C477" s="162" t="s">
        <v>43</v>
      </c>
      <c r="D477" s="172">
        <v>44711</v>
      </c>
      <c r="E477" s="187" t="s">
        <v>23</v>
      </c>
      <c r="F477" s="194"/>
      <c r="G477" s="194"/>
      <c r="H477" s="163"/>
      <c r="I477" s="172">
        <v>44718</v>
      </c>
      <c r="J477" s="164" t="s">
        <v>3033</v>
      </c>
      <c r="K477" s="185" t="s">
        <v>624</v>
      </c>
      <c r="L477" s="163">
        <v>36</v>
      </c>
      <c r="M477" s="163"/>
      <c r="N477" s="163"/>
      <c r="O477" s="163"/>
      <c r="P477" s="163"/>
      <c r="Q477" s="163"/>
      <c r="R477" s="163"/>
      <c r="S477" s="163"/>
      <c r="T477" s="163" t="s">
        <v>3038</v>
      </c>
      <c r="U477" s="163"/>
      <c r="V477" s="163"/>
    </row>
    <row r="478" spans="1:22" ht="15.75" customHeight="1" x14ac:dyDescent="0.25">
      <c r="A478" s="171">
        <v>196</v>
      </c>
      <c r="B478" s="163" t="s">
        <v>13</v>
      </c>
      <c r="C478" s="163" t="s">
        <v>32</v>
      </c>
      <c r="D478" s="172">
        <v>44676</v>
      </c>
      <c r="E478" s="187" t="s">
        <v>23</v>
      </c>
      <c r="F478" s="187">
        <v>122</v>
      </c>
      <c r="G478" s="187"/>
      <c r="H478" s="163"/>
      <c r="I478" s="163"/>
      <c r="J478" s="164" t="s">
        <v>2773</v>
      </c>
      <c r="K478" s="179">
        <v>651.9</v>
      </c>
      <c r="L478" s="163">
        <v>123</v>
      </c>
      <c r="M478" s="163">
        <v>0.2651</v>
      </c>
      <c r="N478" s="163">
        <v>0.82099999999999995</v>
      </c>
      <c r="O478" s="163">
        <v>172.81870000000001</v>
      </c>
      <c r="P478" s="163">
        <v>535.20989999999995</v>
      </c>
      <c r="Q478" s="163">
        <v>22.47</v>
      </c>
      <c r="R478" s="163">
        <v>81.92</v>
      </c>
      <c r="S478" s="163">
        <v>309</v>
      </c>
      <c r="T478" s="163">
        <v>53400.98</v>
      </c>
      <c r="U478" s="163"/>
      <c r="V478" s="163"/>
    </row>
    <row r="479" spans="1:22" ht="15.75" customHeight="1" x14ac:dyDescent="0.25">
      <c r="A479" s="167">
        <v>197</v>
      </c>
      <c r="B479" s="163" t="s">
        <v>13</v>
      </c>
      <c r="C479" s="163" t="s">
        <v>32</v>
      </c>
      <c r="D479" s="172">
        <v>44676</v>
      </c>
      <c r="E479" s="194" t="s">
        <v>23</v>
      </c>
      <c r="F479" s="194"/>
      <c r="G479" s="194"/>
      <c r="H479" s="162"/>
      <c r="I479" s="162"/>
      <c r="J479" s="169" t="s">
        <v>2938</v>
      </c>
      <c r="K479" s="149">
        <v>42</v>
      </c>
      <c r="L479" s="162">
        <v>7</v>
      </c>
      <c r="M479" s="162">
        <v>0.29880000000000001</v>
      </c>
      <c r="N479" s="162">
        <v>0.53500000000000003</v>
      </c>
      <c r="O479" s="162">
        <v>12.5496</v>
      </c>
      <c r="P479" s="162">
        <v>22.47</v>
      </c>
      <c r="Q479" s="162">
        <v>1.63</v>
      </c>
      <c r="R479" s="162">
        <v>92.33</v>
      </c>
      <c r="S479" s="162">
        <v>309</v>
      </c>
      <c r="T479" s="162">
        <v>3877.83</v>
      </c>
      <c r="U479" s="162"/>
      <c r="V479" s="162"/>
    </row>
    <row r="480" spans="1:22" ht="15.75" customHeight="1" x14ac:dyDescent="0.25">
      <c r="A480" s="171">
        <v>197</v>
      </c>
      <c r="B480" s="163" t="s">
        <v>13</v>
      </c>
      <c r="C480" s="163" t="s">
        <v>32</v>
      </c>
      <c r="D480" s="172">
        <v>44676</v>
      </c>
      <c r="E480" s="194" t="s">
        <v>23</v>
      </c>
      <c r="F480" s="194"/>
      <c r="G480" s="194"/>
      <c r="H480" s="163"/>
      <c r="I480" s="163"/>
      <c r="J480" s="164" t="s">
        <v>2939</v>
      </c>
      <c r="K480" s="150">
        <v>36</v>
      </c>
      <c r="L480" s="163">
        <v>6</v>
      </c>
      <c r="M480" s="163">
        <v>0.2301</v>
      </c>
      <c r="N480" s="163">
        <v>0.39700000000000002</v>
      </c>
      <c r="O480" s="163">
        <v>8.2835999999999999</v>
      </c>
      <c r="P480" s="163">
        <v>14.292</v>
      </c>
      <c r="Q480" s="163">
        <v>1.08</v>
      </c>
      <c r="R480" s="163">
        <v>71.099999999999994</v>
      </c>
      <c r="S480" s="163">
        <v>309</v>
      </c>
      <c r="T480" s="163">
        <v>2559.63</v>
      </c>
      <c r="U480" s="163"/>
      <c r="V480" s="163"/>
    </row>
    <row r="481" spans="1:22" s="14" customFormat="1" ht="15.75" customHeight="1" x14ac:dyDescent="0.25">
      <c r="A481" s="141">
        <v>198</v>
      </c>
      <c r="B481" s="145" t="s">
        <v>13</v>
      </c>
      <c r="C481" s="142" t="s">
        <v>663</v>
      </c>
      <c r="D481" s="148">
        <v>44676</v>
      </c>
      <c r="E481" s="242" t="s">
        <v>23</v>
      </c>
      <c r="F481" s="242">
        <v>58</v>
      </c>
      <c r="G481" s="242"/>
      <c r="H481" s="142" t="s">
        <v>549</v>
      </c>
      <c r="I481" s="142"/>
      <c r="J481" s="144" t="s">
        <v>2941</v>
      </c>
      <c r="K481" s="142">
        <v>390</v>
      </c>
      <c r="L481" s="142">
        <v>60</v>
      </c>
      <c r="M481" s="142">
        <v>0.61899999999999999</v>
      </c>
      <c r="N481" s="142">
        <v>2.5529999999999999</v>
      </c>
      <c r="O481" s="142">
        <v>241.41</v>
      </c>
      <c r="P481" s="142">
        <v>995.67</v>
      </c>
      <c r="Q481" s="142">
        <v>31.38</v>
      </c>
      <c r="R481" s="142">
        <v>154.75</v>
      </c>
      <c r="S481" s="142">
        <v>250</v>
      </c>
      <c r="T481" s="142">
        <v>60352.5</v>
      </c>
      <c r="U481" s="142"/>
      <c r="V481" s="142"/>
    </row>
    <row r="482" spans="1:22" ht="15.75" customHeight="1" x14ac:dyDescent="0.25">
      <c r="A482" s="171" t="s">
        <v>3036</v>
      </c>
      <c r="B482" s="163" t="s">
        <v>13</v>
      </c>
      <c r="C482" s="162" t="s">
        <v>43</v>
      </c>
      <c r="D482" s="172">
        <v>44711</v>
      </c>
      <c r="E482" s="187" t="s">
        <v>23</v>
      </c>
      <c r="F482" s="194"/>
      <c r="G482" s="194"/>
      <c r="H482" s="163"/>
      <c r="I482" s="172">
        <v>44718</v>
      </c>
      <c r="J482" s="164" t="s">
        <v>3034</v>
      </c>
      <c r="K482" s="185" t="s">
        <v>96</v>
      </c>
      <c r="L482" s="163">
        <v>2</v>
      </c>
      <c r="M482" s="163"/>
      <c r="N482" s="163"/>
      <c r="O482" s="163"/>
      <c r="P482" s="163"/>
      <c r="Q482" s="163"/>
      <c r="R482" s="163"/>
      <c r="S482" s="163"/>
      <c r="T482" s="163" t="s">
        <v>3039</v>
      </c>
      <c r="U482" s="163"/>
      <c r="V482" s="163"/>
    </row>
    <row r="483" spans="1:22" s="14" customFormat="1" ht="15.75" customHeight="1" x14ac:dyDescent="0.25">
      <c r="A483" s="147">
        <v>199</v>
      </c>
      <c r="B483" s="145" t="s">
        <v>34</v>
      </c>
      <c r="C483" s="145" t="s">
        <v>14</v>
      </c>
      <c r="D483" s="148">
        <v>44799</v>
      </c>
      <c r="E483" s="187" t="s">
        <v>23</v>
      </c>
      <c r="F483" s="218"/>
      <c r="G483" s="218">
        <v>744</v>
      </c>
      <c r="H483" s="145"/>
      <c r="I483" s="145"/>
      <c r="J483" s="146" t="s">
        <v>1941</v>
      </c>
      <c r="K483" s="145">
        <v>744</v>
      </c>
      <c r="L483" s="145">
        <v>124</v>
      </c>
      <c r="M483" s="145">
        <v>0.1623</v>
      </c>
      <c r="N483" s="145">
        <v>0.78300000000000003</v>
      </c>
      <c r="O483" s="145">
        <v>120.7512</v>
      </c>
      <c r="P483" s="145">
        <v>582.55200000000002</v>
      </c>
      <c r="Q483" s="145">
        <v>15.7</v>
      </c>
      <c r="R483" s="145">
        <v>48.69</v>
      </c>
      <c r="S483" s="145">
        <v>300</v>
      </c>
      <c r="T483" s="145">
        <v>36225.360000000001</v>
      </c>
      <c r="U483" s="145"/>
      <c r="V483" s="145"/>
    </row>
    <row r="484" spans="1:22" s="14" customFormat="1" ht="15.75" customHeight="1" x14ac:dyDescent="0.25">
      <c r="A484" s="147">
        <v>200</v>
      </c>
      <c r="B484" s="145" t="s">
        <v>34</v>
      </c>
      <c r="C484" s="145" t="s">
        <v>861</v>
      </c>
      <c r="D484" s="148">
        <v>44677</v>
      </c>
      <c r="E484" s="187" t="s">
        <v>23</v>
      </c>
      <c r="F484" s="187"/>
      <c r="G484" s="187"/>
      <c r="H484" s="145"/>
      <c r="I484" s="145"/>
      <c r="J484" s="146" t="s">
        <v>2670</v>
      </c>
      <c r="K484" s="145">
        <v>504</v>
      </c>
      <c r="L484" s="145">
        <v>84</v>
      </c>
      <c r="M484" s="145">
        <v>0.4803</v>
      </c>
      <c r="N484" s="145">
        <v>1.3580000000000001</v>
      </c>
      <c r="O484" s="145">
        <v>242.0712</v>
      </c>
      <c r="P484" s="145">
        <v>684.43200000000002</v>
      </c>
      <c r="Q484" s="145">
        <v>31.47</v>
      </c>
      <c r="R484" s="145">
        <v>151.29</v>
      </c>
      <c r="S484" s="145">
        <v>315</v>
      </c>
      <c r="T484" s="145">
        <v>76252.429999999993</v>
      </c>
      <c r="U484" s="145"/>
      <c r="V484" s="145"/>
    </row>
    <row r="485" spans="1:22" ht="19.899999999999999" customHeight="1" x14ac:dyDescent="0.25">
      <c r="A485" s="171">
        <v>68</v>
      </c>
      <c r="B485" s="145" t="s">
        <v>13</v>
      </c>
      <c r="C485" s="163" t="s">
        <v>663</v>
      </c>
      <c r="D485" s="172">
        <v>44600</v>
      </c>
      <c r="E485" s="206" t="s">
        <v>23</v>
      </c>
      <c r="F485" s="23"/>
      <c r="G485" s="23"/>
      <c r="H485" s="163"/>
      <c r="I485" s="172"/>
      <c r="J485" s="164" t="s">
        <v>3068</v>
      </c>
      <c r="K485" s="163">
        <v>305.5</v>
      </c>
      <c r="L485" s="163">
        <v>47</v>
      </c>
      <c r="M485" s="163">
        <v>0.62</v>
      </c>
      <c r="N485" s="163">
        <v>2.544</v>
      </c>
      <c r="O485" s="163">
        <v>189.41</v>
      </c>
      <c r="P485" s="163">
        <v>777.19200000000001</v>
      </c>
      <c r="Q485" s="163">
        <v>24.62</v>
      </c>
      <c r="R485" s="163">
        <v>155</v>
      </c>
      <c r="S485" s="163">
        <v>250</v>
      </c>
      <c r="T485" s="163">
        <v>47352.5</v>
      </c>
      <c r="U485" s="163"/>
      <c r="V485" s="163"/>
    </row>
    <row r="486" spans="1:22" ht="15.75" customHeight="1" x14ac:dyDescent="0.25">
      <c r="A486" s="171" t="s">
        <v>2946</v>
      </c>
      <c r="B486" s="163" t="s">
        <v>13</v>
      </c>
      <c r="C486" s="162" t="s">
        <v>289</v>
      </c>
      <c r="D486" s="172">
        <v>44677</v>
      </c>
      <c r="E486" s="194" t="s">
        <v>23</v>
      </c>
      <c r="F486" s="194"/>
      <c r="G486" s="194"/>
      <c r="H486" s="162"/>
      <c r="I486" s="162"/>
      <c r="J486" s="169" t="s">
        <v>177</v>
      </c>
      <c r="K486" s="149"/>
      <c r="L486" s="162">
        <v>1</v>
      </c>
      <c r="M486" s="162"/>
      <c r="N486" s="162"/>
      <c r="O486" s="162"/>
      <c r="P486" s="162"/>
      <c r="Q486" s="162"/>
      <c r="R486" s="162"/>
      <c r="S486" s="162"/>
      <c r="T486" s="162">
        <v>30000</v>
      </c>
      <c r="U486" s="162"/>
      <c r="V486" s="162"/>
    </row>
    <row r="487" spans="1:22" ht="15.75" customHeight="1" x14ac:dyDescent="0.25">
      <c r="A487" s="171" t="s">
        <v>2946</v>
      </c>
      <c r="B487" s="163" t="s">
        <v>13</v>
      </c>
      <c r="C487" s="162" t="s">
        <v>289</v>
      </c>
      <c r="D487" s="172">
        <v>44677</v>
      </c>
      <c r="E487" s="194" t="s">
        <v>23</v>
      </c>
      <c r="F487" s="194"/>
      <c r="G487" s="194"/>
      <c r="H487" s="162"/>
      <c r="I487" s="162"/>
      <c r="J487" s="169" t="s">
        <v>290</v>
      </c>
      <c r="K487" s="149"/>
      <c r="L487" s="162">
        <v>1</v>
      </c>
      <c r="M487" s="162"/>
      <c r="N487" s="162"/>
      <c r="O487" s="162"/>
      <c r="P487" s="162"/>
      <c r="Q487" s="162"/>
      <c r="R487" s="162"/>
      <c r="S487" s="162"/>
      <c r="T487" s="162">
        <v>3400</v>
      </c>
      <c r="U487" s="162"/>
      <c r="V487" s="162"/>
    </row>
    <row r="488" spans="1:22" ht="15.75" customHeight="1" x14ac:dyDescent="0.25">
      <c r="A488" s="171" t="s">
        <v>2946</v>
      </c>
      <c r="B488" s="163" t="s">
        <v>13</v>
      </c>
      <c r="C488" s="162" t="s">
        <v>289</v>
      </c>
      <c r="D488" s="172">
        <v>44677</v>
      </c>
      <c r="E488" s="194" t="s">
        <v>23</v>
      </c>
      <c r="F488" s="194"/>
      <c r="G488" s="194"/>
      <c r="H488" s="163"/>
      <c r="I488" s="163"/>
      <c r="J488" s="164" t="s">
        <v>241</v>
      </c>
      <c r="K488" s="150"/>
      <c r="L488" s="163">
        <v>1</v>
      </c>
      <c r="M488" s="163"/>
      <c r="N488" s="163"/>
      <c r="O488" s="163"/>
      <c r="P488" s="163"/>
      <c r="Q488" s="163"/>
      <c r="R488" s="163"/>
      <c r="S488" s="163"/>
      <c r="T488" s="163">
        <v>1700</v>
      </c>
      <c r="U488" s="163"/>
      <c r="V488" s="163"/>
    </row>
    <row r="489" spans="1:22" ht="15.75" customHeight="1" x14ac:dyDescent="0.25">
      <c r="A489" s="167" t="s">
        <v>2831</v>
      </c>
      <c r="B489" s="163" t="s">
        <v>13</v>
      </c>
      <c r="C489" s="162" t="s">
        <v>2566</v>
      </c>
      <c r="D489" s="168">
        <v>44680</v>
      </c>
      <c r="E489" s="194" t="s">
        <v>23</v>
      </c>
      <c r="F489" s="194"/>
      <c r="G489" s="194"/>
      <c r="H489" s="162"/>
      <c r="I489" s="162"/>
      <c r="J489" s="169" t="s">
        <v>2948</v>
      </c>
      <c r="K489" s="142"/>
      <c r="L489" s="162">
        <v>50</v>
      </c>
      <c r="M489" s="162"/>
      <c r="N489" s="162"/>
      <c r="O489" s="162"/>
      <c r="P489" s="162"/>
      <c r="Q489" s="162"/>
      <c r="R489" s="162"/>
      <c r="S489" s="162"/>
      <c r="T489" s="162" t="s">
        <v>2950</v>
      </c>
      <c r="U489" s="162"/>
      <c r="V489" s="162"/>
    </row>
    <row r="490" spans="1:22" ht="15.75" customHeight="1" x14ac:dyDescent="0.25">
      <c r="A490" s="167" t="s">
        <v>2831</v>
      </c>
      <c r="B490" s="163" t="s">
        <v>13</v>
      </c>
      <c r="C490" s="162" t="s">
        <v>2566</v>
      </c>
      <c r="D490" s="168">
        <v>44680</v>
      </c>
      <c r="E490" s="194" t="s">
        <v>23</v>
      </c>
      <c r="F490" s="194"/>
      <c r="G490" s="194"/>
      <c r="H490" s="163"/>
      <c r="I490" s="163"/>
      <c r="J490" s="164" t="s">
        <v>2949</v>
      </c>
      <c r="K490" s="145"/>
      <c r="L490" s="163">
        <v>80</v>
      </c>
      <c r="M490" s="163"/>
      <c r="N490" s="163"/>
      <c r="O490" s="163"/>
      <c r="P490" s="163"/>
      <c r="Q490" s="163"/>
      <c r="R490" s="163"/>
      <c r="S490" s="163"/>
      <c r="T490" s="163" t="s">
        <v>2951</v>
      </c>
      <c r="U490" s="163"/>
      <c r="V490" s="163"/>
    </row>
    <row r="491" spans="1:22" ht="15.75" customHeight="1" x14ac:dyDescent="0.25">
      <c r="A491" s="171" t="s">
        <v>2957</v>
      </c>
      <c r="B491" s="163" t="s">
        <v>13</v>
      </c>
      <c r="C491" s="163" t="s">
        <v>2399</v>
      </c>
      <c r="D491" s="172">
        <v>44685</v>
      </c>
      <c r="E491" s="194" t="s">
        <v>23</v>
      </c>
      <c r="F491" s="194"/>
      <c r="G491" s="194"/>
      <c r="H491" s="163"/>
      <c r="I491" s="163"/>
      <c r="J491" s="164" t="s">
        <v>2403</v>
      </c>
      <c r="K491" s="145"/>
      <c r="L491" s="163">
        <v>160</v>
      </c>
      <c r="M491" s="163"/>
      <c r="N491" s="163"/>
      <c r="O491" s="163"/>
      <c r="P491" s="163"/>
      <c r="Q491" s="163"/>
      <c r="R491" s="163"/>
      <c r="S491" s="163"/>
      <c r="T491" s="163">
        <v>27370</v>
      </c>
      <c r="U491" s="163"/>
      <c r="V491" s="163"/>
    </row>
    <row r="492" spans="1:22" ht="15.75" customHeight="1" x14ac:dyDescent="0.25">
      <c r="A492" s="167" t="s">
        <v>2961</v>
      </c>
      <c r="B492" s="163" t="s">
        <v>13</v>
      </c>
      <c r="C492" s="162" t="s">
        <v>43</v>
      </c>
      <c r="D492" s="168">
        <v>44686</v>
      </c>
      <c r="E492" s="194" t="s">
        <v>23</v>
      </c>
      <c r="F492" s="194"/>
      <c r="G492" s="194"/>
      <c r="H492" s="162"/>
      <c r="I492" s="162"/>
      <c r="J492" s="169" t="s">
        <v>2958</v>
      </c>
      <c r="K492" s="142" t="s">
        <v>54</v>
      </c>
      <c r="L492" s="162">
        <v>1</v>
      </c>
      <c r="M492" s="162"/>
      <c r="N492" s="162"/>
      <c r="O492" s="162"/>
      <c r="P492" s="162"/>
      <c r="Q492" s="162"/>
      <c r="R492" s="162"/>
      <c r="S492" s="162"/>
      <c r="T492" s="162" t="s">
        <v>2959</v>
      </c>
      <c r="U492" s="162"/>
      <c r="V492" s="162"/>
    </row>
    <row r="493" spans="1:22" ht="15.75" customHeight="1" x14ac:dyDescent="0.25">
      <c r="A493" s="167" t="s">
        <v>2961</v>
      </c>
      <c r="B493" s="163" t="s">
        <v>13</v>
      </c>
      <c r="C493" s="162" t="s">
        <v>43</v>
      </c>
      <c r="D493" s="168">
        <v>44686</v>
      </c>
      <c r="E493" s="194" t="s">
        <v>23</v>
      </c>
      <c r="F493" s="194"/>
      <c r="G493" s="194"/>
      <c r="H493" s="162"/>
      <c r="I493" s="162"/>
      <c r="J493" s="169" t="s">
        <v>1894</v>
      </c>
      <c r="K493" s="142" t="s">
        <v>54</v>
      </c>
      <c r="L493" s="162">
        <v>1</v>
      </c>
      <c r="M493" s="162"/>
      <c r="N493" s="162"/>
      <c r="O493" s="162"/>
      <c r="P493" s="162"/>
      <c r="Q493" s="162"/>
      <c r="R493" s="162"/>
      <c r="S493" s="162"/>
      <c r="T493" s="162" t="s">
        <v>2959</v>
      </c>
      <c r="U493" s="162"/>
      <c r="V493" s="162"/>
    </row>
    <row r="494" spans="1:22" ht="15.75" customHeight="1" x14ac:dyDescent="0.25">
      <c r="A494" s="167" t="s">
        <v>2961</v>
      </c>
      <c r="B494" s="163" t="s">
        <v>13</v>
      </c>
      <c r="C494" s="162" t="s">
        <v>43</v>
      </c>
      <c r="D494" s="168">
        <v>44686</v>
      </c>
      <c r="E494" s="194" t="s">
        <v>23</v>
      </c>
      <c r="F494" s="194"/>
      <c r="G494" s="194"/>
      <c r="H494" s="163"/>
      <c r="I494" s="163"/>
      <c r="J494" s="164" t="s">
        <v>1893</v>
      </c>
      <c r="K494" s="145" t="s">
        <v>36</v>
      </c>
      <c r="L494" s="163">
        <v>4</v>
      </c>
      <c r="M494" s="163"/>
      <c r="N494" s="163"/>
      <c r="O494" s="163"/>
      <c r="P494" s="163"/>
      <c r="Q494" s="163"/>
      <c r="R494" s="163"/>
      <c r="S494" s="163"/>
      <c r="T494" s="163" t="s">
        <v>2960</v>
      </c>
      <c r="U494" s="163"/>
      <c r="V494" s="163"/>
    </row>
    <row r="495" spans="1:22" ht="15.75" customHeight="1" x14ac:dyDescent="0.25">
      <c r="A495" s="167">
        <v>203</v>
      </c>
      <c r="B495" s="163" t="s">
        <v>13</v>
      </c>
      <c r="C495" s="162" t="s">
        <v>625</v>
      </c>
      <c r="D495" s="168">
        <v>44686</v>
      </c>
      <c r="E495" s="194" t="s">
        <v>23</v>
      </c>
      <c r="F495" s="187">
        <v>1068</v>
      </c>
      <c r="G495" s="187"/>
      <c r="H495" s="162"/>
      <c r="I495" s="162"/>
      <c r="J495" s="169" t="s">
        <v>1684</v>
      </c>
      <c r="K495" s="142">
        <v>3204</v>
      </c>
      <c r="L495" s="162">
        <v>1068</v>
      </c>
      <c r="M495" s="162">
        <v>0.13450000000000001</v>
      </c>
      <c r="N495" s="162">
        <v>0.35499999999999998</v>
      </c>
      <c r="O495" s="162">
        <v>430.93799999999999</v>
      </c>
      <c r="P495" s="162">
        <v>1137.42</v>
      </c>
      <c r="Q495" s="162">
        <v>56.02</v>
      </c>
      <c r="R495" s="162">
        <v>32.68</v>
      </c>
      <c r="S495" s="162">
        <v>243</v>
      </c>
      <c r="T495" s="162">
        <v>104706.72</v>
      </c>
      <c r="U495" s="162"/>
      <c r="V495" s="162"/>
    </row>
    <row r="496" spans="1:22" ht="15.75" customHeight="1" x14ac:dyDescent="0.25">
      <c r="A496" s="167">
        <v>203</v>
      </c>
      <c r="B496" s="163" t="s">
        <v>13</v>
      </c>
      <c r="C496" s="162" t="s">
        <v>625</v>
      </c>
      <c r="D496" s="168">
        <v>44686</v>
      </c>
      <c r="E496" s="194" t="s">
        <v>23</v>
      </c>
      <c r="F496" s="194"/>
      <c r="G496" s="194"/>
      <c r="H496" s="162"/>
      <c r="I496" s="162"/>
      <c r="J496" s="169" t="s">
        <v>1686</v>
      </c>
      <c r="K496" s="162">
        <v>3237</v>
      </c>
      <c r="L496" s="162">
        <v>1079</v>
      </c>
      <c r="M496" s="162">
        <v>0.1018</v>
      </c>
      <c r="N496" s="162">
        <v>0.26600000000000001</v>
      </c>
      <c r="O496" s="162">
        <v>329.52659999999997</v>
      </c>
      <c r="P496" s="162">
        <v>861.04200000000003</v>
      </c>
      <c r="Q496" s="162">
        <v>42.84</v>
      </c>
      <c r="R496" s="162">
        <v>24.74</v>
      </c>
      <c r="S496" s="162">
        <v>243</v>
      </c>
      <c r="T496" s="162">
        <v>80083.38</v>
      </c>
      <c r="U496" s="162"/>
      <c r="V496" s="162"/>
    </row>
    <row r="497" spans="1:22" ht="15.75" customHeight="1" x14ac:dyDescent="0.25">
      <c r="A497" s="167">
        <v>203</v>
      </c>
      <c r="B497" s="163" t="s">
        <v>13</v>
      </c>
      <c r="C497" s="162" t="s">
        <v>625</v>
      </c>
      <c r="D497" s="168">
        <v>44686</v>
      </c>
      <c r="E497" s="194" t="s">
        <v>23</v>
      </c>
      <c r="F497" s="194"/>
      <c r="G497" s="194"/>
      <c r="H497" s="162"/>
      <c r="I497" s="162"/>
      <c r="J497" s="169" t="s">
        <v>1688</v>
      </c>
      <c r="K497" s="162">
        <v>3069</v>
      </c>
      <c r="L497" s="162">
        <v>1023</v>
      </c>
      <c r="M497" s="162">
        <v>0.20730000000000001</v>
      </c>
      <c r="N497" s="162">
        <v>0.56100000000000005</v>
      </c>
      <c r="O497" s="162">
        <v>636.20370000000003</v>
      </c>
      <c r="P497" s="162">
        <v>1721.7090000000001</v>
      </c>
      <c r="Q497" s="162">
        <v>82.71</v>
      </c>
      <c r="R497" s="162">
        <v>50.37</v>
      </c>
      <c r="S497" s="162">
        <v>243</v>
      </c>
      <c r="T497" s="162">
        <v>154585.53</v>
      </c>
      <c r="U497" s="162"/>
      <c r="V497" s="162"/>
    </row>
    <row r="498" spans="1:22" ht="15.75" customHeight="1" x14ac:dyDescent="0.25">
      <c r="A498" s="167">
        <v>203</v>
      </c>
      <c r="B498" s="163" t="s">
        <v>13</v>
      </c>
      <c r="C498" s="162" t="s">
        <v>625</v>
      </c>
      <c r="D498" s="168">
        <v>44686</v>
      </c>
      <c r="E498" s="194" t="s">
        <v>23</v>
      </c>
      <c r="F498" s="194"/>
      <c r="G498" s="194"/>
      <c r="H498" s="163"/>
      <c r="I498" s="163"/>
      <c r="J498" s="164" t="s">
        <v>1714</v>
      </c>
      <c r="K498" s="163">
        <v>1659</v>
      </c>
      <c r="L498" s="163">
        <v>553</v>
      </c>
      <c r="M498" s="163">
        <v>0.1113</v>
      </c>
      <c r="N498" s="163">
        <v>0.29299999999999998</v>
      </c>
      <c r="O498" s="163">
        <v>184.64670000000001</v>
      </c>
      <c r="P498" s="163">
        <v>486.08699999999999</v>
      </c>
      <c r="Q498" s="163">
        <v>24</v>
      </c>
      <c r="R498" s="163">
        <v>27.05</v>
      </c>
      <c r="S498" s="163">
        <v>243</v>
      </c>
      <c r="T498" s="163">
        <v>44869.15</v>
      </c>
      <c r="U498" s="163"/>
      <c r="V498" s="163"/>
    </row>
    <row r="499" spans="1:22" ht="15.75" customHeight="1" x14ac:dyDescent="0.25">
      <c r="A499" s="171">
        <v>204</v>
      </c>
      <c r="B499" s="163" t="s">
        <v>13</v>
      </c>
      <c r="C499" s="163" t="s">
        <v>2962</v>
      </c>
      <c r="D499" s="168">
        <v>44686</v>
      </c>
      <c r="E499" s="187" t="s">
        <v>23</v>
      </c>
      <c r="F499" s="187">
        <v>39</v>
      </c>
      <c r="G499" s="187"/>
      <c r="H499" s="163"/>
      <c r="I499" s="163"/>
      <c r="J499" s="164" t="s">
        <v>1751</v>
      </c>
      <c r="K499" s="145">
        <v>210.7</v>
      </c>
      <c r="L499" s="163">
        <v>43</v>
      </c>
      <c r="M499" s="163">
        <v>0.66659999999999997</v>
      </c>
      <c r="N499" s="163">
        <v>1.994</v>
      </c>
      <c r="O499" s="163">
        <v>140.45259999999999</v>
      </c>
      <c r="P499" s="163">
        <v>420.13580000000002</v>
      </c>
      <c r="Q499" s="163">
        <v>18.260000000000002</v>
      </c>
      <c r="R499" s="163">
        <v>228.64</v>
      </c>
      <c r="S499" s="163">
        <v>343</v>
      </c>
      <c r="T499" s="163">
        <v>48175.25</v>
      </c>
      <c r="U499" s="163"/>
      <c r="V499" s="163"/>
    </row>
    <row r="500" spans="1:22" ht="15.75" customHeight="1" x14ac:dyDescent="0.25">
      <c r="A500" s="171">
        <v>205</v>
      </c>
      <c r="B500" s="163" t="s">
        <v>13</v>
      </c>
      <c r="C500" s="163" t="s">
        <v>591</v>
      </c>
      <c r="D500" s="168">
        <v>44686</v>
      </c>
      <c r="E500" s="187" t="s">
        <v>23</v>
      </c>
      <c r="F500" s="187">
        <v>1044</v>
      </c>
      <c r="G500" s="187"/>
      <c r="H500" s="163" t="s">
        <v>3056</v>
      </c>
      <c r="I500" s="163"/>
      <c r="J500" s="164" t="s">
        <v>38</v>
      </c>
      <c r="K500" s="163">
        <v>3180</v>
      </c>
      <c r="L500" s="163">
        <v>1060</v>
      </c>
      <c r="M500" s="163">
        <v>6.4500000000000002E-2</v>
      </c>
      <c r="N500" s="163">
        <v>8.5000000000000006E-2</v>
      </c>
      <c r="O500" s="163">
        <v>205.11</v>
      </c>
      <c r="P500" s="163">
        <v>270.3</v>
      </c>
      <c r="Q500" s="163">
        <v>26.66</v>
      </c>
      <c r="R500" s="163">
        <v>18.38</v>
      </c>
      <c r="S500" s="163">
        <v>285</v>
      </c>
      <c r="T500" s="163">
        <v>58456.35</v>
      </c>
      <c r="U500" s="163"/>
      <c r="V500" s="163"/>
    </row>
    <row r="501" spans="1:22" ht="15.75" customHeight="1" x14ac:dyDescent="0.25">
      <c r="A501" s="171">
        <v>206</v>
      </c>
      <c r="B501" s="163" t="s">
        <v>13</v>
      </c>
      <c r="C501" s="163" t="s">
        <v>657</v>
      </c>
      <c r="D501" s="172">
        <v>44686</v>
      </c>
      <c r="E501" s="187" t="s">
        <v>23</v>
      </c>
      <c r="F501" s="187">
        <v>227</v>
      </c>
      <c r="G501" s="187"/>
      <c r="H501" s="163"/>
      <c r="I501" s="163"/>
      <c r="J501" s="164" t="s">
        <v>2963</v>
      </c>
      <c r="K501" s="145">
        <v>1316.6</v>
      </c>
      <c r="L501" s="163">
        <v>227</v>
      </c>
      <c r="M501" s="163">
        <v>0.1724</v>
      </c>
      <c r="N501" s="163">
        <v>0.41499999999999998</v>
      </c>
      <c r="O501" s="163">
        <v>226.98179999999999</v>
      </c>
      <c r="P501" s="163">
        <v>546.38900000000001</v>
      </c>
      <c r="Q501" s="163">
        <v>29.51</v>
      </c>
      <c r="R501" s="163">
        <v>54.31</v>
      </c>
      <c r="S501" s="163">
        <v>315</v>
      </c>
      <c r="T501" s="163">
        <v>71499.28</v>
      </c>
      <c r="U501" s="163"/>
      <c r="V501" s="163"/>
    </row>
    <row r="502" spans="1:22" ht="15.75" customHeight="1" x14ac:dyDescent="0.25">
      <c r="A502" s="167">
        <v>207</v>
      </c>
      <c r="B502" s="163" t="s">
        <v>13</v>
      </c>
      <c r="C502" s="162" t="s">
        <v>32</v>
      </c>
      <c r="D502" s="172">
        <v>44686</v>
      </c>
      <c r="E502" s="194" t="s">
        <v>23</v>
      </c>
      <c r="F502" s="194"/>
      <c r="G502" s="194">
        <v>401</v>
      </c>
      <c r="H502" s="162"/>
      <c r="I502" s="162"/>
      <c r="J502" s="169" t="s">
        <v>2964</v>
      </c>
      <c r="K502" s="159">
        <v>2458.3000000000002</v>
      </c>
      <c r="L502" s="162">
        <v>403</v>
      </c>
      <c r="M502" s="162">
        <v>8.4900000000000003E-2</v>
      </c>
      <c r="N502" s="162">
        <v>0.13700000000000001</v>
      </c>
      <c r="O502" s="162">
        <v>208.7097</v>
      </c>
      <c r="P502" s="162">
        <v>336.78710000000001</v>
      </c>
      <c r="Q502" s="162">
        <v>27.13</v>
      </c>
      <c r="R502" s="162">
        <v>19.95</v>
      </c>
      <c r="S502" s="162">
        <v>235</v>
      </c>
      <c r="T502" s="162">
        <v>49046.77</v>
      </c>
      <c r="U502" s="162"/>
      <c r="V502" s="162"/>
    </row>
    <row r="503" spans="1:22" ht="15.75" customHeight="1" x14ac:dyDescent="0.25">
      <c r="A503" s="167">
        <v>207</v>
      </c>
      <c r="B503" s="163" t="s">
        <v>13</v>
      </c>
      <c r="C503" s="162" t="s">
        <v>32</v>
      </c>
      <c r="D503" s="172">
        <v>44686</v>
      </c>
      <c r="E503" s="194" t="s">
        <v>23</v>
      </c>
      <c r="F503" s="194"/>
      <c r="G503" s="194">
        <v>358</v>
      </c>
      <c r="H503" s="162"/>
      <c r="I503" s="162"/>
      <c r="J503" s="169" t="s">
        <v>2965</v>
      </c>
      <c r="K503" s="159">
        <v>2183.8000000000002</v>
      </c>
      <c r="L503" s="162">
        <v>358</v>
      </c>
      <c r="M503" s="162">
        <v>8.14E-2</v>
      </c>
      <c r="N503" s="162">
        <v>0.127</v>
      </c>
      <c r="O503" s="162">
        <v>177.76130000000001</v>
      </c>
      <c r="P503" s="162">
        <v>277.3426</v>
      </c>
      <c r="Q503" s="162">
        <v>23.11</v>
      </c>
      <c r="R503" s="162">
        <v>19.13</v>
      </c>
      <c r="S503" s="162">
        <v>235</v>
      </c>
      <c r="T503" s="162">
        <v>41775.69</v>
      </c>
      <c r="U503" s="162"/>
      <c r="V503" s="162"/>
    </row>
    <row r="504" spans="1:22" ht="15.75" customHeight="1" x14ac:dyDescent="0.25">
      <c r="A504" s="167">
        <v>207</v>
      </c>
      <c r="B504" s="163" t="s">
        <v>13</v>
      </c>
      <c r="C504" s="162" t="s">
        <v>32</v>
      </c>
      <c r="D504" s="172">
        <v>44686</v>
      </c>
      <c r="E504" s="194" t="s">
        <v>23</v>
      </c>
      <c r="F504" s="194"/>
      <c r="G504" s="194"/>
      <c r="H504" s="163"/>
      <c r="I504" s="163"/>
      <c r="J504" s="164" t="s">
        <v>2966</v>
      </c>
      <c r="K504" s="179">
        <v>3269.6</v>
      </c>
      <c r="L504" s="163">
        <v>536</v>
      </c>
      <c r="M504" s="163">
        <v>5.7599999999999998E-2</v>
      </c>
      <c r="N504" s="163">
        <v>8.7999999999999995E-2</v>
      </c>
      <c r="O504" s="163">
        <v>188.32900000000001</v>
      </c>
      <c r="P504" s="163">
        <v>287.72480000000002</v>
      </c>
      <c r="Q504" s="163">
        <v>24.48</v>
      </c>
      <c r="R504" s="163">
        <v>13.54</v>
      </c>
      <c r="S504" s="163">
        <v>235</v>
      </c>
      <c r="T504" s="163">
        <v>44257.31</v>
      </c>
      <c r="U504" s="163"/>
      <c r="V504" s="163"/>
    </row>
    <row r="505" spans="1:22" s="14" customFormat="1" ht="15.75" customHeight="1" x14ac:dyDescent="0.25">
      <c r="A505" s="147">
        <v>208</v>
      </c>
      <c r="B505" s="145" t="s">
        <v>34</v>
      </c>
      <c r="C505" s="145" t="s">
        <v>79</v>
      </c>
      <c r="D505" s="148">
        <v>44687</v>
      </c>
      <c r="E505" s="187" t="s">
        <v>23</v>
      </c>
      <c r="F505" s="187"/>
      <c r="G505" s="187"/>
      <c r="H505" s="145"/>
      <c r="I505" s="145"/>
      <c r="J505" s="146" t="s">
        <v>78</v>
      </c>
      <c r="K505" s="145">
        <v>4116</v>
      </c>
      <c r="L505" s="145">
        <v>686</v>
      </c>
      <c r="M505" s="145">
        <v>0.20230000000000001</v>
      </c>
      <c r="N505" s="145">
        <v>0.499</v>
      </c>
      <c r="O505" s="145">
        <v>832.66679999999997</v>
      </c>
      <c r="P505" s="145">
        <v>2053.884</v>
      </c>
      <c r="Q505" s="145">
        <v>108.25</v>
      </c>
      <c r="R505" s="145">
        <v>44.3</v>
      </c>
      <c r="S505" s="145">
        <v>219</v>
      </c>
      <c r="T505" s="145">
        <v>182354.03</v>
      </c>
      <c r="U505" s="145"/>
      <c r="V505" s="145"/>
    </row>
    <row r="506" spans="1:22" ht="15.75" customHeight="1" x14ac:dyDescent="0.25">
      <c r="A506" s="171" t="s">
        <v>2970</v>
      </c>
      <c r="B506" s="163" t="s">
        <v>13</v>
      </c>
      <c r="C506" s="163" t="s">
        <v>2399</v>
      </c>
      <c r="D506" s="172">
        <v>44692</v>
      </c>
      <c r="E506" s="187" t="s">
        <v>23</v>
      </c>
      <c r="F506" s="187"/>
      <c r="G506" s="187"/>
      <c r="H506" s="163"/>
      <c r="I506" s="163"/>
      <c r="J506" s="164" t="s">
        <v>2403</v>
      </c>
      <c r="K506" s="145"/>
      <c r="L506" s="163">
        <v>80</v>
      </c>
      <c r="M506" s="163"/>
      <c r="N506" s="163"/>
      <c r="O506" s="163"/>
      <c r="P506" s="163"/>
      <c r="Q506" s="163"/>
      <c r="R506" s="163"/>
      <c r="S506" s="163"/>
      <c r="T506" s="163">
        <v>13685</v>
      </c>
      <c r="U506" s="163"/>
      <c r="V506" s="163"/>
    </row>
    <row r="507" spans="1:22" ht="15.75" customHeight="1" x14ac:dyDescent="0.25">
      <c r="A507" s="171" t="s">
        <v>2832</v>
      </c>
      <c r="B507" s="163" t="s">
        <v>13</v>
      </c>
      <c r="C507" s="163" t="s">
        <v>15</v>
      </c>
      <c r="D507" s="172">
        <v>44693</v>
      </c>
      <c r="E507" s="187" t="s">
        <v>23</v>
      </c>
      <c r="F507" s="194"/>
      <c r="G507" s="194"/>
      <c r="H507" s="163"/>
      <c r="I507" s="163"/>
      <c r="J507" s="164" t="s">
        <v>2979</v>
      </c>
      <c r="K507" s="145"/>
      <c r="L507" s="163">
        <v>48</v>
      </c>
      <c r="M507" s="163"/>
      <c r="N507" s="163"/>
      <c r="O507" s="163"/>
      <c r="P507" s="163"/>
      <c r="Q507" s="163"/>
      <c r="R507" s="163"/>
      <c r="S507" s="163"/>
      <c r="T507" s="163">
        <v>40450</v>
      </c>
      <c r="U507" s="163"/>
      <c r="V507" s="163"/>
    </row>
    <row r="508" spans="1:22" ht="15.75" customHeight="1" x14ac:dyDescent="0.25">
      <c r="A508" s="171" t="s">
        <v>2972</v>
      </c>
      <c r="B508" s="163" t="s">
        <v>13</v>
      </c>
      <c r="C508" s="163" t="s">
        <v>2152</v>
      </c>
      <c r="D508" s="172">
        <v>44697</v>
      </c>
      <c r="E508" s="194" t="s">
        <v>23</v>
      </c>
      <c r="F508" s="194"/>
      <c r="G508" s="194"/>
      <c r="H508" s="163"/>
      <c r="I508" s="163"/>
      <c r="J508" s="164" t="s">
        <v>890</v>
      </c>
      <c r="K508" s="163">
        <v>912</v>
      </c>
      <c r="L508" s="163">
        <v>152</v>
      </c>
      <c r="M508" s="163"/>
      <c r="N508" s="163"/>
      <c r="O508" s="163"/>
      <c r="P508" s="163"/>
      <c r="Q508" s="163"/>
      <c r="R508" s="163"/>
      <c r="S508" s="163"/>
      <c r="T508" s="163">
        <v>25992</v>
      </c>
      <c r="U508" s="163"/>
      <c r="V508" s="163"/>
    </row>
    <row r="509" spans="1:22" ht="15.75" customHeight="1" x14ac:dyDescent="0.25">
      <c r="A509" s="171">
        <v>215</v>
      </c>
      <c r="B509" s="163" t="s">
        <v>13</v>
      </c>
      <c r="C509" s="163" t="s">
        <v>625</v>
      </c>
      <c r="D509" s="172">
        <v>44697</v>
      </c>
      <c r="E509" s="194" t="s">
        <v>23</v>
      </c>
      <c r="F509" s="194"/>
      <c r="G509" s="194"/>
      <c r="H509" s="162"/>
      <c r="I509" s="162"/>
      <c r="J509" s="169" t="s">
        <v>1713</v>
      </c>
      <c r="K509" s="162">
        <v>3177</v>
      </c>
      <c r="L509" s="162">
        <v>1059</v>
      </c>
      <c r="M509" s="162">
        <v>9.5500000000000002E-2</v>
      </c>
      <c r="N509" s="162">
        <v>0.249</v>
      </c>
      <c r="O509" s="162">
        <v>303.40350000000001</v>
      </c>
      <c r="P509" s="162">
        <v>791.07299999999998</v>
      </c>
      <c r="Q509" s="162">
        <v>39.44</v>
      </c>
      <c r="R509" s="162">
        <v>23.21</v>
      </c>
      <c r="S509" s="162">
        <v>243</v>
      </c>
      <c r="T509" s="162">
        <v>73727.05</v>
      </c>
      <c r="U509" s="162"/>
      <c r="V509" s="162"/>
    </row>
    <row r="510" spans="1:22" ht="15.75" customHeight="1" x14ac:dyDescent="0.25">
      <c r="A510" s="171">
        <v>215</v>
      </c>
      <c r="B510" s="163" t="s">
        <v>13</v>
      </c>
      <c r="C510" s="163" t="s">
        <v>625</v>
      </c>
      <c r="D510" s="172">
        <v>44697</v>
      </c>
      <c r="E510" s="187" t="s">
        <v>23</v>
      </c>
      <c r="F510" s="194"/>
      <c r="G510" s="194"/>
      <c r="H510" s="163"/>
      <c r="I510" s="163"/>
      <c r="J510" s="164" t="s">
        <v>1714</v>
      </c>
      <c r="K510" s="163">
        <v>1563</v>
      </c>
      <c r="L510" s="163">
        <v>521</v>
      </c>
      <c r="M510" s="163">
        <v>0.1113</v>
      </c>
      <c r="N510" s="163">
        <v>0.29299999999999998</v>
      </c>
      <c r="O510" s="163">
        <v>173.96190000000001</v>
      </c>
      <c r="P510" s="163">
        <v>457.959</v>
      </c>
      <c r="Q510" s="163">
        <v>22.62</v>
      </c>
      <c r="R510" s="163">
        <v>27.05</v>
      </c>
      <c r="S510" s="163">
        <v>243</v>
      </c>
      <c r="T510" s="163">
        <v>42272.74</v>
      </c>
      <c r="U510" s="163"/>
      <c r="V510" s="163"/>
    </row>
    <row r="511" spans="1:22" ht="15.75" customHeight="1" x14ac:dyDescent="0.25">
      <c r="A511" s="171">
        <v>216</v>
      </c>
      <c r="B511" s="163" t="s">
        <v>13</v>
      </c>
      <c r="C511" s="163" t="s">
        <v>2973</v>
      </c>
      <c r="D511" s="172">
        <v>44697</v>
      </c>
      <c r="E511" s="187" t="s">
        <v>23</v>
      </c>
      <c r="F511" s="194">
        <v>12</v>
      </c>
      <c r="G511" s="194"/>
      <c r="H511" s="163"/>
      <c r="I511" s="163"/>
      <c r="J511" s="164" t="s">
        <v>1751</v>
      </c>
      <c r="K511" s="179">
        <v>58.8</v>
      </c>
      <c r="L511" s="163">
        <v>12</v>
      </c>
      <c r="M511" s="163">
        <v>0.66659999999999997</v>
      </c>
      <c r="N511" s="163">
        <v>1.994</v>
      </c>
      <c r="O511" s="163">
        <v>39.196100000000001</v>
      </c>
      <c r="P511" s="163">
        <v>117.24720000000001</v>
      </c>
      <c r="Q511" s="163">
        <v>5.0999999999999996</v>
      </c>
      <c r="R511" s="163">
        <v>228.64</v>
      </c>
      <c r="S511" s="163">
        <v>343</v>
      </c>
      <c r="T511" s="163">
        <v>13444.26</v>
      </c>
      <c r="U511" s="163"/>
      <c r="V511" s="163"/>
    </row>
    <row r="512" spans="1:22" s="14" customFormat="1" ht="15.75" customHeight="1" x14ac:dyDescent="0.25">
      <c r="A512" s="147" t="s">
        <v>2974</v>
      </c>
      <c r="B512" s="145" t="s">
        <v>34</v>
      </c>
      <c r="C512" s="145" t="s">
        <v>16</v>
      </c>
      <c r="D512" s="148">
        <v>44697</v>
      </c>
      <c r="E512" s="187" t="s">
        <v>23</v>
      </c>
      <c r="F512" s="194">
        <v>168</v>
      </c>
      <c r="G512" s="270">
        <v>24</v>
      </c>
      <c r="H512" s="145"/>
      <c r="I512" s="145"/>
      <c r="J512" s="146" t="s">
        <v>2469</v>
      </c>
      <c r="K512" s="145">
        <v>624</v>
      </c>
      <c r="L512" s="145">
        <v>104</v>
      </c>
      <c r="M512" s="145">
        <v>0.70820000000000005</v>
      </c>
      <c r="N512" s="145">
        <v>3.4609999999999999</v>
      </c>
      <c r="O512" s="145">
        <v>441.91680000000002</v>
      </c>
      <c r="P512" s="145">
        <v>2159.6640000000002</v>
      </c>
      <c r="Q512" s="145">
        <v>57.45</v>
      </c>
      <c r="R512" s="145">
        <v>242.91</v>
      </c>
      <c r="S512" s="145">
        <v>343</v>
      </c>
      <c r="T512" s="145">
        <v>151577.46</v>
      </c>
      <c r="U512" s="145"/>
      <c r="V512" s="145"/>
    </row>
    <row r="513" spans="1:22" ht="15.75" customHeight="1" x14ac:dyDescent="0.25">
      <c r="A513" s="171" t="s">
        <v>2977</v>
      </c>
      <c r="B513" s="163" t="s">
        <v>13</v>
      </c>
      <c r="C513" s="163" t="s">
        <v>480</v>
      </c>
      <c r="D513" s="172">
        <v>44697</v>
      </c>
      <c r="E513" s="187" t="s">
        <v>23</v>
      </c>
      <c r="F513" s="187"/>
      <c r="G513" s="187">
        <v>33</v>
      </c>
      <c r="H513" s="163"/>
      <c r="I513" s="163"/>
      <c r="J513" s="164" t="s">
        <v>481</v>
      </c>
      <c r="K513" s="179">
        <v>282</v>
      </c>
      <c r="L513" s="163">
        <v>47</v>
      </c>
      <c r="M513" s="163"/>
      <c r="N513" s="163"/>
      <c r="O513" s="163"/>
      <c r="P513" s="163"/>
      <c r="Q513" s="163"/>
      <c r="R513" s="163"/>
      <c r="S513" s="163"/>
      <c r="T513" s="163">
        <v>25070</v>
      </c>
      <c r="U513" s="163"/>
      <c r="V513" s="163"/>
    </row>
    <row r="514" spans="1:22" ht="15.75" customHeight="1" x14ac:dyDescent="0.25">
      <c r="A514" s="171" t="s">
        <v>2978</v>
      </c>
      <c r="B514" s="163" t="s">
        <v>13</v>
      </c>
      <c r="C514" s="163" t="s">
        <v>2399</v>
      </c>
      <c r="D514" s="172">
        <v>44697</v>
      </c>
      <c r="E514" s="187" t="s">
        <v>23</v>
      </c>
      <c r="F514" s="187"/>
      <c r="G514" s="187"/>
      <c r="H514" s="163"/>
      <c r="I514" s="163"/>
      <c r="J514" s="164" t="s">
        <v>2403</v>
      </c>
      <c r="K514" s="179"/>
      <c r="L514" s="163">
        <v>80</v>
      </c>
      <c r="M514" s="163"/>
      <c r="N514" s="163"/>
      <c r="O514" s="163"/>
      <c r="P514" s="163"/>
      <c r="Q514" s="163"/>
      <c r="R514" s="163"/>
      <c r="S514" s="163"/>
      <c r="T514" s="163">
        <v>13685</v>
      </c>
      <c r="U514" s="163"/>
      <c r="V514" s="163"/>
    </row>
    <row r="515" spans="1:22" ht="15.75" customHeight="1" x14ac:dyDescent="0.25">
      <c r="A515" s="171" t="s">
        <v>2980</v>
      </c>
      <c r="B515" s="163" t="s">
        <v>13</v>
      </c>
      <c r="C515" s="163" t="s">
        <v>295</v>
      </c>
      <c r="D515" s="172">
        <v>44698</v>
      </c>
      <c r="E515" s="187" t="s">
        <v>23</v>
      </c>
      <c r="F515" s="187"/>
      <c r="G515" s="187"/>
      <c r="H515" s="163"/>
      <c r="I515" s="163"/>
      <c r="J515" s="164" t="s">
        <v>177</v>
      </c>
      <c r="K515" s="179"/>
      <c r="L515" s="163">
        <v>46</v>
      </c>
      <c r="M515" s="163"/>
      <c r="N515" s="163"/>
      <c r="O515" s="163"/>
      <c r="P515" s="163"/>
      <c r="Q515" s="163"/>
      <c r="R515" s="163"/>
      <c r="S515" s="163"/>
      <c r="T515" s="163">
        <v>10900</v>
      </c>
      <c r="U515" s="163"/>
      <c r="V515" s="163"/>
    </row>
    <row r="516" spans="1:22" ht="15.75" customHeight="1" x14ac:dyDescent="0.25">
      <c r="A516" s="167" t="s">
        <v>2987</v>
      </c>
      <c r="B516" s="163" t="s">
        <v>13</v>
      </c>
      <c r="C516" s="162" t="s">
        <v>1696</v>
      </c>
      <c r="D516" s="168">
        <v>44699</v>
      </c>
      <c r="E516" s="187" t="s">
        <v>23</v>
      </c>
      <c r="F516" s="187"/>
      <c r="G516" s="187"/>
      <c r="H516" s="162"/>
      <c r="I516" s="162"/>
      <c r="J516" s="169" t="s">
        <v>1916</v>
      </c>
      <c r="K516" s="159" t="s">
        <v>100</v>
      </c>
      <c r="L516" s="162">
        <v>20</v>
      </c>
      <c r="M516" s="162"/>
      <c r="N516" s="162"/>
      <c r="O516" s="162"/>
      <c r="P516" s="162"/>
      <c r="Q516" s="162"/>
      <c r="R516" s="162"/>
      <c r="S516" s="162" t="s">
        <v>2989</v>
      </c>
      <c r="T516" s="162" t="s">
        <v>2990</v>
      </c>
      <c r="U516" s="162"/>
      <c r="V516" s="162"/>
    </row>
    <row r="517" spans="1:22" ht="15.75" customHeight="1" x14ac:dyDescent="0.25">
      <c r="A517" s="167" t="s">
        <v>2987</v>
      </c>
      <c r="B517" s="163" t="s">
        <v>13</v>
      </c>
      <c r="C517" s="162" t="s">
        <v>1696</v>
      </c>
      <c r="D517" s="168">
        <v>44699</v>
      </c>
      <c r="E517" s="187" t="s">
        <v>23</v>
      </c>
      <c r="F517" s="194"/>
      <c r="G517" s="194"/>
      <c r="H517" s="162"/>
      <c r="I517" s="162"/>
      <c r="J517" s="169" t="s">
        <v>2981</v>
      </c>
      <c r="K517" s="159" t="s">
        <v>66</v>
      </c>
      <c r="L517" s="162">
        <v>30</v>
      </c>
      <c r="M517" s="162"/>
      <c r="N517" s="162"/>
      <c r="O517" s="162"/>
      <c r="P517" s="162"/>
      <c r="Q517" s="162"/>
      <c r="R517" s="162"/>
      <c r="S517" s="162" t="s">
        <v>2991</v>
      </c>
      <c r="T517" s="162" t="s">
        <v>2992</v>
      </c>
      <c r="U517" s="162"/>
      <c r="V517" s="162"/>
    </row>
    <row r="518" spans="1:22" ht="15.75" customHeight="1" x14ac:dyDescent="0.25">
      <c r="A518" s="167" t="s">
        <v>2987</v>
      </c>
      <c r="B518" s="163" t="s">
        <v>13</v>
      </c>
      <c r="C518" s="162" t="s">
        <v>1696</v>
      </c>
      <c r="D518" s="168">
        <v>44699</v>
      </c>
      <c r="E518" s="187" t="s">
        <v>23</v>
      </c>
      <c r="F518" s="194"/>
      <c r="G518" s="194"/>
      <c r="H518" s="162"/>
      <c r="I518" s="162"/>
      <c r="J518" s="169" t="s">
        <v>2982</v>
      </c>
      <c r="K518" s="159" t="s">
        <v>66</v>
      </c>
      <c r="L518" s="162">
        <v>30</v>
      </c>
      <c r="M518" s="162"/>
      <c r="N518" s="162"/>
      <c r="O518" s="162"/>
      <c r="P518" s="162"/>
      <c r="Q518" s="162"/>
      <c r="R518" s="162"/>
      <c r="S518" s="162" t="s">
        <v>2993</v>
      </c>
      <c r="T518" s="162" t="s">
        <v>2994</v>
      </c>
      <c r="U518" s="162"/>
      <c r="V518" s="162"/>
    </row>
    <row r="519" spans="1:22" ht="15.75" customHeight="1" x14ac:dyDescent="0.25">
      <c r="A519" s="167" t="s">
        <v>2987</v>
      </c>
      <c r="B519" s="163" t="s">
        <v>13</v>
      </c>
      <c r="C519" s="162" t="s">
        <v>1696</v>
      </c>
      <c r="D519" s="168">
        <v>44699</v>
      </c>
      <c r="E519" s="187" t="s">
        <v>23</v>
      </c>
      <c r="F519" s="194"/>
      <c r="G519" s="194"/>
      <c r="H519" s="162"/>
      <c r="I519" s="162"/>
      <c r="J519" s="169" t="s">
        <v>2983</v>
      </c>
      <c r="K519" s="159" t="s">
        <v>100</v>
      </c>
      <c r="L519" s="162">
        <v>20</v>
      </c>
      <c r="M519" s="162"/>
      <c r="N519" s="162"/>
      <c r="O519" s="162"/>
      <c r="P519" s="162"/>
      <c r="Q519" s="162"/>
      <c r="R519" s="162"/>
      <c r="S519" s="162" t="s">
        <v>2995</v>
      </c>
      <c r="T519" s="162" t="s">
        <v>2996</v>
      </c>
      <c r="U519" s="162"/>
      <c r="V519" s="162"/>
    </row>
    <row r="520" spans="1:22" ht="15.75" customHeight="1" x14ac:dyDescent="0.25">
      <c r="A520" s="167" t="s">
        <v>2987</v>
      </c>
      <c r="B520" s="163" t="s">
        <v>13</v>
      </c>
      <c r="C520" s="162" t="s">
        <v>1696</v>
      </c>
      <c r="D520" s="168">
        <v>44699</v>
      </c>
      <c r="E520" s="187" t="s">
        <v>23</v>
      </c>
      <c r="F520" s="194"/>
      <c r="G520" s="194"/>
      <c r="H520" s="162"/>
      <c r="I520" s="162"/>
      <c r="J520" s="169" t="s">
        <v>2984</v>
      </c>
      <c r="K520" s="159">
        <v>78</v>
      </c>
      <c r="L520" s="162">
        <v>13</v>
      </c>
      <c r="M520" s="162"/>
      <c r="N520" s="162"/>
      <c r="O520" s="162"/>
      <c r="P520" s="162"/>
      <c r="Q520" s="162"/>
      <c r="R520" s="162"/>
      <c r="S520" s="162" t="s">
        <v>2997</v>
      </c>
      <c r="T520" s="162" t="s">
        <v>2998</v>
      </c>
      <c r="U520" s="162"/>
      <c r="V520" s="162"/>
    </row>
    <row r="521" spans="1:22" ht="15.75" customHeight="1" x14ac:dyDescent="0.25">
      <c r="A521" s="167" t="s">
        <v>2987</v>
      </c>
      <c r="B521" s="163" t="s">
        <v>13</v>
      </c>
      <c r="C521" s="162" t="s">
        <v>1696</v>
      </c>
      <c r="D521" s="168">
        <v>44699</v>
      </c>
      <c r="E521" s="187" t="s">
        <v>23</v>
      </c>
      <c r="F521" s="194"/>
      <c r="G521" s="194"/>
      <c r="H521" s="162"/>
      <c r="I521" s="162"/>
      <c r="J521" s="169" t="s">
        <v>2985</v>
      </c>
      <c r="K521" s="159" t="s">
        <v>379</v>
      </c>
      <c r="L521" s="162">
        <v>50</v>
      </c>
      <c r="M521" s="162"/>
      <c r="N521" s="162"/>
      <c r="O521" s="162"/>
      <c r="P521" s="162"/>
      <c r="Q521" s="162"/>
      <c r="R521" s="162"/>
      <c r="S521" s="173">
        <v>75.5</v>
      </c>
      <c r="T521" s="162" t="s">
        <v>2999</v>
      </c>
      <c r="U521" s="162"/>
      <c r="V521" s="162"/>
    </row>
    <row r="522" spans="1:22" ht="15.75" customHeight="1" x14ac:dyDescent="0.25">
      <c r="A522" s="167" t="s">
        <v>2987</v>
      </c>
      <c r="B522" s="163" t="s">
        <v>13</v>
      </c>
      <c r="C522" s="162" t="s">
        <v>1696</v>
      </c>
      <c r="D522" s="168">
        <v>44699</v>
      </c>
      <c r="E522" s="187" t="s">
        <v>23</v>
      </c>
      <c r="F522" s="194"/>
      <c r="G522" s="194"/>
      <c r="H522" s="162"/>
      <c r="I522" s="162"/>
      <c r="J522" s="169" t="s">
        <v>2986</v>
      </c>
      <c r="K522" s="159" t="s">
        <v>379</v>
      </c>
      <c r="L522" s="162">
        <v>50</v>
      </c>
      <c r="M522" s="162"/>
      <c r="N522" s="162"/>
      <c r="O522" s="162"/>
      <c r="P522" s="162"/>
      <c r="Q522" s="162"/>
      <c r="R522" s="162"/>
      <c r="S522" s="162" t="s">
        <v>3000</v>
      </c>
      <c r="T522" s="162" t="s">
        <v>3001</v>
      </c>
      <c r="U522" s="162"/>
      <c r="V522" s="162"/>
    </row>
    <row r="523" spans="1:22" ht="15.75" customHeight="1" x14ac:dyDescent="0.25">
      <c r="A523" s="167" t="s">
        <v>2987</v>
      </c>
      <c r="B523" s="163" t="s">
        <v>13</v>
      </c>
      <c r="C523" s="162" t="s">
        <v>1696</v>
      </c>
      <c r="D523" s="168">
        <v>44699</v>
      </c>
      <c r="E523" s="187" t="s">
        <v>23</v>
      </c>
      <c r="F523" s="194"/>
      <c r="G523" s="194"/>
      <c r="H523" s="162"/>
      <c r="I523" s="162"/>
      <c r="J523" s="169" t="s">
        <v>1919</v>
      </c>
      <c r="K523" s="159" t="s">
        <v>379</v>
      </c>
      <c r="L523" s="162">
        <v>50</v>
      </c>
      <c r="M523" s="162"/>
      <c r="N523" s="162"/>
      <c r="O523" s="162"/>
      <c r="P523" s="162"/>
      <c r="Q523" s="162"/>
      <c r="R523" s="162"/>
      <c r="S523" s="162" t="s">
        <v>3002</v>
      </c>
      <c r="T523" s="162" t="s">
        <v>3003</v>
      </c>
      <c r="U523" s="162"/>
      <c r="V523" s="162"/>
    </row>
    <row r="524" spans="1:22" ht="15.75" customHeight="1" x14ac:dyDescent="0.25">
      <c r="A524" s="167" t="s">
        <v>2987</v>
      </c>
      <c r="B524" s="163" t="s">
        <v>13</v>
      </c>
      <c r="C524" s="162" t="s">
        <v>1696</v>
      </c>
      <c r="D524" s="168">
        <v>44699</v>
      </c>
      <c r="E524" s="187" t="s">
        <v>23</v>
      </c>
      <c r="F524" s="194"/>
      <c r="G524" s="194"/>
      <c r="H524" s="162"/>
      <c r="I524" s="162"/>
      <c r="J524" s="169" t="s">
        <v>2573</v>
      </c>
      <c r="K524" s="159" t="s">
        <v>379</v>
      </c>
      <c r="L524" s="162">
        <v>50</v>
      </c>
      <c r="M524" s="162"/>
      <c r="N524" s="162"/>
      <c r="O524" s="162"/>
      <c r="P524" s="162"/>
      <c r="Q524" s="162"/>
      <c r="R524" s="162"/>
      <c r="S524" s="162" t="s">
        <v>3004</v>
      </c>
      <c r="T524" s="162" t="s">
        <v>3005</v>
      </c>
      <c r="U524" s="162"/>
      <c r="V524" s="162"/>
    </row>
    <row r="525" spans="1:22" ht="15.75" customHeight="1" x14ac:dyDescent="0.25">
      <c r="A525" s="167" t="s">
        <v>2987</v>
      </c>
      <c r="B525" s="163" t="s">
        <v>13</v>
      </c>
      <c r="C525" s="162" t="s">
        <v>1696</v>
      </c>
      <c r="D525" s="168">
        <v>44699</v>
      </c>
      <c r="E525" s="187" t="s">
        <v>23</v>
      </c>
      <c r="F525" s="194"/>
      <c r="G525" s="194"/>
      <c r="H525" s="163"/>
      <c r="I525" s="163"/>
      <c r="J525" s="164" t="s">
        <v>1921</v>
      </c>
      <c r="K525" s="179">
        <v>360</v>
      </c>
      <c r="L525" s="162">
        <v>60</v>
      </c>
      <c r="M525" s="163"/>
      <c r="N525" s="163"/>
      <c r="O525" s="163"/>
      <c r="P525" s="163"/>
      <c r="Q525" s="163"/>
      <c r="R525" s="163"/>
      <c r="S525" s="163" t="s">
        <v>3006</v>
      </c>
      <c r="T525" s="163" t="s">
        <v>3007</v>
      </c>
      <c r="U525" s="163"/>
      <c r="V525" s="163"/>
    </row>
    <row r="526" spans="1:22" ht="15.75" customHeight="1" x14ac:dyDescent="0.25">
      <c r="A526" s="171" t="s">
        <v>2988</v>
      </c>
      <c r="B526" s="163" t="s">
        <v>13</v>
      </c>
      <c r="C526" s="163" t="s">
        <v>313</v>
      </c>
      <c r="D526" s="172">
        <v>44699</v>
      </c>
      <c r="E526" s="187" t="s">
        <v>23</v>
      </c>
      <c r="F526" s="187"/>
      <c r="G526" s="187"/>
      <c r="H526" s="163"/>
      <c r="I526" s="163"/>
      <c r="J526" s="164" t="s">
        <v>77</v>
      </c>
      <c r="K526" s="163"/>
      <c r="L526" s="163">
        <v>10</v>
      </c>
      <c r="M526" s="163"/>
      <c r="N526" s="163"/>
      <c r="O526" s="163"/>
      <c r="P526" s="163"/>
      <c r="Q526" s="163"/>
      <c r="R526" s="163"/>
      <c r="S526" s="163"/>
      <c r="T526" s="163">
        <v>14950</v>
      </c>
      <c r="U526" s="163"/>
      <c r="V526" s="163"/>
    </row>
    <row r="527" spans="1:22" s="86" customFormat="1" ht="30.75" customHeight="1" x14ac:dyDescent="0.25">
      <c r="A527" s="158" t="s">
        <v>3012</v>
      </c>
      <c r="B527" s="179" t="s">
        <v>13</v>
      </c>
      <c r="C527" s="159" t="s">
        <v>548</v>
      </c>
      <c r="D527" s="160">
        <v>44700</v>
      </c>
      <c r="E527" s="209" t="s">
        <v>23</v>
      </c>
      <c r="F527" s="209"/>
      <c r="G527" s="209">
        <v>3087</v>
      </c>
      <c r="H527" s="159" t="s">
        <v>3155</v>
      </c>
      <c r="I527" s="159"/>
      <c r="J527" s="161" t="s">
        <v>1876</v>
      </c>
      <c r="K527" s="159" t="s">
        <v>3009</v>
      </c>
      <c r="L527" s="159">
        <v>3150</v>
      </c>
      <c r="M527" s="159"/>
      <c r="N527" s="159"/>
      <c r="O527" s="159"/>
      <c r="P527" s="159"/>
      <c r="Q527" s="159"/>
      <c r="R527" s="159"/>
      <c r="S527" s="159"/>
      <c r="T527" s="159" t="s">
        <v>3013</v>
      </c>
      <c r="U527" s="159"/>
      <c r="V527" s="159"/>
    </row>
    <row r="528" spans="1:22" ht="15.75" customHeight="1" x14ac:dyDescent="0.25">
      <c r="A528" s="167" t="s">
        <v>3012</v>
      </c>
      <c r="B528" s="163" t="s">
        <v>13</v>
      </c>
      <c r="C528" s="162" t="s">
        <v>548</v>
      </c>
      <c r="D528" s="168">
        <v>44700</v>
      </c>
      <c r="E528" s="194" t="s">
        <v>23</v>
      </c>
      <c r="F528" s="194"/>
      <c r="G528" s="194">
        <v>98</v>
      </c>
      <c r="H528" s="162" t="s">
        <v>3043</v>
      </c>
      <c r="I528" s="162"/>
      <c r="J528" s="169" t="s">
        <v>2678</v>
      </c>
      <c r="K528" s="224" t="s">
        <v>3010</v>
      </c>
      <c r="L528" s="162">
        <v>99</v>
      </c>
      <c r="M528" s="162"/>
      <c r="N528" s="162"/>
      <c r="O528" s="162"/>
      <c r="P528" s="162"/>
      <c r="Q528" s="162"/>
      <c r="R528" s="162"/>
      <c r="S528" s="162"/>
      <c r="T528" s="162" t="s">
        <v>3014</v>
      </c>
      <c r="U528" s="162"/>
      <c r="V528" s="162"/>
    </row>
    <row r="529" spans="1:22" ht="15.75" customHeight="1" x14ac:dyDescent="0.25">
      <c r="A529" s="167" t="s">
        <v>3012</v>
      </c>
      <c r="B529" s="163" t="s">
        <v>13</v>
      </c>
      <c r="C529" s="162" t="s">
        <v>548</v>
      </c>
      <c r="D529" s="168">
        <v>44700</v>
      </c>
      <c r="E529" s="187" t="s">
        <v>23</v>
      </c>
      <c r="F529" s="194">
        <v>800</v>
      </c>
      <c r="G529" s="194"/>
      <c r="H529" s="163" t="s">
        <v>3028</v>
      </c>
      <c r="I529" s="163"/>
      <c r="J529" s="164" t="s">
        <v>3008</v>
      </c>
      <c r="K529" s="185" t="s">
        <v>3011</v>
      </c>
      <c r="L529" s="163">
        <v>800</v>
      </c>
      <c r="M529" s="163"/>
      <c r="N529" s="163"/>
      <c r="O529" s="163"/>
      <c r="P529" s="163"/>
      <c r="Q529" s="163"/>
      <c r="R529" s="163"/>
      <c r="S529" s="163"/>
      <c r="T529" s="163" t="s">
        <v>3015</v>
      </c>
      <c r="U529" s="163"/>
      <c r="V529" s="163"/>
    </row>
    <row r="530" spans="1:22" ht="15.75" customHeight="1" x14ac:dyDescent="0.25">
      <c r="A530" s="171" t="s">
        <v>3016</v>
      </c>
      <c r="B530" s="163" t="s">
        <v>13</v>
      </c>
      <c r="C530" s="163" t="s">
        <v>295</v>
      </c>
      <c r="D530" s="168">
        <v>44700</v>
      </c>
      <c r="E530" s="187" t="s">
        <v>23</v>
      </c>
      <c r="F530" s="187"/>
      <c r="G530" s="187"/>
      <c r="H530" s="163"/>
      <c r="I530" s="163"/>
      <c r="J530" s="164" t="s">
        <v>947</v>
      </c>
      <c r="K530" s="179">
        <v>600</v>
      </c>
      <c r="L530" s="163">
        <v>100</v>
      </c>
      <c r="M530" s="163"/>
      <c r="N530" s="163"/>
      <c r="O530" s="163"/>
      <c r="P530" s="163"/>
      <c r="Q530" s="163"/>
      <c r="R530" s="163"/>
      <c r="S530" s="163"/>
      <c r="T530" s="163">
        <v>17400</v>
      </c>
      <c r="U530" s="163"/>
      <c r="V530" s="163"/>
    </row>
    <row r="531" spans="1:22" ht="15.75" customHeight="1" x14ac:dyDescent="0.25">
      <c r="A531" s="171" t="s">
        <v>3017</v>
      </c>
      <c r="B531" s="163" t="s">
        <v>13</v>
      </c>
      <c r="C531" s="163" t="s">
        <v>2399</v>
      </c>
      <c r="D531" s="168">
        <v>44700</v>
      </c>
      <c r="E531" s="187" t="s">
        <v>23</v>
      </c>
      <c r="F531" s="187"/>
      <c r="G531" s="187"/>
      <c r="H531" s="163"/>
      <c r="I531" s="163"/>
      <c r="J531" s="164" t="s">
        <v>2403</v>
      </c>
      <c r="K531" s="145"/>
      <c r="L531" s="163">
        <v>80</v>
      </c>
      <c r="M531" s="163"/>
      <c r="N531" s="163"/>
      <c r="O531" s="163"/>
      <c r="P531" s="163"/>
      <c r="Q531" s="163"/>
      <c r="R531" s="163"/>
      <c r="S531" s="163"/>
      <c r="T531" s="163">
        <v>13685</v>
      </c>
      <c r="U531" s="163"/>
      <c r="V531" s="163"/>
    </row>
    <row r="532" spans="1:22" ht="15.75" customHeight="1" x14ac:dyDescent="0.25">
      <c r="A532" s="171" t="s">
        <v>3018</v>
      </c>
      <c r="B532" s="163" t="s">
        <v>13</v>
      </c>
      <c r="C532" s="163" t="s">
        <v>37</v>
      </c>
      <c r="D532" s="172">
        <v>44701</v>
      </c>
      <c r="E532" s="187" t="s">
        <v>23</v>
      </c>
      <c r="F532" s="187"/>
      <c r="G532" s="187"/>
      <c r="H532" s="163"/>
      <c r="I532" s="163"/>
      <c r="J532" s="164" t="s">
        <v>1152</v>
      </c>
      <c r="K532" s="179"/>
      <c r="L532" s="163">
        <v>12</v>
      </c>
      <c r="M532" s="163"/>
      <c r="N532" s="163"/>
      <c r="O532" s="163"/>
      <c r="P532" s="163"/>
      <c r="Q532" s="163"/>
      <c r="R532" s="163"/>
      <c r="S532" s="163"/>
      <c r="T532" s="163">
        <v>22000</v>
      </c>
      <c r="U532" s="163"/>
      <c r="V532" s="163"/>
    </row>
    <row r="533" spans="1:22" ht="15.75" customHeight="1" x14ac:dyDescent="0.25">
      <c r="A533" s="167">
        <v>218</v>
      </c>
      <c r="B533" s="163" t="s">
        <v>13</v>
      </c>
      <c r="C533" s="162" t="s">
        <v>32</v>
      </c>
      <c r="D533" s="168">
        <v>44704</v>
      </c>
      <c r="E533" s="194" t="s">
        <v>23</v>
      </c>
      <c r="F533" s="194">
        <v>132</v>
      </c>
      <c r="G533" s="194">
        <v>108</v>
      </c>
      <c r="H533" s="162" t="s">
        <v>2370</v>
      </c>
      <c r="I533" s="162"/>
      <c r="J533" s="169" t="s">
        <v>2773</v>
      </c>
      <c r="K533" s="142">
        <v>1287.9000000000001</v>
      </c>
      <c r="L533" s="162">
        <v>243</v>
      </c>
      <c r="M533" s="162">
        <v>0.2651</v>
      </c>
      <c r="N533" s="162">
        <v>0.82099999999999995</v>
      </c>
      <c r="O533" s="162">
        <v>341.42230000000001</v>
      </c>
      <c r="P533" s="162">
        <v>1057.3659</v>
      </c>
      <c r="Q533" s="162">
        <v>44.38</v>
      </c>
      <c r="R533" s="162">
        <v>81.92</v>
      </c>
      <c r="S533" s="162">
        <v>309</v>
      </c>
      <c r="T533" s="162">
        <v>105499.49</v>
      </c>
      <c r="U533" s="162"/>
      <c r="V533" s="162"/>
    </row>
    <row r="534" spans="1:22" ht="15.75" customHeight="1" x14ac:dyDescent="0.25">
      <c r="A534" s="167">
        <v>198</v>
      </c>
      <c r="B534" s="163" t="s">
        <v>13</v>
      </c>
      <c r="C534" s="162" t="s">
        <v>663</v>
      </c>
      <c r="D534" s="168">
        <v>44676</v>
      </c>
      <c r="E534" s="187" t="s">
        <v>23</v>
      </c>
      <c r="F534" s="194"/>
      <c r="G534" s="194">
        <v>58</v>
      </c>
      <c r="H534" s="163"/>
      <c r="I534" s="172">
        <v>44719</v>
      </c>
      <c r="J534" s="164" t="s">
        <v>3062</v>
      </c>
      <c r="K534" s="163">
        <v>390</v>
      </c>
      <c r="L534" s="163">
        <v>60</v>
      </c>
      <c r="M534" s="163">
        <v>0.66949999999999998</v>
      </c>
      <c r="N534" s="163">
        <v>1.976</v>
      </c>
      <c r="O534" s="163">
        <v>295.91899999999998</v>
      </c>
      <c r="P534" s="163">
        <v>873.39200000000005</v>
      </c>
      <c r="Q534" s="163">
        <v>38.47</v>
      </c>
      <c r="R534" s="163">
        <v>167.38</v>
      </c>
      <c r="S534" s="163">
        <v>250</v>
      </c>
      <c r="T534" s="163">
        <v>73979.75</v>
      </c>
      <c r="U534" s="163"/>
      <c r="V534" s="163"/>
    </row>
    <row r="535" spans="1:22" ht="15.75" customHeight="1" x14ac:dyDescent="0.25">
      <c r="A535" s="167">
        <v>219</v>
      </c>
      <c r="B535" s="163" t="s">
        <v>13</v>
      </c>
      <c r="C535" s="162" t="s">
        <v>32</v>
      </c>
      <c r="D535" s="168">
        <v>44704</v>
      </c>
      <c r="E535" s="194" t="s">
        <v>23</v>
      </c>
      <c r="F535" s="194"/>
      <c r="G535" s="194">
        <v>216</v>
      </c>
      <c r="H535" s="162"/>
      <c r="I535" s="162"/>
      <c r="J535" s="169" t="s">
        <v>2964</v>
      </c>
      <c r="K535" s="162">
        <v>1317.6</v>
      </c>
      <c r="L535" s="162">
        <v>216</v>
      </c>
      <c r="M535" s="162">
        <v>8.4900000000000003E-2</v>
      </c>
      <c r="N535" s="162">
        <v>0.13700000000000001</v>
      </c>
      <c r="O535" s="162">
        <v>111.8642</v>
      </c>
      <c r="P535" s="162">
        <v>180.5112</v>
      </c>
      <c r="Q535" s="162">
        <v>14.54</v>
      </c>
      <c r="R535" s="162">
        <v>22.5</v>
      </c>
      <c r="S535" s="162">
        <v>265</v>
      </c>
      <c r="T535" s="162">
        <v>29646</v>
      </c>
      <c r="U535" s="162"/>
      <c r="V535" s="162"/>
    </row>
    <row r="536" spans="1:22" ht="17.45" customHeight="1" x14ac:dyDescent="0.25">
      <c r="A536" s="171">
        <v>219</v>
      </c>
      <c r="B536" s="163" t="s">
        <v>13</v>
      </c>
      <c r="C536" s="162" t="s">
        <v>32</v>
      </c>
      <c r="D536" s="168">
        <v>44704</v>
      </c>
      <c r="E536" s="194" t="s">
        <v>23</v>
      </c>
      <c r="F536" s="194"/>
      <c r="G536" s="194">
        <v>464</v>
      </c>
      <c r="H536" s="163"/>
      <c r="I536" s="163"/>
      <c r="J536" s="164" t="s">
        <v>2966</v>
      </c>
      <c r="K536" s="163">
        <v>2830.4</v>
      </c>
      <c r="L536" s="163">
        <v>464</v>
      </c>
      <c r="M536" s="163">
        <v>5.7599999999999998E-2</v>
      </c>
      <c r="N536" s="163">
        <v>8.7999999999999995E-2</v>
      </c>
      <c r="O536" s="163">
        <v>163.03100000000001</v>
      </c>
      <c r="P536" s="163">
        <v>249.0752</v>
      </c>
      <c r="Q536" s="163">
        <v>21.19</v>
      </c>
      <c r="R536" s="163">
        <v>15.26</v>
      </c>
      <c r="S536" s="163">
        <v>265</v>
      </c>
      <c r="T536" s="163">
        <v>43191.9</v>
      </c>
      <c r="U536" s="163"/>
      <c r="V536" s="163"/>
    </row>
    <row r="537" spans="1:22" s="14" customFormat="1" ht="15.75" customHeight="1" x14ac:dyDescent="0.25">
      <c r="A537" s="147">
        <v>221</v>
      </c>
      <c r="B537" s="145" t="s">
        <v>34</v>
      </c>
      <c r="C537" s="145" t="s">
        <v>19</v>
      </c>
      <c r="D537" s="148">
        <v>44704</v>
      </c>
      <c r="E537" s="187" t="s">
        <v>23</v>
      </c>
      <c r="F537" s="194"/>
      <c r="G537" s="194">
        <v>27.3</v>
      </c>
      <c r="H537" s="145" t="s">
        <v>559</v>
      </c>
      <c r="I537" s="145"/>
      <c r="J537" s="146" t="s">
        <v>3019</v>
      </c>
      <c r="K537" s="145">
        <v>31.2</v>
      </c>
      <c r="L537" s="145">
        <v>8</v>
      </c>
      <c r="M537" s="145">
        <v>0.27529999999999999</v>
      </c>
      <c r="N537" s="145">
        <v>0.626</v>
      </c>
      <c r="O537" s="145">
        <v>8.5893999999999995</v>
      </c>
      <c r="P537" s="145">
        <v>19.531199999999998</v>
      </c>
      <c r="Q537" s="145">
        <v>1.1200000000000001</v>
      </c>
      <c r="R537" s="145">
        <v>94.43</v>
      </c>
      <c r="S537" s="145">
        <v>343</v>
      </c>
      <c r="T537" s="145">
        <v>2946.15</v>
      </c>
      <c r="U537" s="145"/>
      <c r="V537" s="145"/>
    </row>
    <row r="538" spans="1:22" s="14" customFormat="1" ht="15.75" customHeight="1" x14ac:dyDescent="0.25">
      <c r="A538" s="147" t="s">
        <v>3020</v>
      </c>
      <c r="B538" s="145" t="s">
        <v>34</v>
      </c>
      <c r="C538" s="145" t="s">
        <v>16</v>
      </c>
      <c r="D538" s="148">
        <v>44704</v>
      </c>
      <c r="E538" s="187" t="s">
        <v>23</v>
      </c>
      <c r="F538" s="187"/>
      <c r="G538" s="187"/>
      <c r="H538" s="145"/>
      <c r="I538" s="145"/>
      <c r="J538" s="146" t="s">
        <v>2730</v>
      </c>
      <c r="K538" s="145">
        <v>126</v>
      </c>
      <c r="L538" s="145">
        <v>21</v>
      </c>
      <c r="M538" s="145">
        <v>0.3498</v>
      </c>
      <c r="N538" s="145">
        <v>1.425</v>
      </c>
      <c r="O538" s="145">
        <v>44.074800000000003</v>
      </c>
      <c r="P538" s="145">
        <v>179.55</v>
      </c>
      <c r="Q538" s="145">
        <v>5.73</v>
      </c>
      <c r="R538" s="145">
        <v>119.98</v>
      </c>
      <c r="S538" s="145">
        <v>343</v>
      </c>
      <c r="T538" s="145">
        <v>15117.66</v>
      </c>
      <c r="U538" s="145"/>
      <c r="V538" s="145"/>
    </row>
    <row r="539" spans="1:22" s="14" customFormat="1" ht="15.75" customHeight="1" x14ac:dyDescent="0.25">
      <c r="A539" s="147">
        <v>222</v>
      </c>
      <c r="B539" s="145" t="s">
        <v>34</v>
      </c>
      <c r="C539" s="145" t="s">
        <v>861</v>
      </c>
      <c r="D539" s="148">
        <v>44704</v>
      </c>
      <c r="E539" s="187" t="s">
        <v>23</v>
      </c>
      <c r="F539" s="187"/>
      <c r="G539" s="187"/>
      <c r="H539" s="145"/>
      <c r="I539" s="145"/>
      <c r="J539" s="146" t="s">
        <v>2670</v>
      </c>
      <c r="K539" s="145">
        <v>384</v>
      </c>
      <c r="L539" s="145">
        <v>64</v>
      </c>
      <c r="M539" s="145">
        <v>0.4803</v>
      </c>
      <c r="N539" s="145">
        <v>1.3580000000000001</v>
      </c>
      <c r="O539" s="145">
        <v>184.43520000000001</v>
      </c>
      <c r="P539" s="145">
        <v>521.47199999999998</v>
      </c>
      <c r="Q539" s="145">
        <v>23.98</v>
      </c>
      <c r="R539" s="145">
        <v>151.29</v>
      </c>
      <c r="S539" s="145">
        <v>315</v>
      </c>
      <c r="T539" s="145">
        <v>58097.09</v>
      </c>
      <c r="U539" s="145"/>
      <c r="V539" s="145"/>
    </row>
    <row r="540" spans="1:22" s="14" customFormat="1" ht="15.75" customHeight="1" x14ac:dyDescent="0.25">
      <c r="A540" s="147">
        <v>223</v>
      </c>
      <c r="B540" s="145" t="s">
        <v>34</v>
      </c>
      <c r="C540" s="145" t="s">
        <v>802</v>
      </c>
      <c r="D540" s="148">
        <v>44704</v>
      </c>
      <c r="E540" s="187" t="s">
        <v>23</v>
      </c>
      <c r="F540" s="187"/>
      <c r="G540" s="187">
        <v>18.45</v>
      </c>
      <c r="H540" s="145" t="s">
        <v>559</v>
      </c>
      <c r="I540" s="145"/>
      <c r="J540" s="146" t="s">
        <v>3021</v>
      </c>
      <c r="K540" s="145">
        <v>24.6</v>
      </c>
      <c r="L540" s="145">
        <v>4</v>
      </c>
      <c r="M540" s="145">
        <v>0.14849999999999999</v>
      </c>
      <c r="N540" s="145">
        <v>0.50800000000000001</v>
      </c>
      <c r="O540" s="145">
        <v>3.6530999999999998</v>
      </c>
      <c r="P540" s="145">
        <v>12.4968</v>
      </c>
      <c r="Q540" s="145">
        <v>0.47</v>
      </c>
      <c r="R540" s="145">
        <v>53.46</v>
      </c>
      <c r="S540" s="145">
        <v>360</v>
      </c>
      <c r="T540" s="145">
        <v>1315.12</v>
      </c>
      <c r="U540" s="145"/>
      <c r="V540" s="145"/>
    </row>
    <row r="541" spans="1:22" ht="15.75" customHeight="1" x14ac:dyDescent="0.25">
      <c r="A541" s="171" t="s">
        <v>3022</v>
      </c>
      <c r="B541" s="163" t="s">
        <v>13</v>
      </c>
      <c r="C541" s="163" t="s">
        <v>2399</v>
      </c>
      <c r="D541" s="172">
        <v>44705</v>
      </c>
      <c r="E541" s="187" t="s">
        <v>23</v>
      </c>
      <c r="F541" s="194"/>
      <c r="G541" s="194"/>
      <c r="H541" s="163"/>
      <c r="I541" s="163"/>
      <c r="J541" s="164" t="s">
        <v>2403</v>
      </c>
      <c r="K541" s="179"/>
      <c r="L541" s="163">
        <v>80</v>
      </c>
      <c r="M541" s="163"/>
      <c r="N541" s="163"/>
      <c r="O541" s="163"/>
      <c r="P541" s="163"/>
      <c r="Q541" s="163"/>
      <c r="R541" s="163"/>
      <c r="S541" s="163"/>
      <c r="T541" s="163">
        <v>13685</v>
      </c>
      <c r="U541" s="163"/>
      <c r="V541" s="163"/>
    </row>
    <row r="542" spans="1:22" ht="15.75" customHeight="1" x14ac:dyDescent="0.25">
      <c r="A542" s="167">
        <v>227</v>
      </c>
      <c r="B542" s="163" t="s">
        <v>13</v>
      </c>
      <c r="C542" s="162" t="s">
        <v>2937</v>
      </c>
      <c r="D542" s="168">
        <v>44706</v>
      </c>
      <c r="E542" s="194" t="s">
        <v>23</v>
      </c>
      <c r="F542" s="194">
        <v>350</v>
      </c>
      <c r="G542" s="194"/>
      <c r="H542" s="162"/>
      <c r="I542" s="162"/>
      <c r="J542" s="169" t="s">
        <v>1143</v>
      </c>
      <c r="K542" s="162">
        <v>2100</v>
      </c>
      <c r="L542" s="162">
        <v>350</v>
      </c>
      <c r="M542" s="162">
        <v>0.1938</v>
      </c>
      <c r="N542" s="162">
        <v>0.63600000000000001</v>
      </c>
      <c r="O542" s="162">
        <v>406.98</v>
      </c>
      <c r="P542" s="162">
        <v>1335.6</v>
      </c>
      <c r="Q542" s="162">
        <v>52.91</v>
      </c>
      <c r="R542" s="162">
        <v>66.47</v>
      </c>
      <c r="S542" s="162">
        <v>343</v>
      </c>
      <c r="T542" s="162">
        <v>139587</v>
      </c>
      <c r="U542" s="162"/>
      <c r="V542" s="162"/>
    </row>
    <row r="543" spans="1:22" s="314" customFormat="1" ht="15.75" customHeight="1" x14ac:dyDescent="0.25">
      <c r="A543" s="171" t="s">
        <v>3031</v>
      </c>
      <c r="B543" s="163" t="s">
        <v>13</v>
      </c>
      <c r="C543" s="162" t="s">
        <v>30</v>
      </c>
      <c r="D543" s="172">
        <v>44711</v>
      </c>
      <c r="E543" s="187" t="s">
        <v>23</v>
      </c>
      <c r="F543" s="194"/>
      <c r="G543" s="194"/>
      <c r="H543" s="163"/>
      <c r="I543" s="172">
        <v>44719</v>
      </c>
      <c r="J543" s="164" t="s">
        <v>215</v>
      </c>
      <c r="K543" s="145"/>
      <c r="L543" s="163">
        <v>8</v>
      </c>
      <c r="M543" s="163"/>
      <c r="N543" s="163"/>
      <c r="O543" s="163"/>
      <c r="P543" s="163"/>
      <c r="Q543" s="163"/>
      <c r="R543" s="163"/>
      <c r="S543" s="163"/>
      <c r="T543" s="163" t="s">
        <v>195</v>
      </c>
      <c r="U543" s="163"/>
      <c r="V543" s="163"/>
    </row>
    <row r="544" spans="1:22" ht="30.75" customHeight="1" x14ac:dyDescent="0.25">
      <c r="A544" s="171">
        <v>229</v>
      </c>
      <c r="B544" s="163" t="s">
        <v>13</v>
      </c>
      <c r="C544" s="163" t="s">
        <v>3027</v>
      </c>
      <c r="D544" s="172">
        <v>44707</v>
      </c>
      <c r="E544" s="187" t="s">
        <v>23</v>
      </c>
      <c r="F544" s="187"/>
      <c r="G544" s="187"/>
      <c r="H544" s="163"/>
      <c r="I544" s="163"/>
      <c r="J544" s="164" t="s">
        <v>2558</v>
      </c>
      <c r="K544" s="145">
        <v>48</v>
      </c>
      <c r="L544" s="163">
        <v>8</v>
      </c>
      <c r="M544" s="163">
        <v>0.24</v>
      </c>
      <c r="N544" s="163">
        <v>1.2569999999999999</v>
      </c>
      <c r="O544" s="163">
        <v>11.52</v>
      </c>
      <c r="P544" s="163">
        <v>60.335999999999999</v>
      </c>
      <c r="Q544" s="163">
        <v>1.5</v>
      </c>
      <c r="R544" s="163">
        <v>177.08</v>
      </c>
      <c r="S544" s="163">
        <v>737.85</v>
      </c>
      <c r="T544" s="163">
        <v>8500</v>
      </c>
      <c r="U544" s="163"/>
      <c r="V544" s="163"/>
    </row>
    <row r="545" spans="1:22" ht="15.75" customHeight="1" x14ac:dyDescent="0.25">
      <c r="A545" s="171" t="s">
        <v>3029</v>
      </c>
      <c r="B545" s="163" t="s">
        <v>13</v>
      </c>
      <c r="C545" s="163" t="s">
        <v>2399</v>
      </c>
      <c r="D545" s="172">
        <v>44708</v>
      </c>
      <c r="E545" s="187" t="s">
        <v>23</v>
      </c>
      <c r="F545" s="187"/>
      <c r="G545" s="187"/>
      <c r="H545" s="163"/>
      <c r="I545" s="163"/>
      <c r="J545" s="164" t="s">
        <v>2403</v>
      </c>
      <c r="K545" s="145"/>
      <c r="L545" s="163">
        <v>80</v>
      </c>
      <c r="M545" s="163"/>
      <c r="N545" s="163"/>
      <c r="O545" s="163"/>
      <c r="P545" s="163"/>
      <c r="Q545" s="163"/>
      <c r="R545" s="163"/>
      <c r="S545" s="163"/>
      <c r="T545" s="163">
        <v>13685</v>
      </c>
      <c r="U545" s="163"/>
      <c r="V545" s="163"/>
    </row>
    <row r="546" spans="1:22" ht="15.75" customHeight="1" x14ac:dyDescent="0.25">
      <c r="A546" s="171" t="s">
        <v>3030</v>
      </c>
      <c r="B546" s="163" t="s">
        <v>13</v>
      </c>
      <c r="C546" s="163" t="s">
        <v>295</v>
      </c>
      <c r="D546" s="172">
        <v>44708</v>
      </c>
      <c r="E546" s="187" t="s">
        <v>23</v>
      </c>
      <c r="F546" s="187"/>
      <c r="G546" s="187"/>
      <c r="H546" s="163"/>
      <c r="I546" s="163"/>
      <c r="J546" s="164" t="s">
        <v>177</v>
      </c>
      <c r="K546" s="179"/>
      <c r="L546" s="163">
        <v>31</v>
      </c>
      <c r="M546" s="163"/>
      <c r="N546" s="163"/>
      <c r="O546" s="163"/>
      <c r="P546" s="163"/>
      <c r="Q546" s="163"/>
      <c r="R546" s="163"/>
      <c r="S546" s="163"/>
      <c r="T546" s="163">
        <v>12535</v>
      </c>
      <c r="U546" s="163"/>
      <c r="V546" s="163"/>
    </row>
    <row r="547" spans="1:22" s="14" customFormat="1" ht="15.75" customHeight="1" x14ac:dyDescent="0.25">
      <c r="A547" s="147">
        <v>231</v>
      </c>
      <c r="B547" s="145" t="s">
        <v>34</v>
      </c>
      <c r="C547" s="145" t="s">
        <v>893</v>
      </c>
      <c r="D547" s="148">
        <v>44711</v>
      </c>
      <c r="E547" s="187" t="s">
        <v>23</v>
      </c>
      <c r="F547" s="187"/>
      <c r="G547" s="187"/>
      <c r="H547" s="145" t="s">
        <v>3076</v>
      </c>
      <c r="I547" s="145"/>
      <c r="J547" s="146" t="s">
        <v>639</v>
      </c>
      <c r="K547" s="145">
        <v>564</v>
      </c>
      <c r="L547" s="145">
        <v>94</v>
      </c>
      <c r="M547" s="145">
        <v>0.35859999999999997</v>
      </c>
      <c r="N547" s="145">
        <v>1.518</v>
      </c>
      <c r="O547" s="145">
        <v>202.25040000000001</v>
      </c>
      <c r="P547" s="145">
        <v>856.15200000000004</v>
      </c>
      <c r="Q547" s="145">
        <v>26.29</v>
      </c>
      <c r="R547" s="145">
        <v>112.96</v>
      </c>
      <c r="S547" s="145">
        <v>315</v>
      </c>
      <c r="T547" s="145">
        <v>63708.88</v>
      </c>
      <c r="U547" s="145"/>
      <c r="V547" s="145"/>
    </row>
    <row r="548" spans="1:22" ht="15.75" customHeight="1" x14ac:dyDescent="0.25">
      <c r="A548" s="167" t="s">
        <v>3031</v>
      </c>
      <c r="B548" s="163" t="s">
        <v>13</v>
      </c>
      <c r="C548" s="162" t="s">
        <v>30</v>
      </c>
      <c r="D548" s="168">
        <v>44711</v>
      </c>
      <c r="E548" s="187" t="s">
        <v>23</v>
      </c>
      <c r="F548" s="194"/>
      <c r="G548" s="194"/>
      <c r="H548" s="162"/>
      <c r="I548" s="168">
        <v>44719</v>
      </c>
      <c r="J548" s="169" t="s">
        <v>216</v>
      </c>
      <c r="K548" s="142"/>
      <c r="L548" s="162">
        <v>8</v>
      </c>
      <c r="M548" s="162"/>
      <c r="N548" s="162"/>
      <c r="O548" s="162"/>
      <c r="P548" s="162"/>
      <c r="Q548" s="162"/>
      <c r="R548" s="162"/>
      <c r="S548" s="162"/>
      <c r="T548" s="162" t="s">
        <v>1338</v>
      </c>
      <c r="U548" s="162"/>
      <c r="V548" s="162"/>
    </row>
    <row r="549" spans="1:22" ht="15.75" customHeight="1" x14ac:dyDescent="0.25">
      <c r="A549" s="167" t="s">
        <v>3031</v>
      </c>
      <c r="B549" s="163" t="s">
        <v>13</v>
      </c>
      <c r="C549" s="162" t="s">
        <v>30</v>
      </c>
      <c r="D549" s="168">
        <v>44711</v>
      </c>
      <c r="E549" s="187" t="s">
        <v>23</v>
      </c>
      <c r="F549" s="194"/>
      <c r="G549" s="194"/>
      <c r="H549" s="162"/>
      <c r="I549" s="168">
        <v>44719</v>
      </c>
      <c r="J549" s="169" t="s">
        <v>219</v>
      </c>
      <c r="K549" s="142"/>
      <c r="L549" s="162">
        <v>8</v>
      </c>
      <c r="M549" s="162"/>
      <c r="N549" s="162"/>
      <c r="O549" s="162"/>
      <c r="P549" s="162"/>
      <c r="Q549" s="162"/>
      <c r="R549" s="162"/>
      <c r="S549" s="162"/>
      <c r="T549" s="162" t="s">
        <v>807</v>
      </c>
      <c r="U549" s="162"/>
      <c r="V549" s="162"/>
    </row>
    <row r="550" spans="1:22" ht="15.75" customHeight="1" x14ac:dyDescent="0.25">
      <c r="A550" s="167" t="s">
        <v>3031</v>
      </c>
      <c r="B550" s="163" t="s">
        <v>13</v>
      </c>
      <c r="C550" s="162" t="s">
        <v>30</v>
      </c>
      <c r="D550" s="168">
        <v>44711</v>
      </c>
      <c r="E550" s="187" t="s">
        <v>23</v>
      </c>
      <c r="F550" s="194"/>
      <c r="G550" s="194"/>
      <c r="H550" s="162"/>
      <c r="I550" s="168">
        <v>44719</v>
      </c>
      <c r="J550" s="169" t="s">
        <v>220</v>
      </c>
      <c r="K550" s="142"/>
      <c r="L550" s="162">
        <v>8</v>
      </c>
      <c r="M550" s="162"/>
      <c r="N550" s="162"/>
      <c r="O550" s="162"/>
      <c r="P550" s="162"/>
      <c r="Q550" s="162"/>
      <c r="R550" s="162"/>
      <c r="S550" s="162"/>
      <c r="T550" s="162" t="s">
        <v>470</v>
      </c>
      <c r="U550" s="162"/>
      <c r="V550" s="162"/>
    </row>
    <row r="551" spans="1:22" ht="15.75" customHeight="1" x14ac:dyDescent="0.25">
      <c r="A551" s="167" t="s">
        <v>3031</v>
      </c>
      <c r="B551" s="163" t="s">
        <v>13</v>
      </c>
      <c r="C551" s="162" t="s">
        <v>30</v>
      </c>
      <c r="D551" s="168">
        <v>44711</v>
      </c>
      <c r="E551" s="187" t="s">
        <v>23</v>
      </c>
      <c r="F551" s="194"/>
      <c r="G551" s="194"/>
      <c r="H551" s="162"/>
      <c r="I551" s="168">
        <v>44719</v>
      </c>
      <c r="J551" s="169" t="s">
        <v>214</v>
      </c>
      <c r="K551" s="142"/>
      <c r="L551" s="162">
        <v>8</v>
      </c>
      <c r="M551" s="162"/>
      <c r="N551" s="162"/>
      <c r="O551" s="162"/>
      <c r="P551" s="162"/>
      <c r="Q551" s="162"/>
      <c r="R551" s="162"/>
      <c r="S551" s="162"/>
      <c r="T551" s="162" t="s">
        <v>434</v>
      </c>
      <c r="U551" s="162"/>
      <c r="V551" s="162"/>
    </row>
    <row r="552" spans="1:22" ht="15.75" customHeight="1" x14ac:dyDescent="0.25">
      <c r="A552" s="167" t="s">
        <v>2945</v>
      </c>
      <c r="B552" s="163" t="s">
        <v>13</v>
      </c>
      <c r="C552" s="162" t="s">
        <v>548</v>
      </c>
      <c r="D552" s="168">
        <v>44677</v>
      </c>
      <c r="E552" s="187" t="s">
        <v>23</v>
      </c>
      <c r="F552" s="194">
        <f>8800+3840+13079</f>
        <v>25719</v>
      </c>
      <c r="G552" s="194">
        <v>2372</v>
      </c>
      <c r="H552" s="206" t="s">
        <v>3138</v>
      </c>
      <c r="I552" s="168">
        <v>44720</v>
      </c>
      <c r="J552" s="164" t="s">
        <v>3025</v>
      </c>
      <c r="K552" s="163">
        <v>84312</v>
      </c>
      <c r="L552" s="163">
        <v>28104</v>
      </c>
      <c r="M552" s="163"/>
      <c r="N552" s="163"/>
      <c r="O552" s="163"/>
      <c r="P552" s="163"/>
      <c r="Q552" s="163"/>
      <c r="R552" s="163"/>
      <c r="S552" s="163"/>
      <c r="T552" s="253">
        <v>1727250</v>
      </c>
      <c r="U552" s="163"/>
      <c r="V552" s="163"/>
    </row>
    <row r="553" spans="1:22" ht="15.75" customHeight="1" x14ac:dyDescent="0.25">
      <c r="A553" s="167" t="s">
        <v>3044</v>
      </c>
      <c r="B553" s="163" t="s">
        <v>13</v>
      </c>
      <c r="C553" s="162" t="s">
        <v>30</v>
      </c>
      <c r="D553" s="168">
        <v>44712</v>
      </c>
      <c r="E553" s="194" t="s">
        <v>23</v>
      </c>
      <c r="F553" s="194"/>
      <c r="G553" s="194"/>
      <c r="H553" s="162"/>
      <c r="I553" s="168">
        <v>44720</v>
      </c>
      <c r="J553" s="169" t="s">
        <v>731</v>
      </c>
      <c r="K553" s="224"/>
      <c r="L553" s="162">
        <v>20</v>
      </c>
      <c r="M553" s="162"/>
      <c r="N553" s="162"/>
      <c r="O553" s="162"/>
      <c r="P553" s="162"/>
      <c r="Q553" s="162"/>
      <c r="R553" s="162"/>
      <c r="S553" s="162"/>
      <c r="T553" s="162" t="s">
        <v>1186</v>
      </c>
      <c r="U553" s="162"/>
      <c r="V553" s="162"/>
    </row>
    <row r="554" spans="1:22" ht="15.75" customHeight="1" x14ac:dyDescent="0.25">
      <c r="A554" s="167" t="s">
        <v>3044</v>
      </c>
      <c r="B554" s="163" t="s">
        <v>13</v>
      </c>
      <c r="C554" s="162" t="s">
        <v>30</v>
      </c>
      <c r="D554" s="168">
        <v>44712</v>
      </c>
      <c r="E554" s="194" t="s">
        <v>23</v>
      </c>
      <c r="F554" s="194"/>
      <c r="G554" s="194"/>
      <c r="H554" s="162"/>
      <c r="I554" s="168">
        <v>44720</v>
      </c>
      <c r="J554" s="169" t="s">
        <v>742</v>
      </c>
      <c r="K554" s="224"/>
      <c r="L554" s="162">
        <v>8</v>
      </c>
      <c r="M554" s="162"/>
      <c r="N554" s="162"/>
      <c r="O554" s="162"/>
      <c r="P554" s="162"/>
      <c r="Q554" s="162"/>
      <c r="R554" s="162"/>
      <c r="S554" s="162"/>
      <c r="T554" s="162" t="s">
        <v>3049</v>
      </c>
      <c r="U554" s="162"/>
      <c r="V554" s="162"/>
    </row>
    <row r="555" spans="1:22" ht="15.75" customHeight="1" x14ac:dyDescent="0.25">
      <c r="A555" s="167" t="s">
        <v>3044</v>
      </c>
      <c r="B555" s="163" t="s">
        <v>13</v>
      </c>
      <c r="C555" s="162" t="s">
        <v>30</v>
      </c>
      <c r="D555" s="168">
        <v>44712</v>
      </c>
      <c r="E555" s="194" t="s">
        <v>23</v>
      </c>
      <c r="F555" s="194"/>
      <c r="G555" s="194"/>
      <c r="H555" s="163"/>
      <c r="I555" s="168">
        <v>44720</v>
      </c>
      <c r="J555" s="164" t="s">
        <v>744</v>
      </c>
      <c r="K555" s="185"/>
      <c r="L555" s="163">
        <v>88</v>
      </c>
      <c r="M555" s="163"/>
      <c r="N555" s="163"/>
      <c r="O555" s="163"/>
      <c r="P555" s="163"/>
      <c r="Q555" s="163"/>
      <c r="R555" s="163"/>
      <c r="S555" s="163"/>
      <c r="T555" s="163" t="s">
        <v>993</v>
      </c>
      <c r="U555" s="163"/>
      <c r="V555" s="163"/>
    </row>
    <row r="556" spans="1:22" ht="15.75" customHeight="1" x14ac:dyDescent="0.25">
      <c r="A556" s="171" t="s">
        <v>3040</v>
      </c>
      <c r="B556" s="163" t="s">
        <v>13</v>
      </c>
      <c r="C556" s="163" t="s">
        <v>313</v>
      </c>
      <c r="D556" s="168">
        <v>44711</v>
      </c>
      <c r="E556" s="187" t="s">
        <v>23</v>
      </c>
      <c r="F556" s="187"/>
      <c r="G556" s="187"/>
      <c r="H556" s="163"/>
      <c r="I556" s="163"/>
      <c r="J556" s="164" t="s">
        <v>77</v>
      </c>
      <c r="K556" s="145"/>
      <c r="L556" s="163">
        <v>1</v>
      </c>
      <c r="M556" s="163"/>
      <c r="N556" s="163"/>
      <c r="O556" s="163"/>
      <c r="P556" s="163"/>
      <c r="Q556" s="163"/>
      <c r="R556" s="163"/>
      <c r="S556" s="163"/>
      <c r="T556" s="163">
        <v>4980</v>
      </c>
      <c r="U556" s="163"/>
      <c r="V556" s="163"/>
    </row>
    <row r="557" spans="1:22" s="14" customFormat="1" ht="15.75" customHeight="1" x14ac:dyDescent="0.25">
      <c r="A557" s="147" t="s">
        <v>3041</v>
      </c>
      <c r="B557" s="145" t="s">
        <v>34</v>
      </c>
      <c r="C557" s="145" t="s">
        <v>16</v>
      </c>
      <c r="D557" s="148">
        <v>44711</v>
      </c>
      <c r="E557" s="187" t="s">
        <v>23</v>
      </c>
      <c r="F557" s="187"/>
      <c r="G557" s="187" t="s">
        <v>3435</v>
      </c>
      <c r="H557" s="145" t="s">
        <v>3351</v>
      </c>
      <c r="I557" s="145"/>
      <c r="J557" s="146" t="s">
        <v>2730</v>
      </c>
      <c r="K557" s="145">
        <v>930</v>
      </c>
      <c r="L557" s="145">
        <v>155</v>
      </c>
      <c r="M557" s="145">
        <v>0.3498</v>
      </c>
      <c r="N557" s="145">
        <v>1.425</v>
      </c>
      <c r="O557" s="145">
        <v>325.31400000000002</v>
      </c>
      <c r="P557" s="145">
        <v>1325.25</v>
      </c>
      <c r="Q557" s="145">
        <v>42.29</v>
      </c>
      <c r="R557" s="145">
        <v>119.98</v>
      </c>
      <c r="S557" s="145">
        <v>343</v>
      </c>
      <c r="T557" s="145">
        <v>111582.7</v>
      </c>
      <c r="U557" s="145"/>
      <c r="V557" s="145"/>
    </row>
    <row r="558" spans="1:22" s="315" customFormat="1" ht="15.75" customHeight="1" x14ac:dyDescent="0.25">
      <c r="A558" s="248">
        <v>232</v>
      </c>
      <c r="B558" s="163" t="s">
        <v>13</v>
      </c>
      <c r="C558" s="249" t="s">
        <v>32</v>
      </c>
      <c r="D558" s="250">
        <v>44711</v>
      </c>
      <c r="E558" s="251" t="s">
        <v>23</v>
      </c>
      <c r="F558" s="251">
        <f>60+166</f>
        <v>226</v>
      </c>
      <c r="G558" s="251"/>
      <c r="H558" s="249" t="s">
        <v>1973</v>
      </c>
      <c r="I558" s="249"/>
      <c r="J558" s="252" t="s">
        <v>2773</v>
      </c>
      <c r="K558" s="249">
        <v>1197.8</v>
      </c>
      <c r="L558" s="249">
        <v>226</v>
      </c>
      <c r="M558" s="249">
        <v>0.2651</v>
      </c>
      <c r="N558" s="249">
        <v>0.82099999999999995</v>
      </c>
      <c r="O558" s="249">
        <v>317.53680000000003</v>
      </c>
      <c r="P558" s="249">
        <v>983.39380000000006</v>
      </c>
      <c r="Q558" s="249">
        <v>41.28</v>
      </c>
      <c r="R558" s="249">
        <v>64.42</v>
      </c>
      <c r="S558" s="249">
        <v>243</v>
      </c>
      <c r="T558" s="249">
        <v>77162.28</v>
      </c>
      <c r="U558" s="249"/>
      <c r="V558" s="249"/>
    </row>
    <row r="559" spans="1:22" s="14" customFormat="1" ht="15.75" customHeight="1" x14ac:dyDescent="0.25">
      <c r="A559" s="141">
        <v>233</v>
      </c>
      <c r="B559" s="145" t="s">
        <v>13</v>
      </c>
      <c r="C559" s="145" t="s">
        <v>32</v>
      </c>
      <c r="D559" s="143">
        <v>44711</v>
      </c>
      <c r="E559" s="242" t="s">
        <v>23</v>
      </c>
      <c r="F559" s="242">
        <f>364+319</f>
        <v>683</v>
      </c>
      <c r="G559" s="242"/>
      <c r="H559" s="142"/>
      <c r="I559" s="142"/>
      <c r="J559" s="144" t="s">
        <v>2841</v>
      </c>
      <c r="K559" s="142">
        <v>3341.65</v>
      </c>
      <c r="L559" s="142">
        <v>689</v>
      </c>
      <c r="M559" s="142">
        <v>9.5600000000000004E-2</v>
      </c>
      <c r="N559" s="142">
        <v>0.16</v>
      </c>
      <c r="O559" s="142">
        <v>319.46170000000001</v>
      </c>
      <c r="P559" s="142">
        <v>534.66399999999999</v>
      </c>
      <c r="Q559" s="142">
        <v>41.53</v>
      </c>
      <c r="R559" s="142">
        <v>29.54</v>
      </c>
      <c r="S559" s="142">
        <v>309</v>
      </c>
      <c r="T559" s="142">
        <v>98713.68</v>
      </c>
      <c r="U559" s="142"/>
      <c r="V559" s="142"/>
    </row>
    <row r="560" spans="1:22" ht="15.75" customHeight="1" x14ac:dyDescent="0.25">
      <c r="A560" s="244">
        <v>233</v>
      </c>
      <c r="B560" s="145" t="s">
        <v>13</v>
      </c>
      <c r="C560" s="185" t="s">
        <v>32</v>
      </c>
      <c r="D560" s="243">
        <v>44711</v>
      </c>
      <c r="E560" s="246" t="s">
        <v>23</v>
      </c>
      <c r="F560" s="246">
        <v>61</v>
      </c>
      <c r="G560" s="246"/>
      <c r="H560" s="224"/>
      <c r="I560" s="224"/>
      <c r="J560" s="245" t="s">
        <v>2773</v>
      </c>
      <c r="K560" s="142">
        <v>323.3</v>
      </c>
      <c r="L560" s="224">
        <v>61</v>
      </c>
      <c r="M560" s="162">
        <v>0.2651</v>
      </c>
      <c r="N560" s="162">
        <v>0.82099999999999995</v>
      </c>
      <c r="O560" s="162">
        <v>85.706800000000001</v>
      </c>
      <c r="P560" s="162">
        <v>265.42930000000001</v>
      </c>
      <c r="Q560" s="162">
        <v>11.14</v>
      </c>
      <c r="R560" s="162">
        <v>81.92</v>
      </c>
      <c r="S560" s="162">
        <v>309</v>
      </c>
      <c r="T560" s="162">
        <v>26483.41</v>
      </c>
      <c r="U560" s="162"/>
      <c r="V560" s="162"/>
    </row>
    <row r="561" spans="1:22" ht="15.75" customHeight="1" x14ac:dyDescent="0.25">
      <c r="A561" s="223">
        <v>233</v>
      </c>
      <c r="B561" s="145" t="s">
        <v>13</v>
      </c>
      <c r="C561" s="185" t="s">
        <v>32</v>
      </c>
      <c r="D561" s="243">
        <v>44711</v>
      </c>
      <c r="E561" s="226" t="s">
        <v>23</v>
      </c>
      <c r="F561" s="246">
        <v>76</v>
      </c>
      <c r="G561" s="246"/>
      <c r="H561" s="185"/>
      <c r="I561" s="185"/>
      <c r="J561" s="225" t="s">
        <v>1598</v>
      </c>
      <c r="K561" s="145">
        <v>463.6</v>
      </c>
      <c r="L561" s="185">
        <v>76</v>
      </c>
      <c r="M561" s="163">
        <v>0.2651</v>
      </c>
      <c r="N561" s="163">
        <v>0.82099999999999995</v>
      </c>
      <c r="O561" s="163">
        <v>122.9004</v>
      </c>
      <c r="P561" s="163">
        <v>380.61559999999997</v>
      </c>
      <c r="Q561" s="163">
        <v>15.98</v>
      </c>
      <c r="R561" s="163">
        <v>81.92</v>
      </c>
      <c r="S561" s="163">
        <v>309</v>
      </c>
      <c r="T561" s="163">
        <v>37976.21</v>
      </c>
      <c r="U561" s="163"/>
      <c r="V561" s="163"/>
    </row>
    <row r="562" spans="1:22" s="14" customFormat="1" ht="15.75" customHeight="1" x14ac:dyDescent="0.25">
      <c r="A562" s="147" t="s">
        <v>3044</v>
      </c>
      <c r="B562" s="145" t="s">
        <v>13</v>
      </c>
      <c r="C562" s="145" t="s">
        <v>30</v>
      </c>
      <c r="D562" s="143">
        <v>44712</v>
      </c>
      <c r="E562" s="241" t="s">
        <v>23</v>
      </c>
      <c r="F562" s="241"/>
      <c r="G562" s="241"/>
      <c r="H562" s="145"/>
      <c r="I562" s="148">
        <v>44720</v>
      </c>
      <c r="J562" s="146" t="s">
        <v>733</v>
      </c>
      <c r="K562" s="145"/>
      <c r="L562" s="145">
        <v>8</v>
      </c>
      <c r="M562" s="145"/>
      <c r="N562" s="145"/>
      <c r="O562" s="145"/>
      <c r="P562" s="145"/>
      <c r="Q562" s="145"/>
      <c r="R562" s="145"/>
      <c r="S562" s="145"/>
      <c r="T562" s="145" t="s">
        <v>2577</v>
      </c>
      <c r="U562" s="145"/>
      <c r="V562" s="145"/>
    </row>
    <row r="563" spans="1:22" s="14" customFormat="1" ht="15.75" customHeight="1" x14ac:dyDescent="0.25">
      <c r="A563" s="147" t="s">
        <v>3044</v>
      </c>
      <c r="B563" s="145" t="s">
        <v>13</v>
      </c>
      <c r="C563" s="145" t="s">
        <v>30</v>
      </c>
      <c r="D563" s="143">
        <v>44712</v>
      </c>
      <c r="E563" s="241" t="s">
        <v>23</v>
      </c>
      <c r="F563" s="241"/>
      <c r="G563" s="241"/>
      <c r="H563" s="145"/>
      <c r="I563" s="148">
        <v>44720</v>
      </c>
      <c r="J563" s="146" t="s">
        <v>1255</v>
      </c>
      <c r="K563" s="145"/>
      <c r="L563" s="145">
        <v>8</v>
      </c>
      <c r="M563" s="145"/>
      <c r="N563" s="145"/>
      <c r="O563" s="145"/>
      <c r="P563" s="145"/>
      <c r="Q563" s="145"/>
      <c r="R563" s="145"/>
      <c r="S563" s="145"/>
      <c r="T563" s="145" t="s">
        <v>963</v>
      </c>
      <c r="U563" s="145"/>
      <c r="V563" s="145"/>
    </row>
    <row r="564" spans="1:22" s="14" customFormat="1" ht="15.75" customHeight="1" x14ac:dyDescent="0.25">
      <c r="A564" s="141" t="s">
        <v>3044</v>
      </c>
      <c r="B564" s="145" t="s">
        <v>13</v>
      </c>
      <c r="C564" s="142" t="s">
        <v>30</v>
      </c>
      <c r="D564" s="143">
        <v>44712</v>
      </c>
      <c r="E564" s="241" t="s">
        <v>23</v>
      </c>
      <c r="F564" s="242"/>
      <c r="G564" s="242"/>
      <c r="H564" s="142"/>
      <c r="I564" s="143">
        <v>44720</v>
      </c>
      <c r="J564" s="144" t="s">
        <v>739</v>
      </c>
      <c r="K564" s="142"/>
      <c r="L564" s="142">
        <v>4</v>
      </c>
      <c r="M564" s="142"/>
      <c r="N564" s="142"/>
      <c r="O564" s="142"/>
      <c r="P564" s="142"/>
      <c r="Q564" s="142"/>
      <c r="R564" s="142"/>
      <c r="S564" s="142"/>
      <c r="T564" s="142" t="s">
        <v>3050</v>
      </c>
      <c r="U564" s="142"/>
      <c r="V564" s="142"/>
    </row>
    <row r="565" spans="1:22" s="14" customFormat="1" ht="15.75" customHeight="1" x14ac:dyDescent="0.25">
      <c r="A565" s="141" t="s">
        <v>3044</v>
      </c>
      <c r="B565" s="145" t="s">
        <v>13</v>
      </c>
      <c r="C565" s="142" t="s">
        <v>30</v>
      </c>
      <c r="D565" s="143">
        <v>44712</v>
      </c>
      <c r="E565" s="241" t="s">
        <v>23</v>
      </c>
      <c r="F565" s="242"/>
      <c r="G565" s="242"/>
      <c r="H565" s="142"/>
      <c r="I565" s="143">
        <v>44720</v>
      </c>
      <c r="J565" s="144" t="s">
        <v>740</v>
      </c>
      <c r="K565" s="142"/>
      <c r="L565" s="142">
        <v>28</v>
      </c>
      <c r="M565" s="142"/>
      <c r="N565" s="142"/>
      <c r="O565" s="142"/>
      <c r="P565" s="142"/>
      <c r="Q565" s="142"/>
      <c r="R565" s="142"/>
      <c r="S565" s="142"/>
      <c r="T565" s="142" t="s">
        <v>3051</v>
      </c>
      <c r="U565" s="142"/>
      <c r="V565" s="142"/>
    </row>
    <row r="566" spans="1:22" s="14" customFormat="1" ht="15.75" customHeight="1" x14ac:dyDescent="0.25">
      <c r="A566" s="141" t="s">
        <v>3044</v>
      </c>
      <c r="B566" s="145" t="s">
        <v>13</v>
      </c>
      <c r="C566" s="142" t="s">
        <v>30</v>
      </c>
      <c r="D566" s="143">
        <v>44712</v>
      </c>
      <c r="E566" s="241" t="s">
        <v>23</v>
      </c>
      <c r="F566" s="242"/>
      <c r="G566" s="242"/>
      <c r="H566" s="142"/>
      <c r="I566" s="143">
        <v>44720</v>
      </c>
      <c r="J566" s="144" t="s">
        <v>1243</v>
      </c>
      <c r="K566" s="142"/>
      <c r="L566" s="142">
        <v>4</v>
      </c>
      <c r="M566" s="142"/>
      <c r="N566" s="142"/>
      <c r="O566" s="142"/>
      <c r="P566" s="142"/>
      <c r="Q566" s="142"/>
      <c r="R566" s="142"/>
      <c r="S566" s="142"/>
      <c r="T566" s="142" t="s">
        <v>3052</v>
      </c>
      <c r="U566" s="142"/>
      <c r="V566" s="142"/>
    </row>
    <row r="567" spans="1:22" s="14" customFormat="1" ht="15.75" customHeight="1" x14ac:dyDescent="0.25">
      <c r="A567" s="141" t="s">
        <v>3044</v>
      </c>
      <c r="B567" s="145" t="s">
        <v>13</v>
      </c>
      <c r="C567" s="142" t="s">
        <v>30</v>
      </c>
      <c r="D567" s="143">
        <v>44712</v>
      </c>
      <c r="E567" s="241" t="s">
        <v>23</v>
      </c>
      <c r="F567" s="242"/>
      <c r="G567" s="242"/>
      <c r="H567" s="142"/>
      <c r="I567" s="143">
        <v>44720</v>
      </c>
      <c r="J567" s="144" t="s">
        <v>741</v>
      </c>
      <c r="K567" s="142"/>
      <c r="L567" s="142">
        <v>24</v>
      </c>
      <c r="M567" s="142"/>
      <c r="N567" s="142"/>
      <c r="O567" s="142"/>
      <c r="P567" s="142"/>
      <c r="Q567" s="142"/>
      <c r="R567" s="142"/>
      <c r="S567" s="142"/>
      <c r="T567" s="142" t="s">
        <v>453</v>
      </c>
      <c r="U567" s="142"/>
      <c r="V567" s="142"/>
    </row>
    <row r="568" spans="1:22" s="86" customFormat="1" ht="15.75" customHeight="1" x14ac:dyDescent="0.25">
      <c r="A568" s="167" t="s">
        <v>3045</v>
      </c>
      <c r="B568" s="163" t="s">
        <v>13</v>
      </c>
      <c r="C568" s="162" t="s">
        <v>30</v>
      </c>
      <c r="D568" s="168">
        <v>44712</v>
      </c>
      <c r="E568" s="195" t="s">
        <v>23</v>
      </c>
      <c r="F568" s="194"/>
      <c r="G568" s="194"/>
      <c r="H568" s="162"/>
      <c r="I568" s="168">
        <v>44720</v>
      </c>
      <c r="J568" s="169" t="s">
        <v>710</v>
      </c>
      <c r="K568" s="162"/>
      <c r="L568" s="162">
        <v>2</v>
      </c>
      <c r="M568" s="162"/>
      <c r="N568" s="162"/>
      <c r="O568" s="162"/>
      <c r="P568" s="162"/>
      <c r="Q568" s="162"/>
      <c r="R568" s="162"/>
      <c r="S568" s="162"/>
      <c r="T568" s="162"/>
      <c r="U568" s="162"/>
      <c r="V568" s="162"/>
    </row>
    <row r="569" spans="1:22" s="86" customFormat="1" ht="15.75" customHeight="1" x14ac:dyDescent="0.25">
      <c r="A569" s="167" t="s">
        <v>3045</v>
      </c>
      <c r="B569" s="163" t="s">
        <v>13</v>
      </c>
      <c r="C569" s="162" t="s">
        <v>30</v>
      </c>
      <c r="D569" s="168">
        <v>44712</v>
      </c>
      <c r="E569" s="195" t="s">
        <v>23</v>
      </c>
      <c r="F569" s="194"/>
      <c r="G569" s="194"/>
      <c r="H569" s="162"/>
      <c r="I569" s="168">
        <v>44720</v>
      </c>
      <c r="J569" s="169" t="s">
        <v>711</v>
      </c>
      <c r="K569" s="162"/>
      <c r="L569" s="162">
        <v>2</v>
      </c>
      <c r="M569" s="162"/>
      <c r="N569" s="162"/>
      <c r="O569" s="162"/>
      <c r="P569" s="162"/>
      <c r="Q569" s="162"/>
      <c r="R569" s="162"/>
      <c r="S569" s="162"/>
      <c r="T569" s="162"/>
      <c r="U569" s="162"/>
      <c r="V569" s="162"/>
    </row>
    <row r="570" spans="1:22" ht="15.75" customHeight="1" x14ac:dyDescent="0.25">
      <c r="A570" s="167" t="s">
        <v>3045</v>
      </c>
      <c r="B570" s="163" t="s">
        <v>13</v>
      </c>
      <c r="C570" s="162" t="s">
        <v>30</v>
      </c>
      <c r="D570" s="168">
        <v>44712</v>
      </c>
      <c r="E570" s="195" t="s">
        <v>23</v>
      </c>
      <c r="F570" s="194"/>
      <c r="G570" s="194"/>
      <c r="H570" s="162"/>
      <c r="I570" s="168">
        <v>44720</v>
      </c>
      <c r="J570" s="169" t="s">
        <v>2728</v>
      </c>
      <c r="K570" s="162"/>
      <c r="L570" s="162">
        <v>172</v>
      </c>
      <c r="M570" s="162"/>
      <c r="N570" s="162"/>
      <c r="O570" s="162"/>
      <c r="P570" s="162"/>
      <c r="Q570" s="162"/>
      <c r="R570" s="162"/>
      <c r="S570" s="162"/>
      <c r="T570" s="162"/>
      <c r="U570" s="162"/>
      <c r="V570" s="162"/>
    </row>
    <row r="571" spans="1:22" ht="15.75" customHeight="1" x14ac:dyDescent="0.25">
      <c r="A571" s="167" t="s">
        <v>3046</v>
      </c>
      <c r="B571" s="163" t="s">
        <v>13</v>
      </c>
      <c r="C571" s="162" t="s">
        <v>30</v>
      </c>
      <c r="D571" s="168">
        <v>44712</v>
      </c>
      <c r="E571" s="195" t="s">
        <v>23</v>
      </c>
      <c r="F571" s="194"/>
      <c r="G571" s="194"/>
      <c r="H571" s="163"/>
      <c r="I571" s="168">
        <v>44720</v>
      </c>
      <c r="J571" s="164" t="s">
        <v>99</v>
      </c>
      <c r="K571" s="163"/>
      <c r="L571" s="163">
        <v>40</v>
      </c>
      <c r="M571" s="163"/>
      <c r="N571" s="163"/>
      <c r="O571" s="163"/>
      <c r="P571" s="163"/>
      <c r="Q571" s="163"/>
      <c r="R571" s="163"/>
      <c r="S571" s="163"/>
      <c r="T571" s="163"/>
      <c r="U571" s="163"/>
      <c r="V571" s="163"/>
    </row>
    <row r="572" spans="1:22" ht="15.75" customHeight="1" x14ac:dyDescent="0.25">
      <c r="A572" s="167" t="s">
        <v>3046</v>
      </c>
      <c r="B572" s="163" t="s">
        <v>13</v>
      </c>
      <c r="C572" s="162" t="s">
        <v>30</v>
      </c>
      <c r="D572" s="168">
        <v>44712</v>
      </c>
      <c r="E572" s="195" t="s">
        <v>23</v>
      </c>
      <c r="F572" s="187"/>
      <c r="G572" s="187"/>
      <c r="H572" s="162"/>
      <c r="I572" s="168">
        <v>44720</v>
      </c>
      <c r="J572" s="169" t="s">
        <v>102</v>
      </c>
      <c r="K572" s="162"/>
      <c r="L572" s="162">
        <v>40</v>
      </c>
      <c r="M572" s="162"/>
      <c r="N572" s="162"/>
      <c r="O572" s="162"/>
      <c r="P572" s="162"/>
      <c r="Q572" s="162"/>
      <c r="R572" s="162"/>
      <c r="S572" s="162"/>
      <c r="T572" s="162"/>
      <c r="U572" s="162"/>
      <c r="V572" s="162"/>
    </row>
    <row r="573" spans="1:22" ht="15.75" customHeight="1" x14ac:dyDescent="0.25">
      <c r="A573" s="167" t="s">
        <v>3046</v>
      </c>
      <c r="B573" s="163" t="s">
        <v>13</v>
      </c>
      <c r="C573" s="162" t="s">
        <v>30</v>
      </c>
      <c r="D573" s="168">
        <v>44712</v>
      </c>
      <c r="E573" s="195" t="s">
        <v>23</v>
      </c>
      <c r="F573" s="194"/>
      <c r="G573" s="194"/>
      <c r="H573" s="162"/>
      <c r="I573" s="168">
        <v>44720</v>
      </c>
      <c r="J573" s="169" t="s">
        <v>95</v>
      </c>
      <c r="K573" s="162"/>
      <c r="L573" s="162">
        <v>4</v>
      </c>
      <c r="M573" s="162"/>
      <c r="N573" s="162"/>
      <c r="O573" s="162"/>
      <c r="P573" s="162"/>
      <c r="Q573" s="162"/>
      <c r="R573" s="162"/>
      <c r="S573" s="162"/>
      <c r="T573" s="162"/>
      <c r="U573" s="162"/>
      <c r="V573" s="162"/>
    </row>
    <row r="574" spans="1:22" ht="15.75" customHeight="1" x14ac:dyDescent="0.25">
      <c r="A574" s="167" t="s">
        <v>3046</v>
      </c>
      <c r="B574" s="163" t="s">
        <v>13</v>
      </c>
      <c r="C574" s="162" t="s">
        <v>30</v>
      </c>
      <c r="D574" s="168">
        <v>44712</v>
      </c>
      <c r="E574" s="195" t="s">
        <v>23</v>
      </c>
      <c r="F574" s="194"/>
      <c r="G574" s="194"/>
      <c r="H574" s="162"/>
      <c r="I574" s="168">
        <v>44720</v>
      </c>
      <c r="J574" s="169" t="s">
        <v>98</v>
      </c>
      <c r="K574" s="162"/>
      <c r="L574" s="162">
        <v>4</v>
      </c>
      <c r="M574" s="162"/>
      <c r="N574" s="162"/>
      <c r="O574" s="162"/>
      <c r="P574" s="162"/>
      <c r="Q574" s="162"/>
      <c r="R574" s="162"/>
      <c r="S574" s="162"/>
      <c r="T574" s="162"/>
      <c r="U574" s="162"/>
      <c r="V574" s="162"/>
    </row>
    <row r="575" spans="1:22" ht="15.75" customHeight="1" x14ac:dyDescent="0.25">
      <c r="A575" s="167" t="s">
        <v>3046</v>
      </c>
      <c r="B575" s="163" t="s">
        <v>13</v>
      </c>
      <c r="C575" s="162" t="s">
        <v>30</v>
      </c>
      <c r="D575" s="168">
        <v>44712</v>
      </c>
      <c r="E575" s="195" t="s">
        <v>23</v>
      </c>
      <c r="F575" s="218"/>
      <c r="G575" s="218"/>
      <c r="H575" s="163"/>
      <c r="I575" s="168">
        <v>44720</v>
      </c>
      <c r="J575" s="164" t="s">
        <v>92</v>
      </c>
      <c r="K575" s="163"/>
      <c r="L575" s="163">
        <v>16</v>
      </c>
      <c r="M575" s="163"/>
      <c r="N575" s="163"/>
      <c r="O575" s="163"/>
      <c r="P575" s="163"/>
      <c r="Q575" s="163"/>
      <c r="R575" s="163"/>
      <c r="S575" s="163"/>
      <c r="T575" s="163"/>
      <c r="U575" s="163"/>
      <c r="V575" s="163"/>
    </row>
    <row r="576" spans="1:22" ht="15.75" customHeight="1" x14ac:dyDescent="0.25">
      <c r="A576" s="167" t="s">
        <v>3046</v>
      </c>
      <c r="B576" s="163" t="s">
        <v>13</v>
      </c>
      <c r="C576" s="162" t="s">
        <v>30</v>
      </c>
      <c r="D576" s="168">
        <v>44712</v>
      </c>
      <c r="E576" s="195" t="s">
        <v>23</v>
      </c>
      <c r="F576" s="194"/>
      <c r="G576" s="194"/>
      <c r="H576" s="162"/>
      <c r="I576" s="168">
        <v>44720</v>
      </c>
      <c r="J576" s="169" t="s">
        <v>94</v>
      </c>
      <c r="K576" s="162"/>
      <c r="L576" s="162">
        <v>16</v>
      </c>
      <c r="M576" s="162"/>
      <c r="N576" s="162"/>
      <c r="O576" s="162"/>
      <c r="P576" s="162"/>
      <c r="Q576" s="162"/>
      <c r="R576" s="162"/>
      <c r="S576" s="162"/>
      <c r="T576" s="162"/>
      <c r="U576" s="162"/>
      <c r="V576" s="162"/>
    </row>
    <row r="577" spans="1:22" ht="15.75" customHeight="1" x14ac:dyDescent="0.25">
      <c r="A577" s="167" t="s">
        <v>3048</v>
      </c>
      <c r="B577" s="163" t="s">
        <v>13</v>
      </c>
      <c r="C577" s="162" t="s">
        <v>37</v>
      </c>
      <c r="D577" s="168">
        <v>44712</v>
      </c>
      <c r="E577" s="194" t="s">
        <v>23</v>
      </c>
      <c r="F577" s="194"/>
      <c r="G577" s="194"/>
      <c r="H577" s="162"/>
      <c r="I577" s="168">
        <v>44720</v>
      </c>
      <c r="J577" s="169" t="s">
        <v>1152</v>
      </c>
      <c r="K577" s="162"/>
      <c r="L577" s="162">
        <v>24</v>
      </c>
      <c r="M577" s="162"/>
      <c r="N577" s="162"/>
      <c r="O577" s="162"/>
      <c r="P577" s="162"/>
      <c r="Q577" s="162"/>
      <c r="R577" s="162"/>
      <c r="S577" s="162"/>
      <c r="T577" s="162">
        <v>44400</v>
      </c>
      <c r="U577" s="162"/>
      <c r="V577" s="162"/>
    </row>
    <row r="578" spans="1:22" ht="15.75" customHeight="1" x14ac:dyDescent="0.25">
      <c r="A578" s="167">
        <v>227</v>
      </c>
      <c r="B578" s="163" t="s">
        <v>13</v>
      </c>
      <c r="C578" s="162" t="s">
        <v>2937</v>
      </c>
      <c r="D578" s="168">
        <v>44706</v>
      </c>
      <c r="E578" s="194" t="s">
        <v>23</v>
      </c>
      <c r="F578" s="194"/>
      <c r="G578" s="194"/>
      <c r="H578" s="162"/>
      <c r="I578" s="168">
        <v>44721</v>
      </c>
      <c r="J578" s="169" t="s">
        <v>1114</v>
      </c>
      <c r="K578" s="162">
        <v>1056</v>
      </c>
      <c r="L578" s="162">
        <v>176</v>
      </c>
      <c r="M578" s="162">
        <v>0.60040000000000004</v>
      </c>
      <c r="N578" s="162">
        <v>2.5739999999999998</v>
      </c>
      <c r="O578" s="162"/>
      <c r="P578" s="162"/>
      <c r="Q578" s="162"/>
      <c r="R578" s="162">
        <v>205.94</v>
      </c>
      <c r="S578" s="162">
        <v>343</v>
      </c>
      <c r="T578" s="162"/>
      <c r="U578" s="162"/>
      <c r="V578" s="162"/>
    </row>
    <row r="579" spans="1:22" ht="15.75" customHeight="1" x14ac:dyDescent="0.25">
      <c r="A579" s="167">
        <v>239</v>
      </c>
      <c r="B579" s="163" t="s">
        <v>13</v>
      </c>
      <c r="C579" s="162" t="s">
        <v>2466</v>
      </c>
      <c r="D579" s="168">
        <v>44713</v>
      </c>
      <c r="E579" s="194" t="s">
        <v>23</v>
      </c>
      <c r="F579" s="194"/>
      <c r="G579" s="194"/>
      <c r="H579" s="162" t="s">
        <v>3116</v>
      </c>
      <c r="I579" s="168">
        <v>44721</v>
      </c>
      <c r="J579" s="169" t="s">
        <v>3063</v>
      </c>
      <c r="K579" s="162">
        <v>840</v>
      </c>
      <c r="L579" s="162">
        <v>168</v>
      </c>
      <c r="M579" s="162">
        <v>0.1827</v>
      </c>
      <c r="N579" s="162">
        <v>0.36899999999999999</v>
      </c>
      <c r="O579" s="162">
        <v>153.46799999999999</v>
      </c>
      <c r="P579" s="162">
        <v>309.95999999999998</v>
      </c>
      <c r="Q579" s="162">
        <v>19.95</v>
      </c>
      <c r="R579" s="162">
        <v>62.67</v>
      </c>
      <c r="S579" s="162">
        <v>343</v>
      </c>
      <c r="T579" s="162">
        <v>52639.519999999997</v>
      </c>
      <c r="U579" s="162"/>
      <c r="V579" s="162"/>
    </row>
    <row r="580" spans="1:22" s="315" customFormat="1" ht="15.75" customHeight="1" x14ac:dyDescent="0.25">
      <c r="A580" s="259">
        <v>80</v>
      </c>
      <c r="B580" s="249" t="s">
        <v>13</v>
      </c>
      <c r="C580" s="260" t="s">
        <v>32</v>
      </c>
      <c r="D580" s="250">
        <v>44606</v>
      </c>
      <c r="E580" s="261" t="s">
        <v>23</v>
      </c>
      <c r="F580" s="261">
        <f>300+404+320+498</f>
        <v>1522</v>
      </c>
      <c r="G580" s="261"/>
      <c r="H580" s="262"/>
      <c r="I580" s="250"/>
      <c r="J580" s="263" t="s">
        <v>3064</v>
      </c>
      <c r="K580" s="260">
        <v>7430.2</v>
      </c>
      <c r="L580" s="260">
        <v>1532</v>
      </c>
      <c r="M580" s="260">
        <v>9.5600000000000004E-2</v>
      </c>
      <c r="N580" s="260">
        <v>0.16</v>
      </c>
      <c r="O580" s="260">
        <v>710.32709999999997</v>
      </c>
      <c r="P580" s="260">
        <v>1188.8320000000001</v>
      </c>
      <c r="Q580" s="260">
        <v>92.34</v>
      </c>
      <c r="R580" s="260">
        <v>24.47</v>
      </c>
      <c r="S580" s="260">
        <v>256</v>
      </c>
      <c r="T580" s="260">
        <v>181843.74</v>
      </c>
      <c r="U580" s="260"/>
      <c r="V580" s="260"/>
    </row>
    <row r="581" spans="1:22" ht="15.75" customHeight="1" x14ac:dyDescent="0.25">
      <c r="A581" s="167">
        <v>167</v>
      </c>
      <c r="B581" s="163" t="s">
        <v>13</v>
      </c>
      <c r="C581" s="162" t="s">
        <v>28</v>
      </c>
      <c r="D581" s="168">
        <v>44659</v>
      </c>
      <c r="E581" s="187" t="s">
        <v>23</v>
      </c>
      <c r="F581" s="194">
        <f>96+96+96+96</f>
        <v>384</v>
      </c>
      <c r="G581" s="194">
        <f>192+85</f>
        <v>277</v>
      </c>
      <c r="H581" s="163"/>
      <c r="I581" s="168"/>
      <c r="J581" s="164" t="s">
        <v>3065</v>
      </c>
      <c r="K581" s="163">
        <v>4002</v>
      </c>
      <c r="L581" s="163">
        <v>667</v>
      </c>
      <c r="M581" s="163">
        <v>0.30719999999999997</v>
      </c>
      <c r="N581" s="163">
        <v>0.69199999999999995</v>
      </c>
      <c r="O581" s="163">
        <v>1229.4143999999999</v>
      </c>
      <c r="P581" s="163">
        <v>2769.384</v>
      </c>
      <c r="Q581" s="163">
        <v>159.82</v>
      </c>
      <c r="R581" s="163">
        <v>108.44</v>
      </c>
      <c r="S581" s="163">
        <v>353</v>
      </c>
      <c r="T581" s="163">
        <v>433983.28</v>
      </c>
      <c r="U581" s="163"/>
      <c r="V581" s="163"/>
    </row>
    <row r="582" spans="1:22" ht="15.75" customHeight="1" x14ac:dyDescent="0.25">
      <c r="A582" s="171" t="s">
        <v>3047</v>
      </c>
      <c r="B582" s="163" t="s">
        <v>13</v>
      </c>
      <c r="C582" s="163" t="s">
        <v>2399</v>
      </c>
      <c r="D582" s="168">
        <v>44712</v>
      </c>
      <c r="E582" s="187" t="s">
        <v>23</v>
      </c>
      <c r="F582" s="187"/>
      <c r="G582" s="187"/>
      <c r="H582" s="163"/>
      <c r="I582" s="163"/>
      <c r="J582" s="164" t="s">
        <v>2403</v>
      </c>
      <c r="K582" s="163"/>
      <c r="L582" s="163">
        <v>80</v>
      </c>
      <c r="M582" s="163"/>
      <c r="N582" s="163"/>
      <c r="O582" s="163"/>
      <c r="P582" s="163"/>
      <c r="Q582" s="163"/>
      <c r="R582" s="163"/>
      <c r="S582" s="163"/>
      <c r="T582" s="163">
        <v>13685</v>
      </c>
      <c r="U582" s="163"/>
      <c r="V582" s="163"/>
    </row>
    <row r="583" spans="1:22" ht="15.75" customHeight="1" x14ac:dyDescent="0.25">
      <c r="A583" s="171">
        <v>234</v>
      </c>
      <c r="B583" s="179" t="s">
        <v>13</v>
      </c>
      <c r="C583" s="163" t="s">
        <v>32</v>
      </c>
      <c r="D583" s="168">
        <v>44711</v>
      </c>
      <c r="E583" s="187" t="s">
        <v>23</v>
      </c>
      <c r="F583" s="187"/>
      <c r="G583" s="187">
        <v>201</v>
      </c>
      <c r="H583" s="163"/>
      <c r="I583" s="172">
        <v>44722</v>
      </c>
      <c r="J583" s="164" t="s">
        <v>3066</v>
      </c>
      <c r="K583" s="163">
        <v>1256.5999999999999</v>
      </c>
      <c r="L583" s="163">
        <v>206</v>
      </c>
      <c r="M583" s="163">
        <v>8.14E-2</v>
      </c>
      <c r="N583" s="163">
        <v>0.127</v>
      </c>
      <c r="O583" s="163">
        <v>102.2872</v>
      </c>
      <c r="P583" s="163">
        <v>159.5882</v>
      </c>
      <c r="Q583" s="163">
        <v>13.3</v>
      </c>
      <c r="R583" s="163">
        <v>21.57</v>
      </c>
      <c r="S583" s="163">
        <v>265</v>
      </c>
      <c r="T583" s="163">
        <v>27106.12</v>
      </c>
      <c r="U583" s="163"/>
      <c r="V583" s="163"/>
    </row>
    <row r="584" spans="1:22" ht="15.75" customHeight="1" x14ac:dyDescent="0.25">
      <c r="A584" s="171">
        <v>238</v>
      </c>
      <c r="B584" s="163" t="s">
        <v>13</v>
      </c>
      <c r="C584" s="163" t="s">
        <v>1610</v>
      </c>
      <c r="D584" s="172">
        <v>44711</v>
      </c>
      <c r="E584" s="187" t="s">
        <v>23</v>
      </c>
      <c r="F584" s="187"/>
      <c r="G584" s="187"/>
      <c r="H584" s="163"/>
      <c r="I584" s="172">
        <v>44722</v>
      </c>
      <c r="J584" s="164" t="s">
        <v>3067</v>
      </c>
      <c r="K584" s="163">
        <v>699</v>
      </c>
      <c r="L584" s="163">
        <v>233</v>
      </c>
      <c r="M584" s="163">
        <v>6.4500000000000002E-2</v>
      </c>
      <c r="N584" s="163">
        <v>8.5000000000000006E-2</v>
      </c>
      <c r="O584" s="163">
        <v>45.085500000000003</v>
      </c>
      <c r="P584" s="163">
        <v>59.414999999999999</v>
      </c>
      <c r="Q584" s="163">
        <v>5.86</v>
      </c>
      <c r="R584" s="163">
        <v>18.38</v>
      </c>
      <c r="S584" s="163">
        <v>285</v>
      </c>
      <c r="T584" s="163">
        <v>12847.62</v>
      </c>
      <c r="U584" s="163"/>
      <c r="V584" s="163"/>
    </row>
    <row r="585" spans="1:22" s="14" customFormat="1" ht="15.75" customHeight="1" x14ac:dyDescent="0.25">
      <c r="A585" s="147">
        <v>88</v>
      </c>
      <c r="B585" s="145" t="s">
        <v>34</v>
      </c>
      <c r="C585" s="145" t="s">
        <v>19</v>
      </c>
      <c r="D585" s="148">
        <v>44714</v>
      </c>
      <c r="E585" s="187" t="s">
        <v>23</v>
      </c>
      <c r="F585" s="187"/>
      <c r="G585" s="187">
        <v>396.8</v>
      </c>
      <c r="H585" s="145"/>
      <c r="I585" s="145"/>
      <c r="J585" s="146" t="s">
        <v>1117</v>
      </c>
      <c r="K585" s="145">
        <v>465.5</v>
      </c>
      <c r="L585" s="145">
        <v>133</v>
      </c>
      <c r="M585" s="145">
        <v>0.27160000000000001</v>
      </c>
      <c r="N585" s="145">
        <v>0.72799999999999998</v>
      </c>
      <c r="O585" s="145">
        <v>126.4298</v>
      </c>
      <c r="P585" s="145">
        <v>338.88400000000001</v>
      </c>
      <c r="Q585" s="145">
        <v>16.440000000000001</v>
      </c>
      <c r="R585" s="145">
        <v>93.16</v>
      </c>
      <c r="S585" s="145">
        <v>343</v>
      </c>
      <c r="T585" s="145">
        <v>43365.42</v>
      </c>
      <c r="U585" s="145"/>
      <c r="V585" s="145"/>
    </row>
    <row r="586" spans="1:22" s="14" customFormat="1" ht="30.75" customHeight="1" x14ac:dyDescent="0.25">
      <c r="A586" s="147" t="s">
        <v>3171</v>
      </c>
      <c r="B586" s="145" t="s">
        <v>34</v>
      </c>
      <c r="C586" s="145" t="s">
        <v>861</v>
      </c>
      <c r="D586" s="148">
        <v>44714</v>
      </c>
      <c r="E586" s="187" t="s">
        <v>23</v>
      </c>
      <c r="F586" s="187"/>
      <c r="G586" s="187"/>
      <c r="H586" s="145" t="s">
        <v>3054</v>
      </c>
      <c r="I586" s="145"/>
      <c r="J586" s="146" t="s">
        <v>3053</v>
      </c>
      <c r="K586" s="145"/>
      <c r="L586" s="145"/>
      <c r="M586" s="145"/>
      <c r="N586" s="145"/>
      <c r="O586" s="145"/>
      <c r="P586" s="145"/>
      <c r="Q586" s="145"/>
      <c r="R586" s="145"/>
      <c r="S586" s="145"/>
      <c r="T586" s="145">
        <v>26000</v>
      </c>
      <c r="U586" s="145"/>
      <c r="V586" s="145"/>
    </row>
    <row r="587" spans="1:22" ht="15.75" customHeight="1" x14ac:dyDescent="0.25">
      <c r="A587" s="171" t="s">
        <v>3070</v>
      </c>
      <c r="B587" s="163" t="s">
        <v>13</v>
      </c>
      <c r="C587" s="163" t="s">
        <v>37</v>
      </c>
      <c r="D587" s="172">
        <v>44715</v>
      </c>
      <c r="E587" s="187" t="s">
        <v>23</v>
      </c>
      <c r="F587" s="187"/>
      <c r="G587" s="187"/>
      <c r="H587" s="163"/>
      <c r="I587" s="163"/>
      <c r="J587" s="164" t="s">
        <v>3069</v>
      </c>
      <c r="K587" s="179"/>
      <c r="L587" s="163">
        <v>12</v>
      </c>
      <c r="M587" s="163"/>
      <c r="N587" s="163"/>
      <c r="O587" s="163"/>
      <c r="P587" s="163"/>
      <c r="Q587" s="163"/>
      <c r="R587" s="163"/>
      <c r="S587" s="163"/>
      <c r="T587" s="163">
        <v>22200</v>
      </c>
      <c r="U587" s="163"/>
      <c r="V587" s="163"/>
    </row>
    <row r="588" spans="1:22" ht="15.75" customHeight="1" x14ac:dyDescent="0.25">
      <c r="A588" s="167" t="s">
        <v>3073</v>
      </c>
      <c r="B588" s="163" t="s">
        <v>13</v>
      </c>
      <c r="C588" s="162" t="s">
        <v>3074</v>
      </c>
      <c r="D588" s="172">
        <v>44715</v>
      </c>
      <c r="E588" s="194" t="s">
        <v>677</v>
      </c>
      <c r="F588" s="187"/>
      <c r="G588" s="187"/>
      <c r="H588" s="162"/>
      <c r="I588" s="162"/>
      <c r="J588" s="169" t="s">
        <v>3071</v>
      </c>
      <c r="K588" s="142"/>
      <c r="L588" s="162">
        <v>6</v>
      </c>
      <c r="M588" s="162"/>
      <c r="N588" s="162"/>
      <c r="O588" s="162"/>
      <c r="P588" s="162"/>
      <c r="Q588" s="162"/>
      <c r="R588" s="162"/>
      <c r="S588" s="162"/>
      <c r="T588" s="162"/>
      <c r="U588" s="162"/>
      <c r="V588" s="162"/>
    </row>
    <row r="589" spans="1:22" ht="15.75" customHeight="1" x14ac:dyDescent="0.25">
      <c r="A589" s="167" t="s">
        <v>3073</v>
      </c>
      <c r="B589" s="163" t="s">
        <v>13</v>
      </c>
      <c r="C589" s="162" t="s">
        <v>3074</v>
      </c>
      <c r="D589" s="172">
        <v>44715</v>
      </c>
      <c r="E589" s="194" t="s">
        <v>677</v>
      </c>
      <c r="F589" s="194"/>
      <c r="G589" s="194"/>
      <c r="H589" s="162"/>
      <c r="I589" s="162"/>
      <c r="J589" s="169" t="s">
        <v>668</v>
      </c>
      <c r="K589" s="142"/>
      <c r="L589" s="162"/>
      <c r="M589" s="162"/>
      <c r="N589" s="162"/>
      <c r="O589" s="162"/>
      <c r="P589" s="162"/>
      <c r="Q589" s="162"/>
      <c r="R589" s="162"/>
      <c r="S589" s="162"/>
      <c r="T589" s="162"/>
      <c r="U589" s="162"/>
      <c r="V589" s="162"/>
    </row>
    <row r="590" spans="1:22" ht="15.75" customHeight="1" x14ac:dyDescent="0.25">
      <c r="A590" s="167" t="s">
        <v>3073</v>
      </c>
      <c r="B590" s="163" t="s">
        <v>13</v>
      </c>
      <c r="C590" s="162" t="s">
        <v>3074</v>
      </c>
      <c r="D590" s="172">
        <v>44715</v>
      </c>
      <c r="E590" s="187" t="s">
        <v>677</v>
      </c>
      <c r="F590" s="194"/>
      <c r="G590" s="194"/>
      <c r="H590" s="163"/>
      <c r="I590" s="163"/>
      <c r="J590" s="164" t="s">
        <v>3072</v>
      </c>
      <c r="K590" s="145"/>
      <c r="L590" s="163"/>
      <c r="M590" s="163"/>
      <c r="N590" s="163"/>
      <c r="O590" s="163"/>
      <c r="P590" s="163"/>
      <c r="Q590" s="163"/>
      <c r="R590" s="163"/>
      <c r="S590" s="163"/>
      <c r="T590" s="163"/>
      <c r="U590" s="163"/>
      <c r="V590" s="163"/>
    </row>
    <row r="591" spans="1:22" s="28" customFormat="1" ht="15.75" customHeight="1" x14ac:dyDescent="0.25">
      <c r="A591" s="254">
        <v>241</v>
      </c>
      <c r="B591" s="150" t="s">
        <v>13</v>
      </c>
      <c r="C591" s="150" t="s">
        <v>595</v>
      </c>
      <c r="D591" s="255">
        <v>44719</v>
      </c>
      <c r="E591" s="256" t="s">
        <v>23</v>
      </c>
      <c r="F591" s="256">
        <v>44</v>
      </c>
      <c r="G591" s="256" t="s">
        <v>17</v>
      </c>
      <c r="H591" s="150"/>
      <c r="I591" s="150"/>
      <c r="J591" s="257" t="s">
        <v>630</v>
      </c>
      <c r="K591" s="150">
        <v>1157</v>
      </c>
      <c r="L591" s="150">
        <v>178</v>
      </c>
      <c r="M591" s="150">
        <v>0.54049999999999998</v>
      </c>
      <c r="N591" s="150">
        <v>2.0979999999999999</v>
      </c>
      <c r="O591" s="150">
        <v>625.35850000000005</v>
      </c>
      <c r="P591" s="150">
        <v>2427.386</v>
      </c>
      <c r="Q591" s="150">
        <v>81.3</v>
      </c>
      <c r="R591" s="150">
        <v>151.34</v>
      </c>
      <c r="S591" s="150">
        <v>280</v>
      </c>
      <c r="T591" s="150">
        <v>175100.38</v>
      </c>
      <c r="U591" s="150"/>
      <c r="V591" s="150"/>
    </row>
    <row r="592" spans="1:22" ht="15.75" customHeight="1" x14ac:dyDescent="0.25">
      <c r="A592" s="171" t="s">
        <v>3079</v>
      </c>
      <c r="B592" s="163" t="s">
        <v>13</v>
      </c>
      <c r="C592" s="163" t="s">
        <v>27</v>
      </c>
      <c r="D592" s="172">
        <v>44719</v>
      </c>
      <c r="E592" s="187" t="s">
        <v>23</v>
      </c>
      <c r="F592" s="187"/>
      <c r="G592" s="187"/>
      <c r="H592" s="163"/>
      <c r="I592" s="163"/>
      <c r="J592" s="164" t="s">
        <v>1292</v>
      </c>
      <c r="K592" s="163"/>
      <c r="L592" s="163">
        <v>350</v>
      </c>
      <c r="M592" s="163"/>
      <c r="N592" s="163"/>
      <c r="O592" s="163"/>
      <c r="P592" s="163"/>
      <c r="Q592" s="163"/>
      <c r="R592" s="163"/>
      <c r="S592" s="163"/>
      <c r="T592" s="163" t="s">
        <v>3078</v>
      </c>
      <c r="U592" s="163"/>
      <c r="V592" s="163"/>
    </row>
    <row r="593" spans="1:22" ht="15.75" customHeight="1" x14ac:dyDescent="0.25">
      <c r="A593" s="171" t="s">
        <v>3079</v>
      </c>
      <c r="B593" s="163" t="s">
        <v>13</v>
      </c>
      <c r="C593" s="163" t="s">
        <v>27</v>
      </c>
      <c r="D593" s="172">
        <v>44719</v>
      </c>
      <c r="E593" s="187" t="s">
        <v>23</v>
      </c>
      <c r="F593" s="187"/>
      <c r="G593" s="187"/>
      <c r="H593" s="163"/>
      <c r="I593" s="163"/>
      <c r="J593" s="164" t="s">
        <v>668</v>
      </c>
      <c r="K593" s="163"/>
      <c r="L593" s="163">
        <v>1</v>
      </c>
      <c r="M593" s="163"/>
      <c r="N593" s="163"/>
      <c r="O593" s="163"/>
      <c r="P593" s="163"/>
      <c r="Q593" s="163"/>
      <c r="R593" s="163"/>
      <c r="S593" s="163"/>
      <c r="T593" s="163" t="s">
        <v>484</v>
      </c>
      <c r="U593" s="163"/>
      <c r="V593" s="163"/>
    </row>
    <row r="594" spans="1:22" ht="15.75" customHeight="1" x14ac:dyDescent="0.25">
      <c r="A594" s="171">
        <v>243</v>
      </c>
      <c r="B594" s="163" t="s">
        <v>34</v>
      </c>
      <c r="C594" s="163" t="s">
        <v>328</v>
      </c>
      <c r="D594" s="172">
        <v>44720</v>
      </c>
      <c r="E594" s="187" t="s">
        <v>23</v>
      </c>
      <c r="F594" s="187"/>
      <c r="G594" s="187"/>
      <c r="H594" s="163" t="s">
        <v>3085</v>
      </c>
      <c r="I594" s="163"/>
      <c r="J594" s="164" t="s">
        <v>650</v>
      </c>
      <c r="K594" s="145">
        <v>42</v>
      </c>
      <c r="L594" s="163" t="s">
        <v>407</v>
      </c>
      <c r="M594" s="163">
        <v>0.30919999999999997</v>
      </c>
      <c r="N594" s="163">
        <v>1.1000000000000001</v>
      </c>
      <c r="O594" s="163">
        <v>12.9864</v>
      </c>
      <c r="P594" s="163">
        <v>46.2</v>
      </c>
      <c r="Q594" s="163">
        <v>1.69</v>
      </c>
      <c r="R594" s="163">
        <v>102.04</v>
      </c>
      <c r="S594" s="163">
        <v>330</v>
      </c>
      <c r="T594" s="163">
        <v>4285.51</v>
      </c>
      <c r="U594" s="163"/>
      <c r="V594" s="163"/>
    </row>
    <row r="595" spans="1:22" ht="15.75" customHeight="1" x14ac:dyDescent="0.25">
      <c r="A595" s="167" t="s">
        <v>3089</v>
      </c>
      <c r="B595" s="163" t="s">
        <v>13</v>
      </c>
      <c r="C595" s="162" t="s">
        <v>2399</v>
      </c>
      <c r="D595" s="168">
        <v>44720</v>
      </c>
      <c r="E595" s="194" t="s">
        <v>23</v>
      </c>
      <c r="F595" s="194"/>
      <c r="G595" s="194"/>
      <c r="H595" s="162"/>
      <c r="I595" s="162"/>
      <c r="J595" s="169" t="s">
        <v>2403</v>
      </c>
      <c r="K595" s="142"/>
      <c r="L595" s="162">
        <v>56</v>
      </c>
      <c r="M595" s="162"/>
      <c r="N595" s="162"/>
      <c r="O595" s="162"/>
      <c r="P595" s="162"/>
      <c r="Q595" s="162"/>
      <c r="R595" s="162"/>
      <c r="S595" s="162"/>
      <c r="T595" s="162" t="s">
        <v>3087</v>
      </c>
      <c r="U595" s="162"/>
      <c r="V595" s="162"/>
    </row>
    <row r="596" spans="1:22" ht="15.75" customHeight="1" x14ac:dyDescent="0.25">
      <c r="A596" s="167" t="s">
        <v>3089</v>
      </c>
      <c r="B596" s="163" t="s">
        <v>13</v>
      </c>
      <c r="C596" s="162" t="s">
        <v>2399</v>
      </c>
      <c r="D596" s="168">
        <v>44720</v>
      </c>
      <c r="E596" s="194" t="s">
        <v>23</v>
      </c>
      <c r="F596" s="194"/>
      <c r="G596" s="194"/>
      <c r="H596" s="163"/>
      <c r="I596" s="163"/>
      <c r="J596" s="164" t="s">
        <v>3086</v>
      </c>
      <c r="K596" s="145"/>
      <c r="L596" s="163">
        <v>9</v>
      </c>
      <c r="M596" s="163"/>
      <c r="N596" s="163"/>
      <c r="O596" s="163"/>
      <c r="P596" s="163"/>
      <c r="Q596" s="163"/>
      <c r="R596" s="163"/>
      <c r="S596" s="163"/>
      <c r="T596" s="163" t="s">
        <v>3088</v>
      </c>
      <c r="U596" s="163"/>
      <c r="V596" s="163"/>
    </row>
    <row r="597" spans="1:22" ht="15.75" customHeight="1" x14ac:dyDescent="0.25">
      <c r="A597" s="167" t="s">
        <v>3090</v>
      </c>
      <c r="B597" s="163" t="s">
        <v>13</v>
      </c>
      <c r="C597" s="162" t="s">
        <v>289</v>
      </c>
      <c r="D597" s="168">
        <v>44721</v>
      </c>
      <c r="E597" s="194" t="s">
        <v>23</v>
      </c>
      <c r="F597" s="194"/>
      <c r="G597" s="194"/>
      <c r="H597" s="162"/>
      <c r="I597" s="162"/>
      <c r="J597" s="169" t="s">
        <v>177</v>
      </c>
      <c r="K597" s="162"/>
      <c r="L597" s="162">
        <v>20</v>
      </c>
      <c r="M597" s="162"/>
      <c r="N597" s="162"/>
      <c r="O597" s="162"/>
      <c r="P597" s="162"/>
      <c r="Q597" s="162"/>
      <c r="R597" s="162"/>
      <c r="S597" s="162"/>
      <c r="T597" s="162" t="s">
        <v>796</v>
      </c>
      <c r="U597" s="162"/>
      <c r="V597" s="162"/>
    </row>
    <row r="598" spans="1:22" ht="15.75" customHeight="1" x14ac:dyDescent="0.25">
      <c r="A598" s="167" t="s">
        <v>3090</v>
      </c>
      <c r="B598" s="163" t="s">
        <v>13</v>
      </c>
      <c r="C598" s="162" t="s">
        <v>289</v>
      </c>
      <c r="D598" s="168">
        <v>44721</v>
      </c>
      <c r="E598" s="194" t="s">
        <v>23</v>
      </c>
      <c r="F598" s="194"/>
      <c r="G598" s="194"/>
      <c r="H598" s="162"/>
      <c r="I598" s="162"/>
      <c r="J598" s="169" t="s">
        <v>290</v>
      </c>
      <c r="K598" s="162"/>
      <c r="L598" s="162"/>
      <c r="M598" s="162"/>
      <c r="N598" s="162"/>
      <c r="O598" s="162"/>
      <c r="P598" s="162"/>
      <c r="Q598" s="162"/>
      <c r="R598" s="162"/>
      <c r="S598" s="162"/>
      <c r="T598" s="162" t="s">
        <v>183</v>
      </c>
      <c r="U598" s="162"/>
      <c r="V598" s="162"/>
    </row>
    <row r="599" spans="1:22" ht="15.75" customHeight="1" x14ac:dyDescent="0.25">
      <c r="A599" s="167" t="s">
        <v>3090</v>
      </c>
      <c r="B599" s="163" t="s">
        <v>13</v>
      </c>
      <c r="C599" s="162" t="s">
        <v>289</v>
      </c>
      <c r="D599" s="168">
        <v>44721</v>
      </c>
      <c r="E599" s="194" t="s">
        <v>23</v>
      </c>
      <c r="F599" s="194"/>
      <c r="G599" s="194"/>
      <c r="H599" s="163"/>
      <c r="I599" s="163"/>
      <c r="J599" s="164" t="s">
        <v>241</v>
      </c>
      <c r="K599" s="163"/>
      <c r="L599" s="163"/>
      <c r="M599" s="163"/>
      <c r="N599" s="163"/>
      <c r="O599" s="163"/>
      <c r="P599" s="163"/>
      <c r="Q599" s="163"/>
      <c r="R599" s="163"/>
      <c r="S599" s="163"/>
      <c r="T599" s="163" t="s">
        <v>136</v>
      </c>
      <c r="U599" s="163"/>
      <c r="V599" s="163"/>
    </row>
    <row r="600" spans="1:22" ht="15.75" customHeight="1" x14ac:dyDescent="0.25">
      <c r="A600" s="171" t="s">
        <v>3091</v>
      </c>
      <c r="B600" s="163" t="s">
        <v>13</v>
      </c>
      <c r="C600" s="163" t="s">
        <v>295</v>
      </c>
      <c r="D600" s="168">
        <v>44721</v>
      </c>
      <c r="E600" s="187" t="s">
        <v>23</v>
      </c>
      <c r="F600" s="187"/>
      <c r="G600" s="187"/>
      <c r="H600" s="163"/>
      <c r="I600" s="163"/>
      <c r="J600" s="164" t="s">
        <v>2165</v>
      </c>
      <c r="K600" s="163">
        <v>360</v>
      </c>
      <c r="L600" s="163">
        <v>60</v>
      </c>
      <c r="M600" s="163"/>
      <c r="N600" s="163"/>
      <c r="O600" s="163"/>
      <c r="P600" s="163"/>
      <c r="Q600" s="163"/>
      <c r="R600" s="163"/>
      <c r="S600" s="163"/>
      <c r="T600" s="163">
        <v>53900</v>
      </c>
      <c r="U600" s="163"/>
      <c r="V600" s="163"/>
    </row>
    <row r="601" spans="1:22" s="14" customFormat="1" ht="15.75" customHeight="1" x14ac:dyDescent="0.25">
      <c r="A601" s="147">
        <v>245</v>
      </c>
      <c r="B601" s="145" t="s">
        <v>13</v>
      </c>
      <c r="C601" s="145" t="s">
        <v>32</v>
      </c>
      <c r="D601" s="143">
        <v>44721</v>
      </c>
      <c r="E601" s="241" t="s">
        <v>23</v>
      </c>
      <c r="F601" s="241">
        <f>220+175</f>
        <v>395</v>
      </c>
      <c r="G601" s="241"/>
      <c r="H601" s="145" t="s">
        <v>2255</v>
      </c>
      <c r="I601" s="145"/>
      <c r="J601" s="146" t="s">
        <v>2773</v>
      </c>
      <c r="K601" s="145">
        <v>2151.8000000000002</v>
      </c>
      <c r="L601" s="145">
        <v>406</v>
      </c>
      <c r="M601" s="145">
        <v>0.2651</v>
      </c>
      <c r="N601" s="145">
        <v>0.82099999999999995</v>
      </c>
      <c r="O601" s="145">
        <v>570.44219999999996</v>
      </c>
      <c r="P601" s="145">
        <v>1766.6278</v>
      </c>
      <c r="Q601" s="145">
        <v>74.16</v>
      </c>
      <c r="R601" s="145">
        <v>81.92</v>
      </c>
      <c r="S601" s="145">
        <v>309</v>
      </c>
      <c r="T601" s="145">
        <v>176266.63</v>
      </c>
      <c r="U601" s="145"/>
      <c r="V601" s="145"/>
    </row>
    <row r="602" spans="1:22" ht="15.75" customHeight="1" x14ac:dyDescent="0.25">
      <c r="A602" s="171">
        <v>246</v>
      </c>
      <c r="B602" s="163" t="s">
        <v>13</v>
      </c>
      <c r="C602" s="163" t="s">
        <v>32</v>
      </c>
      <c r="D602" s="168">
        <v>44721</v>
      </c>
      <c r="E602" s="187" t="s">
        <v>23</v>
      </c>
      <c r="F602" s="187"/>
      <c r="G602" s="187"/>
      <c r="H602" s="163"/>
      <c r="I602" s="163"/>
      <c r="J602" s="164" t="s">
        <v>2965</v>
      </c>
      <c r="K602" s="163">
        <v>433.1</v>
      </c>
      <c r="L602" s="163">
        <v>71</v>
      </c>
      <c r="M602" s="163">
        <v>8.14E-2</v>
      </c>
      <c r="N602" s="163">
        <v>0.127</v>
      </c>
      <c r="O602" s="163">
        <v>35.254300000000001</v>
      </c>
      <c r="P602" s="163">
        <v>55.003700000000002</v>
      </c>
      <c r="Q602" s="163">
        <v>4.58</v>
      </c>
      <c r="R602" s="163">
        <v>21.57</v>
      </c>
      <c r="S602" s="163">
        <v>265</v>
      </c>
      <c r="T602" s="163">
        <v>9341.9699999999993</v>
      </c>
      <c r="U602" s="163"/>
      <c r="V602" s="163"/>
    </row>
    <row r="603" spans="1:22" ht="15.75" customHeight="1" x14ac:dyDescent="0.25">
      <c r="A603" s="171">
        <v>247</v>
      </c>
      <c r="B603" s="163" t="s">
        <v>13</v>
      </c>
      <c r="C603" s="163" t="s">
        <v>2376</v>
      </c>
      <c r="D603" s="168">
        <v>44721</v>
      </c>
      <c r="E603" s="187" t="s">
        <v>23</v>
      </c>
      <c r="F603" s="187"/>
      <c r="G603" s="187"/>
      <c r="H603" s="163"/>
      <c r="I603" s="163"/>
      <c r="J603" s="164" t="s">
        <v>3067</v>
      </c>
      <c r="K603" s="163">
        <v>5265</v>
      </c>
      <c r="L603" s="163">
        <v>1755</v>
      </c>
      <c r="M603" s="163">
        <v>6.4500000000000002E-2</v>
      </c>
      <c r="N603" s="163">
        <v>8.5000000000000006E-2</v>
      </c>
      <c r="O603" s="163">
        <v>339.59249999999997</v>
      </c>
      <c r="P603" s="163">
        <v>447.52499999999998</v>
      </c>
      <c r="Q603" s="163">
        <v>44.15</v>
      </c>
      <c r="R603" s="163">
        <v>18.38</v>
      </c>
      <c r="S603" s="163">
        <v>285</v>
      </c>
      <c r="T603" s="163">
        <v>96770.7</v>
      </c>
      <c r="U603" s="163"/>
      <c r="V603" s="163"/>
    </row>
    <row r="604" spans="1:22" ht="15.75" customHeight="1" x14ac:dyDescent="0.25">
      <c r="A604" s="171">
        <v>248</v>
      </c>
      <c r="B604" s="163" t="s">
        <v>13</v>
      </c>
      <c r="C604" s="163" t="s">
        <v>37</v>
      </c>
      <c r="D604" s="168">
        <v>44721</v>
      </c>
      <c r="E604" s="187" t="s">
        <v>23</v>
      </c>
      <c r="F604" s="187"/>
      <c r="G604" s="187"/>
      <c r="H604" s="163"/>
      <c r="I604" s="163"/>
      <c r="J604" s="164" t="s">
        <v>3092</v>
      </c>
      <c r="K604" s="163">
        <v>5184</v>
      </c>
      <c r="L604" s="163">
        <v>1728</v>
      </c>
      <c r="M604" s="163">
        <v>4.8399999999999999E-2</v>
      </c>
      <c r="N604" s="163">
        <v>0.1</v>
      </c>
      <c r="O604" s="163">
        <v>250.90559999999999</v>
      </c>
      <c r="P604" s="163">
        <v>518.4</v>
      </c>
      <c r="Q604" s="163">
        <v>32.619999999999997</v>
      </c>
      <c r="R604" s="163">
        <v>15.25</v>
      </c>
      <c r="S604" s="163">
        <v>315</v>
      </c>
      <c r="T604" s="163">
        <v>79035.259999999995</v>
      </c>
      <c r="U604" s="163"/>
      <c r="V604" s="163"/>
    </row>
    <row r="605" spans="1:22" ht="15.75" customHeight="1" x14ac:dyDescent="0.25">
      <c r="A605" s="171">
        <v>249</v>
      </c>
      <c r="B605" s="163" t="s">
        <v>34</v>
      </c>
      <c r="C605" s="163" t="s">
        <v>46</v>
      </c>
      <c r="D605" s="172">
        <v>44721</v>
      </c>
      <c r="E605" s="187" t="s">
        <v>23</v>
      </c>
      <c r="F605" s="194"/>
      <c r="G605" s="187"/>
      <c r="H605" s="163"/>
      <c r="I605" s="163"/>
      <c r="J605" s="164" t="s">
        <v>639</v>
      </c>
      <c r="K605" s="145">
        <v>330</v>
      </c>
      <c r="L605" s="163" t="s">
        <v>47</v>
      </c>
      <c r="M605" s="163">
        <v>0.35859999999999997</v>
      </c>
      <c r="N605" s="163">
        <v>1.518</v>
      </c>
      <c r="O605" s="163">
        <v>118.33799999999999</v>
      </c>
      <c r="P605" s="163">
        <v>500.94</v>
      </c>
      <c r="Q605" s="163">
        <v>15.38</v>
      </c>
      <c r="R605" s="163">
        <v>112.96</v>
      </c>
      <c r="S605" s="163">
        <v>315</v>
      </c>
      <c r="T605" s="163">
        <v>37276.47</v>
      </c>
      <c r="U605" s="163"/>
      <c r="V605" s="163"/>
    </row>
    <row r="606" spans="1:22" ht="15.75" customHeight="1" x14ac:dyDescent="0.25">
      <c r="A606" s="167">
        <v>250</v>
      </c>
      <c r="B606" s="163" t="s">
        <v>34</v>
      </c>
      <c r="C606" s="162" t="s">
        <v>893</v>
      </c>
      <c r="D606" s="168">
        <v>44721</v>
      </c>
      <c r="E606" s="187" t="s">
        <v>23</v>
      </c>
      <c r="F606" s="194"/>
      <c r="G606" s="194"/>
      <c r="H606" s="162"/>
      <c r="I606" s="162"/>
      <c r="J606" s="169" t="s">
        <v>639</v>
      </c>
      <c r="K606" s="142">
        <v>540</v>
      </c>
      <c r="L606" s="162" t="s">
        <v>235</v>
      </c>
      <c r="M606" s="162">
        <v>0.35859999999999997</v>
      </c>
      <c r="N606" s="162">
        <v>1.518</v>
      </c>
      <c r="O606" s="162">
        <v>193.64400000000001</v>
      </c>
      <c r="P606" s="162">
        <v>819.72</v>
      </c>
      <c r="Q606" s="162">
        <v>25.17</v>
      </c>
      <c r="R606" s="162">
        <v>112.96</v>
      </c>
      <c r="S606" s="162">
        <v>315</v>
      </c>
      <c r="T606" s="162">
        <v>60997.86</v>
      </c>
      <c r="U606" s="162"/>
      <c r="V606" s="162"/>
    </row>
    <row r="607" spans="1:22" ht="15.75" customHeight="1" x14ac:dyDescent="0.25">
      <c r="A607" s="171">
        <v>250</v>
      </c>
      <c r="B607" s="163" t="s">
        <v>34</v>
      </c>
      <c r="C607" s="162" t="s">
        <v>893</v>
      </c>
      <c r="D607" s="168">
        <v>44721</v>
      </c>
      <c r="E607" s="187" t="s">
        <v>23</v>
      </c>
      <c r="F607" s="194"/>
      <c r="G607" s="194"/>
      <c r="H607" s="163"/>
      <c r="I607" s="163"/>
      <c r="J607" s="164" t="s">
        <v>645</v>
      </c>
      <c r="K607" s="145">
        <v>132</v>
      </c>
      <c r="L607" s="163" t="s">
        <v>330</v>
      </c>
      <c r="M607" s="163">
        <v>0.5323</v>
      </c>
      <c r="N607" s="163">
        <v>2.5880000000000001</v>
      </c>
      <c r="O607" s="163">
        <v>70.263599999999997</v>
      </c>
      <c r="P607" s="163">
        <v>341.61599999999999</v>
      </c>
      <c r="Q607" s="163">
        <v>9.1300000000000008</v>
      </c>
      <c r="R607" s="163">
        <v>167.67</v>
      </c>
      <c r="S607" s="163">
        <v>315</v>
      </c>
      <c r="T607" s="163">
        <v>22132.44</v>
      </c>
      <c r="U607" s="163"/>
      <c r="V607" s="163"/>
    </row>
    <row r="608" spans="1:22" ht="15.75" customHeight="1" x14ac:dyDescent="0.25">
      <c r="A608" s="167">
        <v>251</v>
      </c>
      <c r="B608" s="162" t="s">
        <v>34</v>
      </c>
      <c r="C608" s="162" t="s">
        <v>19</v>
      </c>
      <c r="D608" s="168">
        <v>44721</v>
      </c>
      <c r="E608" s="187" t="s">
        <v>23</v>
      </c>
      <c r="F608" s="194"/>
      <c r="G608" s="194">
        <v>77.5</v>
      </c>
      <c r="H608" s="162" t="s">
        <v>3123</v>
      </c>
      <c r="I608" s="162"/>
      <c r="J608" s="169" t="s">
        <v>3093</v>
      </c>
      <c r="K608" s="142">
        <v>77.5</v>
      </c>
      <c r="L608" s="162" t="s">
        <v>1393</v>
      </c>
      <c r="M608" s="162">
        <v>0.27160000000000001</v>
      </c>
      <c r="N608" s="162">
        <v>0.72799999999999998</v>
      </c>
      <c r="O608" s="162">
        <v>21.048999999999999</v>
      </c>
      <c r="P608" s="162">
        <v>56.42</v>
      </c>
      <c r="Q608" s="162">
        <v>2.74</v>
      </c>
      <c r="R608" s="162">
        <v>118.96</v>
      </c>
      <c r="S608" s="162">
        <v>438</v>
      </c>
      <c r="T608" s="162">
        <v>9219.4599999999991</v>
      </c>
      <c r="U608" s="162"/>
      <c r="V608" s="162"/>
    </row>
    <row r="609" spans="1:22" ht="30.75" customHeight="1" x14ac:dyDescent="0.25">
      <c r="A609" s="171">
        <v>251</v>
      </c>
      <c r="B609" s="162" t="s">
        <v>34</v>
      </c>
      <c r="C609" s="162" t="s">
        <v>19</v>
      </c>
      <c r="D609" s="168">
        <v>44721</v>
      </c>
      <c r="E609" s="187" t="s">
        <v>23</v>
      </c>
      <c r="F609" s="194"/>
      <c r="G609" s="194">
        <f>518+395.9</f>
        <v>913.9</v>
      </c>
      <c r="H609" s="222" t="s">
        <v>3124</v>
      </c>
      <c r="I609" s="163"/>
      <c r="J609" s="164" t="s">
        <v>3094</v>
      </c>
      <c r="K609" s="145">
        <v>921.3</v>
      </c>
      <c r="L609" s="163" t="s">
        <v>3095</v>
      </c>
      <c r="M609" s="163">
        <v>0.27160000000000001</v>
      </c>
      <c r="N609" s="163">
        <v>0.72799999999999998</v>
      </c>
      <c r="O609" s="163">
        <v>250.2251</v>
      </c>
      <c r="P609" s="163">
        <v>670.70640000000003</v>
      </c>
      <c r="Q609" s="163">
        <v>32.53</v>
      </c>
      <c r="R609" s="163">
        <v>118.96</v>
      </c>
      <c r="S609" s="163">
        <v>438</v>
      </c>
      <c r="T609" s="163">
        <v>109598.59</v>
      </c>
      <c r="U609" s="163"/>
      <c r="V609" s="163"/>
    </row>
    <row r="610" spans="1:22" ht="15.75" customHeight="1" x14ac:dyDescent="0.25">
      <c r="A610" s="171">
        <v>253</v>
      </c>
      <c r="B610" s="163" t="s">
        <v>34</v>
      </c>
      <c r="C610" s="163" t="s">
        <v>19</v>
      </c>
      <c r="D610" s="172">
        <v>44722</v>
      </c>
      <c r="E610" s="187" t="s">
        <v>23</v>
      </c>
      <c r="F610" s="194">
        <v>198</v>
      </c>
      <c r="G610" s="187"/>
      <c r="H610" s="163" t="s">
        <v>3096</v>
      </c>
      <c r="I610" s="163"/>
      <c r="J610" s="164" t="s">
        <v>2555</v>
      </c>
      <c r="K610" s="145">
        <v>438</v>
      </c>
      <c r="L610" s="163" t="s">
        <v>3075</v>
      </c>
      <c r="M610" s="163">
        <v>0.113</v>
      </c>
      <c r="N610" s="163">
        <v>0.23699999999999999</v>
      </c>
      <c r="O610" s="163">
        <v>49.494</v>
      </c>
      <c r="P610" s="163">
        <v>103.806</v>
      </c>
      <c r="Q610" s="163">
        <v>6.43</v>
      </c>
      <c r="R610" s="163">
        <v>37.29</v>
      </c>
      <c r="S610" s="163">
        <v>330</v>
      </c>
      <c r="T610" s="163">
        <v>16333.02</v>
      </c>
      <c r="U610" s="163"/>
      <c r="V610" s="163"/>
    </row>
    <row r="611" spans="1:22" ht="15.75" customHeight="1" x14ac:dyDescent="0.25">
      <c r="A611" s="171">
        <v>254</v>
      </c>
      <c r="B611" s="163" t="s">
        <v>34</v>
      </c>
      <c r="C611" s="163" t="s">
        <v>19</v>
      </c>
      <c r="D611" s="172">
        <v>44722</v>
      </c>
      <c r="E611" s="187" t="s">
        <v>23</v>
      </c>
      <c r="F611" s="194"/>
      <c r="G611" s="187"/>
      <c r="H611" s="163"/>
      <c r="I611" s="163"/>
      <c r="J611" s="164" t="s">
        <v>3019</v>
      </c>
      <c r="K611" s="145">
        <v>7.8</v>
      </c>
      <c r="L611" s="163" t="s">
        <v>41</v>
      </c>
      <c r="M611" s="163">
        <v>0.27529999999999999</v>
      </c>
      <c r="N611" s="163">
        <v>0.626</v>
      </c>
      <c r="O611" s="163">
        <v>2.1473</v>
      </c>
      <c r="P611" s="163">
        <v>4.8827999999999996</v>
      </c>
      <c r="Q611" s="163">
        <v>0.28000000000000003</v>
      </c>
      <c r="R611" s="163">
        <v>94.43</v>
      </c>
      <c r="S611" s="163">
        <v>343</v>
      </c>
      <c r="T611" s="163">
        <v>736.54</v>
      </c>
      <c r="U611" s="163"/>
      <c r="V611" s="163"/>
    </row>
    <row r="612" spans="1:22" ht="15.75" customHeight="1" x14ac:dyDescent="0.25">
      <c r="A612" s="171" t="s">
        <v>3115</v>
      </c>
      <c r="B612" s="163" t="s">
        <v>13</v>
      </c>
      <c r="C612" s="163" t="s">
        <v>37</v>
      </c>
      <c r="D612" s="172">
        <v>44726</v>
      </c>
      <c r="E612" s="187" t="s">
        <v>23</v>
      </c>
      <c r="F612" s="187"/>
      <c r="G612" s="187"/>
      <c r="H612" s="163"/>
      <c r="I612" s="163"/>
      <c r="J612" s="164" t="s">
        <v>1152</v>
      </c>
      <c r="K612" s="163"/>
      <c r="L612" s="163">
        <v>12</v>
      </c>
      <c r="M612" s="163"/>
      <c r="N612" s="163"/>
      <c r="O612" s="163"/>
      <c r="P612" s="163"/>
      <c r="Q612" s="163"/>
      <c r="R612" s="163"/>
      <c r="S612" s="163"/>
      <c r="T612" s="163">
        <v>22200</v>
      </c>
      <c r="U612" s="163"/>
      <c r="V612" s="163"/>
    </row>
    <row r="613" spans="1:22" ht="30" customHeight="1" x14ac:dyDescent="0.25">
      <c r="A613" s="171" t="s">
        <v>3099</v>
      </c>
      <c r="B613" s="163" t="s">
        <v>34</v>
      </c>
      <c r="C613" s="163" t="s">
        <v>16</v>
      </c>
      <c r="D613" s="172">
        <v>44728</v>
      </c>
      <c r="E613" s="187" t="s">
        <v>23</v>
      </c>
      <c r="F613" s="187">
        <f>552+1026</f>
        <v>1578</v>
      </c>
      <c r="G613" s="187">
        <v>768</v>
      </c>
      <c r="H613" s="222" t="s">
        <v>3318</v>
      </c>
      <c r="I613" s="163"/>
      <c r="J613" s="164" t="s">
        <v>2845</v>
      </c>
      <c r="K613" s="145">
        <v>2352</v>
      </c>
      <c r="L613" s="163" t="s">
        <v>3098</v>
      </c>
      <c r="M613" s="163">
        <v>0.15909999999999999</v>
      </c>
      <c r="N613" s="163">
        <v>0.26</v>
      </c>
      <c r="O613" s="163">
        <v>374.20319999999998</v>
      </c>
      <c r="P613" s="163">
        <v>611.52</v>
      </c>
      <c r="Q613" s="163">
        <v>48.65</v>
      </c>
      <c r="R613" s="163">
        <v>69.69</v>
      </c>
      <c r="S613" s="163">
        <v>438</v>
      </c>
      <c r="T613" s="163">
        <v>163901</v>
      </c>
      <c r="U613" s="163"/>
      <c r="V613" s="163"/>
    </row>
    <row r="614" spans="1:22" ht="15" customHeight="1" x14ac:dyDescent="0.25">
      <c r="A614" s="171" t="s">
        <v>3100</v>
      </c>
      <c r="B614" s="163" t="s">
        <v>34</v>
      </c>
      <c r="C614" s="163" t="s">
        <v>16</v>
      </c>
      <c r="D614" s="172">
        <v>44728</v>
      </c>
      <c r="E614" s="187" t="s">
        <v>23</v>
      </c>
      <c r="F614" s="187"/>
      <c r="G614" s="187"/>
      <c r="H614" s="222" t="s">
        <v>3177</v>
      </c>
      <c r="I614" s="163"/>
      <c r="J614" s="164" t="s">
        <v>2581</v>
      </c>
      <c r="K614" s="145">
        <v>720</v>
      </c>
      <c r="L614" s="163" t="s">
        <v>673</v>
      </c>
      <c r="M614" s="163">
        <v>0.56989999999999996</v>
      </c>
      <c r="N614" s="163">
        <v>1.304</v>
      </c>
      <c r="O614" s="163">
        <v>410.32799999999997</v>
      </c>
      <c r="P614" s="163">
        <v>938.88</v>
      </c>
      <c r="Q614" s="163">
        <v>53.34</v>
      </c>
      <c r="R614" s="163">
        <v>249.62</v>
      </c>
      <c r="S614" s="163">
        <v>438</v>
      </c>
      <c r="T614" s="163">
        <v>179723.66</v>
      </c>
      <c r="U614" s="163"/>
      <c r="V614" s="163"/>
    </row>
    <row r="615" spans="1:22" ht="15.75" customHeight="1" x14ac:dyDescent="0.25">
      <c r="A615" s="171" t="s">
        <v>3101</v>
      </c>
      <c r="B615" s="163" t="s">
        <v>34</v>
      </c>
      <c r="C615" s="163" t="s">
        <v>16</v>
      </c>
      <c r="D615" s="172">
        <v>44728</v>
      </c>
      <c r="E615" s="187" t="s">
        <v>23</v>
      </c>
      <c r="F615" s="187">
        <v>492</v>
      </c>
      <c r="G615" s="187"/>
      <c r="H615" s="163"/>
      <c r="I615" s="163"/>
      <c r="J615" s="164" t="s">
        <v>2859</v>
      </c>
      <c r="K615" s="145">
        <v>996</v>
      </c>
      <c r="L615" s="163" t="s">
        <v>887</v>
      </c>
      <c r="M615" s="163">
        <v>0.27260000000000001</v>
      </c>
      <c r="N615" s="163">
        <v>0.72899999999999998</v>
      </c>
      <c r="O615" s="163">
        <v>271.50959999999998</v>
      </c>
      <c r="P615" s="163">
        <v>726.08399999999995</v>
      </c>
      <c r="Q615" s="163">
        <v>35.299999999999997</v>
      </c>
      <c r="R615" s="163">
        <v>93.5</v>
      </c>
      <c r="S615" s="163">
        <v>343</v>
      </c>
      <c r="T615" s="163">
        <v>93127.79</v>
      </c>
      <c r="U615" s="163"/>
      <c r="V615" s="163"/>
    </row>
    <row r="616" spans="1:22" ht="15.75" customHeight="1" x14ac:dyDescent="0.25">
      <c r="A616" s="171" t="s">
        <v>3102</v>
      </c>
      <c r="B616" s="163" t="s">
        <v>34</v>
      </c>
      <c r="C616" s="163" t="s">
        <v>16</v>
      </c>
      <c r="D616" s="172">
        <v>44728</v>
      </c>
      <c r="E616" s="187" t="s">
        <v>23</v>
      </c>
      <c r="F616" s="187"/>
      <c r="G616" s="187"/>
      <c r="H616" s="163"/>
      <c r="I616" s="163"/>
      <c r="J616" s="164" t="s">
        <v>2423</v>
      </c>
      <c r="K616" s="145">
        <v>618</v>
      </c>
      <c r="L616" s="163" t="s">
        <v>1880</v>
      </c>
      <c r="M616" s="163">
        <v>0.29970000000000002</v>
      </c>
      <c r="N616" s="163">
        <v>1.6739999999999999</v>
      </c>
      <c r="O616" s="163">
        <v>185.21459999999999</v>
      </c>
      <c r="P616" s="163">
        <v>1034.5319999999999</v>
      </c>
      <c r="Q616" s="163">
        <v>24.08</v>
      </c>
      <c r="R616" s="163">
        <v>102.8</v>
      </c>
      <c r="S616" s="163">
        <v>343</v>
      </c>
      <c r="T616" s="163">
        <v>63528.61</v>
      </c>
      <c r="U616" s="163"/>
      <c r="V616" s="163"/>
    </row>
    <row r="617" spans="1:22" s="14" customFormat="1" ht="15.75" customHeight="1" x14ac:dyDescent="0.25">
      <c r="A617" s="147" t="s">
        <v>3103</v>
      </c>
      <c r="B617" s="145" t="s">
        <v>34</v>
      </c>
      <c r="C617" s="145" t="s">
        <v>16</v>
      </c>
      <c r="D617" s="148">
        <v>44728</v>
      </c>
      <c r="E617" s="241" t="s">
        <v>23</v>
      </c>
      <c r="F617" s="241">
        <f>420+36</f>
        <v>456</v>
      </c>
      <c r="G617" s="241"/>
      <c r="H617" s="145" t="s">
        <v>3689</v>
      </c>
      <c r="I617" s="148">
        <v>44959</v>
      </c>
      <c r="J617" s="146" t="s">
        <v>2730</v>
      </c>
      <c r="K617" s="145">
        <v>462</v>
      </c>
      <c r="L617" s="145" t="s">
        <v>423</v>
      </c>
      <c r="M617" s="145">
        <v>0.3498</v>
      </c>
      <c r="N617" s="145">
        <v>1.425</v>
      </c>
      <c r="O617" s="145">
        <v>161.60759999999999</v>
      </c>
      <c r="P617" s="145">
        <v>658.35</v>
      </c>
      <c r="Q617" s="145">
        <v>21.01</v>
      </c>
      <c r="R617" s="145">
        <v>119.98</v>
      </c>
      <c r="S617" s="145">
        <v>343</v>
      </c>
      <c r="T617" s="145">
        <v>55431.41</v>
      </c>
      <c r="U617" s="145"/>
      <c r="V617" s="145"/>
    </row>
    <row r="618" spans="1:22" ht="15.75" customHeight="1" x14ac:dyDescent="0.25">
      <c r="A618" s="171">
        <v>255</v>
      </c>
      <c r="B618" s="163" t="s">
        <v>34</v>
      </c>
      <c r="C618" s="163" t="s">
        <v>893</v>
      </c>
      <c r="D618" s="172">
        <v>44728</v>
      </c>
      <c r="E618" s="187" t="s">
        <v>23</v>
      </c>
      <c r="F618" s="187"/>
      <c r="G618" s="187"/>
      <c r="H618" s="163"/>
      <c r="I618" s="163"/>
      <c r="J618" s="164" t="s">
        <v>645</v>
      </c>
      <c r="K618" s="145">
        <v>78</v>
      </c>
      <c r="L618" s="163" t="s">
        <v>3104</v>
      </c>
      <c r="M618" s="163">
        <v>0.5323</v>
      </c>
      <c r="N618" s="163">
        <v>2.5880000000000001</v>
      </c>
      <c r="O618" s="163">
        <v>41.519399999999997</v>
      </c>
      <c r="P618" s="163">
        <v>201.864</v>
      </c>
      <c r="Q618" s="163">
        <v>5.4</v>
      </c>
      <c r="R618" s="163">
        <v>182.58</v>
      </c>
      <c r="S618" s="163">
        <v>343</v>
      </c>
      <c r="T618" s="163">
        <v>14241.15</v>
      </c>
      <c r="U618" s="163"/>
      <c r="V618" s="163"/>
    </row>
    <row r="619" spans="1:22" ht="15.75" customHeight="1" x14ac:dyDescent="0.25">
      <c r="A619" s="171" t="s">
        <v>3105</v>
      </c>
      <c r="B619" s="163" t="s">
        <v>13</v>
      </c>
      <c r="C619" s="163" t="s">
        <v>292</v>
      </c>
      <c r="D619" s="172">
        <v>44728</v>
      </c>
      <c r="E619" s="187" t="s">
        <v>23</v>
      </c>
      <c r="F619" s="187"/>
      <c r="G619" s="187"/>
      <c r="H619" s="163"/>
      <c r="I619" s="163"/>
      <c r="J619" s="164" t="s">
        <v>1325</v>
      </c>
      <c r="K619" s="163">
        <v>7000</v>
      </c>
      <c r="L619" s="163">
        <v>1400</v>
      </c>
      <c r="M619" s="163"/>
      <c r="N619" s="163"/>
      <c r="O619" s="163"/>
      <c r="P619" s="163"/>
      <c r="Q619" s="163"/>
      <c r="R619" s="163"/>
      <c r="S619" s="163"/>
      <c r="T619" s="163">
        <v>205800</v>
      </c>
      <c r="U619" s="163"/>
      <c r="V619" s="163"/>
    </row>
    <row r="620" spans="1:22" ht="15.75" customHeight="1" x14ac:dyDescent="0.25">
      <c r="A620" s="171">
        <v>256</v>
      </c>
      <c r="B620" s="163" t="s">
        <v>34</v>
      </c>
      <c r="C620" s="163" t="s">
        <v>861</v>
      </c>
      <c r="D620" s="172">
        <v>44728</v>
      </c>
      <c r="E620" s="187" t="s">
        <v>23</v>
      </c>
      <c r="F620" s="187"/>
      <c r="G620" s="187"/>
      <c r="H620" s="163"/>
      <c r="I620" s="163"/>
      <c r="J620" s="164" t="s">
        <v>2670</v>
      </c>
      <c r="K620" s="145">
        <v>288</v>
      </c>
      <c r="L620" s="163" t="s">
        <v>634</v>
      </c>
      <c r="M620" s="163">
        <v>0.4803</v>
      </c>
      <c r="N620" s="163">
        <v>1.3580000000000001</v>
      </c>
      <c r="O620" s="163">
        <v>138.32640000000001</v>
      </c>
      <c r="P620" s="163">
        <v>391.10399999999998</v>
      </c>
      <c r="Q620" s="163">
        <v>17.98</v>
      </c>
      <c r="R620" s="163">
        <v>164.74</v>
      </c>
      <c r="S620" s="163">
        <v>343</v>
      </c>
      <c r="T620" s="163">
        <v>47445.96</v>
      </c>
      <c r="U620" s="163"/>
      <c r="V620" s="163"/>
    </row>
    <row r="621" spans="1:22" ht="15.75" customHeight="1" x14ac:dyDescent="0.25">
      <c r="A621" s="171">
        <v>258</v>
      </c>
      <c r="B621" s="163" t="s">
        <v>34</v>
      </c>
      <c r="C621" s="163" t="s">
        <v>19</v>
      </c>
      <c r="D621" s="172">
        <v>44728</v>
      </c>
      <c r="E621" s="187" t="s">
        <v>23</v>
      </c>
      <c r="F621" s="187"/>
      <c r="G621" s="187"/>
      <c r="H621" s="163"/>
      <c r="I621" s="163"/>
      <c r="J621" s="164" t="s">
        <v>2594</v>
      </c>
      <c r="K621" s="145">
        <v>414.4</v>
      </c>
      <c r="L621" s="163" t="s">
        <v>164</v>
      </c>
      <c r="M621" s="163">
        <v>0.3402</v>
      </c>
      <c r="N621" s="163">
        <v>1.4530000000000001</v>
      </c>
      <c r="O621" s="163">
        <v>140.97890000000001</v>
      </c>
      <c r="P621" s="163">
        <v>602.1232</v>
      </c>
      <c r="Q621" s="163">
        <v>18.329999999999998</v>
      </c>
      <c r="R621" s="163">
        <v>72.459999999999994</v>
      </c>
      <c r="S621" s="163">
        <v>213</v>
      </c>
      <c r="T621" s="163">
        <v>30028.5</v>
      </c>
      <c r="U621" s="163"/>
      <c r="V621" s="163"/>
    </row>
    <row r="622" spans="1:22" ht="15.75" customHeight="1" x14ac:dyDescent="0.25">
      <c r="A622" s="171">
        <v>260</v>
      </c>
      <c r="B622" s="163" t="s">
        <v>34</v>
      </c>
      <c r="C622" s="163" t="s">
        <v>19</v>
      </c>
      <c r="D622" s="172">
        <v>44728</v>
      </c>
      <c r="E622" s="187" t="s">
        <v>23</v>
      </c>
      <c r="F622" s="187"/>
      <c r="G622" s="187">
        <v>122.1</v>
      </c>
      <c r="H622" s="163" t="s">
        <v>3123</v>
      </c>
      <c r="I622" s="163"/>
      <c r="J622" s="164" t="s">
        <v>3094</v>
      </c>
      <c r="K622" s="145">
        <v>122.1</v>
      </c>
      <c r="L622" s="163" t="s">
        <v>1115</v>
      </c>
      <c r="M622" s="163">
        <v>0.27160000000000001</v>
      </c>
      <c r="N622" s="163">
        <v>0.72799999999999998</v>
      </c>
      <c r="O622" s="163">
        <v>33.162399999999998</v>
      </c>
      <c r="P622" s="163">
        <v>88.888800000000003</v>
      </c>
      <c r="Q622" s="163">
        <v>4.3099999999999996</v>
      </c>
      <c r="R622" s="163">
        <v>93.16</v>
      </c>
      <c r="S622" s="163">
        <v>343</v>
      </c>
      <c r="T622" s="163">
        <v>11374.69</v>
      </c>
      <c r="U622" s="163"/>
      <c r="V622" s="163"/>
    </row>
    <row r="623" spans="1:22" ht="15.75" customHeight="1" x14ac:dyDescent="0.25">
      <c r="A623" s="171">
        <v>259</v>
      </c>
      <c r="B623" s="163" t="s">
        <v>13</v>
      </c>
      <c r="C623" s="163" t="s">
        <v>2342</v>
      </c>
      <c r="D623" s="172">
        <v>44728</v>
      </c>
      <c r="E623" s="187" t="s">
        <v>23</v>
      </c>
      <c r="F623" s="187"/>
      <c r="G623" s="187"/>
      <c r="H623" s="163"/>
      <c r="I623" s="163"/>
      <c r="J623" s="164" t="s">
        <v>271</v>
      </c>
      <c r="K623" s="163">
        <v>1113.25</v>
      </c>
      <c r="L623" s="163" t="s">
        <v>3112</v>
      </c>
      <c r="M623" s="163">
        <v>0.51529999999999998</v>
      </c>
      <c r="N623" s="163">
        <v>1.3759999999999999</v>
      </c>
      <c r="O623" s="163">
        <v>573.65769999999998</v>
      </c>
      <c r="P623" s="163">
        <v>1531.8320000000001</v>
      </c>
      <c r="Q623" s="163">
        <v>74.58</v>
      </c>
      <c r="R623" s="163">
        <v>162.32</v>
      </c>
      <c r="S623" s="163">
        <v>315</v>
      </c>
      <c r="T623" s="163">
        <v>180702.74</v>
      </c>
      <c r="U623" s="163"/>
      <c r="V623" s="163"/>
    </row>
    <row r="624" spans="1:22" ht="15.75" customHeight="1" x14ac:dyDescent="0.25">
      <c r="A624" s="171">
        <v>261</v>
      </c>
      <c r="B624" s="163" t="s">
        <v>13</v>
      </c>
      <c r="C624" s="163" t="s">
        <v>32</v>
      </c>
      <c r="D624" s="172">
        <v>44728</v>
      </c>
      <c r="E624" s="187" t="s">
        <v>23</v>
      </c>
      <c r="F624" s="187"/>
      <c r="G624" s="187"/>
      <c r="H624" s="163"/>
      <c r="I624" s="163"/>
      <c r="J624" s="164" t="s">
        <v>3106</v>
      </c>
      <c r="K624" s="163">
        <v>186.75</v>
      </c>
      <c r="L624" s="163" t="s">
        <v>3107</v>
      </c>
      <c r="M624" s="163">
        <v>0.17610000000000001</v>
      </c>
      <c r="N624" s="163">
        <v>1.23</v>
      </c>
      <c r="O624" s="163">
        <v>32.886699999999998</v>
      </c>
      <c r="P624" s="163">
        <v>229.70249999999999</v>
      </c>
      <c r="Q624" s="163">
        <v>4.28</v>
      </c>
      <c r="R624" s="163">
        <v>50.54</v>
      </c>
      <c r="S624" s="163">
        <v>287</v>
      </c>
      <c r="T624" s="163">
        <v>9438.48</v>
      </c>
      <c r="U624" s="163"/>
      <c r="V624" s="163"/>
    </row>
    <row r="625" spans="1:22" ht="15.75" customHeight="1" x14ac:dyDescent="0.25">
      <c r="A625" s="171">
        <v>261</v>
      </c>
      <c r="B625" s="163" t="s">
        <v>13</v>
      </c>
      <c r="C625" s="162" t="s">
        <v>32</v>
      </c>
      <c r="D625" s="172">
        <v>44728</v>
      </c>
      <c r="E625" s="194" t="s">
        <v>23</v>
      </c>
      <c r="F625" s="194">
        <v>400</v>
      </c>
      <c r="G625" s="194"/>
      <c r="H625" s="162" t="s">
        <v>549</v>
      </c>
      <c r="I625" s="162"/>
      <c r="J625" s="169" t="s">
        <v>3108</v>
      </c>
      <c r="K625" s="162">
        <v>1668.3</v>
      </c>
      <c r="L625" s="162" t="s">
        <v>3109</v>
      </c>
      <c r="M625" s="162">
        <v>6.3399999999999998E-2</v>
      </c>
      <c r="N625" s="162">
        <v>0.16200000000000001</v>
      </c>
      <c r="O625" s="162">
        <v>105.7702</v>
      </c>
      <c r="P625" s="162">
        <v>270.26459999999997</v>
      </c>
      <c r="Q625" s="162">
        <v>13.75</v>
      </c>
      <c r="R625" s="162">
        <v>18.2</v>
      </c>
      <c r="S625" s="162">
        <v>287</v>
      </c>
      <c r="T625" s="162">
        <v>30356.05</v>
      </c>
      <c r="U625" s="162"/>
      <c r="V625" s="162"/>
    </row>
    <row r="626" spans="1:22" ht="15.75" customHeight="1" x14ac:dyDescent="0.25">
      <c r="A626" s="171">
        <v>261</v>
      </c>
      <c r="B626" s="163" t="s">
        <v>13</v>
      </c>
      <c r="C626" s="162" t="s">
        <v>32</v>
      </c>
      <c r="D626" s="172">
        <v>44728</v>
      </c>
      <c r="E626" s="194" t="s">
        <v>23</v>
      </c>
      <c r="F626" s="218"/>
      <c r="G626" s="218"/>
      <c r="H626" s="162"/>
      <c r="I626" s="162"/>
      <c r="J626" s="169" t="s">
        <v>3110</v>
      </c>
      <c r="K626" s="162">
        <v>1643.4</v>
      </c>
      <c r="L626" s="162" t="s">
        <v>3111</v>
      </c>
      <c r="M626" s="162">
        <v>6.1400000000000003E-2</v>
      </c>
      <c r="N626" s="162">
        <v>0.157</v>
      </c>
      <c r="O626" s="162">
        <v>100.90479999999999</v>
      </c>
      <c r="P626" s="162">
        <v>258.0138</v>
      </c>
      <c r="Q626" s="162">
        <v>13.12</v>
      </c>
      <c r="R626" s="162">
        <v>17.62</v>
      </c>
      <c r="S626" s="162">
        <v>287</v>
      </c>
      <c r="T626" s="162">
        <v>28959.67</v>
      </c>
      <c r="U626" s="162"/>
      <c r="V626" s="162"/>
    </row>
    <row r="627" spans="1:22" ht="15.75" customHeight="1" x14ac:dyDescent="0.25">
      <c r="A627" s="167">
        <v>262</v>
      </c>
      <c r="B627" s="162" t="s">
        <v>34</v>
      </c>
      <c r="C627" s="162" t="s">
        <v>802</v>
      </c>
      <c r="D627" s="168">
        <v>44728</v>
      </c>
      <c r="E627" s="194" t="s">
        <v>23</v>
      </c>
      <c r="F627" s="194"/>
      <c r="G627" s="194"/>
      <c r="H627" s="162"/>
      <c r="I627" s="162"/>
      <c r="J627" s="169" t="s">
        <v>3021</v>
      </c>
      <c r="K627" s="142">
        <v>1045.5</v>
      </c>
      <c r="L627" s="162" t="s">
        <v>202</v>
      </c>
      <c r="M627" s="162">
        <v>0.14849999999999999</v>
      </c>
      <c r="N627" s="162">
        <v>0.50800000000000001</v>
      </c>
      <c r="O627" s="162">
        <v>155.2568</v>
      </c>
      <c r="P627" s="162">
        <v>531.11400000000003</v>
      </c>
      <c r="Q627" s="162">
        <v>20.18</v>
      </c>
      <c r="R627" s="162">
        <v>53.46</v>
      </c>
      <c r="S627" s="162">
        <v>360</v>
      </c>
      <c r="T627" s="162">
        <v>55892.43</v>
      </c>
      <c r="U627" s="162"/>
      <c r="V627" s="162"/>
    </row>
    <row r="628" spans="1:22" ht="15.75" customHeight="1" x14ac:dyDescent="0.25">
      <c r="A628" s="171">
        <v>263</v>
      </c>
      <c r="B628" s="163" t="s">
        <v>34</v>
      </c>
      <c r="C628" s="163" t="s">
        <v>893</v>
      </c>
      <c r="D628" s="172">
        <v>44729</v>
      </c>
      <c r="E628" s="187" t="s">
        <v>23</v>
      </c>
      <c r="F628" s="187"/>
      <c r="G628" s="187"/>
      <c r="H628" s="163"/>
      <c r="I628" s="163"/>
      <c r="J628" s="164" t="s">
        <v>639</v>
      </c>
      <c r="K628" s="145">
        <v>324</v>
      </c>
      <c r="L628" s="163" t="s">
        <v>170</v>
      </c>
      <c r="M628" s="163">
        <v>0.35859999999999997</v>
      </c>
      <c r="N628" s="163">
        <v>1.518</v>
      </c>
      <c r="O628" s="163">
        <v>116.18640000000001</v>
      </c>
      <c r="P628" s="163">
        <v>491.83199999999999</v>
      </c>
      <c r="Q628" s="163">
        <v>15.1</v>
      </c>
      <c r="R628" s="163">
        <v>112.96</v>
      </c>
      <c r="S628" s="163">
        <v>315</v>
      </c>
      <c r="T628" s="163">
        <v>36598.720000000001</v>
      </c>
      <c r="U628" s="163"/>
      <c r="V628" s="163"/>
    </row>
    <row r="629" spans="1:22" ht="15.75" customHeight="1" x14ac:dyDescent="0.25">
      <c r="A629" s="167">
        <v>264</v>
      </c>
      <c r="B629" s="162" t="s">
        <v>34</v>
      </c>
      <c r="C629" s="162" t="s">
        <v>19</v>
      </c>
      <c r="D629" s="168">
        <v>44729</v>
      </c>
      <c r="E629" s="187" t="s">
        <v>23</v>
      </c>
      <c r="F629" s="194"/>
      <c r="G629" s="194">
        <v>49.6</v>
      </c>
      <c r="H629" s="162" t="s">
        <v>3123</v>
      </c>
      <c r="I629" s="162"/>
      <c r="J629" s="169" t="s">
        <v>3093</v>
      </c>
      <c r="K629" s="142">
        <v>49.6</v>
      </c>
      <c r="L629" s="162" t="s">
        <v>520</v>
      </c>
      <c r="M629" s="162">
        <v>0.27160000000000001</v>
      </c>
      <c r="N629" s="162">
        <v>0.72799999999999998</v>
      </c>
      <c r="O629" s="162">
        <v>13.471399999999999</v>
      </c>
      <c r="P629" s="162">
        <v>36.108800000000002</v>
      </c>
      <c r="Q629" s="162">
        <v>1.75</v>
      </c>
      <c r="R629" s="162">
        <v>93.16</v>
      </c>
      <c r="S629" s="162">
        <v>343</v>
      </c>
      <c r="T629" s="162">
        <v>4620.68</v>
      </c>
      <c r="U629" s="162"/>
      <c r="V629" s="162"/>
    </row>
    <row r="630" spans="1:22" ht="30.75" customHeight="1" x14ac:dyDescent="0.25">
      <c r="A630" s="171">
        <v>264</v>
      </c>
      <c r="B630" s="162" t="s">
        <v>34</v>
      </c>
      <c r="C630" s="162" t="s">
        <v>19</v>
      </c>
      <c r="D630" s="168">
        <v>44729</v>
      </c>
      <c r="E630" s="187" t="s">
        <v>23</v>
      </c>
      <c r="F630" s="194"/>
      <c r="G630" s="194">
        <f>518+506.9</f>
        <v>1024.9000000000001</v>
      </c>
      <c r="H630" s="222" t="s">
        <v>3125</v>
      </c>
      <c r="I630" s="163"/>
      <c r="J630" s="164" t="s">
        <v>3094</v>
      </c>
      <c r="K630" s="145">
        <v>1036</v>
      </c>
      <c r="L630" s="163" t="s">
        <v>599</v>
      </c>
      <c r="M630" s="163">
        <v>0.27160000000000001</v>
      </c>
      <c r="N630" s="163">
        <v>0.72799999999999998</v>
      </c>
      <c r="O630" s="163">
        <v>281.37759999999997</v>
      </c>
      <c r="P630" s="163">
        <v>754.20799999999997</v>
      </c>
      <c r="Q630" s="163">
        <v>36.58</v>
      </c>
      <c r="R630" s="163">
        <v>93.16</v>
      </c>
      <c r="S630" s="163">
        <v>343</v>
      </c>
      <c r="T630" s="163">
        <v>96512.52</v>
      </c>
      <c r="U630" s="163"/>
      <c r="V630" s="163"/>
    </row>
    <row r="631" spans="1:22" ht="15.75" customHeight="1" x14ac:dyDescent="0.25">
      <c r="A631" s="167">
        <v>265</v>
      </c>
      <c r="B631" s="162" t="s">
        <v>34</v>
      </c>
      <c r="C631" s="162" t="s">
        <v>19</v>
      </c>
      <c r="D631" s="168">
        <v>44729</v>
      </c>
      <c r="E631" s="187" t="s">
        <v>23</v>
      </c>
      <c r="F631" s="194"/>
      <c r="G631" s="194"/>
      <c r="H631" s="162"/>
      <c r="I631" s="162"/>
      <c r="J631" s="169" t="s">
        <v>2594</v>
      </c>
      <c r="K631" s="142">
        <v>2012.8</v>
      </c>
      <c r="L631" s="162" t="s">
        <v>3113</v>
      </c>
      <c r="M631" s="162">
        <v>0.3402</v>
      </c>
      <c r="N631" s="162">
        <v>1.4530000000000001</v>
      </c>
      <c r="O631" s="162">
        <v>684.75459999999998</v>
      </c>
      <c r="P631" s="162">
        <v>2924.5983999999999</v>
      </c>
      <c r="Q631" s="162">
        <v>89.02</v>
      </c>
      <c r="R631" s="162">
        <v>72.459999999999994</v>
      </c>
      <c r="S631" s="162">
        <v>213</v>
      </c>
      <c r="T631" s="162">
        <v>145852.72</v>
      </c>
      <c r="U631" s="162"/>
      <c r="V631" s="162"/>
    </row>
    <row r="632" spans="1:22" ht="15.75" customHeight="1" x14ac:dyDescent="0.25">
      <c r="A632" s="167">
        <v>265</v>
      </c>
      <c r="B632" s="162" t="s">
        <v>34</v>
      </c>
      <c r="C632" s="162" t="s">
        <v>19</v>
      </c>
      <c r="D632" s="168">
        <v>44729</v>
      </c>
      <c r="E632" s="187" t="s">
        <v>23</v>
      </c>
      <c r="F632" s="218"/>
      <c r="G632" s="218"/>
      <c r="H632" s="163" t="s">
        <v>3199</v>
      </c>
      <c r="I632" s="163"/>
      <c r="J632" s="164" t="s">
        <v>2596</v>
      </c>
      <c r="K632" s="145">
        <v>2423.5</v>
      </c>
      <c r="L632" s="163" t="s">
        <v>3114</v>
      </c>
      <c r="M632" s="163">
        <v>0.11600000000000001</v>
      </c>
      <c r="N632" s="163">
        <v>0.29399999999999998</v>
      </c>
      <c r="O632" s="163">
        <v>281.12599999999998</v>
      </c>
      <c r="P632" s="163">
        <v>712.50900000000001</v>
      </c>
      <c r="Q632" s="163">
        <v>36.549999999999997</v>
      </c>
      <c r="R632" s="163">
        <v>24.71</v>
      </c>
      <c r="S632" s="163">
        <v>213</v>
      </c>
      <c r="T632" s="163">
        <v>59879.839999999997</v>
      </c>
      <c r="U632" s="163"/>
      <c r="V632" s="163"/>
    </row>
    <row r="633" spans="1:22" ht="15.75" customHeight="1" x14ac:dyDescent="0.25">
      <c r="A633" s="171">
        <v>268</v>
      </c>
      <c r="B633" s="163" t="s">
        <v>34</v>
      </c>
      <c r="C633" s="163" t="s">
        <v>861</v>
      </c>
      <c r="D633" s="172"/>
      <c r="E633" s="187" t="s">
        <v>23</v>
      </c>
      <c r="F633" s="187"/>
      <c r="G633" s="187"/>
      <c r="H633" s="163" t="s">
        <v>3191</v>
      </c>
      <c r="I633" s="163"/>
      <c r="J633" s="164" t="s">
        <v>2670</v>
      </c>
      <c r="K633" s="145">
        <v>702</v>
      </c>
      <c r="L633" s="163" t="s">
        <v>865</v>
      </c>
      <c r="M633" s="163">
        <v>0.4803</v>
      </c>
      <c r="N633" s="163">
        <v>1.3580000000000001</v>
      </c>
      <c r="O633" s="163">
        <v>337.17059999999998</v>
      </c>
      <c r="P633" s="163">
        <v>953.31600000000003</v>
      </c>
      <c r="Q633" s="163">
        <v>43.83</v>
      </c>
      <c r="R633" s="163">
        <v>151.29</v>
      </c>
      <c r="S633" s="163">
        <v>315</v>
      </c>
      <c r="T633" s="163">
        <v>106208.74</v>
      </c>
      <c r="U633" s="163"/>
      <c r="V633" s="163"/>
    </row>
    <row r="634" spans="1:22" s="14" customFormat="1" ht="15.75" customHeight="1" x14ac:dyDescent="0.25">
      <c r="A634" s="147">
        <v>270</v>
      </c>
      <c r="B634" s="145" t="s">
        <v>13</v>
      </c>
      <c r="C634" s="145" t="s">
        <v>657</v>
      </c>
      <c r="D634" s="148">
        <v>44733</v>
      </c>
      <c r="E634" s="241" t="s">
        <v>23</v>
      </c>
      <c r="F634" s="241">
        <v>237</v>
      </c>
      <c r="G634" s="241"/>
      <c r="H634" s="145"/>
      <c r="I634" s="145"/>
      <c r="J634" s="146" t="s">
        <v>2963</v>
      </c>
      <c r="K634" s="145">
        <v>1374.6</v>
      </c>
      <c r="L634" s="145" t="s">
        <v>3117</v>
      </c>
      <c r="M634" s="145">
        <v>0.1724</v>
      </c>
      <c r="N634" s="145">
        <v>0.41499999999999998</v>
      </c>
      <c r="O634" s="145">
        <v>236.98099999999999</v>
      </c>
      <c r="P634" s="145">
        <v>570.45899999999995</v>
      </c>
      <c r="Q634" s="145">
        <v>30.81</v>
      </c>
      <c r="R634" s="145">
        <v>54.31</v>
      </c>
      <c r="S634" s="145">
        <v>315</v>
      </c>
      <c r="T634" s="145">
        <v>74649.03</v>
      </c>
      <c r="U634" s="145"/>
      <c r="V634" s="145"/>
    </row>
    <row r="635" spans="1:22" s="14" customFormat="1" ht="15.75" customHeight="1" x14ac:dyDescent="0.25">
      <c r="A635" s="147">
        <v>271</v>
      </c>
      <c r="B635" s="145" t="s">
        <v>13</v>
      </c>
      <c r="C635" s="145" t="s">
        <v>45</v>
      </c>
      <c r="D635" s="148">
        <v>44733</v>
      </c>
      <c r="E635" s="241" t="s">
        <v>23</v>
      </c>
      <c r="F635" s="241"/>
      <c r="G635" s="241">
        <v>42</v>
      </c>
      <c r="H635" s="145" t="s">
        <v>3118</v>
      </c>
      <c r="I635" s="145"/>
      <c r="J635" s="146" t="s">
        <v>2840</v>
      </c>
      <c r="K635" s="145">
        <v>130.19999999999999</v>
      </c>
      <c r="L635" s="145" t="s">
        <v>298</v>
      </c>
      <c r="M635" s="145">
        <v>0.9929</v>
      </c>
      <c r="N635" s="145">
        <v>4.5880000000000001</v>
      </c>
      <c r="O635" s="145">
        <v>129.2756</v>
      </c>
      <c r="P635" s="145">
        <v>597.35760000000005</v>
      </c>
      <c r="Q635" s="145">
        <v>16.809999999999999</v>
      </c>
      <c r="R635" s="145">
        <v>312.76</v>
      </c>
      <c r="S635" s="145">
        <v>315</v>
      </c>
      <c r="T635" s="145">
        <v>40721.35</v>
      </c>
      <c r="U635" s="145"/>
      <c r="V635" s="145"/>
    </row>
    <row r="636" spans="1:22" s="14" customFormat="1" ht="15.75" customHeight="1" x14ac:dyDescent="0.25">
      <c r="A636" s="147">
        <v>272</v>
      </c>
      <c r="B636" s="145" t="s">
        <v>13</v>
      </c>
      <c r="C636" s="145" t="s">
        <v>32</v>
      </c>
      <c r="D636" s="148">
        <v>44733</v>
      </c>
      <c r="E636" s="241" t="s">
        <v>23</v>
      </c>
      <c r="F636" s="241">
        <v>207</v>
      </c>
      <c r="G636" s="241"/>
      <c r="H636" s="145" t="s">
        <v>3189</v>
      </c>
      <c r="I636" s="145"/>
      <c r="J636" s="146" t="s">
        <v>3108</v>
      </c>
      <c r="K636" s="145">
        <v>883.95</v>
      </c>
      <c r="L636" s="145" t="s">
        <v>3119</v>
      </c>
      <c r="M636" s="145">
        <v>6.3399999999999998E-2</v>
      </c>
      <c r="N636" s="145">
        <v>0.16200000000000001</v>
      </c>
      <c r="O636" s="145">
        <v>56.042400000000001</v>
      </c>
      <c r="P636" s="145">
        <v>143.19990000000001</v>
      </c>
      <c r="Q636" s="145">
        <v>7.29</v>
      </c>
      <c r="R636" s="145">
        <v>18.2</v>
      </c>
      <c r="S636" s="145">
        <v>287</v>
      </c>
      <c r="T636" s="145">
        <v>16084.18</v>
      </c>
      <c r="U636" s="145"/>
      <c r="V636" s="145"/>
    </row>
    <row r="637" spans="1:22" s="14" customFormat="1" ht="15.75" customHeight="1" x14ac:dyDescent="0.25">
      <c r="A637" s="147">
        <v>272</v>
      </c>
      <c r="B637" s="145" t="s">
        <v>13</v>
      </c>
      <c r="C637" s="145" t="s">
        <v>32</v>
      </c>
      <c r="D637" s="148">
        <v>44733</v>
      </c>
      <c r="E637" s="241" t="s">
        <v>23</v>
      </c>
      <c r="F637" s="241">
        <v>436</v>
      </c>
      <c r="G637" s="241"/>
      <c r="H637" s="145" t="s">
        <v>3201</v>
      </c>
      <c r="I637" s="145"/>
      <c r="J637" s="146" t="s">
        <v>3110</v>
      </c>
      <c r="K637" s="145">
        <v>1826</v>
      </c>
      <c r="L637" s="145" t="s">
        <v>1789</v>
      </c>
      <c r="M637" s="145">
        <v>6.1400000000000003E-2</v>
      </c>
      <c r="N637" s="145">
        <v>0.157</v>
      </c>
      <c r="O637" s="145">
        <v>112.1164</v>
      </c>
      <c r="P637" s="145">
        <v>286.68200000000002</v>
      </c>
      <c r="Q637" s="145">
        <v>14.58</v>
      </c>
      <c r="R637" s="145">
        <v>17.62</v>
      </c>
      <c r="S637" s="145">
        <v>287</v>
      </c>
      <c r="T637" s="145">
        <v>32177.41</v>
      </c>
      <c r="U637" s="145"/>
      <c r="V637" s="145"/>
    </row>
    <row r="638" spans="1:22" ht="15.75" customHeight="1" x14ac:dyDescent="0.25">
      <c r="A638" s="171">
        <v>274</v>
      </c>
      <c r="B638" s="163" t="s">
        <v>34</v>
      </c>
      <c r="C638" s="163" t="s">
        <v>19</v>
      </c>
      <c r="D638" s="172">
        <v>44733</v>
      </c>
      <c r="E638" s="187" t="s">
        <v>23</v>
      </c>
      <c r="F638" s="194"/>
      <c r="G638" s="194">
        <v>2260.6999999999998</v>
      </c>
      <c r="H638" s="163" t="s">
        <v>3200</v>
      </c>
      <c r="I638" s="163"/>
      <c r="J638" s="164" t="s">
        <v>1455</v>
      </c>
      <c r="K638" s="145">
        <v>2279.1999999999998</v>
      </c>
      <c r="L638" s="163" t="s">
        <v>3120</v>
      </c>
      <c r="M638" s="163">
        <v>0.17829999999999999</v>
      </c>
      <c r="N638" s="163">
        <v>0.47499999999999998</v>
      </c>
      <c r="O638" s="163">
        <v>406.38139999999999</v>
      </c>
      <c r="P638" s="163">
        <v>1082.6199999999999</v>
      </c>
      <c r="Q638" s="163">
        <v>52.83</v>
      </c>
      <c r="R638" s="163">
        <v>61.16</v>
      </c>
      <c r="S638" s="163">
        <v>343</v>
      </c>
      <c r="T638" s="163">
        <v>139388.81</v>
      </c>
      <c r="U638" s="163"/>
      <c r="V638" s="163"/>
    </row>
    <row r="639" spans="1:22" s="86" customFormat="1" ht="15.75" customHeight="1" x14ac:dyDescent="0.25">
      <c r="A639" s="158">
        <v>273</v>
      </c>
      <c r="B639" s="159" t="s">
        <v>13</v>
      </c>
      <c r="C639" s="159" t="s">
        <v>2342</v>
      </c>
      <c r="D639" s="160">
        <v>44733</v>
      </c>
      <c r="E639" s="209" t="s">
        <v>23</v>
      </c>
      <c r="F639" s="209"/>
      <c r="G639" s="209">
        <f>112+566</f>
        <v>678</v>
      </c>
      <c r="H639" s="159"/>
      <c r="I639" s="159"/>
      <c r="J639" s="161" t="s">
        <v>85</v>
      </c>
      <c r="K639" s="159">
        <v>3051</v>
      </c>
      <c r="L639" s="159" t="s">
        <v>1685</v>
      </c>
      <c r="M639" s="159">
        <v>0.30480000000000002</v>
      </c>
      <c r="N639" s="159">
        <v>1.4590000000000001</v>
      </c>
      <c r="O639" s="159">
        <v>929.94479999999999</v>
      </c>
      <c r="P639" s="159">
        <v>4451.4089999999997</v>
      </c>
      <c r="Q639" s="159">
        <v>120.89</v>
      </c>
      <c r="R639" s="159">
        <v>96.01</v>
      </c>
      <c r="S639" s="159">
        <v>315</v>
      </c>
      <c r="T639" s="159">
        <v>292926.51</v>
      </c>
      <c r="U639" s="159"/>
      <c r="V639" s="159"/>
    </row>
    <row r="640" spans="1:22" ht="15.75" customHeight="1" x14ac:dyDescent="0.25">
      <c r="A640" s="171">
        <v>273</v>
      </c>
      <c r="B640" s="163" t="s">
        <v>13</v>
      </c>
      <c r="C640" s="163" t="s">
        <v>2342</v>
      </c>
      <c r="D640" s="172">
        <v>44733</v>
      </c>
      <c r="E640" s="194" t="s">
        <v>23</v>
      </c>
      <c r="F640" s="194"/>
      <c r="G640" s="194">
        <v>109</v>
      </c>
      <c r="H640" s="163" t="s">
        <v>1173</v>
      </c>
      <c r="I640" s="163"/>
      <c r="J640" s="164" t="s">
        <v>3121</v>
      </c>
      <c r="K640" s="163">
        <v>423.4</v>
      </c>
      <c r="L640" s="163" t="s">
        <v>3122</v>
      </c>
      <c r="M640" s="163">
        <v>0.30480000000000002</v>
      </c>
      <c r="N640" s="163">
        <v>1.4590000000000001</v>
      </c>
      <c r="O640" s="163">
        <v>129.0523</v>
      </c>
      <c r="P640" s="163">
        <v>617.74059999999997</v>
      </c>
      <c r="Q640" s="163">
        <v>16.78</v>
      </c>
      <c r="R640" s="163">
        <v>96.01</v>
      </c>
      <c r="S640" s="163">
        <v>315</v>
      </c>
      <c r="T640" s="163">
        <v>40650.629999999997</v>
      </c>
      <c r="U640" s="163"/>
      <c r="V640" s="163"/>
    </row>
    <row r="641" spans="1:22" ht="15.75" customHeight="1" x14ac:dyDescent="0.25">
      <c r="A641" s="171" t="s">
        <v>1606</v>
      </c>
      <c r="B641" s="163" t="s">
        <v>13</v>
      </c>
      <c r="C641" s="163" t="s">
        <v>548</v>
      </c>
      <c r="D641" s="172">
        <v>44735</v>
      </c>
      <c r="E641" s="187" t="s">
        <v>23</v>
      </c>
      <c r="F641" s="187"/>
      <c r="G641" s="187">
        <v>72</v>
      </c>
      <c r="H641" s="163" t="s">
        <v>3150</v>
      </c>
      <c r="I641" s="163"/>
      <c r="J641" s="164" t="s">
        <v>3126</v>
      </c>
      <c r="K641" s="145">
        <v>272.8</v>
      </c>
      <c r="L641" s="163">
        <v>80</v>
      </c>
      <c r="M641" s="163"/>
      <c r="N641" s="163"/>
      <c r="O641" s="163"/>
      <c r="P641" s="163"/>
      <c r="Q641" s="163"/>
      <c r="R641" s="163"/>
      <c r="S641" s="163"/>
      <c r="T641" s="163"/>
      <c r="U641" s="163"/>
      <c r="V641" s="163"/>
    </row>
    <row r="642" spans="1:22" ht="15.75" customHeight="1" x14ac:dyDescent="0.25">
      <c r="A642" s="171">
        <v>277</v>
      </c>
      <c r="B642" s="163" t="s">
        <v>34</v>
      </c>
      <c r="C642" s="163" t="s">
        <v>861</v>
      </c>
      <c r="D642" s="172">
        <v>44735</v>
      </c>
      <c r="E642" s="187" t="s">
        <v>23</v>
      </c>
      <c r="F642" s="187"/>
      <c r="G642" s="187"/>
      <c r="H642" s="163" t="s">
        <v>3192</v>
      </c>
      <c r="I642" s="163"/>
      <c r="J642" s="164" t="s">
        <v>2670</v>
      </c>
      <c r="K642" s="145">
        <v>1080</v>
      </c>
      <c r="L642" s="163" t="s">
        <v>203</v>
      </c>
      <c r="M642" s="163">
        <v>0.4803</v>
      </c>
      <c r="N642" s="163">
        <v>1.3580000000000001</v>
      </c>
      <c r="O642" s="163">
        <v>518.72400000000005</v>
      </c>
      <c r="P642" s="163">
        <v>1466.64</v>
      </c>
      <c r="Q642" s="163">
        <v>67.430000000000007</v>
      </c>
      <c r="R642" s="163">
        <v>151.29</v>
      </c>
      <c r="S642" s="163">
        <v>315</v>
      </c>
      <c r="T642" s="163">
        <v>163398.06</v>
      </c>
      <c r="U642" s="163"/>
      <c r="V642" s="163"/>
    </row>
    <row r="643" spans="1:22" s="14" customFormat="1" ht="30.75" customHeight="1" x14ac:dyDescent="0.25">
      <c r="A643" s="147">
        <v>278</v>
      </c>
      <c r="B643" s="145" t="s">
        <v>13</v>
      </c>
      <c r="C643" s="145" t="s">
        <v>2937</v>
      </c>
      <c r="D643" s="148">
        <v>44736</v>
      </c>
      <c r="E643" s="241" t="s">
        <v>23</v>
      </c>
      <c r="F643" s="241"/>
      <c r="G643" s="241">
        <f>34+34+34</f>
        <v>102</v>
      </c>
      <c r="H643" s="145"/>
      <c r="I643" s="145"/>
      <c r="J643" s="146" t="s">
        <v>1114</v>
      </c>
      <c r="K643" s="145">
        <v>630</v>
      </c>
      <c r="L643" s="145">
        <v>105</v>
      </c>
      <c r="M643" s="145">
        <v>0.60040000000000004</v>
      </c>
      <c r="N643" s="145">
        <v>2.5739999999999998</v>
      </c>
      <c r="O643" s="145">
        <v>378.25200000000001</v>
      </c>
      <c r="P643" s="145">
        <v>1621.62</v>
      </c>
      <c r="Q643" s="145">
        <v>49.17</v>
      </c>
      <c r="R643" s="145">
        <v>226.35</v>
      </c>
      <c r="S643" s="145">
        <v>377</v>
      </c>
      <c r="T643" s="145">
        <v>142601</v>
      </c>
      <c r="U643" s="145"/>
      <c r="V643" s="145"/>
    </row>
    <row r="644" spans="1:22" ht="45.75" customHeight="1" x14ac:dyDescent="0.25">
      <c r="A644" s="171" t="s">
        <v>3127</v>
      </c>
      <c r="B644" s="163" t="s">
        <v>34</v>
      </c>
      <c r="C644" s="163" t="s">
        <v>3128</v>
      </c>
      <c r="D644" s="172">
        <v>44736</v>
      </c>
      <c r="E644" s="187" t="s">
        <v>23</v>
      </c>
      <c r="F644" s="187"/>
      <c r="G644" s="187"/>
      <c r="H644" s="163" t="s">
        <v>3181</v>
      </c>
      <c r="I644" s="163"/>
      <c r="J644" s="164" t="s">
        <v>3182</v>
      </c>
      <c r="K644" s="145">
        <v>6508.7</v>
      </c>
      <c r="L644" s="163">
        <v>1067</v>
      </c>
      <c r="M644" s="163">
        <v>0.1229</v>
      </c>
      <c r="N644" s="163"/>
      <c r="O644" s="163">
        <f>Таблица1[[#This Row],[Коли-
чество м.п.]]*Таблица1[[#This Row],[Периметр]]</f>
        <v>799.91922999999997</v>
      </c>
      <c r="P644" s="163"/>
      <c r="Q644" s="163"/>
      <c r="R644" s="163"/>
      <c r="S644" s="163"/>
      <c r="T644" s="163" t="s">
        <v>3129</v>
      </c>
      <c r="U644" s="163"/>
      <c r="V644" s="163"/>
    </row>
    <row r="645" spans="1:22" ht="15.75" customHeight="1" x14ac:dyDescent="0.25">
      <c r="A645" s="171" t="s">
        <v>3130</v>
      </c>
      <c r="B645" s="163" t="s">
        <v>13</v>
      </c>
      <c r="C645" s="163" t="s">
        <v>30</v>
      </c>
      <c r="D645" s="172">
        <v>44738</v>
      </c>
      <c r="E645" s="187" t="s">
        <v>23</v>
      </c>
      <c r="F645" s="187"/>
      <c r="G645" s="187"/>
      <c r="H645" s="163"/>
      <c r="I645" s="163"/>
      <c r="J645" s="164" t="s">
        <v>710</v>
      </c>
      <c r="K645" s="145"/>
      <c r="L645" s="163" t="s">
        <v>178</v>
      </c>
      <c r="M645" s="163"/>
      <c r="N645" s="163"/>
      <c r="O645" s="163"/>
      <c r="P645" s="163"/>
      <c r="Q645" s="163"/>
      <c r="R645" s="163"/>
      <c r="S645" s="163"/>
      <c r="T645" s="163"/>
      <c r="U645" s="163"/>
      <c r="V645" s="163"/>
    </row>
    <row r="646" spans="1:22" ht="15.75" customHeight="1" x14ac:dyDescent="0.25">
      <c r="A646" s="171" t="s">
        <v>3130</v>
      </c>
      <c r="B646" s="163" t="s">
        <v>13</v>
      </c>
      <c r="C646" s="163" t="s">
        <v>30</v>
      </c>
      <c r="D646" s="172">
        <v>44738</v>
      </c>
      <c r="E646" s="187" t="s">
        <v>23</v>
      </c>
      <c r="F646" s="194"/>
      <c r="G646" s="194"/>
      <c r="H646" s="162"/>
      <c r="I646" s="162"/>
      <c r="J646" s="169" t="s">
        <v>711</v>
      </c>
      <c r="K646" s="142"/>
      <c r="L646" s="162" t="s">
        <v>178</v>
      </c>
      <c r="M646" s="162"/>
      <c r="N646" s="162"/>
      <c r="O646" s="162"/>
      <c r="P646" s="162"/>
      <c r="Q646" s="162"/>
      <c r="R646" s="162"/>
      <c r="S646" s="162"/>
      <c r="T646" s="162"/>
      <c r="U646" s="162"/>
      <c r="V646" s="162"/>
    </row>
    <row r="647" spans="1:22" ht="15.75" customHeight="1" x14ac:dyDescent="0.25">
      <c r="A647" s="171" t="s">
        <v>3130</v>
      </c>
      <c r="B647" s="163" t="s">
        <v>13</v>
      </c>
      <c r="C647" s="163" t="s">
        <v>30</v>
      </c>
      <c r="D647" s="172">
        <v>44738</v>
      </c>
      <c r="E647" s="187" t="s">
        <v>23</v>
      </c>
      <c r="F647" s="194"/>
      <c r="G647" s="194"/>
      <c r="H647" s="162"/>
      <c r="I647" s="162"/>
      <c r="J647" s="169" t="s">
        <v>712</v>
      </c>
      <c r="K647" s="142"/>
      <c r="L647" s="162" t="s">
        <v>36</v>
      </c>
      <c r="M647" s="162"/>
      <c r="N647" s="162"/>
      <c r="O647" s="162"/>
      <c r="P647" s="162"/>
      <c r="Q647" s="162"/>
      <c r="R647" s="162"/>
      <c r="S647" s="162"/>
      <c r="T647" s="162"/>
      <c r="U647" s="162"/>
      <c r="V647" s="162"/>
    </row>
    <row r="648" spans="1:22" ht="15.75" customHeight="1" x14ac:dyDescent="0.25">
      <c r="A648" s="171" t="s">
        <v>3130</v>
      </c>
      <c r="B648" s="163" t="s">
        <v>13</v>
      </c>
      <c r="C648" s="163" t="s">
        <v>30</v>
      </c>
      <c r="D648" s="172">
        <v>44738</v>
      </c>
      <c r="E648" s="187" t="s">
        <v>23</v>
      </c>
      <c r="F648" s="194"/>
      <c r="G648" s="194"/>
      <c r="H648" s="162"/>
      <c r="I648" s="162"/>
      <c r="J648" s="169" t="s">
        <v>713</v>
      </c>
      <c r="K648" s="142"/>
      <c r="L648" s="162" t="s">
        <v>250</v>
      </c>
      <c r="M648" s="162"/>
      <c r="N648" s="162"/>
      <c r="O648" s="162"/>
      <c r="P648" s="162"/>
      <c r="Q648" s="162"/>
      <c r="R648" s="162"/>
      <c r="S648" s="162"/>
      <c r="T648" s="162"/>
      <c r="U648" s="162"/>
      <c r="V648" s="162"/>
    </row>
    <row r="649" spans="1:22" ht="15.75" customHeight="1" x14ac:dyDescent="0.25">
      <c r="A649" s="171" t="s">
        <v>3130</v>
      </c>
      <c r="B649" s="163" t="s">
        <v>13</v>
      </c>
      <c r="C649" s="163" t="s">
        <v>30</v>
      </c>
      <c r="D649" s="172">
        <v>44738</v>
      </c>
      <c r="E649" s="187" t="s">
        <v>23</v>
      </c>
      <c r="F649" s="194"/>
      <c r="G649" s="194"/>
      <c r="H649" s="162"/>
      <c r="I649" s="162"/>
      <c r="J649" s="169" t="s">
        <v>714</v>
      </c>
      <c r="K649" s="142"/>
      <c r="L649" s="162" t="s">
        <v>3131</v>
      </c>
      <c r="M649" s="162"/>
      <c r="N649" s="162"/>
      <c r="O649" s="162"/>
      <c r="P649" s="162"/>
      <c r="Q649" s="162"/>
      <c r="R649" s="162"/>
      <c r="S649" s="162"/>
      <c r="T649" s="162"/>
      <c r="U649" s="162"/>
      <c r="V649" s="162"/>
    </row>
    <row r="650" spans="1:22" ht="15.75" customHeight="1" x14ac:dyDescent="0.25">
      <c r="A650" s="171" t="s">
        <v>3130</v>
      </c>
      <c r="B650" s="163" t="s">
        <v>13</v>
      </c>
      <c r="C650" s="163" t="s">
        <v>30</v>
      </c>
      <c r="D650" s="172">
        <v>44738</v>
      </c>
      <c r="E650" s="187" t="s">
        <v>23</v>
      </c>
      <c r="F650" s="194"/>
      <c r="G650" s="194"/>
      <c r="H650" s="162"/>
      <c r="I650" s="162"/>
      <c r="J650" s="169" t="s">
        <v>715</v>
      </c>
      <c r="K650" s="142"/>
      <c r="L650" s="162" t="s">
        <v>3132</v>
      </c>
      <c r="M650" s="162"/>
      <c r="N650" s="162"/>
      <c r="O650" s="162"/>
      <c r="P650" s="162"/>
      <c r="Q650" s="162"/>
      <c r="R650" s="162"/>
      <c r="S650" s="162"/>
      <c r="T650" s="162"/>
      <c r="U650" s="162"/>
      <c r="V650" s="162"/>
    </row>
    <row r="651" spans="1:22" ht="15.75" customHeight="1" x14ac:dyDescent="0.25">
      <c r="A651" s="171" t="s">
        <v>3130</v>
      </c>
      <c r="B651" s="163" t="s">
        <v>13</v>
      </c>
      <c r="C651" s="163" t="s">
        <v>30</v>
      </c>
      <c r="D651" s="172">
        <v>44738</v>
      </c>
      <c r="E651" s="187" t="s">
        <v>23</v>
      </c>
      <c r="F651" s="194"/>
      <c r="G651" s="194"/>
      <c r="H651" s="162"/>
      <c r="I651" s="162"/>
      <c r="J651" s="169" t="s">
        <v>716</v>
      </c>
      <c r="K651" s="142"/>
      <c r="L651" s="162" t="s">
        <v>54</v>
      </c>
      <c r="M651" s="162"/>
      <c r="N651" s="162"/>
      <c r="O651" s="162"/>
      <c r="P651" s="162"/>
      <c r="Q651" s="162"/>
      <c r="R651" s="162"/>
      <c r="S651" s="162"/>
      <c r="T651" s="162"/>
      <c r="U651" s="162"/>
      <c r="V651" s="162"/>
    </row>
    <row r="652" spans="1:22" ht="15.75" customHeight="1" x14ac:dyDescent="0.25">
      <c r="A652" s="171" t="s">
        <v>3130</v>
      </c>
      <c r="B652" s="163" t="s">
        <v>13</v>
      </c>
      <c r="C652" s="163" t="s">
        <v>30</v>
      </c>
      <c r="D652" s="172">
        <v>44738</v>
      </c>
      <c r="E652" s="187" t="s">
        <v>23</v>
      </c>
      <c r="F652" s="194"/>
      <c r="G652" s="194"/>
      <c r="H652" s="162"/>
      <c r="I652" s="162"/>
      <c r="J652" s="169" t="s">
        <v>717</v>
      </c>
      <c r="K652" s="142"/>
      <c r="L652" s="162" t="s">
        <v>54</v>
      </c>
      <c r="M652" s="162"/>
      <c r="N652" s="162"/>
      <c r="O652" s="162"/>
      <c r="P652" s="162"/>
      <c r="Q652" s="162"/>
      <c r="R652" s="162"/>
      <c r="S652" s="162"/>
      <c r="T652" s="162"/>
      <c r="U652" s="162"/>
      <c r="V652" s="162"/>
    </row>
    <row r="653" spans="1:22" ht="15.75" customHeight="1" x14ac:dyDescent="0.25">
      <c r="A653" s="171" t="s">
        <v>3130</v>
      </c>
      <c r="B653" s="163" t="s">
        <v>13</v>
      </c>
      <c r="C653" s="163" t="s">
        <v>30</v>
      </c>
      <c r="D653" s="172">
        <v>44738</v>
      </c>
      <c r="E653" s="187" t="s">
        <v>23</v>
      </c>
      <c r="F653" s="194"/>
      <c r="G653" s="194"/>
      <c r="H653" s="162"/>
      <c r="I653" s="162"/>
      <c r="J653" s="169" t="s">
        <v>718</v>
      </c>
      <c r="K653" s="142"/>
      <c r="L653" s="162" t="s">
        <v>1245</v>
      </c>
      <c r="M653" s="162"/>
      <c r="N653" s="162"/>
      <c r="O653" s="162"/>
      <c r="P653" s="162"/>
      <c r="Q653" s="162"/>
      <c r="R653" s="162"/>
      <c r="S653" s="162"/>
      <c r="T653" s="162"/>
      <c r="U653" s="162"/>
      <c r="V653" s="162"/>
    </row>
    <row r="654" spans="1:22" ht="15.75" customHeight="1" x14ac:dyDescent="0.25">
      <c r="A654" s="171" t="s">
        <v>3130</v>
      </c>
      <c r="B654" s="163" t="s">
        <v>13</v>
      </c>
      <c r="C654" s="163" t="s">
        <v>30</v>
      </c>
      <c r="D654" s="172">
        <v>44738</v>
      </c>
      <c r="E654" s="187" t="s">
        <v>23</v>
      </c>
      <c r="F654" s="187"/>
      <c r="G654" s="187"/>
      <c r="H654" s="162"/>
      <c r="I654" s="162"/>
      <c r="J654" s="169" t="s">
        <v>719</v>
      </c>
      <c r="K654" s="142"/>
      <c r="L654" s="162" t="s">
        <v>3133</v>
      </c>
      <c r="M654" s="162"/>
      <c r="N654" s="162"/>
      <c r="O654" s="162"/>
      <c r="P654" s="162"/>
      <c r="Q654" s="162"/>
      <c r="R654" s="162"/>
      <c r="S654" s="162"/>
      <c r="T654" s="162"/>
      <c r="U654" s="162"/>
      <c r="V654" s="162"/>
    </row>
    <row r="655" spans="1:22" ht="30.75" customHeight="1" x14ac:dyDescent="0.25">
      <c r="A655" s="171" t="s">
        <v>1649</v>
      </c>
      <c r="B655" s="163" t="s">
        <v>34</v>
      </c>
      <c r="C655" s="163" t="s">
        <v>3135</v>
      </c>
      <c r="D655" s="172">
        <v>44739</v>
      </c>
      <c r="E655" s="187" t="s">
        <v>23</v>
      </c>
      <c r="F655" s="187"/>
      <c r="G655" s="187"/>
      <c r="H655" s="163"/>
      <c r="I655" s="163"/>
      <c r="J655" s="164" t="s">
        <v>3136</v>
      </c>
      <c r="K655" s="145"/>
      <c r="L655" s="163"/>
      <c r="M655" s="163"/>
      <c r="N655" s="163"/>
      <c r="O655" s="163"/>
      <c r="P655" s="163"/>
      <c r="Q655" s="163"/>
      <c r="R655" s="163"/>
      <c r="S655" s="163"/>
      <c r="T655" s="163" t="s">
        <v>3137</v>
      </c>
      <c r="U655" s="163"/>
      <c r="V655" s="163"/>
    </row>
    <row r="656" spans="1:22" ht="15.75" customHeight="1" x14ac:dyDescent="0.25">
      <c r="A656" s="171" t="s">
        <v>3134</v>
      </c>
      <c r="B656" s="163" t="s">
        <v>13</v>
      </c>
      <c r="C656" s="163" t="s">
        <v>295</v>
      </c>
      <c r="D656" s="172">
        <v>44740</v>
      </c>
      <c r="E656" s="187" t="s">
        <v>23</v>
      </c>
      <c r="F656" s="187"/>
      <c r="G656" s="187"/>
      <c r="H656" s="163"/>
      <c r="I656" s="163"/>
      <c r="J656" s="164" t="s">
        <v>177</v>
      </c>
      <c r="K656" s="145"/>
      <c r="L656" s="163">
        <v>1</v>
      </c>
      <c r="M656" s="163"/>
      <c r="N656" s="163"/>
      <c r="O656" s="163"/>
      <c r="P656" s="163"/>
      <c r="Q656" s="163"/>
      <c r="R656" s="163"/>
      <c r="S656" s="163"/>
      <c r="T656" s="163">
        <v>10900</v>
      </c>
      <c r="U656" s="163"/>
      <c r="V656" s="163"/>
    </row>
    <row r="657" spans="1:22" ht="15.75" customHeight="1" x14ac:dyDescent="0.25">
      <c r="A657" s="167" t="s">
        <v>1651</v>
      </c>
      <c r="B657" s="163" t="s">
        <v>13</v>
      </c>
      <c r="C657" s="162" t="s">
        <v>3141</v>
      </c>
      <c r="D657" s="172">
        <v>44740</v>
      </c>
      <c r="E657" s="194" t="s">
        <v>677</v>
      </c>
      <c r="F657" s="194"/>
      <c r="G657" s="194"/>
      <c r="H657" s="162" t="s">
        <v>2057</v>
      </c>
      <c r="I657" s="162"/>
      <c r="J657" s="169" t="s">
        <v>3139</v>
      </c>
      <c r="K657" s="142"/>
      <c r="L657" s="162">
        <v>300</v>
      </c>
      <c r="M657" s="162"/>
      <c r="N657" s="162"/>
      <c r="O657" s="162"/>
      <c r="P657" s="162"/>
      <c r="Q657" s="162"/>
      <c r="R657" s="162"/>
      <c r="S657" s="162"/>
      <c r="T657" s="162" t="s">
        <v>3142</v>
      </c>
      <c r="U657" s="162"/>
      <c r="V657" s="162"/>
    </row>
    <row r="658" spans="1:22" ht="15.75" customHeight="1" x14ac:dyDescent="0.25">
      <c r="A658" s="167" t="s">
        <v>1651</v>
      </c>
      <c r="B658" s="163" t="s">
        <v>13</v>
      </c>
      <c r="C658" s="162" t="s">
        <v>3141</v>
      </c>
      <c r="D658" s="172">
        <v>44740</v>
      </c>
      <c r="E658" s="187" t="s">
        <v>677</v>
      </c>
      <c r="F658" s="194"/>
      <c r="G658" s="194"/>
      <c r="H658" s="162" t="s">
        <v>2057</v>
      </c>
      <c r="I658" s="163"/>
      <c r="J658" s="164" t="s">
        <v>3140</v>
      </c>
      <c r="K658" s="145"/>
      <c r="L658" s="163">
        <v>300</v>
      </c>
      <c r="M658" s="163"/>
      <c r="N658" s="163"/>
      <c r="O658" s="163"/>
      <c r="P658" s="163"/>
      <c r="Q658" s="163"/>
      <c r="R658" s="163"/>
      <c r="S658" s="163"/>
      <c r="T658" s="163" t="s">
        <v>3143</v>
      </c>
      <c r="U658" s="163"/>
      <c r="V658" s="163"/>
    </row>
    <row r="659" spans="1:22" ht="15.75" customHeight="1" x14ac:dyDescent="0.25">
      <c r="A659" s="171">
        <v>281</v>
      </c>
      <c r="B659" s="163" t="s">
        <v>34</v>
      </c>
      <c r="C659" s="163" t="s">
        <v>19</v>
      </c>
      <c r="D659" s="172">
        <v>44741</v>
      </c>
      <c r="E659" s="187" t="s">
        <v>23</v>
      </c>
      <c r="F659" s="194"/>
      <c r="G659" s="194">
        <v>105</v>
      </c>
      <c r="H659" s="163"/>
      <c r="I659" s="163"/>
      <c r="J659" s="164" t="s">
        <v>3093</v>
      </c>
      <c r="K659" s="145">
        <v>325.5</v>
      </c>
      <c r="L659" s="163" t="s">
        <v>274</v>
      </c>
      <c r="M659" s="163">
        <v>0.27160000000000001</v>
      </c>
      <c r="N659" s="163">
        <v>0.72799999999999998</v>
      </c>
      <c r="O659" s="163">
        <v>88.405799999999999</v>
      </c>
      <c r="P659" s="163">
        <v>236.964</v>
      </c>
      <c r="Q659" s="163">
        <v>11.49</v>
      </c>
      <c r="R659" s="163">
        <v>93.16</v>
      </c>
      <c r="S659" s="163">
        <v>343</v>
      </c>
      <c r="T659" s="163">
        <v>30323.19</v>
      </c>
      <c r="U659" s="163"/>
      <c r="V659" s="163"/>
    </row>
    <row r="660" spans="1:22" ht="15.75" customHeight="1" x14ac:dyDescent="0.25">
      <c r="A660" s="171">
        <v>282</v>
      </c>
      <c r="B660" s="163" t="s">
        <v>34</v>
      </c>
      <c r="C660" s="163" t="s">
        <v>328</v>
      </c>
      <c r="D660" s="172">
        <v>44741</v>
      </c>
      <c r="E660" s="187" t="s">
        <v>23</v>
      </c>
      <c r="F660" s="194">
        <v>576</v>
      </c>
      <c r="G660" s="194">
        <v>936</v>
      </c>
      <c r="H660" s="163"/>
      <c r="I660" s="163"/>
      <c r="J660" s="164" t="s">
        <v>650</v>
      </c>
      <c r="K660" s="145">
        <v>1512</v>
      </c>
      <c r="L660" s="163" t="s">
        <v>3144</v>
      </c>
      <c r="M660" s="163">
        <v>0.30919999999999997</v>
      </c>
      <c r="N660" s="163">
        <v>1.1000000000000001</v>
      </c>
      <c r="O660" s="163">
        <v>467.5104</v>
      </c>
      <c r="P660" s="163">
        <v>1663.2</v>
      </c>
      <c r="Q660" s="163">
        <v>60.78</v>
      </c>
      <c r="R660" s="163">
        <v>106.06</v>
      </c>
      <c r="S660" s="163">
        <v>343</v>
      </c>
      <c r="T660" s="163">
        <v>160356.07</v>
      </c>
      <c r="U660" s="163"/>
      <c r="V660" s="163"/>
    </row>
    <row r="661" spans="1:22" s="28" customFormat="1" ht="15.75" customHeight="1" x14ac:dyDescent="0.25">
      <c r="A661" s="254">
        <v>283</v>
      </c>
      <c r="B661" s="150" t="s">
        <v>13</v>
      </c>
      <c r="C661" s="150" t="s">
        <v>32</v>
      </c>
      <c r="D661" s="255">
        <v>44741</v>
      </c>
      <c r="E661" s="256" t="s">
        <v>23</v>
      </c>
      <c r="F661" s="258">
        <v>40</v>
      </c>
      <c r="G661" s="258"/>
      <c r="H661" s="150" t="s">
        <v>3208</v>
      </c>
      <c r="I661" s="150"/>
      <c r="J661" s="257" t="s">
        <v>3106</v>
      </c>
      <c r="K661" s="150">
        <v>228.25</v>
      </c>
      <c r="L661" s="150" t="s">
        <v>47</v>
      </c>
      <c r="M661" s="150">
        <v>0.17610000000000001</v>
      </c>
      <c r="N661" s="150">
        <v>1.23</v>
      </c>
      <c r="O661" s="150">
        <v>40.194800000000001</v>
      </c>
      <c r="P661" s="150">
        <v>280.7475</v>
      </c>
      <c r="Q661" s="150">
        <v>5.23</v>
      </c>
      <c r="R661" s="150">
        <v>54.41</v>
      </c>
      <c r="S661" s="150">
        <v>309</v>
      </c>
      <c r="T661" s="150">
        <v>12420.2</v>
      </c>
      <c r="U661" s="150"/>
      <c r="V661" s="150"/>
    </row>
    <row r="662" spans="1:22" s="86" customFormat="1" ht="15.75" customHeight="1" x14ac:dyDescent="0.25">
      <c r="A662" s="158">
        <v>284</v>
      </c>
      <c r="B662" s="179" t="s">
        <v>13</v>
      </c>
      <c r="C662" s="179" t="s">
        <v>32</v>
      </c>
      <c r="D662" s="180">
        <v>44741</v>
      </c>
      <c r="E662" s="209" t="s">
        <v>23</v>
      </c>
      <c r="F662" s="209"/>
      <c r="G662" s="209">
        <v>143</v>
      </c>
      <c r="H662" s="159" t="s">
        <v>3176</v>
      </c>
      <c r="I662" s="159"/>
      <c r="J662" s="161" t="s">
        <v>3145</v>
      </c>
      <c r="K662" s="159">
        <v>878.4</v>
      </c>
      <c r="L662" s="159" t="s">
        <v>465</v>
      </c>
      <c r="M662" s="159">
        <v>0.2964</v>
      </c>
      <c r="N662" s="159">
        <v>0.55500000000000005</v>
      </c>
      <c r="O662" s="159">
        <v>260.3578</v>
      </c>
      <c r="P662" s="159">
        <v>487.512</v>
      </c>
      <c r="Q662" s="159">
        <v>33.85</v>
      </c>
      <c r="R662" s="159">
        <v>91.59</v>
      </c>
      <c r="S662" s="159">
        <v>309</v>
      </c>
      <c r="T662" s="159">
        <v>80450.55</v>
      </c>
      <c r="U662" s="159"/>
      <c r="V662" s="159"/>
    </row>
    <row r="663" spans="1:22" s="14" customFormat="1" ht="15.75" customHeight="1" x14ac:dyDescent="0.25">
      <c r="A663" s="147">
        <v>284</v>
      </c>
      <c r="B663" s="145" t="s">
        <v>13</v>
      </c>
      <c r="C663" s="145" t="s">
        <v>32</v>
      </c>
      <c r="D663" s="148">
        <v>44741</v>
      </c>
      <c r="E663" s="256" t="s">
        <v>23</v>
      </c>
      <c r="F663" s="242">
        <v>212</v>
      </c>
      <c r="G663" s="242"/>
      <c r="H663" s="145" t="s">
        <v>3176</v>
      </c>
      <c r="I663" s="145"/>
      <c r="J663" s="146" t="s">
        <v>3146</v>
      </c>
      <c r="K663" s="145">
        <v>1299.3</v>
      </c>
      <c r="L663" s="145" t="s">
        <v>3119</v>
      </c>
      <c r="M663" s="145">
        <v>0.22839999999999999</v>
      </c>
      <c r="N663" s="145">
        <v>0.42</v>
      </c>
      <c r="O663" s="145">
        <v>296.76010000000002</v>
      </c>
      <c r="P663" s="145">
        <v>545.70600000000002</v>
      </c>
      <c r="Q663" s="145">
        <v>38.58</v>
      </c>
      <c r="R663" s="145">
        <v>70.58</v>
      </c>
      <c r="S663" s="145">
        <v>309</v>
      </c>
      <c r="T663" s="145">
        <v>91698.880000000005</v>
      </c>
      <c r="U663" s="145"/>
      <c r="V663" s="145"/>
    </row>
    <row r="664" spans="1:22" ht="15.75" customHeight="1" x14ac:dyDescent="0.25">
      <c r="A664" s="171">
        <v>285</v>
      </c>
      <c r="B664" s="163" t="s">
        <v>13</v>
      </c>
      <c r="C664" s="163" t="s">
        <v>32</v>
      </c>
      <c r="D664" s="172">
        <v>44741</v>
      </c>
      <c r="E664" s="256" t="s">
        <v>23</v>
      </c>
      <c r="F664" s="187">
        <f>180+101</f>
        <v>281</v>
      </c>
      <c r="G664" s="187"/>
      <c r="H664" s="163" t="s">
        <v>3190</v>
      </c>
      <c r="I664" s="163"/>
      <c r="J664" s="164" t="s">
        <v>2773</v>
      </c>
      <c r="K664" s="145">
        <v>1505.2</v>
      </c>
      <c r="L664" s="163" t="s">
        <v>3147</v>
      </c>
      <c r="M664" s="163">
        <v>0.2651</v>
      </c>
      <c r="N664" s="163">
        <v>0.82099999999999995</v>
      </c>
      <c r="O664" s="163">
        <v>399.02850000000001</v>
      </c>
      <c r="P664" s="163">
        <v>1235.7692</v>
      </c>
      <c r="Q664" s="163">
        <v>51.87</v>
      </c>
      <c r="R664" s="163">
        <v>64.42</v>
      </c>
      <c r="S664" s="163">
        <v>243</v>
      </c>
      <c r="T664" s="163">
        <v>96963.93</v>
      </c>
      <c r="U664" s="163"/>
      <c r="V664" s="163"/>
    </row>
    <row r="665" spans="1:22" s="14" customFormat="1" ht="15.75" customHeight="1" x14ac:dyDescent="0.25">
      <c r="A665" s="147">
        <v>286</v>
      </c>
      <c r="B665" s="145" t="s">
        <v>13</v>
      </c>
      <c r="C665" s="145" t="s">
        <v>32</v>
      </c>
      <c r="D665" s="148">
        <v>44741</v>
      </c>
      <c r="E665" s="241" t="s">
        <v>23</v>
      </c>
      <c r="F665" s="241"/>
      <c r="G665" s="241">
        <f>120+108+50</f>
        <v>278</v>
      </c>
      <c r="H665" s="145" t="s">
        <v>3150</v>
      </c>
      <c r="I665" s="145"/>
      <c r="J665" s="146" t="s">
        <v>2773</v>
      </c>
      <c r="K665" s="145">
        <v>1515.8</v>
      </c>
      <c r="L665" s="145" t="s">
        <v>1092</v>
      </c>
      <c r="M665" s="145">
        <v>0.2651</v>
      </c>
      <c r="N665" s="145">
        <v>0.82099999999999995</v>
      </c>
      <c r="O665" s="145">
        <v>401.83859999999999</v>
      </c>
      <c r="P665" s="145">
        <v>1244.4718</v>
      </c>
      <c r="Q665" s="145">
        <v>52.24</v>
      </c>
      <c r="R665" s="145">
        <v>81.92</v>
      </c>
      <c r="S665" s="145">
        <v>309</v>
      </c>
      <c r="T665" s="145">
        <v>124168.12</v>
      </c>
      <c r="U665" s="145"/>
      <c r="V665" s="145"/>
    </row>
    <row r="666" spans="1:22" ht="15.75" customHeight="1" x14ac:dyDescent="0.25">
      <c r="A666" s="171">
        <v>287</v>
      </c>
      <c r="B666" s="163" t="s">
        <v>13</v>
      </c>
      <c r="C666" s="163" t="s">
        <v>292</v>
      </c>
      <c r="D666" s="172">
        <v>44741</v>
      </c>
      <c r="E666" s="187" t="s">
        <v>23</v>
      </c>
      <c r="F666" s="187"/>
      <c r="G666" s="187">
        <v>461</v>
      </c>
      <c r="H666" s="163"/>
      <c r="I666" s="163"/>
      <c r="J666" s="164" t="s">
        <v>3148</v>
      </c>
      <c r="K666" s="145">
        <v>2305</v>
      </c>
      <c r="L666" s="163" t="s">
        <v>3149</v>
      </c>
      <c r="M666" s="163">
        <v>0.08</v>
      </c>
      <c r="N666" s="163">
        <v>0.20599999999999999</v>
      </c>
      <c r="O666" s="163">
        <v>184.4</v>
      </c>
      <c r="P666" s="163">
        <v>474.83</v>
      </c>
      <c r="Q666" s="163">
        <v>23.97</v>
      </c>
      <c r="R666" s="163">
        <v>25.04</v>
      </c>
      <c r="S666" s="163">
        <v>313</v>
      </c>
      <c r="T666" s="163">
        <v>57717.2</v>
      </c>
      <c r="U666" s="163"/>
      <c r="V666" s="163"/>
    </row>
    <row r="667" spans="1:22" s="14" customFormat="1" ht="15.75" customHeight="1" x14ac:dyDescent="0.25">
      <c r="A667" s="147">
        <v>289</v>
      </c>
      <c r="B667" s="145" t="s">
        <v>13</v>
      </c>
      <c r="C667" s="145" t="s">
        <v>657</v>
      </c>
      <c r="D667" s="148">
        <v>44741</v>
      </c>
      <c r="E667" s="241" t="s">
        <v>23</v>
      </c>
      <c r="F667" s="241"/>
      <c r="G667" s="241"/>
      <c r="H667" s="145"/>
      <c r="I667" s="145"/>
      <c r="J667" s="146" t="s">
        <v>2963</v>
      </c>
      <c r="K667" s="145">
        <v>2082.1999999999998</v>
      </c>
      <c r="L667" s="145" t="s">
        <v>1726</v>
      </c>
      <c r="M667" s="145">
        <v>0.1724</v>
      </c>
      <c r="N667" s="145">
        <v>0.41499999999999998</v>
      </c>
      <c r="O667" s="145">
        <v>358.97129999999999</v>
      </c>
      <c r="P667" s="145">
        <v>864.11300000000006</v>
      </c>
      <c r="Q667" s="145">
        <v>46.67</v>
      </c>
      <c r="R667" s="145">
        <v>54.31</v>
      </c>
      <c r="S667" s="145">
        <v>315</v>
      </c>
      <c r="T667" s="145">
        <v>113075.95</v>
      </c>
      <c r="U667" s="145"/>
      <c r="V667" s="145"/>
    </row>
    <row r="668" spans="1:22" s="14" customFormat="1" ht="15.75" customHeight="1" x14ac:dyDescent="0.25">
      <c r="A668" s="141" t="s">
        <v>1652</v>
      </c>
      <c r="B668" s="145" t="s">
        <v>13</v>
      </c>
      <c r="C668" s="142" t="s">
        <v>30</v>
      </c>
      <c r="D668" s="143">
        <v>44742</v>
      </c>
      <c r="E668" s="242" t="s">
        <v>23</v>
      </c>
      <c r="F668" s="242"/>
      <c r="G668" s="242"/>
      <c r="H668" s="142"/>
      <c r="I668" s="142"/>
      <c r="J668" s="144" t="s">
        <v>214</v>
      </c>
      <c r="K668" s="142"/>
      <c r="L668" s="142" t="s">
        <v>123</v>
      </c>
      <c r="M668" s="142"/>
      <c r="N668" s="142"/>
      <c r="O668" s="142"/>
      <c r="P668" s="142"/>
      <c r="Q668" s="142"/>
      <c r="R668" s="142"/>
      <c r="S668" s="142"/>
      <c r="T668" s="142" t="s">
        <v>493</v>
      </c>
      <c r="U668" s="142"/>
      <c r="V668" s="142"/>
    </row>
    <row r="669" spans="1:22" s="14" customFormat="1" ht="15.75" customHeight="1" x14ac:dyDescent="0.25">
      <c r="A669" s="141" t="s">
        <v>1652</v>
      </c>
      <c r="B669" s="145" t="s">
        <v>13</v>
      </c>
      <c r="C669" s="142" t="s">
        <v>30</v>
      </c>
      <c r="D669" s="143">
        <v>44742</v>
      </c>
      <c r="E669" s="242" t="s">
        <v>23</v>
      </c>
      <c r="F669" s="242"/>
      <c r="G669" s="242"/>
      <c r="H669" s="142"/>
      <c r="I669" s="142"/>
      <c r="J669" s="144" t="s">
        <v>215</v>
      </c>
      <c r="K669" s="142"/>
      <c r="L669" s="142" t="s">
        <v>123</v>
      </c>
      <c r="M669" s="142"/>
      <c r="N669" s="142"/>
      <c r="O669" s="142"/>
      <c r="P669" s="142"/>
      <c r="Q669" s="142"/>
      <c r="R669" s="142"/>
      <c r="S669" s="142"/>
      <c r="T669" s="142" t="s">
        <v>1711</v>
      </c>
      <c r="U669" s="142"/>
      <c r="V669" s="142"/>
    </row>
    <row r="670" spans="1:22" s="14" customFormat="1" ht="15.75" customHeight="1" x14ac:dyDescent="0.25">
      <c r="A670" s="141" t="s">
        <v>1652</v>
      </c>
      <c r="B670" s="145" t="s">
        <v>13</v>
      </c>
      <c r="C670" s="142" t="s">
        <v>30</v>
      </c>
      <c r="D670" s="143">
        <v>44742</v>
      </c>
      <c r="E670" s="242" t="s">
        <v>23</v>
      </c>
      <c r="F670" s="242"/>
      <c r="G670" s="242"/>
      <c r="H670" s="142"/>
      <c r="I670" s="142"/>
      <c r="J670" s="144" t="s">
        <v>216</v>
      </c>
      <c r="K670" s="142"/>
      <c r="L670" s="142" t="s">
        <v>123</v>
      </c>
      <c r="M670" s="142"/>
      <c r="N670" s="142"/>
      <c r="O670" s="142"/>
      <c r="P670" s="142"/>
      <c r="Q670" s="142"/>
      <c r="R670" s="142"/>
      <c r="S670" s="142"/>
      <c r="T670" s="142" t="s">
        <v>1353</v>
      </c>
      <c r="U670" s="142"/>
      <c r="V670" s="142"/>
    </row>
    <row r="671" spans="1:22" s="14" customFormat="1" ht="15.75" customHeight="1" x14ac:dyDescent="0.25">
      <c r="A671" s="141" t="s">
        <v>1652</v>
      </c>
      <c r="B671" s="145" t="s">
        <v>13</v>
      </c>
      <c r="C671" s="142" t="s">
        <v>30</v>
      </c>
      <c r="D671" s="143">
        <v>44742</v>
      </c>
      <c r="E671" s="242" t="s">
        <v>23</v>
      </c>
      <c r="F671" s="242"/>
      <c r="G671" s="242"/>
      <c r="H671" s="142"/>
      <c r="I671" s="142"/>
      <c r="J671" s="144" t="s">
        <v>219</v>
      </c>
      <c r="K671" s="142"/>
      <c r="L671" s="142" t="s">
        <v>123</v>
      </c>
      <c r="M671" s="142"/>
      <c r="N671" s="142"/>
      <c r="O671" s="142"/>
      <c r="P671" s="142"/>
      <c r="Q671" s="142"/>
      <c r="R671" s="142"/>
      <c r="S671" s="142"/>
      <c r="T671" s="142" t="s">
        <v>2577</v>
      </c>
      <c r="U671" s="142"/>
      <c r="V671" s="142"/>
    </row>
    <row r="672" spans="1:22" s="14" customFormat="1" ht="15.75" customHeight="1" x14ac:dyDescent="0.25">
      <c r="A672" s="141" t="s">
        <v>1652</v>
      </c>
      <c r="B672" s="145" t="s">
        <v>13</v>
      </c>
      <c r="C672" s="142" t="s">
        <v>30</v>
      </c>
      <c r="D672" s="143">
        <v>44742</v>
      </c>
      <c r="E672" s="242" t="s">
        <v>23</v>
      </c>
      <c r="F672" s="242"/>
      <c r="G672" s="242"/>
      <c r="H672" s="142"/>
      <c r="I672" s="142"/>
      <c r="J672" s="144" t="s">
        <v>220</v>
      </c>
      <c r="K672" s="142"/>
      <c r="L672" s="142" t="s">
        <v>123</v>
      </c>
      <c r="M672" s="142"/>
      <c r="N672" s="142"/>
      <c r="O672" s="142"/>
      <c r="P672" s="142"/>
      <c r="Q672" s="142"/>
      <c r="R672" s="142"/>
      <c r="S672" s="142"/>
      <c r="T672" s="142" t="s">
        <v>798</v>
      </c>
      <c r="U672" s="142"/>
      <c r="V672" s="142"/>
    </row>
    <row r="673" spans="1:22" s="14" customFormat="1" ht="15.75" customHeight="1" x14ac:dyDescent="0.25">
      <c r="A673" s="141" t="s">
        <v>1652</v>
      </c>
      <c r="B673" s="145" t="s">
        <v>13</v>
      </c>
      <c r="C673" s="142" t="s">
        <v>30</v>
      </c>
      <c r="D673" s="143">
        <v>44742</v>
      </c>
      <c r="E673" s="242" t="s">
        <v>23</v>
      </c>
      <c r="F673" s="242"/>
      <c r="G673" s="242"/>
      <c r="H673" s="145"/>
      <c r="I673" s="145"/>
      <c r="J673" s="146" t="s">
        <v>2728</v>
      </c>
      <c r="K673" s="145"/>
      <c r="L673" s="145" t="s">
        <v>852</v>
      </c>
      <c r="M673" s="145"/>
      <c r="N673" s="145"/>
      <c r="O673" s="145"/>
      <c r="P673" s="145"/>
      <c r="Q673" s="145"/>
      <c r="R673" s="145"/>
      <c r="S673" s="145"/>
      <c r="T673" s="145" t="s">
        <v>3151</v>
      </c>
      <c r="U673" s="145"/>
      <c r="V673" s="145"/>
    </row>
    <row r="674" spans="1:22" s="14" customFormat="1" ht="15.75" customHeight="1" x14ac:dyDescent="0.25">
      <c r="A674" s="141" t="s">
        <v>3152</v>
      </c>
      <c r="B674" s="145" t="s">
        <v>13</v>
      </c>
      <c r="C674" s="142" t="s">
        <v>30</v>
      </c>
      <c r="D674" s="143">
        <v>44742</v>
      </c>
      <c r="E674" s="242" t="s">
        <v>23</v>
      </c>
      <c r="F674" s="242"/>
      <c r="G674" s="242"/>
      <c r="H674" s="142"/>
      <c r="I674" s="142"/>
      <c r="J674" s="144" t="s">
        <v>92</v>
      </c>
      <c r="K674" s="142"/>
      <c r="L674" s="142" t="s">
        <v>75</v>
      </c>
      <c r="M674" s="142"/>
      <c r="N674" s="142"/>
      <c r="O674" s="142"/>
      <c r="P674" s="142"/>
      <c r="Q674" s="142"/>
      <c r="R674" s="142"/>
      <c r="S674" s="142"/>
      <c r="T674" s="142" t="s">
        <v>494</v>
      </c>
      <c r="U674" s="142"/>
      <c r="V674" s="142"/>
    </row>
    <row r="675" spans="1:22" s="14" customFormat="1" ht="15.75" customHeight="1" x14ac:dyDescent="0.25">
      <c r="A675" s="141" t="s">
        <v>3152</v>
      </c>
      <c r="B675" s="145" t="s">
        <v>13</v>
      </c>
      <c r="C675" s="142" t="s">
        <v>30</v>
      </c>
      <c r="D675" s="143">
        <v>44742</v>
      </c>
      <c r="E675" s="242" t="s">
        <v>23</v>
      </c>
      <c r="F675" s="242"/>
      <c r="G675" s="242"/>
      <c r="H675" s="142"/>
      <c r="I675" s="142"/>
      <c r="J675" s="144" t="s">
        <v>95</v>
      </c>
      <c r="K675" s="142"/>
      <c r="L675" s="142" t="s">
        <v>108</v>
      </c>
      <c r="M675" s="142"/>
      <c r="N675" s="142"/>
      <c r="O675" s="142"/>
      <c r="P675" s="142"/>
      <c r="Q675" s="142"/>
      <c r="R675" s="142"/>
      <c r="S675" s="142"/>
      <c r="T675" s="142" t="s">
        <v>3153</v>
      </c>
      <c r="U675" s="142"/>
      <c r="V675" s="142"/>
    </row>
    <row r="676" spans="1:22" s="14" customFormat="1" ht="15.75" customHeight="1" x14ac:dyDescent="0.25">
      <c r="A676" s="141" t="s">
        <v>3152</v>
      </c>
      <c r="B676" s="145" t="s">
        <v>13</v>
      </c>
      <c r="C676" s="142" t="s">
        <v>30</v>
      </c>
      <c r="D676" s="143">
        <v>44742</v>
      </c>
      <c r="E676" s="242" t="s">
        <v>23</v>
      </c>
      <c r="F676" s="242"/>
      <c r="G676" s="242"/>
      <c r="H676" s="142"/>
      <c r="I676" s="142"/>
      <c r="J676" s="144" t="s">
        <v>99</v>
      </c>
      <c r="K676" s="142"/>
      <c r="L676" s="142" t="s">
        <v>125</v>
      </c>
      <c r="M676" s="142"/>
      <c r="N676" s="142"/>
      <c r="O676" s="142"/>
      <c r="P676" s="142"/>
      <c r="Q676" s="142"/>
      <c r="R676" s="142"/>
      <c r="S676" s="142"/>
      <c r="T676" s="142" t="s">
        <v>965</v>
      </c>
      <c r="U676" s="142"/>
      <c r="V676" s="142"/>
    </row>
    <row r="677" spans="1:22" s="14" customFormat="1" ht="15.75" customHeight="1" x14ac:dyDescent="0.25">
      <c r="A677" s="141" t="s">
        <v>3152</v>
      </c>
      <c r="B677" s="145" t="s">
        <v>13</v>
      </c>
      <c r="C677" s="142" t="s">
        <v>30</v>
      </c>
      <c r="D677" s="143">
        <v>44742</v>
      </c>
      <c r="E677" s="242" t="s">
        <v>23</v>
      </c>
      <c r="F677" s="242"/>
      <c r="G677" s="242"/>
      <c r="H677" s="142"/>
      <c r="I677" s="142"/>
      <c r="J677" s="144" t="s">
        <v>94</v>
      </c>
      <c r="K677" s="142"/>
      <c r="L677" s="142" t="s">
        <v>75</v>
      </c>
      <c r="M677" s="142"/>
      <c r="N677" s="142"/>
      <c r="O677" s="142"/>
      <c r="P677" s="142"/>
      <c r="Q677" s="142"/>
      <c r="R677" s="142"/>
      <c r="S677" s="142"/>
      <c r="T677" s="142" t="s">
        <v>494</v>
      </c>
      <c r="U677" s="142"/>
      <c r="V677" s="142"/>
    </row>
    <row r="678" spans="1:22" s="14" customFormat="1" ht="15.75" customHeight="1" x14ac:dyDescent="0.25">
      <c r="A678" s="141" t="s">
        <v>3152</v>
      </c>
      <c r="B678" s="145" t="s">
        <v>13</v>
      </c>
      <c r="C678" s="142" t="s">
        <v>30</v>
      </c>
      <c r="D678" s="143">
        <v>44742</v>
      </c>
      <c r="E678" s="242" t="s">
        <v>23</v>
      </c>
      <c r="F678" s="242"/>
      <c r="G678" s="242"/>
      <c r="H678" s="142"/>
      <c r="I678" s="142"/>
      <c r="J678" s="144" t="s">
        <v>98</v>
      </c>
      <c r="K678" s="142"/>
      <c r="L678" s="142" t="s">
        <v>108</v>
      </c>
      <c r="M678" s="142"/>
      <c r="N678" s="142"/>
      <c r="O678" s="142"/>
      <c r="P678" s="142"/>
      <c r="Q678" s="142"/>
      <c r="R678" s="142"/>
      <c r="S678" s="142"/>
      <c r="T678" s="142" t="s">
        <v>3153</v>
      </c>
      <c r="U678" s="142"/>
      <c r="V678" s="142"/>
    </row>
    <row r="679" spans="1:22" s="14" customFormat="1" ht="15.75" customHeight="1" x14ac:dyDescent="0.25">
      <c r="A679" s="141" t="s">
        <v>3152</v>
      </c>
      <c r="B679" s="145" t="s">
        <v>13</v>
      </c>
      <c r="C679" s="142" t="s">
        <v>30</v>
      </c>
      <c r="D679" s="143">
        <v>44742</v>
      </c>
      <c r="E679" s="242" t="s">
        <v>23</v>
      </c>
      <c r="F679" s="242"/>
      <c r="G679" s="242"/>
      <c r="H679" s="145"/>
      <c r="I679" s="145"/>
      <c r="J679" s="146" t="s">
        <v>102</v>
      </c>
      <c r="K679" s="145"/>
      <c r="L679" s="145" t="s">
        <v>125</v>
      </c>
      <c r="M679" s="145"/>
      <c r="N679" s="145"/>
      <c r="O679" s="145"/>
      <c r="P679" s="145"/>
      <c r="Q679" s="145"/>
      <c r="R679" s="145"/>
      <c r="S679" s="145"/>
      <c r="T679" s="145" t="s">
        <v>965</v>
      </c>
      <c r="U679" s="145"/>
      <c r="V679" s="145"/>
    </row>
    <row r="680" spans="1:22" s="14" customFormat="1" ht="15.75" customHeight="1" x14ac:dyDescent="0.25">
      <c r="A680" s="141" t="s">
        <v>3154</v>
      </c>
      <c r="B680" s="145" t="s">
        <v>13</v>
      </c>
      <c r="C680" s="142" t="s">
        <v>30</v>
      </c>
      <c r="D680" s="143">
        <v>44742</v>
      </c>
      <c r="E680" s="242" t="s">
        <v>23</v>
      </c>
      <c r="F680" s="242"/>
      <c r="G680" s="242"/>
      <c r="H680" s="142"/>
      <c r="I680" s="142"/>
      <c r="J680" s="144" t="s">
        <v>732</v>
      </c>
      <c r="K680" s="142"/>
      <c r="L680" s="142" t="s">
        <v>26</v>
      </c>
      <c r="M680" s="142"/>
      <c r="N680" s="142"/>
      <c r="O680" s="142"/>
      <c r="P680" s="142"/>
      <c r="Q680" s="142"/>
      <c r="R680" s="142"/>
      <c r="S680" s="142"/>
      <c r="T680" s="142" t="s">
        <v>131</v>
      </c>
      <c r="U680" s="142"/>
      <c r="V680" s="142"/>
    </row>
    <row r="681" spans="1:22" s="14" customFormat="1" ht="15.75" customHeight="1" x14ac:dyDescent="0.25">
      <c r="A681" s="141" t="s">
        <v>3154</v>
      </c>
      <c r="B681" s="145" t="s">
        <v>13</v>
      </c>
      <c r="C681" s="142" t="s">
        <v>30</v>
      </c>
      <c r="D681" s="143">
        <v>44742</v>
      </c>
      <c r="E681" s="242" t="s">
        <v>23</v>
      </c>
      <c r="F681" s="242"/>
      <c r="G681" s="242"/>
      <c r="H681" s="142"/>
      <c r="I681" s="142"/>
      <c r="J681" s="144" t="s">
        <v>744</v>
      </c>
      <c r="K681" s="142"/>
      <c r="L681" s="142" t="s">
        <v>226</v>
      </c>
      <c r="M681" s="142"/>
      <c r="N681" s="142"/>
      <c r="O681" s="142"/>
      <c r="P681" s="142"/>
      <c r="Q681" s="142"/>
      <c r="R681" s="142"/>
      <c r="S681" s="142"/>
      <c r="T681" s="142" t="s">
        <v>157</v>
      </c>
      <c r="U681" s="142"/>
      <c r="V681" s="142"/>
    </row>
    <row r="682" spans="1:22" s="14" customFormat="1" ht="15.75" customHeight="1" x14ac:dyDescent="0.25">
      <c r="A682" s="141" t="s">
        <v>3154</v>
      </c>
      <c r="B682" s="145" t="s">
        <v>13</v>
      </c>
      <c r="C682" s="142" t="s">
        <v>30</v>
      </c>
      <c r="D682" s="143">
        <v>44742</v>
      </c>
      <c r="E682" s="242" t="s">
        <v>23</v>
      </c>
      <c r="F682" s="242"/>
      <c r="G682" s="242"/>
      <c r="H682" s="142"/>
      <c r="I682" s="142"/>
      <c r="J682" s="144" t="s">
        <v>745</v>
      </c>
      <c r="K682" s="142"/>
      <c r="L682" s="142" t="s">
        <v>446</v>
      </c>
      <c r="M682" s="142"/>
      <c r="N682" s="142"/>
      <c r="O682" s="142"/>
      <c r="P682" s="142"/>
      <c r="Q682" s="142"/>
      <c r="R682" s="142"/>
      <c r="S682" s="142"/>
      <c r="T682" s="142" t="s">
        <v>467</v>
      </c>
      <c r="U682" s="142"/>
      <c r="V682" s="142"/>
    </row>
    <row r="683" spans="1:22" s="14" customFormat="1" ht="15.75" customHeight="1" x14ac:dyDescent="0.25">
      <c r="A683" s="141" t="s">
        <v>3154</v>
      </c>
      <c r="B683" s="145" t="s">
        <v>13</v>
      </c>
      <c r="C683" s="142" t="s">
        <v>30</v>
      </c>
      <c r="D683" s="143">
        <v>44742</v>
      </c>
      <c r="E683" s="242" t="s">
        <v>23</v>
      </c>
      <c r="F683" s="242"/>
      <c r="G683" s="242"/>
      <c r="H683" s="142"/>
      <c r="I683" s="142"/>
      <c r="J683" s="144" t="s">
        <v>568</v>
      </c>
      <c r="K683" s="142"/>
      <c r="L683" s="142" t="s">
        <v>26</v>
      </c>
      <c r="M683" s="142"/>
      <c r="N683" s="142"/>
      <c r="O683" s="142"/>
      <c r="P683" s="142"/>
      <c r="Q683" s="142"/>
      <c r="R683" s="142"/>
      <c r="S683" s="142"/>
      <c r="T683" s="142" t="s">
        <v>81</v>
      </c>
      <c r="U683" s="142"/>
      <c r="V683" s="142"/>
    </row>
    <row r="684" spans="1:22" s="14" customFormat="1" ht="15.75" customHeight="1" x14ac:dyDescent="0.25">
      <c r="A684" s="141" t="s">
        <v>3154</v>
      </c>
      <c r="B684" s="145" t="s">
        <v>13</v>
      </c>
      <c r="C684" s="142" t="s">
        <v>30</v>
      </c>
      <c r="D684" s="143">
        <v>44742</v>
      </c>
      <c r="E684" s="242" t="s">
        <v>23</v>
      </c>
      <c r="F684" s="242"/>
      <c r="G684" s="242"/>
      <c r="H684" s="142"/>
      <c r="I684" s="142"/>
      <c r="J684" s="144" t="s">
        <v>742</v>
      </c>
      <c r="K684" s="142"/>
      <c r="L684" s="142" t="s">
        <v>123</v>
      </c>
      <c r="M684" s="142"/>
      <c r="N684" s="142"/>
      <c r="O684" s="142"/>
      <c r="P684" s="142"/>
      <c r="Q684" s="142"/>
      <c r="R684" s="142"/>
      <c r="S684" s="142"/>
      <c r="T684" s="142" t="s">
        <v>3156</v>
      </c>
      <c r="U684" s="142"/>
      <c r="V684" s="142"/>
    </row>
    <row r="685" spans="1:22" s="14" customFormat="1" ht="15.75" customHeight="1" x14ac:dyDescent="0.25">
      <c r="A685" s="141" t="s">
        <v>3154</v>
      </c>
      <c r="B685" s="145" t="s">
        <v>13</v>
      </c>
      <c r="C685" s="142" t="s">
        <v>30</v>
      </c>
      <c r="D685" s="143">
        <v>44742</v>
      </c>
      <c r="E685" s="242" t="s">
        <v>23</v>
      </c>
      <c r="F685" s="242"/>
      <c r="G685" s="242"/>
      <c r="H685" s="142"/>
      <c r="I685" s="142"/>
      <c r="J685" s="144" t="s">
        <v>730</v>
      </c>
      <c r="K685" s="142"/>
      <c r="L685" s="142" t="s">
        <v>26</v>
      </c>
      <c r="M685" s="142"/>
      <c r="N685" s="142"/>
      <c r="O685" s="142"/>
      <c r="P685" s="142"/>
      <c r="Q685" s="142"/>
      <c r="R685" s="142"/>
      <c r="S685" s="142"/>
      <c r="T685" s="142" t="s">
        <v>3157</v>
      </c>
      <c r="U685" s="142"/>
      <c r="V685" s="142"/>
    </row>
    <row r="686" spans="1:22" s="14" customFormat="1" ht="15.75" customHeight="1" x14ac:dyDescent="0.25">
      <c r="A686" s="141" t="s">
        <v>3154</v>
      </c>
      <c r="B686" s="145" t="s">
        <v>13</v>
      </c>
      <c r="C686" s="142" t="s">
        <v>30</v>
      </c>
      <c r="D686" s="143">
        <v>44742</v>
      </c>
      <c r="E686" s="242" t="s">
        <v>23</v>
      </c>
      <c r="F686" s="242"/>
      <c r="G686" s="242"/>
      <c r="H686" s="142"/>
      <c r="I686" s="142"/>
      <c r="J686" s="144" t="s">
        <v>731</v>
      </c>
      <c r="K686" s="142"/>
      <c r="L686" s="142" t="s">
        <v>268</v>
      </c>
      <c r="M686" s="142"/>
      <c r="N686" s="142"/>
      <c r="O686" s="142"/>
      <c r="P686" s="142"/>
      <c r="Q686" s="142"/>
      <c r="R686" s="142"/>
      <c r="S686" s="142"/>
      <c r="T686" s="142" t="s">
        <v>3158</v>
      </c>
      <c r="U686" s="142"/>
      <c r="V686" s="142"/>
    </row>
    <row r="687" spans="1:22" s="14" customFormat="1" ht="15.75" customHeight="1" x14ac:dyDescent="0.25">
      <c r="A687" s="141" t="s">
        <v>3154</v>
      </c>
      <c r="B687" s="145" t="s">
        <v>13</v>
      </c>
      <c r="C687" s="142" t="s">
        <v>30</v>
      </c>
      <c r="D687" s="143">
        <v>44742</v>
      </c>
      <c r="E687" s="242" t="s">
        <v>23</v>
      </c>
      <c r="F687" s="242"/>
      <c r="G687" s="242"/>
      <c r="H687" s="142"/>
      <c r="I687" s="142"/>
      <c r="J687" s="144" t="s">
        <v>440</v>
      </c>
      <c r="K687" s="142"/>
      <c r="L687" s="142" t="s">
        <v>26</v>
      </c>
      <c r="M687" s="142"/>
      <c r="N687" s="142"/>
      <c r="O687" s="142"/>
      <c r="P687" s="142"/>
      <c r="Q687" s="142"/>
      <c r="R687" s="142"/>
      <c r="S687" s="142"/>
      <c r="T687" s="142" t="s">
        <v>3159</v>
      </c>
      <c r="U687" s="142"/>
      <c r="V687" s="142"/>
    </row>
    <row r="688" spans="1:22" s="14" customFormat="1" ht="15.75" customHeight="1" x14ac:dyDescent="0.25">
      <c r="A688" s="141" t="s">
        <v>3154</v>
      </c>
      <c r="B688" s="145" t="s">
        <v>13</v>
      </c>
      <c r="C688" s="142" t="s">
        <v>30</v>
      </c>
      <c r="D688" s="143">
        <v>44742</v>
      </c>
      <c r="E688" s="242" t="s">
        <v>23</v>
      </c>
      <c r="F688" s="242"/>
      <c r="G688" s="242"/>
      <c r="H688" s="142"/>
      <c r="I688" s="142"/>
      <c r="J688" s="144" t="s">
        <v>743</v>
      </c>
      <c r="K688" s="142"/>
      <c r="L688" s="142" t="s">
        <v>108</v>
      </c>
      <c r="M688" s="142"/>
      <c r="N688" s="142"/>
      <c r="O688" s="142"/>
      <c r="P688" s="142"/>
      <c r="Q688" s="142"/>
      <c r="R688" s="142"/>
      <c r="S688" s="142"/>
      <c r="T688" s="142" t="s">
        <v>129</v>
      </c>
      <c r="U688" s="142"/>
      <c r="V688" s="142"/>
    </row>
    <row r="689" spans="1:22" s="14" customFormat="1" ht="15.75" customHeight="1" x14ac:dyDescent="0.25">
      <c r="A689" s="141" t="s">
        <v>3154</v>
      </c>
      <c r="B689" s="145" t="s">
        <v>13</v>
      </c>
      <c r="C689" s="142" t="s">
        <v>30</v>
      </c>
      <c r="D689" s="143">
        <v>44742</v>
      </c>
      <c r="E689" s="242" t="s">
        <v>23</v>
      </c>
      <c r="F689" s="242"/>
      <c r="G689" s="242"/>
      <c r="H689" s="142"/>
      <c r="I689" s="142"/>
      <c r="J689" s="144" t="s">
        <v>733</v>
      </c>
      <c r="K689" s="142"/>
      <c r="L689" s="142" t="s">
        <v>123</v>
      </c>
      <c r="M689" s="142"/>
      <c r="N689" s="142"/>
      <c r="O689" s="142"/>
      <c r="P689" s="142"/>
      <c r="Q689" s="142"/>
      <c r="R689" s="142"/>
      <c r="S689" s="142"/>
      <c r="T689" s="142" t="s">
        <v>3160</v>
      </c>
      <c r="U689" s="142"/>
      <c r="V689" s="142"/>
    </row>
    <row r="690" spans="1:22" s="14" customFormat="1" ht="15.75" customHeight="1" x14ac:dyDescent="0.25">
      <c r="A690" s="141" t="s">
        <v>3154</v>
      </c>
      <c r="B690" s="145" t="s">
        <v>13</v>
      </c>
      <c r="C690" s="142" t="s">
        <v>30</v>
      </c>
      <c r="D690" s="143">
        <v>44742</v>
      </c>
      <c r="E690" s="242" t="s">
        <v>23</v>
      </c>
      <c r="F690" s="242"/>
      <c r="G690" s="242"/>
      <c r="H690" s="142"/>
      <c r="I690" s="142"/>
      <c r="J690" s="144" t="s">
        <v>734</v>
      </c>
      <c r="K690" s="142"/>
      <c r="L690" s="142" t="s">
        <v>26</v>
      </c>
      <c r="M690" s="142"/>
      <c r="N690" s="142"/>
      <c r="O690" s="142"/>
      <c r="P690" s="142"/>
      <c r="Q690" s="142"/>
      <c r="R690" s="142"/>
      <c r="S690" s="142"/>
      <c r="T690" s="142" t="s">
        <v>2717</v>
      </c>
      <c r="U690" s="142"/>
      <c r="V690" s="142"/>
    </row>
    <row r="691" spans="1:22" s="14" customFormat="1" ht="15.75" customHeight="1" x14ac:dyDescent="0.25">
      <c r="A691" s="141" t="s">
        <v>3154</v>
      </c>
      <c r="B691" s="145" t="s">
        <v>13</v>
      </c>
      <c r="C691" s="142" t="s">
        <v>30</v>
      </c>
      <c r="D691" s="143">
        <v>44742</v>
      </c>
      <c r="E691" s="242" t="s">
        <v>23</v>
      </c>
      <c r="F691" s="242"/>
      <c r="G691" s="242"/>
      <c r="H691" s="142"/>
      <c r="I691" s="142"/>
      <c r="J691" s="144" t="s">
        <v>735</v>
      </c>
      <c r="K691" s="142"/>
      <c r="L691" s="142" t="s">
        <v>26</v>
      </c>
      <c r="M691" s="142"/>
      <c r="N691" s="142"/>
      <c r="O691" s="142"/>
      <c r="P691" s="142"/>
      <c r="Q691" s="142"/>
      <c r="R691" s="142"/>
      <c r="S691" s="142"/>
      <c r="T691" s="142" t="s">
        <v>3161</v>
      </c>
      <c r="U691" s="142"/>
      <c r="V691" s="142"/>
    </row>
    <row r="692" spans="1:22" s="14" customFormat="1" ht="15.75" customHeight="1" x14ac:dyDescent="0.25">
      <c r="A692" s="141" t="s">
        <v>3154</v>
      </c>
      <c r="B692" s="145" t="s">
        <v>13</v>
      </c>
      <c r="C692" s="142" t="s">
        <v>30</v>
      </c>
      <c r="D692" s="143">
        <v>44742</v>
      </c>
      <c r="E692" s="242" t="s">
        <v>23</v>
      </c>
      <c r="F692" s="242"/>
      <c r="G692" s="242"/>
      <c r="H692" s="142"/>
      <c r="I692" s="142"/>
      <c r="J692" s="144" t="s">
        <v>736</v>
      </c>
      <c r="K692" s="142"/>
      <c r="L692" s="142" t="s">
        <v>26</v>
      </c>
      <c r="M692" s="142"/>
      <c r="N692" s="142"/>
      <c r="O692" s="142"/>
      <c r="P692" s="142"/>
      <c r="Q692" s="142"/>
      <c r="R692" s="142"/>
      <c r="S692" s="142"/>
      <c r="T692" s="142" t="s">
        <v>3162</v>
      </c>
      <c r="U692" s="142"/>
      <c r="V692" s="142"/>
    </row>
    <row r="693" spans="1:22" s="14" customFormat="1" ht="15.75" customHeight="1" x14ac:dyDescent="0.25">
      <c r="A693" s="141" t="s">
        <v>3154</v>
      </c>
      <c r="B693" s="145" t="s">
        <v>13</v>
      </c>
      <c r="C693" s="142" t="s">
        <v>30</v>
      </c>
      <c r="D693" s="143">
        <v>44742</v>
      </c>
      <c r="E693" s="242" t="s">
        <v>23</v>
      </c>
      <c r="F693" s="242"/>
      <c r="G693" s="242"/>
      <c r="H693" s="142"/>
      <c r="I693" s="142"/>
      <c r="J693" s="144" t="s">
        <v>737</v>
      </c>
      <c r="K693" s="142"/>
      <c r="L693" s="142" t="s">
        <v>108</v>
      </c>
      <c r="M693" s="142"/>
      <c r="N693" s="142"/>
      <c r="O693" s="142"/>
      <c r="P693" s="142"/>
      <c r="Q693" s="142"/>
      <c r="R693" s="142"/>
      <c r="S693" s="142"/>
      <c r="T693" s="142" t="s">
        <v>3163</v>
      </c>
      <c r="U693" s="142"/>
      <c r="V693" s="142"/>
    </row>
    <row r="694" spans="1:22" s="14" customFormat="1" ht="15.75" customHeight="1" x14ac:dyDescent="0.25">
      <c r="A694" s="141" t="s">
        <v>3154</v>
      </c>
      <c r="B694" s="145" t="s">
        <v>13</v>
      </c>
      <c r="C694" s="142" t="s">
        <v>30</v>
      </c>
      <c r="D694" s="143">
        <v>44742</v>
      </c>
      <c r="E694" s="242" t="s">
        <v>23</v>
      </c>
      <c r="F694" s="242"/>
      <c r="G694" s="242"/>
      <c r="H694" s="142"/>
      <c r="I694" s="142"/>
      <c r="J694" s="144" t="s">
        <v>738</v>
      </c>
      <c r="K694" s="142"/>
      <c r="L694" s="142" t="s">
        <v>26</v>
      </c>
      <c r="M694" s="142"/>
      <c r="N694" s="142"/>
      <c r="O694" s="142"/>
      <c r="P694" s="142"/>
      <c r="Q694" s="142"/>
      <c r="R694" s="142"/>
      <c r="S694" s="142"/>
      <c r="T694" s="142" t="s">
        <v>84</v>
      </c>
      <c r="U694" s="142"/>
      <c r="V694" s="142"/>
    </row>
    <row r="695" spans="1:22" s="14" customFormat="1" ht="15.75" customHeight="1" x14ac:dyDescent="0.25">
      <c r="A695" s="141" t="s">
        <v>3154</v>
      </c>
      <c r="B695" s="145" t="s">
        <v>13</v>
      </c>
      <c r="C695" s="142" t="s">
        <v>30</v>
      </c>
      <c r="D695" s="143">
        <v>44742</v>
      </c>
      <c r="E695" s="242" t="s">
        <v>23</v>
      </c>
      <c r="F695" s="242"/>
      <c r="G695" s="242"/>
      <c r="H695" s="142"/>
      <c r="I695" s="142"/>
      <c r="J695" s="144" t="s">
        <v>282</v>
      </c>
      <c r="K695" s="142"/>
      <c r="L695" s="142" t="s">
        <v>26</v>
      </c>
      <c r="M695" s="142"/>
      <c r="N695" s="142"/>
      <c r="O695" s="142"/>
      <c r="P695" s="142"/>
      <c r="Q695" s="142"/>
      <c r="R695" s="142"/>
      <c r="S695" s="142"/>
      <c r="T695" s="142" t="s">
        <v>3164</v>
      </c>
      <c r="U695" s="142"/>
      <c r="V695" s="142"/>
    </row>
    <row r="696" spans="1:22" s="14" customFormat="1" ht="15.75" customHeight="1" x14ac:dyDescent="0.25">
      <c r="A696" s="141" t="s">
        <v>3154</v>
      </c>
      <c r="B696" s="145" t="s">
        <v>13</v>
      </c>
      <c r="C696" s="142" t="s">
        <v>30</v>
      </c>
      <c r="D696" s="143">
        <v>44742</v>
      </c>
      <c r="E696" s="242" t="s">
        <v>23</v>
      </c>
      <c r="F696" s="242"/>
      <c r="G696" s="242"/>
      <c r="H696" s="142"/>
      <c r="I696" s="142"/>
      <c r="J696" s="144" t="s">
        <v>739</v>
      </c>
      <c r="K696" s="142"/>
      <c r="L696" s="142" t="s">
        <v>108</v>
      </c>
      <c r="M696" s="142"/>
      <c r="N696" s="142"/>
      <c r="O696" s="142"/>
      <c r="P696" s="142"/>
      <c r="Q696" s="142"/>
      <c r="R696" s="142"/>
      <c r="S696" s="142"/>
      <c r="T696" s="142" t="s">
        <v>3165</v>
      </c>
      <c r="U696" s="142"/>
      <c r="V696" s="142"/>
    </row>
    <row r="697" spans="1:22" s="14" customFormat="1" ht="15.75" customHeight="1" x14ac:dyDescent="0.25">
      <c r="A697" s="141" t="s">
        <v>3154</v>
      </c>
      <c r="B697" s="145" t="s">
        <v>13</v>
      </c>
      <c r="C697" s="142" t="s">
        <v>30</v>
      </c>
      <c r="D697" s="143">
        <v>44742</v>
      </c>
      <c r="E697" s="242" t="s">
        <v>23</v>
      </c>
      <c r="F697" s="242"/>
      <c r="G697" s="242"/>
      <c r="H697" s="142"/>
      <c r="I697" s="142"/>
      <c r="J697" s="144" t="s">
        <v>740</v>
      </c>
      <c r="K697" s="142"/>
      <c r="L697" s="142" t="s">
        <v>193</v>
      </c>
      <c r="M697" s="142"/>
      <c r="N697" s="142"/>
      <c r="O697" s="142"/>
      <c r="P697" s="142"/>
      <c r="Q697" s="142"/>
      <c r="R697" s="142"/>
      <c r="S697" s="142"/>
      <c r="T697" s="142" t="s">
        <v>3166</v>
      </c>
      <c r="U697" s="142"/>
      <c r="V697" s="142"/>
    </row>
    <row r="698" spans="1:22" s="14" customFormat="1" ht="15.75" customHeight="1" x14ac:dyDescent="0.25">
      <c r="A698" s="141" t="s">
        <v>3154</v>
      </c>
      <c r="B698" s="145" t="s">
        <v>13</v>
      </c>
      <c r="C698" s="142" t="s">
        <v>30</v>
      </c>
      <c r="D698" s="143">
        <v>44742</v>
      </c>
      <c r="E698" s="242" t="s">
        <v>23</v>
      </c>
      <c r="F698" s="242"/>
      <c r="G698" s="242"/>
      <c r="H698" s="145"/>
      <c r="I698" s="145"/>
      <c r="J698" s="146" t="s">
        <v>741</v>
      </c>
      <c r="K698" s="145"/>
      <c r="L698" s="145" t="s">
        <v>75</v>
      </c>
      <c r="M698" s="145"/>
      <c r="N698" s="145"/>
      <c r="O698" s="145"/>
      <c r="P698" s="145"/>
      <c r="Q698" s="145"/>
      <c r="R698" s="145"/>
      <c r="S698" s="145"/>
      <c r="T698" s="145" t="s">
        <v>3167</v>
      </c>
      <c r="U698" s="145"/>
      <c r="V698" s="145"/>
    </row>
    <row r="699" spans="1:22" s="14" customFormat="1" ht="15.75" customHeight="1" x14ac:dyDescent="0.25">
      <c r="A699" s="141" t="s">
        <v>3168</v>
      </c>
      <c r="B699" s="145" t="s">
        <v>13</v>
      </c>
      <c r="C699" s="142" t="s">
        <v>30</v>
      </c>
      <c r="D699" s="143">
        <v>44743</v>
      </c>
      <c r="E699" s="242" t="s">
        <v>23</v>
      </c>
      <c r="F699" s="242"/>
      <c r="G699" s="242"/>
      <c r="H699" s="142"/>
      <c r="I699" s="142"/>
      <c r="J699" s="144" t="s">
        <v>871</v>
      </c>
      <c r="K699" s="142"/>
      <c r="L699" s="142">
        <v>89</v>
      </c>
      <c r="M699" s="142"/>
      <c r="N699" s="142"/>
      <c r="O699" s="142"/>
      <c r="P699" s="142"/>
      <c r="Q699" s="142"/>
      <c r="R699" s="142"/>
      <c r="S699" s="142"/>
      <c r="T699" s="142" t="s">
        <v>3169</v>
      </c>
      <c r="U699" s="142"/>
      <c r="V699" s="142"/>
    </row>
    <row r="700" spans="1:22" s="14" customFormat="1" ht="15.75" customHeight="1" x14ac:dyDescent="0.25">
      <c r="A700" s="141" t="s">
        <v>3168</v>
      </c>
      <c r="B700" s="145" t="s">
        <v>13</v>
      </c>
      <c r="C700" s="142" t="s">
        <v>30</v>
      </c>
      <c r="D700" s="148">
        <v>44743</v>
      </c>
      <c r="E700" s="242" t="s">
        <v>23</v>
      </c>
      <c r="F700" s="242"/>
      <c r="G700" s="242"/>
      <c r="H700" s="142"/>
      <c r="I700" s="142"/>
      <c r="J700" s="144" t="s">
        <v>872</v>
      </c>
      <c r="K700" s="142"/>
      <c r="L700" s="142">
        <v>24</v>
      </c>
      <c r="M700" s="142"/>
      <c r="N700" s="142"/>
      <c r="O700" s="142"/>
      <c r="P700" s="142"/>
      <c r="Q700" s="142"/>
      <c r="R700" s="142"/>
      <c r="S700" s="142"/>
      <c r="T700" s="142" t="s">
        <v>2271</v>
      </c>
      <c r="U700" s="142"/>
      <c r="V700" s="142"/>
    </row>
    <row r="701" spans="1:22" ht="15.75" customHeight="1" x14ac:dyDescent="0.25">
      <c r="A701" s="171" t="s">
        <v>1661</v>
      </c>
      <c r="B701" s="163" t="s">
        <v>34</v>
      </c>
      <c r="C701" s="163" t="s">
        <v>3135</v>
      </c>
      <c r="D701" s="172">
        <v>44743</v>
      </c>
      <c r="E701" s="187" t="s">
        <v>23</v>
      </c>
      <c r="F701" s="187"/>
      <c r="G701" s="187"/>
      <c r="H701" s="163" t="s">
        <v>3170</v>
      </c>
      <c r="I701" s="163"/>
      <c r="J701" s="164" t="s">
        <v>25</v>
      </c>
      <c r="K701" s="145"/>
      <c r="L701" s="163"/>
      <c r="M701" s="163"/>
      <c r="N701" s="163"/>
      <c r="O701" s="163"/>
      <c r="P701" s="163"/>
      <c r="Q701" s="163"/>
      <c r="R701" s="163"/>
      <c r="S701" s="163"/>
      <c r="T701" s="163" t="s">
        <v>992</v>
      </c>
      <c r="U701" s="163"/>
      <c r="V701" s="163"/>
    </row>
    <row r="702" spans="1:22" ht="15.75" customHeight="1" x14ac:dyDescent="0.25">
      <c r="A702" s="167">
        <v>292</v>
      </c>
      <c r="B702" s="163" t="s">
        <v>13</v>
      </c>
      <c r="C702" s="162" t="s">
        <v>32</v>
      </c>
      <c r="D702" s="168">
        <v>44747</v>
      </c>
      <c r="E702" s="194" t="s">
        <v>677</v>
      </c>
      <c r="F702" s="194"/>
      <c r="G702" s="194"/>
      <c r="H702" s="162" t="s">
        <v>3206</v>
      </c>
      <c r="I702" s="162"/>
      <c r="J702" s="169" t="s">
        <v>3172</v>
      </c>
      <c r="K702" s="162">
        <v>10.1</v>
      </c>
      <c r="L702" s="162" t="s">
        <v>41</v>
      </c>
      <c r="M702" s="162">
        <v>0.1467</v>
      </c>
      <c r="N702" s="162">
        <v>1.3560000000000001</v>
      </c>
      <c r="O702" s="162">
        <v>1.4817</v>
      </c>
      <c r="P702" s="162">
        <v>13.695600000000001</v>
      </c>
      <c r="Q702" s="162">
        <v>0.19</v>
      </c>
      <c r="R702" s="162">
        <v>42.1</v>
      </c>
      <c r="S702" s="162">
        <v>287</v>
      </c>
      <c r="T702" s="162">
        <v>425.24</v>
      </c>
      <c r="U702" s="162"/>
      <c r="V702" s="162"/>
    </row>
    <row r="703" spans="1:22" ht="15.75" customHeight="1" x14ac:dyDescent="0.25">
      <c r="A703" s="167">
        <v>292</v>
      </c>
      <c r="B703" s="163" t="s">
        <v>13</v>
      </c>
      <c r="C703" s="162" t="s">
        <v>32</v>
      </c>
      <c r="D703" s="168">
        <v>44747</v>
      </c>
      <c r="E703" s="194" t="s">
        <v>677</v>
      </c>
      <c r="F703" s="194"/>
      <c r="G703" s="194"/>
      <c r="H703" s="162" t="s">
        <v>3207</v>
      </c>
      <c r="I703" s="162"/>
      <c r="J703" s="169" t="s">
        <v>3173</v>
      </c>
      <c r="K703" s="162">
        <v>45.2</v>
      </c>
      <c r="L703" s="162" t="s">
        <v>2223</v>
      </c>
      <c r="M703" s="162">
        <v>0.1467</v>
      </c>
      <c r="N703" s="162">
        <v>1.3560000000000001</v>
      </c>
      <c r="O703" s="162">
        <v>6.6307999999999998</v>
      </c>
      <c r="P703" s="162">
        <v>61.291200000000003</v>
      </c>
      <c r="Q703" s="162">
        <v>0.86</v>
      </c>
      <c r="R703" s="162">
        <v>42.1</v>
      </c>
      <c r="S703" s="162">
        <v>287</v>
      </c>
      <c r="T703" s="162">
        <v>1903.05</v>
      </c>
      <c r="U703" s="162"/>
      <c r="V703" s="162"/>
    </row>
    <row r="704" spans="1:22" s="14" customFormat="1" ht="15.75" customHeight="1" x14ac:dyDescent="0.25">
      <c r="A704" s="141">
        <v>292</v>
      </c>
      <c r="B704" s="145" t="s">
        <v>13</v>
      </c>
      <c r="C704" s="142" t="s">
        <v>32</v>
      </c>
      <c r="D704" s="143">
        <v>44747</v>
      </c>
      <c r="E704" s="241" t="s">
        <v>23</v>
      </c>
      <c r="F704" s="242"/>
      <c r="G704" s="242">
        <v>219</v>
      </c>
      <c r="H704" s="145" t="s">
        <v>2391</v>
      </c>
      <c r="I704" s="145"/>
      <c r="J704" s="146" t="s">
        <v>3108</v>
      </c>
      <c r="K704" s="145">
        <v>925.45</v>
      </c>
      <c r="L704" s="145" t="s">
        <v>661</v>
      </c>
      <c r="M704" s="145">
        <v>6.3399999999999998E-2</v>
      </c>
      <c r="N704" s="145">
        <v>0.16200000000000001</v>
      </c>
      <c r="O704" s="145">
        <v>58.673499999999997</v>
      </c>
      <c r="P704" s="145">
        <v>149.9229</v>
      </c>
      <c r="Q704" s="145">
        <v>7.63</v>
      </c>
      <c r="R704" s="145">
        <v>18.2</v>
      </c>
      <c r="S704" s="145">
        <v>287</v>
      </c>
      <c r="T704" s="145">
        <v>16839.3</v>
      </c>
      <c r="U704" s="145"/>
      <c r="V704" s="145"/>
    </row>
    <row r="705" spans="1:22" ht="15.75" customHeight="1" x14ac:dyDescent="0.25">
      <c r="A705" s="171" t="s">
        <v>3174</v>
      </c>
      <c r="B705" s="163" t="s">
        <v>13</v>
      </c>
      <c r="C705" s="163" t="s">
        <v>37</v>
      </c>
      <c r="D705" s="172">
        <v>44748</v>
      </c>
      <c r="E705" s="187" t="s">
        <v>23</v>
      </c>
      <c r="F705" s="194"/>
      <c r="G705" s="194"/>
      <c r="H705" s="163"/>
      <c r="I705" s="163"/>
      <c r="J705" s="164" t="s">
        <v>1308</v>
      </c>
      <c r="K705" s="163">
        <v>900</v>
      </c>
      <c r="L705" s="163">
        <v>300</v>
      </c>
      <c r="M705" s="163"/>
      <c r="N705" s="163"/>
      <c r="O705" s="163"/>
      <c r="P705" s="163"/>
      <c r="Q705" s="163"/>
      <c r="R705" s="163"/>
      <c r="S705" s="163"/>
      <c r="T705" s="163" t="s">
        <v>3175</v>
      </c>
      <c r="U705" s="163"/>
      <c r="V705" s="163"/>
    </row>
    <row r="706" spans="1:22" ht="165.75" customHeight="1" x14ac:dyDescent="0.25">
      <c r="A706" s="171" t="s">
        <v>3178</v>
      </c>
      <c r="B706" s="163" t="s">
        <v>34</v>
      </c>
      <c r="C706" s="163" t="s">
        <v>3128</v>
      </c>
      <c r="D706" s="172">
        <v>44749</v>
      </c>
      <c r="E706" s="187" t="s">
        <v>23</v>
      </c>
      <c r="F706" s="187"/>
      <c r="G706" s="187"/>
      <c r="H706" s="222" t="s">
        <v>3210</v>
      </c>
      <c r="I706" s="172">
        <v>44760</v>
      </c>
      <c r="J706" s="164" t="s">
        <v>3179</v>
      </c>
      <c r="K706" s="145">
        <v>1726.3</v>
      </c>
      <c r="L706" s="163">
        <v>283</v>
      </c>
      <c r="M706" s="163"/>
      <c r="N706" s="163"/>
      <c r="O706" s="163"/>
      <c r="P706" s="163"/>
      <c r="Q706" s="163"/>
      <c r="R706" s="163"/>
      <c r="S706" s="163"/>
      <c r="T706" s="163" t="s">
        <v>3180</v>
      </c>
      <c r="U706" s="163"/>
      <c r="V706" s="163"/>
    </row>
    <row r="707" spans="1:22" ht="15.75" customHeight="1" x14ac:dyDescent="0.25">
      <c r="A707" s="167" t="s">
        <v>3183</v>
      </c>
      <c r="B707" s="145" t="s">
        <v>13</v>
      </c>
      <c r="C707" s="162" t="s">
        <v>43</v>
      </c>
      <c r="D707" s="168">
        <v>44753</v>
      </c>
      <c r="E707" s="194" t="s">
        <v>23</v>
      </c>
      <c r="F707" s="194"/>
      <c r="G707" s="194"/>
      <c r="H707" s="162"/>
      <c r="I707" s="162"/>
      <c r="J707" s="169" t="s">
        <v>551</v>
      </c>
      <c r="K707" s="142" t="s">
        <v>53</v>
      </c>
      <c r="L707" s="162">
        <v>10</v>
      </c>
      <c r="M707" s="162"/>
      <c r="N707" s="162"/>
      <c r="O707" s="162"/>
      <c r="P707" s="162"/>
      <c r="Q707" s="162"/>
      <c r="R707" s="162"/>
      <c r="S707" s="162"/>
      <c r="T707" s="162" t="s">
        <v>3184</v>
      </c>
      <c r="U707" s="162"/>
      <c r="V707" s="162"/>
    </row>
    <row r="708" spans="1:22" ht="15.75" customHeight="1" x14ac:dyDescent="0.25">
      <c r="A708" s="167" t="s">
        <v>3183</v>
      </c>
      <c r="B708" s="145" t="s">
        <v>13</v>
      </c>
      <c r="C708" s="162" t="s">
        <v>43</v>
      </c>
      <c r="D708" s="168">
        <v>44753</v>
      </c>
      <c r="E708" s="194" t="s">
        <v>23</v>
      </c>
      <c r="F708" s="194"/>
      <c r="G708" s="194"/>
      <c r="H708" s="162"/>
      <c r="I708" s="162"/>
      <c r="J708" s="169" t="s">
        <v>760</v>
      </c>
      <c r="K708" s="142" t="s">
        <v>1210</v>
      </c>
      <c r="L708" s="162">
        <v>25</v>
      </c>
      <c r="M708" s="162"/>
      <c r="N708" s="162"/>
      <c r="O708" s="162"/>
      <c r="P708" s="162"/>
      <c r="Q708" s="162"/>
      <c r="R708" s="162"/>
      <c r="S708" s="162"/>
      <c r="T708" s="162" t="s">
        <v>2928</v>
      </c>
      <c r="U708" s="162"/>
      <c r="V708" s="162"/>
    </row>
    <row r="709" spans="1:22" ht="15.75" customHeight="1" x14ac:dyDescent="0.25">
      <c r="A709" s="167" t="s">
        <v>3183</v>
      </c>
      <c r="B709" s="145" t="s">
        <v>13</v>
      </c>
      <c r="C709" s="162" t="s">
        <v>43</v>
      </c>
      <c r="D709" s="168">
        <v>44753</v>
      </c>
      <c r="E709" s="194" t="s">
        <v>23</v>
      </c>
      <c r="F709" s="194"/>
      <c r="G709" s="194"/>
      <c r="H709" s="162"/>
      <c r="I709" s="162"/>
      <c r="J709" s="169" t="s">
        <v>1837</v>
      </c>
      <c r="K709" s="142" t="s">
        <v>96</v>
      </c>
      <c r="L709" s="162">
        <v>12</v>
      </c>
      <c r="M709" s="162"/>
      <c r="N709" s="162"/>
      <c r="O709" s="162"/>
      <c r="P709" s="162"/>
      <c r="Q709" s="162"/>
      <c r="R709" s="162"/>
      <c r="S709" s="162"/>
      <c r="T709" s="162" t="s">
        <v>3185</v>
      </c>
      <c r="U709" s="162"/>
      <c r="V709" s="162"/>
    </row>
    <row r="710" spans="1:22" ht="15.75" customHeight="1" x14ac:dyDescent="0.25">
      <c r="A710" s="167" t="s">
        <v>3183</v>
      </c>
      <c r="B710" s="145" t="s">
        <v>13</v>
      </c>
      <c r="C710" s="162" t="s">
        <v>43</v>
      </c>
      <c r="D710" s="168">
        <v>44753</v>
      </c>
      <c r="E710" s="194" t="s">
        <v>23</v>
      </c>
      <c r="F710" s="194"/>
      <c r="G710" s="194"/>
      <c r="H710" s="162"/>
      <c r="I710" s="162"/>
      <c r="J710" s="169" t="s">
        <v>275</v>
      </c>
      <c r="K710" s="142" t="s">
        <v>36</v>
      </c>
      <c r="L710" s="162">
        <v>24</v>
      </c>
      <c r="M710" s="162"/>
      <c r="N710" s="162"/>
      <c r="O710" s="162"/>
      <c r="P710" s="162"/>
      <c r="Q710" s="162"/>
      <c r="R710" s="162"/>
      <c r="S710" s="162"/>
      <c r="T710" s="162" t="s">
        <v>3186</v>
      </c>
      <c r="U710" s="162"/>
      <c r="V710" s="162"/>
    </row>
    <row r="711" spans="1:22" ht="15.75" customHeight="1" x14ac:dyDescent="0.25">
      <c r="A711" s="167" t="s">
        <v>3183</v>
      </c>
      <c r="B711" s="145" t="s">
        <v>13</v>
      </c>
      <c r="C711" s="162" t="s">
        <v>43</v>
      </c>
      <c r="D711" s="168">
        <v>44753</v>
      </c>
      <c r="E711" s="194" t="s">
        <v>23</v>
      </c>
      <c r="F711" s="194"/>
      <c r="G711" s="194"/>
      <c r="H711" s="163"/>
      <c r="I711" s="163"/>
      <c r="J711" s="164" t="s">
        <v>349</v>
      </c>
      <c r="K711" s="145" t="s">
        <v>103</v>
      </c>
      <c r="L711" s="163">
        <v>36</v>
      </c>
      <c r="M711" s="163"/>
      <c r="N711" s="163"/>
      <c r="O711" s="163"/>
      <c r="P711" s="163"/>
      <c r="Q711" s="163"/>
      <c r="R711" s="163"/>
      <c r="S711" s="163"/>
      <c r="T711" s="163" t="s">
        <v>3187</v>
      </c>
      <c r="U711" s="163"/>
      <c r="V711" s="163"/>
    </row>
    <row r="712" spans="1:22" ht="15.75" customHeight="1" x14ac:dyDescent="0.25">
      <c r="A712" s="171">
        <v>293</v>
      </c>
      <c r="B712" s="163" t="s">
        <v>34</v>
      </c>
      <c r="C712" s="163" t="s">
        <v>79</v>
      </c>
      <c r="D712" s="172">
        <v>44748</v>
      </c>
      <c r="E712" s="187" t="s">
        <v>23</v>
      </c>
      <c r="F712" s="187"/>
      <c r="G712" s="187"/>
      <c r="H712" s="163" t="s">
        <v>1763</v>
      </c>
      <c r="I712" s="163"/>
      <c r="J712" s="164" t="s">
        <v>78</v>
      </c>
      <c r="K712" s="145">
        <v>4356</v>
      </c>
      <c r="L712" s="163" t="s">
        <v>3188</v>
      </c>
      <c r="M712" s="163">
        <v>0.20230000000000001</v>
      </c>
      <c r="N712" s="163">
        <v>0.499</v>
      </c>
      <c r="O712" s="163">
        <v>881.21879999999999</v>
      </c>
      <c r="P712" s="163">
        <v>2173.6439999999998</v>
      </c>
      <c r="Q712" s="163">
        <v>114.56</v>
      </c>
      <c r="R712" s="163">
        <v>44.3</v>
      </c>
      <c r="S712" s="163">
        <v>219</v>
      </c>
      <c r="T712" s="163">
        <v>192986.92</v>
      </c>
      <c r="U712" s="163"/>
      <c r="V712" s="163"/>
    </row>
    <row r="713" spans="1:22" ht="15.75" customHeight="1" x14ac:dyDescent="0.25">
      <c r="A713" s="171">
        <v>295</v>
      </c>
      <c r="B713" s="163" t="s">
        <v>34</v>
      </c>
      <c r="C713" s="163" t="s">
        <v>79</v>
      </c>
      <c r="D713" s="172">
        <v>44753</v>
      </c>
      <c r="E713" s="187" t="s">
        <v>23</v>
      </c>
      <c r="F713" s="187"/>
      <c r="G713" s="187"/>
      <c r="H713" s="163"/>
      <c r="I713" s="163"/>
      <c r="J713" s="164" t="s">
        <v>78</v>
      </c>
      <c r="K713" s="145">
        <v>516</v>
      </c>
      <c r="L713" s="163" t="s">
        <v>3193</v>
      </c>
      <c r="M713" s="163">
        <v>0.20230000000000001</v>
      </c>
      <c r="N713" s="163">
        <v>0.499</v>
      </c>
      <c r="O713" s="163">
        <v>104.38679999999999</v>
      </c>
      <c r="P713" s="163">
        <v>257.48399999999998</v>
      </c>
      <c r="Q713" s="163">
        <v>13.57</v>
      </c>
      <c r="R713" s="163">
        <v>44.3</v>
      </c>
      <c r="S713" s="163">
        <v>219</v>
      </c>
      <c r="T713" s="163">
        <v>22860.71</v>
      </c>
      <c r="U713" s="163"/>
      <c r="V713" s="163"/>
    </row>
    <row r="714" spans="1:22" s="316" customFormat="1" ht="15.75" customHeight="1" x14ac:dyDescent="0.25">
      <c r="A714" s="265" t="s">
        <v>3194</v>
      </c>
      <c r="B714" s="266" t="s">
        <v>13</v>
      </c>
      <c r="C714" s="266" t="s">
        <v>458</v>
      </c>
      <c r="D714" s="273">
        <v>44754</v>
      </c>
      <c r="E714" s="285" t="s">
        <v>677</v>
      </c>
      <c r="F714" s="285"/>
      <c r="G714" s="285"/>
      <c r="H714" s="266" t="s">
        <v>3266</v>
      </c>
      <c r="I714" s="266"/>
      <c r="J714" s="269" t="s">
        <v>555</v>
      </c>
      <c r="K714" s="266"/>
      <c r="L714" s="266">
        <v>450</v>
      </c>
      <c r="M714" s="266"/>
      <c r="N714" s="266"/>
      <c r="O714" s="266"/>
      <c r="P714" s="266"/>
      <c r="Q714" s="266"/>
      <c r="R714" s="266"/>
      <c r="S714" s="266"/>
      <c r="T714" s="266">
        <v>351900</v>
      </c>
      <c r="U714" s="266"/>
      <c r="V714" s="266"/>
    </row>
    <row r="715" spans="1:22" ht="15.75" customHeight="1" x14ac:dyDescent="0.25">
      <c r="A715" s="167" t="s">
        <v>3195</v>
      </c>
      <c r="B715" s="163" t="s">
        <v>13</v>
      </c>
      <c r="C715" s="162" t="s">
        <v>799</v>
      </c>
      <c r="D715" s="168">
        <v>44753</v>
      </c>
      <c r="E715" s="194" t="s">
        <v>23</v>
      </c>
      <c r="F715" s="194"/>
      <c r="G715" s="194"/>
      <c r="H715" s="162"/>
      <c r="I715" s="162"/>
      <c r="J715" s="169" t="s">
        <v>2165</v>
      </c>
      <c r="K715" s="162">
        <v>1657.5</v>
      </c>
      <c r="L715" s="162">
        <v>356</v>
      </c>
      <c r="M715" s="162"/>
      <c r="N715" s="162"/>
      <c r="O715" s="162"/>
      <c r="P715" s="162"/>
      <c r="Q715" s="162"/>
      <c r="R715" s="162"/>
      <c r="S715" s="162"/>
      <c r="T715" s="162" t="s">
        <v>3197</v>
      </c>
      <c r="U715" s="162"/>
      <c r="V715" s="162"/>
    </row>
    <row r="716" spans="1:22" ht="15.75" customHeight="1" x14ac:dyDescent="0.25">
      <c r="A716" s="167" t="s">
        <v>3195</v>
      </c>
      <c r="B716" s="163" t="s">
        <v>13</v>
      </c>
      <c r="C716" s="162" t="s">
        <v>799</v>
      </c>
      <c r="D716" s="168">
        <v>44754</v>
      </c>
      <c r="E716" s="194" t="s">
        <v>23</v>
      </c>
      <c r="F716" s="194"/>
      <c r="G716" s="194"/>
      <c r="H716" s="162"/>
      <c r="I716" s="163"/>
      <c r="J716" s="164" t="s">
        <v>241</v>
      </c>
      <c r="K716" s="163">
        <v>245.31</v>
      </c>
      <c r="L716" s="163"/>
      <c r="M716" s="163"/>
      <c r="N716" s="163"/>
      <c r="O716" s="163"/>
      <c r="P716" s="163"/>
      <c r="Q716" s="163"/>
      <c r="R716" s="163"/>
      <c r="S716" s="163"/>
      <c r="T716" s="163" t="s">
        <v>3198</v>
      </c>
      <c r="U716" s="163"/>
      <c r="V716" s="163"/>
    </row>
    <row r="717" spans="1:22" ht="15.75" customHeight="1" x14ac:dyDescent="0.25">
      <c r="A717" s="171">
        <v>296</v>
      </c>
      <c r="B717" s="163" t="s">
        <v>34</v>
      </c>
      <c r="C717" s="163" t="s">
        <v>201</v>
      </c>
      <c r="D717" s="172">
        <v>44754</v>
      </c>
      <c r="E717" s="187" t="s">
        <v>23</v>
      </c>
      <c r="F717" s="187"/>
      <c r="G717" s="187"/>
      <c r="H717" s="163" t="s">
        <v>3278</v>
      </c>
      <c r="I717" s="163"/>
      <c r="J717" s="164" t="s">
        <v>2561</v>
      </c>
      <c r="K717" s="145">
        <v>606</v>
      </c>
      <c r="L717" s="163" t="s">
        <v>200</v>
      </c>
      <c r="M717" s="163">
        <v>0.31109999999999999</v>
      </c>
      <c r="N717" s="163">
        <v>1.7769999999999999</v>
      </c>
      <c r="O717" s="163">
        <v>188.5266</v>
      </c>
      <c r="P717" s="163">
        <v>1076.8620000000001</v>
      </c>
      <c r="Q717" s="163">
        <v>24.51</v>
      </c>
      <c r="R717" s="163">
        <v>106.71</v>
      </c>
      <c r="S717" s="163">
        <v>343</v>
      </c>
      <c r="T717" s="163">
        <v>64664.62</v>
      </c>
      <c r="U717" s="163"/>
      <c r="V717" s="163"/>
    </row>
    <row r="718" spans="1:22" s="14" customFormat="1" ht="15.75" customHeight="1" x14ac:dyDescent="0.25">
      <c r="A718" s="141" t="s">
        <v>3196</v>
      </c>
      <c r="B718" s="145" t="s">
        <v>13</v>
      </c>
      <c r="C718" s="145" t="s">
        <v>2771</v>
      </c>
      <c r="D718" s="143">
        <v>44754</v>
      </c>
      <c r="E718" s="241" t="s">
        <v>23</v>
      </c>
      <c r="F718" s="242"/>
      <c r="G718" s="242"/>
      <c r="H718" s="145" t="s">
        <v>3212</v>
      </c>
      <c r="I718" s="145"/>
      <c r="J718" s="146" t="s">
        <v>1830</v>
      </c>
      <c r="K718" s="145">
        <v>360</v>
      </c>
      <c r="L718" s="145">
        <v>60</v>
      </c>
      <c r="M718" s="145"/>
      <c r="N718" s="145"/>
      <c r="O718" s="145"/>
      <c r="P718" s="145"/>
      <c r="Q718" s="145"/>
      <c r="R718" s="145"/>
      <c r="S718" s="145"/>
      <c r="T718" s="145">
        <v>29900</v>
      </c>
      <c r="U718" s="145"/>
      <c r="V718" s="145"/>
    </row>
    <row r="719" spans="1:22" ht="15.75" customHeight="1" x14ac:dyDescent="0.25">
      <c r="A719" s="171" t="s">
        <v>3205</v>
      </c>
      <c r="B719" s="163" t="s">
        <v>34</v>
      </c>
      <c r="C719" s="163" t="s">
        <v>284</v>
      </c>
      <c r="D719" s="172">
        <v>44753</v>
      </c>
      <c r="E719" s="187" t="s">
        <v>23</v>
      </c>
      <c r="F719" s="187"/>
      <c r="G719" s="187"/>
      <c r="H719" s="163"/>
      <c r="I719" s="172">
        <v>44757</v>
      </c>
      <c r="J719" s="164" t="s">
        <v>3202</v>
      </c>
      <c r="K719" s="145" t="s">
        <v>3204</v>
      </c>
      <c r="L719" s="163"/>
      <c r="M719" s="163"/>
      <c r="N719" s="163"/>
      <c r="O719" s="163"/>
      <c r="P719" s="163"/>
      <c r="Q719" s="163"/>
      <c r="R719" s="163"/>
      <c r="S719" s="163"/>
      <c r="T719" s="163" t="s">
        <v>3203</v>
      </c>
      <c r="U719" s="163"/>
      <c r="V719" s="163"/>
    </row>
    <row r="720" spans="1:22" ht="15.75" customHeight="1" x14ac:dyDescent="0.25">
      <c r="A720" s="171">
        <v>297</v>
      </c>
      <c r="B720" s="163" t="s">
        <v>13</v>
      </c>
      <c r="C720" s="163" t="s">
        <v>2466</v>
      </c>
      <c r="D720" s="172">
        <v>44757</v>
      </c>
      <c r="E720" s="187" t="s">
        <v>23</v>
      </c>
      <c r="F720" s="194"/>
      <c r="G720" s="194"/>
      <c r="H720" s="163"/>
      <c r="I720" s="163"/>
      <c r="J720" s="164" t="s">
        <v>149</v>
      </c>
      <c r="K720" s="145">
        <v>375</v>
      </c>
      <c r="L720" s="163" t="s">
        <v>3211</v>
      </c>
      <c r="M720" s="163">
        <v>0.18360000000000001</v>
      </c>
      <c r="N720" s="163">
        <v>0.39400000000000002</v>
      </c>
      <c r="O720" s="163">
        <v>68.849999999999994</v>
      </c>
      <c r="P720" s="163">
        <v>147.75</v>
      </c>
      <c r="Q720" s="163">
        <v>8.9499999999999993</v>
      </c>
      <c r="R720" s="163">
        <v>62.97</v>
      </c>
      <c r="S720" s="163">
        <v>343</v>
      </c>
      <c r="T720" s="163">
        <v>23615.55</v>
      </c>
      <c r="U720" s="163"/>
      <c r="V720" s="163"/>
    </row>
    <row r="721" spans="1:22" s="14" customFormat="1" ht="15.75" customHeight="1" x14ac:dyDescent="0.25">
      <c r="A721" s="147" t="s">
        <v>3213</v>
      </c>
      <c r="B721" s="145" t="s">
        <v>13</v>
      </c>
      <c r="C721" s="145" t="s">
        <v>313</v>
      </c>
      <c r="D721" s="148">
        <v>44757</v>
      </c>
      <c r="E721" s="241" t="s">
        <v>23</v>
      </c>
      <c r="F721" s="242"/>
      <c r="G721" s="242"/>
      <c r="H721" s="145"/>
      <c r="I721" s="145"/>
      <c r="J721" s="146" t="s">
        <v>77</v>
      </c>
      <c r="K721" s="145"/>
      <c r="L721" s="145">
        <v>1</v>
      </c>
      <c r="M721" s="145"/>
      <c r="N721" s="145"/>
      <c r="O721" s="145"/>
      <c r="P721" s="145"/>
      <c r="Q721" s="145"/>
      <c r="R721" s="145"/>
      <c r="S721" s="145"/>
      <c r="T721" s="145">
        <v>5900</v>
      </c>
      <c r="U721" s="145"/>
      <c r="V721" s="145"/>
    </row>
    <row r="722" spans="1:22" ht="15.75" customHeight="1" x14ac:dyDescent="0.25">
      <c r="A722" s="171">
        <v>303</v>
      </c>
      <c r="B722" s="163" t="s">
        <v>34</v>
      </c>
      <c r="C722" s="163" t="s">
        <v>893</v>
      </c>
      <c r="D722" s="172">
        <v>44760</v>
      </c>
      <c r="E722" s="187" t="s">
        <v>23</v>
      </c>
      <c r="F722" s="187"/>
      <c r="G722" s="187"/>
      <c r="H722" s="163"/>
      <c r="I722" s="163"/>
      <c r="J722" s="164" t="s">
        <v>639</v>
      </c>
      <c r="K722" s="145">
        <v>312</v>
      </c>
      <c r="L722" s="163" t="s">
        <v>302</v>
      </c>
      <c r="M722" s="163">
        <v>0.35859999999999997</v>
      </c>
      <c r="N722" s="163">
        <v>1.518</v>
      </c>
      <c r="O722" s="163">
        <v>111.8832</v>
      </c>
      <c r="P722" s="163">
        <v>473.61599999999999</v>
      </c>
      <c r="Q722" s="163">
        <v>14.54</v>
      </c>
      <c r="R722" s="163">
        <v>112.96</v>
      </c>
      <c r="S722" s="163">
        <v>315</v>
      </c>
      <c r="T722" s="163">
        <v>35243.21</v>
      </c>
      <c r="U722" s="163"/>
      <c r="V722" s="163"/>
    </row>
    <row r="723" spans="1:22" ht="15.75" customHeight="1" x14ac:dyDescent="0.25">
      <c r="A723" s="167" t="s">
        <v>3223</v>
      </c>
      <c r="B723" s="162" t="s">
        <v>13</v>
      </c>
      <c r="C723" s="162" t="s">
        <v>37</v>
      </c>
      <c r="D723" s="148">
        <v>44757</v>
      </c>
      <c r="E723" s="194" t="s">
        <v>23</v>
      </c>
      <c r="F723" s="194"/>
      <c r="G723" s="194"/>
      <c r="H723" s="162"/>
      <c r="I723" s="162"/>
      <c r="J723" s="169" t="s">
        <v>1152</v>
      </c>
      <c r="K723" s="142"/>
      <c r="L723" s="162">
        <v>24</v>
      </c>
      <c r="M723" s="162"/>
      <c r="N723" s="162"/>
      <c r="O723" s="162"/>
      <c r="P723" s="162"/>
      <c r="Q723" s="162"/>
      <c r="R723" s="162"/>
      <c r="S723" s="162"/>
      <c r="T723" s="162">
        <v>44000</v>
      </c>
      <c r="U723" s="162"/>
      <c r="V723" s="162"/>
    </row>
    <row r="724" spans="1:22" s="14" customFormat="1" ht="15.75" customHeight="1" x14ac:dyDescent="0.25">
      <c r="A724" s="141">
        <v>304</v>
      </c>
      <c r="B724" s="145" t="s">
        <v>13</v>
      </c>
      <c r="C724" s="142" t="s">
        <v>28</v>
      </c>
      <c r="D724" s="143">
        <v>44760</v>
      </c>
      <c r="E724" s="242" t="s">
        <v>23</v>
      </c>
      <c r="F724" s="242"/>
      <c r="G724" s="242">
        <f>60+57</f>
        <v>117</v>
      </c>
      <c r="H724" s="142"/>
      <c r="I724" s="142"/>
      <c r="J724" s="144" t="s">
        <v>2348</v>
      </c>
      <c r="K724" s="142">
        <v>702</v>
      </c>
      <c r="L724" s="142" t="s">
        <v>865</v>
      </c>
      <c r="M724" s="142">
        <v>0.31879999999999997</v>
      </c>
      <c r="N724" s="142">
        <v>0.81100000000000005</v>
      </c>
      <c r="O724" s="142">
        <v>223.79759999999999</v>
      </c>
      <c r="P724" s="142">
        <v>569.322</v>
      </c>
      <c r="Q724" s="142">
        <v>29.09</v>
      </c>
      <c r="R724" s="142">
        <v>109.35</v>
      </c>
      <c r="S724" s="142">
        <v>343</v>
      </c>
      <c r="T724" s="142">
        <v>76762.58</v>
      </c>
      <c r="U724" s="142"/>
      <c r="V724" s="142"/>
    </row>
    <row r="725" spans="1:22" s="14" customFormat="1" ht="15.75" customHeight="1" x14ac:dyDescent="0.25">
      <c r="A725" s="147">
        <v>304</v>
      </c>
      <c r="B725" s="145" t="s">
        <v>13</v>
      </c>
      <c r="C725" s="142" t="s">
        <v>28</v>
      </c>
      <c r="D725" s="143">
        <v>44760</v>
      </c>
      <c r="E725" s="242" t="s">
        <v>23</v>
      </c>
      <c r="F725" s="242"/>
      <c r="G725" s="242">
        <v>299</v>
      </c>
      <c r="H725" s="145"/>
      <c r="I725" s="145"/>
      <c r="J725" s="146" t="s">
        <v>1734</v>
      </c>
      <c r="K725" s="145">
        <v>897</v>
      </c>
      <c r="L725" s="145" t="s">
        <v>3214</v>
      </c>
      <c r="M725" s="145">
        <v>0.14929999999999999</v>
      </c>
      <c r="N725" s="145">
        <v>0.56599999999999995</v>
      </c>
      <c r="O725" s="145">
        <v>133.9221</v>
      </c>
      <c r="P725" s="145">
        <v>507.702</v>
      </c>
      <c r="Q725" s="145">
        <v>17.41</v>
      </c>
      <c r="R725" s="145">
        <v>51.21</v>
      </c>
      <c r="S725" s="145">
        <v>343</v>
      </c>
      <c r="T725" s="145">
        <v>45935.28</v>
      </c>
      <c r="U725" s="145"/>
      <c r="V725" s="145"/>
    </row>
    <row r="726" spans="1:22" s="14" customFormat="1" ht="15.75" customHeight="1" x14ac:dyDescent="0.25">
      <c r="A726" s="147">
        <v>305</v>
      </c>
      <c r="B726" s="145" t="s">
        <v>13</v>
      </c>
      <c r="C726" s="145" t="s">
        <v>37</v>
      </c>
      <c r="D726" s="143">
        <v>44760</v>
      </c>
      <c r="E726" s="241" t="s">
        <v>23</v>
      </c>
      <c r="F726" s="242"/>
      <c r="G726" s="242"/>
      <c r="H726" s="145"/>
      <c r="I726" s="145"/>
      <c r="J726" s="146" t="s">
        <v>3215</v>
      </c>
      <c r="K726" s="145">
        <v>396</v>
      </c>
      <c r="L726" s="145" t="s">
        <v>351</v>
      </c>
      <c r="M726" s="145">
        <v>0.1246</v>
      </c>
      <c r="N726" s="145">
        <v>0.51500000000000001</v>
      </c>
      <c r="O726" s="145">
        <v>49.3416</v>
      </c>
      <c r="P726" s="145">
        <v>203.94</v>
      </c>
      <c r="Q726" s="145">
        <v>6.41</v>
      </c>
      <c r="R726" s="145" t="s">
        <v>17</v>
      </c>
      <c r="S726" s="145" t="s">
        <v>17</v>
      </c>
      <c r="T726" s="145" t="s">
        <v>17</v>
      </c>
      <c r="U726" s="145"/>
      <c r="V726" s="145"/>
    </row>
    <row r="727" spans="1:22" s="14" customFormat="1" ht="15.75" customHeight="1" x14ac:dyDescent="0.25">
      <c r="A727" s="141">
        <v>306</v>
      </c>
      <c r="B727" s="145" t="s">
        <v>13</v>
      </c>
      <c r="C727" s="142" t="s">
        <v>32</v>
      </c>
      <c r="D727" s="143">
        <v>44760</v>
      </c>
      <c r="E727" s="242" t="s">
        <v>23</v>
      </c>
      <c r="F727" s="242"/>
      <c r="G727" s="242">
        <v>27</v>
      </c>
      <c r="H727" s="142"/>
      <c r="I727" s="142"/>
      <c r="J727" s="144" t="s">
        <v>3216</v>
      </c>
      <c r="K727" s="142">
        <v>119</v>
      </c>
      <c r="L727" s="142" t="s">
        <v>228</v>
      </c>
      <c r="M727" s="142">
        <v>0.1467</v>
      </c>
      <c r="N727" s="142">
        <v>1.3560000000000001</v>
      </c>
      <c r="O727" s="142">
        <v>17.4573</v>
      </c>
      <c r="P727" s="142">
        <v>161.364</v>
      </c>
      <c r="Q727" s="142">
        <v>2.27</v>
      </c>
      <c r="R727" s="142">
        <v>45.33</v>
      </c>
      <c r="S727" s="142">
        <v>309</v>
      </c>
      <c r="T727" s="142">
        <v>5394.31</v>
      </c>
      <c r="U727" s="142"/>
      <c r="V727" s="142"/>
    </row>
    <row r="728" spans="1:22" ht="15.75" customHeight="1" x14ac:dyDescent="0.25">
      <c r="A728" s="167">
        <v>306</v>
      </c>
      <c r="B728" s="163" t="s">
        <v>13</v>
      </c>
      <c r="C728" s="162" t="s">
        <v>32</v>
      </c>
      <c r="D728" s="168">
        <v>44760</v>
      </c>
      <c r="E728" s="194" t="s">
        <v>23</v>
      </c>
      <c r="F728" s="194"/>
      <c r="G728" s="194"/>
      <c r="H728" s="162"/>
      <c r="I728" s="162"/>
      <c r="J728" s="169" t="s">
        <v>3217</v>
      </c>
      <c r="K728" s="162">
        <v>125.55</v>
      </c>
      <c r="L728" s="162" t="s">
        <v>208</v>
      </c>
      <c r="M728" s="162">
        <v>0.1467</v>
      </c>
      <c r="N728" s="162">
        <v>1.3560000000000001</v>
      </c>
      <c r="O728" s="162">
        <v>18.418199999999999</v>
      </c>
      <c r="P728" s="162">
        <v>170.2458</v>
      </c>
      <c r="Q728" s="162">
        <v>2.39</v>
      </c>
      <c r="R728" s="162">
        <v>45.33</v>
      </c>
      <c r="S728" s="162">
        <v>309</v>
      </c>
      <c r="T728" s="162">
        <v>5691.22</v>
      </c>
      <c r="U728" s="162"/>
      <c r="V728" s="162"/>
    </row>
    <row r="729" spans="1:22" ht="15.75" customHeight="1" x14ac:dyDescent="0.25">
      <c r="A729" s="167">
        <v>306</v>
      </c>
      <c r="B729" s="163" t="s">
        <v>13</v>
      </c>
      <c r="C729" s="162" t="s">
        <v>32</v>
      </c>
      <c r="D729" s="168">
        <v>44760</v>
      </c>
      <c r="E729" s="194" t="s">
        <v>23</v>
      </c>
      <c r="F729" s="194"/>
      <c r="G729" s="194"/>
      <c r="H729" s="162"/>
      <c r="I729" s="162"/>
      <c r="J729" s="169" t="s">
        <v>3172</v>
      </c>
      <c r="K729" s="162">
        <v>146.44999999999999</v>
      </c>
      <c r="L729" s="162" t="s">
        <v>360</v>
      </c>
      <c r="M729" s="162">
        <v>0.1467</v>
      </c>
      <c r="N729" s="162">
        <v>1.3560000000000001</v>
      </c>
      <c r="O729" s="162">
        <v>21.484200000000001</v>
      </c>
      <c r="P729" s="162">
        <v>198.58619999999999</v>
      </c>
      <c r="Q729" s="162">
        <v>2.79</v>
      </c>
      <c r="R729" s="162">
        <v>45.33</v>
      </c>
      <c r="S729" s="162">
        <v>309</v>
      </c>
      <c r="T729" s="162">
        <v>6638.62</v>
      </c>
      <c r="U729" s="162"/>
      <c r="V729" s="162"/>
    </row>
    <row r="730" spans="1:22" ht="15.75" customHeight="1" x14ac:dyDescent="0.25">
      <c r="A730" s="167">
        <v>306</v>
      </c>
      <c r="B730" s="163" t="s">
        <v>13</v>
      </c>
      <c r="C730" s="162" t="s">
        <v>32</v>
      </c>
      <c r="D730" s="168">
        <v>44760</v>
      </c>
      <c r="E730" s="194" t="s">
        <v>23</v>
      </c>
      <c r="F730" s="194"/>
      <c r="G730" s="194"/>
      <c r="H730" s="163"/>
      <c r="I730" s="163"/>
      <c r="J730" s="164" t="s">
        <v>3173</v>
      </c>
      <c r="K730" s="163">
        <v>141.25</v>
      </c>
      <c r="L730" s="163" t="s">
        <v>1393</v>
      </c>
      <c r="M730" s="163">
        <v>0.1467</v>
      </c>
      <c r="N730" s="163">
        <v>1.3560000000000001</v>
      </c>
      <c r="O730" s="163">
        <v>20.721399999999999</v>
      </c>
      <c r="P730" s="163">
        <v>191.535</v>
      </c>
      <c r="Q730" s="163">
        <v>2.69</v>
      </c>
      <c r="R730" s="163">
        <v>45.33</v>
      </c>
      <c r="S730" s="163">
        <v>309</v>
      </c>
      <c r="T730" s="163">
        <v>6402.9</v>
      </c>
      <c r="U730" s="163"/>
      <c r="V730" s="163"/>
    </row>
    <row r="731" spans="1:22" s="14" customFormat="1" ht="15.75" customHeight="1" x14ac:dyDescent="0.25">
      <c r="A731" s="147">
        <v>307</v>
      </c>
      <c r="B731" s="145" t="s">
        <v>13</v>
      </c>
      <c r="C731" s="142" t="s">
        <v>32</v>
      </c>
      <c r="D731" s="143">
        <v>44760</v>
      </c>
      <c r="E731" s="241" t="s">
        <v>23</v>
      </c>
      <c r="F731" s="242"/>
      <c r="G731" s="242">
        <v>118</v>
      </c>
      <c r="H731" s="145" t="s">
        <v>1973</v>
      </c>
      <c r="I731" s="145"/>
      <c r="J731" s="146" t="s">
        <v>2773</v>
      </c>
      <c r="K731" s="145">
        <v>625.4</v>
      </c>
      <c r="L731" s="145" t="s">
        <v>654</v>
      </c>
      <c r="M731" s="145">
        <v>0.2651</v>
      </c>
      <c r="N731" s="145">
        <v>0.82099999999999995</v>
      </c>
      <c r="O731" s="145">
        <v>165.79349999999999</v>
      </c>
      <c r="P731" s="145">
        <v>513.45339999999999</v>
      </c>
      <c r="Q731" s="145">
        <v>21.55</v>
      </c>
      <c r="R731" s="145">
        <v>64.42</v>
      </c>
      <c r="S731" s="145">
        <v>243</v>
      </c>
      <c r="T731" s="145">
        <v>40287.83</v>
      </c>
      <c r="U731" s="145"/>
      <c r="V731" s="145"/>
    </row>
    <row r="732" spans="1:22" s="14" customFormat="1" ht="15.75" customHeight="1" x14ac:dyDescent="0.25">
      <c r="A732" s="147">
        <v>308</v>
      </c>
      <c r="B732" s="145" t="s">
        <v>13</v>
      </c>
      <c r="C732" s="142" t="s">
        <v>32</v>
      </c>
      <c r="D732" s="143">
        <v>44760</v>
      </c>
      <c r="E732" s="241" t="s">
        <v>23</v>
      </c>
      <c r="F732" s="242">
        <v>497</v>
      </c>
      <c r="G732" s="242">
        <v>1</v>
      </c>
      <c r="H732" s="145" t="s">
        <v>3150</v>
      </c>
      <c r="I732" s="145"/>
      <c r="J732" s="146" t="s">
        <v>2773</v>
      </c>
      <c r="K732" s="145">
        <v>2681.8</v>
      </c>
      <c r="L732" s="145" t="s">
        <v>2282</v>
      </c>
      <c r="M732" s="145">
        <v>0.2651</v>
      </c>
      <c r="N732" s="145">
        <v>0.82099999999999995</v>
      </c>
      <c r="O732" s="145">
        <v>710.9452</v>
      </c>
      <c r="P732" s="145">
        <v>2201.7577999999999</v>
      </c>
      <c r="Q732" s="145">
        <v>92.42</v>
      </c>
      <c r="R732" s="145">
        <v>81.92</v>
      </c>
      <c r="S732" s="145">
        <v>309</v>
      </c>
      <c r="T732" s="145">
        <v>219682.06</v>
      </c>
      <c r="U732" s="145"/>
      <c r="V732" s="145"/>
    </row>
    <row r="733" spans="1:22" s="316" customFormat="1" ht="15.75" customHeight="1" x14ac:dyDescent="0.25">
      <c r="A733" s="265">
        <v>309</v>
      </c>
      <c r="B733" s="266" t="s">
        <v>13</v>
      </c>
      <c r="C733" s="266" t="s">
        <v>595</v>
      </c>
      <c r="D733" s="267">
        <v>44760</v>
      </c>
      <c r="E733" s="268" t="s">
        <v>677</v>
      </c>
      <c r="F733" s="268"/>
      <c r="G733" s="268"/>
      <c r="H733" s="266"/>
      <c r="I733" s="266"/>
      <c r="J733" s="269" t="s">
        <v>3218</v>
      </c>
      <c r="K733" s="266">
        <v>72</v>
      </c>
      <c r="L733" s="266" t="s">
        <v>171</v>
      </c>
      <c r="M733" s="266">
        <v>0.1479</v>
      </c>
      <c r="N733" s="266">
        <v>0.40899999999999997</v>
      </c>
      <c r="O733" s="266">
        <v>10.6488</v>
      </c>
      <c r="P733" s="266">
        <v>29.448</v>
      </c>
      <c r="Q733" s="266">
        <v>1.38</v>
      </c>
      <c r="R733" s="266">
        <v>49.55</v>
      </c>
      <c r="S733" s="266">
        <v>335</v>
      </c>
      <c r="T733" s="266">
        <v>3567.35</v>
      </c>
      <c r="U733" s="266"/>
      <c r="V733" s="266"/>
    </row>
    <row r="734" spans="1:22" s="14" customFormat="1" ht="15.75" customHeight="1" x14ac:dyDescent="0.25">
      <c r="A734" s="141">
        <v>310</v>
      </c>
      <c r="B734" s="142" t="s">
        <v>34</v>
      </c>
      <c r="C734" s="142" t="s">
        <v>3227</v>
      </c>
      <c r="D734" s="143">
        <v>44763</v>
      </c>
      <c r="E734" s="242" t="s">
        <v>23</v>
      </c>
      <c r="F734" s="241"/>
      <c r="G734" s="241"/>
      <c r="H734" s="142"/>
      <c r="I734" s="142"/>
      <c r="J734" s="144" t="s">
        <v>3226</v>
      </c>
      <c r="K734" s="142">
        <v>28</v>
      </c>
      <c r="L734" s="142" t="s">
        <v>17</v>
      </c>
      <c r="M734" s="142" t="s">
        <v>17</v>
      </c>
      <c r="N734" s="142" t="s">
        <v>17</v>
      </c>
      <c r="O734" s="142" t="s">
        <v>17</v>
      </c>
      <c r="P734" s="142" t="s">
        <v>17</v>
      </c>
      <c r="Q734" s="142" t="s">
        <v>17</v>
      </c>
      <c r="R734" s="142">
        <v>458.67</v>
      </c>
      <c r="S734" s="142">
        <v>336.4</v>
      </c>
      <c r="T734" s="142">
        <v>12842.76</v>
      </c>
      <c r="U734" s="142"/>
      <c r="V734" s="142"/>
    </row>
    <row r="735" spans="1:22" ht="15.75" customHeight="1" x14ac:dyDescent="0.25">
      <c r="A735" s="171" t="s">
        <v>3220</v>
      </c>
      <c r="B735" s="163" t="s">
        <v>13</v>
      </c>
      <c r="C735" s="163" t="s">
        <v>43</v>
      </c>
      <c r="D735" s="172">
        <v>44761</v>
      </c>
      <c r="E735" s="187" t="s">
        <v>23</v>
      </c>
      <c r="F735" s="187"/>
      <c r="G735" s="187"/>
      <c r="H735" s="163"/>
      <c r="I735" s="163"/>
      <c r="J735" s="164" t="s">
        <v>2022</v>
      </c>
      <c r="K735" s="163">
        <v>367.2</v>
      </c>
      <c r="L735" s="163">
        <v>72</v>
      </c>
      <c r="M735" s="163"/>
      <c r="N735" s="163"/>
      <c r="O735" s="163"/>
      <c r="P735" s="163"/>
      <c r="Q735" s="163"/>
      <c r="R735" s="163"/>
      <c r="S735" s="163"/>
      <c r="T735" s="163">
        <v>25070</v>
      </c>
      <c r="U735" s="163"/>
      <c r="V735" s="163"/>
    </row>
    <row r="736" spans="1:22" s="71" customFormat="1" ht="15.75" customHeight="1" x14ac:dyDescent="0.25">
      <c r="A736" s="212" t="s">
        <v>3222</v>
      </c>
      <c r="B736" s="213" t="s">
        <v>13</v>
      </c>
      <c r="C736" s="213" t="s">
        <v>2771</v>
      </c>
      <c r="D736" s="214">
        <v>44761</v>
      </c>
      <c r="E736" s="215" t="s">
        <v>677</v>
      </c>
      <c r="F736" s="215"/>
      <c r="G736" s="215"/>
      <c r="H736" s="213"/>
      <c r="I736" s="213"/>
      <c r="J736" s="216" t="s">
        <v>3221</v>
      </c>
      <c r="K736" s="213">
        <v>240</v>
      </c>
      <c r="L736" s="213">
        <v>40</v>
      </c>
      <c r="M736" s="213"/>
      <c r="N736" s="213"/>
      <c r="O736" s="213"/>
      <c r="P736" s="213"/>
      <c r="Q736" s="213"/>
      <c r="R736" s="213"/>
      <c r="S736" s="213"/>
      <c r="T736" s="213">
        <v>12535</v>
      </c>
      <c r="U736" s="213"/>
      <c r="V736" s="213"/>
    </row>
    <row r="737" spans="1:22" s="86" customFormat="1" ht="15.75" customHeight="1" x14ac:dyDescent="0.25">
      <c r="A737" s="178" t="s">
        <v>3225</v>
      </c>
      <c r="B737" s="179" t="s">
        <v>13</v>
      </c>
      <c r="C737" s="179" t="s">
        <v>548</v>
      </c>
      <c r="D737" s="180">
        <v>44761</v>
      </c>
      <c r="E737" s="195" t="s">
        <v>23</v>
      </c>
      <c r="F737" s="195"/>
      <c r="G737" s="195"/>
      <c r="H737" s="179" t="s">
        <v>1592</v>
      </c>
      <c r="I737" s="179"/>
      <c r="J737" s="181" t="s">
        <v>3224</v>
      </c>
      <c r="K737" s="179">
        <v>555.9</v>
      </c>
      <c r="L737" s="179">
        <v>170</v>
      </c>
      <c r="M737" s="179"/>
      <c r="N737" s="179"/>
      <c r="O737" s="179"/>
      <c r="P737" s="179"/>
      <c r="Q737" s="179"/>
      <c r="R737" s="179"/>
      <c r="S737" s="179"/>
      <c r="T737" s="179">
        <v>144500</v>
      </c>
      <c r="U737" s="179"/>
      <c r="V737" s="179"/>
    </row>
    <row r="738" spans="1:22" ht="15.75" customHeight="1" x14ac:dyDescent="0.25">
      <c r="A738" s="171">
        <v>312</v>
      </c>
      <c r="B738" s="163" t="s">
        <v>34</v>
      </c>
      <c r="C738" s="163" t="s">
        <v>3227</v>
      </c>
      <c r="D738" s="172">
        <v>44763</v>
      </c>
      <c r="E738" s="187" t="s">
        <v>23</v>
      </c>
      <c r="F738" s="187"/>
      <c r="G738" s="187"/>
      <c r="H738" s="163"/>
      <c r="I738" s="163"/>
      <c r="J738" s="164" t="s">
        <v>3226</v>
      </c>
      <c r="K738" s="145">
        <v>32</v>
      </c>
      <c r="L738" s="163" t="s">
        <v>207</v>
      </c>
      <c r="M738" s="163">
        <v>1.3633999999999999</v>
      </c>
      <c r="N738" s="163">
        <v>5.3570000000000002</v>
      </c>
      <c r="O738" s="163">
        <v>43.628799999999998</v>
      </c>
      <c r="P738" s="163">
        <v>171.42400000000001</v>
      </c>
      <c r="Q738" s="163">
        <v>5.67</v>
      </c>
      <c r="R738" s="163">
        <v>458.67</v>
      </c>
      <c r="S738" s="142">
        <v>336.42</v>
      </c>
      <c r="T738" s="163">
        <v>14677.6</v>
      </c>
      <c r="U738" s="163"/>
      <c r="V738" s="163"/>
    </row>
    <row r="739" spans="1:22" ht="15.75" customHeight="1" x14ac:dyDescent="0.25">
      <c r="A739" s="167" t="s">
        <v>3222</v>
      </c>
      <c r="B739" s="162" t="s">
        <v>13</v>
      </c>
      <c r="C739" s="162" t="s">
        <v>2654</v>
      </c>
      <c r="D739" s="168">
        <v>44761</v>
      </c>
      <c r="E739" s="194" t="s">
        <v>23</v>
      </c>
      <c r="F739" s="187"/>
      <c r="G739" s="187"/>
      <c r="H739" s="162"/>
      <c r="I739" s="162"/>
      <c r="J739" s="169" t="s">
        <v>3221</v>
      </c>
      <c r="K739" s="162">
        <v>300</v>
      </c>
      <c r="L739" s="162">
        <v>50</v>
      </c>
      <c r="M739" s="162"/>
      <c r="N739" s="162"/>
      <c r="O739" s="162"/>
      <c r="P739" s="162"/>
      <c r="Q739" s="162"/>
      <c r="R739" s="162"/>
      <c r="S739" s="162"/>
      <c r="T739" s="162">
        <v>39105</v>
      </c>
      <c r="U739" s="162"/>
      <c r="V739" s="162"/>
    </row>
    <row r="740" spans="1:22" ht="15.75" customHeight="1" x14ac:dyDescent="0.25">
      <c r="A740" s="167" t="s">
        <v>3228</v>
      </c>
      <c r="B740" s="163" t="s">
        <v>13</v>
      </c>
      <c r="C740" s="162" t="s">
        <v>30</v>
      </c>
      <c r="D740" s="168">
        <v>44763</v>
      </c>
      <c r="E740" s="194" t="s">
        <v>23</v>
      </c>
      <c r="F740" s="187"/>
      <c r="G740" s="187"/>
      <c r="H740" s="162"/>
      <c r="I740" s="162"/>
      <c r="J740" s="169" t="s">
        <v>215</v>
      </c>
      <c r="K740" s="162"/>
      <c r="L740" s="162">
        <v>4</v>
      </c>
      <c r="M740" s="162"/>
      <c r="N740" s="162"/>
      <c r="O740" s="162"/>
      <c r="P740" s="162"/>
      <c r="Q740" s="162"/>
      <c r="R740" s="162"/>
      <c r="S740" s="162"/>
      <c r="T740" s="162" t="s">
        <v>1711</v>
      </c>
      <c r="U740" s="162"/>
      <c r="V740" s="162"/>
    </row>
    <row r="741" spans="1:22" ht="15.75" customHeight="1" x14ac:dyDescent="0.25">
      <c r="A741" s="167" t="s">
        <v>3228</v>
      </c>
      <c r="B741" s="163" t="s">
        <v>13</v>
      </c>
      <c r="C741" s="162" t="s">
        <v>30</v>
      </c>
      <c r="D741" s="168">
        <v>44763</v>
      </c>
      <c r="E741" s="194" t="s">
        <v>23</v>
      </c>
      <c r="F741" s="194"/>
      <c r="G741" s="194"/>
      <c r="H741" s="162"/>
      <c r="I741" s="162"/>
      <c r="J741" s="169" t="s">
        <v>216</v>
      </c>
      <c r="K741" s="162"/>
      <c r="L741" s="162">
        <v>4</v>
      </c>
      <c r="M741" s="162"/>
      <c r="N741" s="162"/>
      <c r="O741" s="162"/>
      <c r="P741" s="162"/>
      <c r="Q741" s="162"/>
      <c r="R741" s="162"/>
      <c r="S741" s="162"/>
      <c r="T741" s="162" t="s">
        <v>1353</v>
      </c>
      <c r="U741" s="162"/>
      <c r="V741" s="162"/>
    </row>
    <row r="742" spans="1:22" ht="15.75" customHeight="1" x14ac:dyDescent="0.25">
      <c r="A742" s="167" t="s">
        <v>3228</v>
      </c>
      <c r="B742" s="163" t="s">
        <v>13</v>
      </c>
      <c r="C742" s="162" t="s">
        <v>30</v>
      </c>
      <c r="D742" s="168">
        <v>44763</v>
      </c>
      <c r="E742" s="194" t="s">
        <v>23</v>
      </c>
      <c r="F742" s="194"/>
      <c r="G742" s="194"/>
      <c r="H742" s="162"/>
      <c r="I742" s="162"/>
      <c r="J742" s="169" t="s">
        <v>219</v>
      </c>
      <c r="K742" s="162"/>
      <c r="L742" s="162">
        <v>4</v>
      </c>
      <c r="M742" s="162"/>
      <c r="N742" s="162"/>
      <c r="O742" s="162"/>
      <c r="P742" s="162"/>
      <c r="Q742" s="162"/>
      <c r="R742" s="162"/>
      <c r="S742" s="162"/>
      <c r="T742" s="162" t="s">
        <v>2577</v>
      </c>
      <c r="U742" s="162"/>
      <c r="V742" s="162"/>
    </row>
    <row r="743" spans="1:22" ht="15.75" customHeight="1" x14ac:dyDescent="0.25">
      <c r="A743" s="167" t="s">
        <v>3228</v>
      </c>
      <c r="B743" s="163" t="s">
        <v>13</v>
      </c>
      <c r="C743" s="162" t="s">
        <v>30</v>
      </c>
      <c r="D743" s="168">
        <v>44763</v>
      </c>
      <c r="E743" s="194" t="s">
        <v>23</v>
      </c>
      <c r="F743" s="194"/>
      <c r="G743" s="194"/>
      <c r="H743" s="162"/>
      <c r="I743" s="162"/>
      <c r="J743" s="169" t="s">
        <v>220</v>
      </c>
      <c r="K743" s="162"/>
      <c r="L743" s="162">
        <v>4</v>
      </c>
      <c r="M743" s="162"/>
      <c r="N743" s="162"/>
      <c r="O743" s="162"/>
      <c r="P743" s="162"/>
      <c r="Q743" s="162"/>
      <c r="R743" s="162"/>
      <c r="S743" s="162"/>
      <c r="T743" s="162" t="s">
        <v>798</v>
      </c>
      <c r="U743" s="162"/>
      <c r="V743" s="162"/>
    </row>
    <row r="744" spans="1:22" ht="15.75" customHeight="1" x14ac:dyDescent="0.25">
      <c r="A744" s="167" t="s">
        <v>3228</v>
      </c>
      <c r="B744" s="163" t="s">
        <v>13</v>
      </c>
      <c r="C744" s="162" t="s">
        <v>30</v>
      </c>
      <c r="D744" s="168">
        <v>44763</v>
      </c>
      <c r="E744" s="194" t="s">
        <v>23</v>
      </c>
      <c r="F744" s="194"/>
      <c r="G744" s="194"/>
      <c r="H744" s="162"/>
      <c r="I744" s="162"/>
      <c r="J744" s="169" t="s">
        <v>214</v>
      </c>
      <c r="K744" s="162"/>
      <c r="L744" s="162">
        <v>4</v>
      </c>
      <c r="M744" s="162"/>
      <c r="N744" s="162"/>
      <c r="O744" s="162"/>
      <c r="P744" s="162"/>
      <c r="Q744" s="162"/>
      <c r="R744" s="162"/>
      <c r="S744" s="162"/>
      <c r="T744" s="162" t="s">
        <v>493</v>
      </c>
      <c r="U744" s="162"/>
      <c r="V744" s="162"/>
    </row>
    <row r="745" spans="1:22" ht="15.75" customHeight="1" x14ac:dyDescent="0.25">
      <c r="A745" s="167" t="s">
        <v>3228</v>
      </c>
      <c r="B745" s="163" t="s">
        <v>13</v>
      </c>
      <c r="C745" s="162" t="s">
        <v>30</v>
      </c>
      <c r="D745" s="168">
        <v>44763</v>
      </c>
      <c r="E745" s="194" t="s">
        <v>23</v>
      </c>
      <c r="F745" s="194"/>
      <c r="G745" s="194"/>
      <c r="H745" s="163"/>
      <c r="I745" s="163"/>
      <c r="J745" s="164" t="s">
        <v>2728</v>
      </c>
      <c r="K745" s="163"/>
      <c r="L745" s="163">
        <v>86</v>
      </c>
      <c r="M745" s="163"/>
      <c r="N745" s="163"/>
      <c r="O745" s="163"/>
      <c r="P745" s="163"/>
      <c r="Q745" s="163"/>
      <c r="R745" s="163"/>
      <c r="S745" s="163"/>
      <c r="T745" s="163" t="s">
        <v>3151</v>
      </c>
      <c r="U745" s="163"/>
      <c r="V745" s="163"/>
    </row>
    <row r="746" spans="1:22" s="14" customFormat="1" ht="15.75" customHeight="1" x14ac:dyDescent="0.25">
      <c r="A746" s="141" t="s">
        <v>3229</v>
      </c>
      <c r="B746" s="145" t="s">
        <v>13</v>
      </c>
      <c r="C746" s="142" t="s">
        <v>30</v>
      </c>
      <c r="D746" s="143">
        <v>44763</v>
      </c>
      <c r="E746" s="194" t="s">
        <v>23</v>
      </c>
      <c r="F746" s="242"/>
      <c r="G746" s="242"/>
      <c r="H746" s="142"/>
      <c r="I746" s="142"/>
      <c r="J746" s="144" t="s">
        <v>742</v>
      </c>
      <c r="K746" s="142"/>
      <c r="L746" s="142" t="s">
        <v>123</v>
      </c>
      <c r="M746" s="142"/>
      <c r="N746" s="142"/>
      <c r="O746" s="142"/>
      <c r="P746" s="142"/>
      <c r="Q746" s="142"/>
      <c r="R746" s="142"/>
      <c r="S746" s="142"/>
      <c r="T746" s="142" t="s">
        <v>1036</v>
      </c>
      <c r="U746" s="142"/>
      <c r="V746" s="142"/>
    </row>
    <row r="747" spans="1:22" s="14" customFormat="1" ht="15.75" customHeight="1" x14ac:dyDescent="0.25">
      <c r="A747" s="141" t="s">
        <v>3229</v>
      </c>
      <c r="B747" s="145" t="s">
        <v>13</v>
      </c>
      <c r="C747" s="142" t="s">
        <v>30</v>
      </c>
      <c r="D747" s="143">
        <v>44763</v>
      </c>
      <c r="E747" s="194" t="s">
        <v>23</v>
      </c>
      <c r="F747" s="242"/>
      <c r="G747" s="242"/>
      <c r="H747" s="142"/>
      <c r="I747" s="142"/>
      <c r="J747" s="144" t="s">
        <v>744</v>
      </c>
      <c r="K747" s="142"/>
      <c r="L747" s="142" t="s">
        <v>54</v>
      </c>
      <c r="M747" s="142"/>
      <c r="N747" s="142"/>
      <c r="O747" s="142"/>
      <c r="P747" s="142"/>
      <c r="Q747" s="142"/>
      <c r="R747" s="142"/>
      <c r="S747" s="142"/>
      <c r="T747" s="142" t="s">
        <v>217</v>
      </c>
      <c r="U747" s="142"/>
      <c r="V747" s="142"/>
    </row>
    <row r="748" spans="1:22" s="14" customFormat="1" ht="15.75" customHeight="1" x14ac:dyDescent="0.25">
      <c r="A748" s="141" t="s">
        <v>3229</v>
      </c>
      <c r="B748" s="145" t="s">
        <v>13</v>
      </c>
      <c r="C748" s="142" t="s">
        <v>30</v>
      </c>
      <c r="D748" s="143">
        <v>44763</v>
      </c>
      <c r="E748" s="194" t="s">
        <v>23</v>
      </c>
      <c r="F748" s="242"/>
      <c r="G748" s="242"/>
      <c r="H748" s="142"/>
      <c r="I748" s="142"/>
      <c r="J748" s="144" t="s">
        <v>733</v>
      </c>
      <c r="K748" s="142"/>
      <c r="L748" s="142" t="s">
        <v>123</v>
      </c>
      <c r="M748" s="142"/>
      <c r="N748" s="142"/>
      <c r="O748" s="142"/>
      <c r="P748" s="142"/>
      <c r="Q748" s="142"/>
      <c r="R748" s="142"/>
      <c r="S748" s="142"/>
      <c r="T748" s="142" t="s">
        <v>1711</v>
      </c>
      <c r="U748" s="142"/>
      <c r="V748" s="142"/>
    </row>
    <row r="749" spans="1:22" s="14" customFormat="1" ht="15.75" customHeight="1" x14ac:dyDescent="0.25">
      <c r="A749" s="141" t="s">
        <v>3229</v>
      </c>
      <c r="B749" s="145" t="s">
        <v>13</v>
      </c>
      <c r="C749" s="142" t="s">
        <v>30</v>
      </c>
      <c r="D749" s="143">
        <v>44763</v>
      </c>
      <c r="E749" s="194" t="s">
        <v>23</v>
      </c>
      <c r="F749" s="242"/>
      <c r="G749" s="242"/>
      <c r="H749" s="142"/>
      <c r="I749" s="142"/>
      <c r="J749" s="144" t="s">
        <v>1255</v>
      </c>
      <c r="K749" s="142"/>
      <c r="L749" s="142" t="s">
        <v>123</v>
      </c>
      <c r="M749" s="142"/>
      <c r="N749" s="142"/>
      <c r="O749" s="142"/>
      <c r="P749" s="142"/>
      <c r="Q749" s="142"/>
      <c r="R749" s="142"/>
      <c r="S749" s="142"/>
      <c r="T749" s="142" t="s">
        <v>371</v>
      </c>
      <c r="U749" s="142"/>
      <c r="V749" s="142"/>
    </row>
    <row r="750" spans="1:22" s="14" customFormat="1" ht="15.75" customHeight="1" x14ac:dyDescent="0.25">
      <c r="A750" s="141" t="s">
        <v>3229</v>
      </c>
      <c r="B750" s="145" t="s">
        <v>13</v>
      </c>
      <c r="C750" s="142" t="s">
        <v>30</v>
      </c>
      <c r="D750" s="143">
        <v>44763</v>
      </c>
      <c r="E750" s="194" t="s">
        <v>23</v>
      </c>
      <c r="F750" s="242"/>
      <c r="G750" s="242"/>
      <c r="H750" s="142"/>
      <c r="I750" s="142"/>
      <c r="J750" s="144" t="s">
        <v>739</v>
      </c>
      <c r="K750" s="142"/>
      <c r="L750" s="142" t="s">
        <v>108</v>
      </c>
      <c r="M750" s="142"/>
      <c r="N750" s="142"/>
      <c r="O750" s="142"/>
      <c r="P750" s="142"/>
      <c r="Q750" s="142"/>
      <c r="R750" s="142"/>
      <c r="S750" s="142"/>
      <c r="T750" s="142" t="s">
        <v>1253</v>
      </c>
      <c r="U750" s="142"/>
      <c r="V750" s="142"/>
    </row>
    <row r="751" spans="1:22" s="14" customFormat="1" ht="15.75" customHeight="1" x14ac:dyDescent="0.25">
      <c r="A751" s="141" t="s">
        <v>3229</v>
      </c>
      <c r="B751" s="145" t="s">
        <v>13</v>
      </c>
      <c r="C751" s="142" t="s">
        <v>30</v>
      </c>
      <c r="D751" s="143">
        <v>44763</v>
      </c>
      <c r="E751" s="194" t="s">
        <v>23</v>
      </c>
      <c r="F751" s="242"/>
      <c r="G751" s="242"/>
      <c r="H751" s="142"/>
      <c r="I751" s="142"/>
      <c r="J751" s="144" t="s">
        <v>1243</v>
      </c>
      <c r="K751" s="142"/>
      <c r="L751" s="142" t="s">
        <v>108</v>
      </c>
      <c r="M751" s="142"/>
      <c r="N751" s="142"/>
      <c r="O751" s="142"/>
      <c r="P751" s="142"/>
      <c r="Q751" s="142"/>
      <c r="R751" s="142"/>
      <c r="S751" s="142"/>
      <c r="T751" s="142" t="s">
        <v>55</v>
      </c>
      <c r="U751" s="142"/>
      <c r="V751" s="142"/>
    </row>
    <row r="752" spans="1:22" ht="15.75" customHeight="1" x14ac:dyDescent="0.25">
      <c r="A752" s="167" t="s">
        <v>3230</v>
      </c>
      <c r="B752" s="163" t="s">
        <v>13</v>
      </c>
      <c r="C752" s="162" t="s">
        <v>30</v>
      </c>
      <c r="D752" s="168">
        <v>44763</v>
      </c>
      <c r="E752" s="194" t="s">
        <v>23</v>
      </c>
      <c r="F752" s="194"/>
      <c r="G752" s="194"/>
      <c r="H752" s="162"/>
      <c r="I752" s="162"/>
      <c r="J752" s="169" t="s">
        <v>99</v>
      </c>
      <c r="K752" s="162"/>
      <c r="L752" s="162" t="s">
        <v>125</v>
      </c>
      <c r="M752" s="162"/>
      <c r="N752" s="162"/>
      <c r="O752" s="162"/>
      <c r="P752" s="162"/>
      <c r="Q752" s="162"/>
      <c r="R752" s="162"/>
      <c r="S752" s="162"/>
      <c r="T752" s="162" t="s">
        <v>965</v>
      </c>
      <c r="U752" s="162"/>
      <c r="V752" s="162"/>
    </row>
    <row r="753" spans="1:22" ht="15.75" customHeight="1" x14ac:dyDescent="0.25">
      <c r="A753" s="167" t="s">
        <v>3230</v>
      </c>
      <c r="B753" s="163" t="s">
        <v>13</v>
      </c>
      <c r="C753" s="162" t="s">
        <v>30</v>
      </c>
      <c r="D753" s="168">
        <v>44763</v>
      </c>
      <c r="E753" s="194" t="s">
        <v>23</v>
      </c>
      <c r="F753" s="194"/>
      <c r="G753" s="194"/>
      <c r="H753" s="162"/>
      <c r="I753" s="162"/>
      <c r="J753" s="169" t="s">
        <v>102</v>
      </c>
      <c r="K753" s="162"/>
      <c r="L753" s="162" t="s">
        <v>125</v>
      </c>
      <c r="M753" s="162"/>
      <c r="N753" s="162"/>
      <c r="O753" s="162"/>
      <c r="P753" s="162"/>
      <c r="Q753" s="162"/>
      <c r="R753" s="162"/>
      <c r="S753" s="162"/>
      <c r="T753" s="162" t="s">
        <v>965</v>
      </c>
      <c r="U753" s="162"/>
      <c r="V753" s="162"/>
    </row>
    <row r="754" spans="1:22" ht="15.75" customHeight="1" x14ac:dyDescent="0.25">
      <c r="A754" s="167" t="s">
        <v>3230</v>
      </c>
      <c r="B754" s="163" t="s">
        <v>13</v>
      </c>
      <c r="C754" s="162" t="s">
        <v>30</v>
      </c>
      <c r="D754" s="168">
        <v>44763</v>
      </c>
      <c r="E754" s="194" t="s">
        <v>23</v>
      </c>
      <c r="F754" s="194"/>
      <c r="G754" s="194"/>
      <c r="H754" s="162"/>
      <c r="I754" s="162"/>
      <c r="J754" s="169" t="s">
        <v>95</v>
      </c>
      <c r="K754" s="162"/>
      <c r="L754" s="162" t="s">
        <v>108</v>
      </c>
      <c r="M754" s="162"/>
      <c r="N754" s="162"/>
      <c r="O754" s="162"/>
      <c r="P754" s="162"/>
      <c r="Q754" s="162"/>
      <c r="R754" s="162"/>
      <c r="S754" s="162"/>
      <c r="T754" s="162" t="s">
        <v>3153</v>
      </c>
      <c r="U754" s="162"/>
      <c r="V754" s="162"/>
    </row>
    <row r="755" spans="1:22" ht="15.75" customHeight="1" x14ac:dyDescent="0.25">
      <c r="A755" s="167" t="s">
        <v>3230</v>
      </c>
      <c r="B755" s="163" t="s">
        <v>13</v>
      </c>
      <c r="C755" s="162" t="s">
        <v>30</v>
      </c>
      <c r="D755" s="168">
        <v>44763</v>
      </c>
      <c r="E755" s="194" t="s">
        <v>23</v>
      </c>
      <c r="F755" s="194"/>
      <c r="G755" s="194"/>
      <c r="H755" s="162"/>
      <c r="I755" s="162"/>
      <c r="J755" s="169" t="s">
        <v>98</v>
      </c>
      <c r="K755" s="162"/>
      <c r="L755" s="162" t="s">
        <v>108</v>
      </c>
      <c r="M755" s="162"/>
      <c r="N755" s="162"/>
      <c r="O755" s="162"/>
      <c r="P755" s="162"/>
      <c r="Q755" s="162"/>
      <c r="R755" s="162"/>
      <c r="S755" s="162"/>
      <c r="T755" s="162" t="s">
        <v>3153</v>
      </c>
      <c r="U755" s="162"/>
      <c r="V755" s="162"/>
    </row>
    <row r="756" spans="1:22" ht="15.75" customHeight="1" x14ac:dyDescent="0.25">
      <c r="A756" s="167" t="s">
        <v>3230</v>
      </c>
      <c r="B756" s="163" t="s">
        <v>13</v>
      </c>
      <c r="C756" s="162" t="s">
        <v>30</v>
      </c>
      <c r="D756" s="168">
        <v>44763</v>
      </c>
      <c r="E756" s="194" t="s">
        <v>23</v>
      </c>
      <c r="F756" s="194"/>
      <c r="G756" s="194"/>
      <c r="H756" s="162"/>
      <c r="I756" s="162"/>
      <c r="J756" s="169" t="s">
        <v>92</v>
      </c>
      <c r="K756" s="162"/>
      <c r="L756" s="162" t="s">
        <v>75</v>
      </c>
      <c r="M756" s="162"/>
      <c r="N756" s="162"/>
      <c r="O756" s="162"/>
      <c r="P756" s="162"/>
      <c r="Q756" s="162"/>
      <c r="R756" s="162"/>
      <c r="S756" s="162"/>
      <c r="T756" s="162" t="s">
        <v>494</v>
      </c>
      <c r="U756" s="162"/>
      <c r="V756" s="162"/>
    </row>
    <row r="757" spans="1:22" ht="15.75" customHeight="1" x14ac:dyDescent="0.25">
      <c r="A757" s="167" t="s">
        <v>3230</v>
      </c>
      <c r="B757" s="163" t="s">
        <v>13</v>
      </c>
      <c r="C757" s="162" t="s">
        <v>30</v>
      </c>
      <c r="D757" s="168">
        <v>44763</v>
      </c>
      <c r="E757" s="194" t="s">
        <v>23</v>
      </c>
      <c r="F757" s="194"/>
      <c r="G757" s="194"/>
      <c r="H757" s="163"/>
      <c r="I757" s="163"/>
      <c r="J757" s="164" t="s">
        <v>94</v>
      </c>
      <c r="K757" s="163"/>
      <c r="L757" s="163" t="s">
        <v>75</v>
      </c>
      <c r="M757" s="163"/>
      <c r="N757" s="163"/>
      <c r="O757" s="163"/>
      <c r="P757" s="163"/>
      <c r="Q757" s="163"/>
      <c r="R757" s="163"/>
      <c r="S757" s="163"/>
      <c r="T757" s="163" t="s">
        <v>494</v>
      </c>
      <c r="U757" s="163"/>
      <c r="V757" s="163"/>
    </row>
    <row r="758" spans="1:22" ht="15.75" customHeight="1" x14ac:dyDescent="0.25">
      <c r="A758" s="171">
        <v>313</v>
      </c>
      <c r="B758" s="163" t="s">
        <v>13</v>
      </c>
      <c r="C758" s="163" t="s">
        <v>28</v>
      </c>
      <c r="D758" s="172">
        <v>44763</v>
      </c>
      <c r="E758" s="194" t="s">
        <v>23</v>
      </c>
      <c r="F758" s="187"/>
      <c r="G758" s="187">
        <v>74</v>
      </c>
      <c r="H758" s="163"/>
      <c r="I758" s="163"/>
      <c r="J758" s="164" t="s">
        <v>3231</v>
      </c>
      <c r="K758" s="163">
        <v>444</v>
      </c>
      <c r="L758" s="163" t="s">
        <v>118</v>
      </c>
      <c r="M758" s="163">
        <v>0.43969999999999998</v>
      </c>
      <c r="N758" s="163">
        <v>1.1279999999999999</v>
      </c>
      <c r="O758" s="163">
        <v>195.2268</v>
      </c>
      <c r="P758" s="163">
        <v>500.83199999999999</v>
      </c>
      <c r="Q758" s="163">
        <v>25.38</v>
      </c>
      <c r="R758" s="163">
        <v>150.82</v>
      </c>
      <c r="S758" s="163">
        <v>343</v>
      </c>
      <c r="T758" s="163">
        <v>66962.789999999994</v>
      </c>
      <c r="U758" s="163"/>
      <c r="V758" s="163"/>
    </row>
    <row r="759" spans="1:22" s="86" customFormat="1" ht="15.75" customHeight="1" x14ac:dyDescent="0.25">
      <c r="A759" s="178">
        <v>314</v>
      </c>
      <c r="B759" s="179" t="s">
        <v>13</v>
      </c>
      <c r="C759" s="179" t="s">
        <v>2973</v>
      </c>
      <c r="D759" s="180">
        <v>44763</v>
      </c>
      <c r="E759" s="195" t="s">
        <v>23</v>
      </c>
      <c r="F759" s="195"/>
      <c r="G759" s="195"/>
      <c r="H759" s="179"/>
      <c r="I759" s="179"/>
      <c r="J759" s="181" t="s">
        <v>1751</v>
      </c>
      <c r="K759" s="179">
        <v>323.39999999999998</v>
      </c>
      <c r="L759" s="179" t="s">
        <v>351</v>
      </c>
      <c r="M759" s="179">
        <v>0.66659999999999997</v>
      </c>
      <c r="N759" s="179">
        <v>1.994</v>
      </c>
      <c r="O759" s="179">
        <v>215.57839999999999</v>
      </c>
      <c r="P759" s="179">
        <v>644.8596</v>
      </c>
      <c r="Q759" s="179">
        <v>28.03</v>
      </c>
      <c r="R759" s="179">
        <v>228.64</v>
      </c>
      <c r="S759" s="179">
        <v>343</v>
      </c>
      <c r="T759" s="179">
        <v>73943.399999999994</v>
      </c>
      <c r="U759" s="179"/>
      <c r="V759" s="179"/>
    </row>
    <row r="760" spans="1:22" s="14" customFormat="1" ht="15.75" customHeight="1" x14ac:dyDescent="0.25">
      <c r="A760" s="141" t="s">
        <v>3233</v>
      </c>
      <c r="B760" s="145" t="s">
        <v>13</v>
      </c>
      <c r="C760" s="142" t="s">
        <v>799</v>
      </c>
      <c r="D760" s="148">
        <v>44763</v>
      </c>
      <c r="E760" s="242" t="s">
        <v>23</v>
      </c>
      <c r="F760" s="242"/>
      <c r="G760" s="242"/>
      <c r="H760" s="142" t="s">
        <v>3408</v>
      </c>
      <c r="I760" s="142"/>
      <c r="J760" s="144" t="s">
        <v>2165</v>
      </c>
      <c r="K760" s="142" t="s">
        <v>3517</v>
      </c>
      <c r="L760" s="142">
        <v>114</v>
      </c>
      <c r="M760" s="142"/>
      <c r="N760" s="142"/>
      <c r="O760" s="142"/>
      <c r="P760" s="142"/>
      <c r="Q760" s="142"/>
      <c r="R760" s="142"/>
      <c r="S760" s="142"/>
      <c r="T760" s="142" t="s">
        <v>3037</v>
      </c>
      <c r="U760" s="142"/>
      <c r="V760" s="142"/>
    </row>
    <row r="761" spans="1:22" s="14" customFormat="1" ht="15.75" customHeight="1" x14ac:dyDescent="0.25">
      <c r="A761" s="141" t="s">
        <v>3233</v>
      </c>
      <c r="B761" s="145" t="s">
        <v>13</v>
      </c>
      <c r="C761" s="142" t="s">
        <v>799</v>
      </c>
      <c r="D761" s="148">
        <v>44763</v>
      </c>
      <c r="E761" s="242" t="s">
        <v>23</v>
      </c>
      <c r="F761" s="242"/>
      <c r="G761" s="242"/>
      <c r="H761" s="142" t="s">
        <v>3408</v>
      </c>
      <c r="I761" s="145"/>
      <c r="J761" s="146" t="s">
        <v>241</v>
      </c>
      <c r="K761" s="145" t="s">
        <v>3518</v>
      </c>
      <c r="L761" s="145"/>
      <c r="M761" s="145"/>
      <c r="N761" s="145"/>
      <c r="O761" s="145"/>
      <c r="P761" s="145"/>
      <c r="Q761" s="145"/>
      <c r="R761" s="145"/>
      <c r="S761" s="145"/>
      <c r="T761" s="145" t="s">
        <v>3519</v>
      </c>
      <c r="U761" s="145"/>
      <c r="V761" s="145"/>
    </row>
    <row r="762" spans="1:22" s="316" customFormat="1" ht="30.75" customHeight="1" x14ac:dyDescent="0.25">
      <c r="A762" s="265" t="s">
        <v>3235</v>
      </c>
      <c r="B762" s="266" t="s">
        <v>13</v>
      </c>
      <c r="C762" s="272" t="s">
        <v>3236</v>
      </c>
      <c r="D762" s="273">
        <v>44763</v>
      </c>
      <c r="E762" s="268" t="s">
        <v>677</v>
      </c>
      <c r="F762" s="268"/>
      <c r="G762" s="268"/>
      <c r="H762" s="266" t="s">
        <v>3253</v>
      </c>
      <c r="I762" s="266"/>
      <c r="J762" s="269" t="s">
        <v>3234</v>
      </c>
      <c r="K762" s="266">
        <v>524</v>
      </c>
      <c r="L762" s="266">
        <v>262</v>
      </c>
      <c r="M762" s="266"/>
      <c r="N762" s="266"/>
      <c r="O762" s="266"/>
      <c r="P762" s="266"/>
      <c r="Q762" s="266"/>
      <c r="R762" s="266"/>
      <c r="S762" s="266"/>
      <c r="T762" s="266" t="s">
        <v>3237</v>
      </c>
      <c r="U762" s="266"/>
      <c r="V762" s="266"/>
    </row>
    <row r="763" spans="1:22" ht="15.75" customHeight="1" x14ac:dyDescent="0.25">
      <c r="A763" s="171">
        <v>315</v>
      </c>
      <c r="B763" s="163" t="s">
        <v>34</v>
      </c>
      <c r="C763" s="163" t="s">
        <v>3227</v>
      </c>
      <c r="D763" s="172">
        <v>44764</v>
      </c>
      <c r="E763" s="187" t="s">
        <v>23</v>
      </c>
      <c r="F763" s="187">
        <v>20</v>
      </c>
      <c r="G763" s="187">
        <v>20</v>
      </c>
      <c r="H763" s="163"/>
      <c r="I763" s="163"/>
      <c r="J763" s="164" t="s">
        <v>3226</v>
      </c>
      <c r="K763" s="145">
        <v>44</v>
      </c>
      <c r="L763" s="163" t="s">
        <v>48</v>
      </c>
      <c r="M763" s="163">
        <v>1.3633999999999999</v>
      </c>
      <c r="N763" s="163">
        <v>5.3570000000000002</v>
      </c>
      <c r="O763" s="163">
        <v>59.989600000000003</v>
      </c>
      <c r="P763" s="163">
        <v>235.708</v>
      </c>
      <c r="Q763" s="163">
        <v>7.8</v>
      </c>
      <c r="R763" s="163">
        <v>458.67</v>
      </c>
      <c r="S763" s="163">
        <v>336.42</v>
      </c>
      <c r="T763" s="163">
        <v>20181.48</v>
      </c>
      <c r="U763" s="163"/>
      <c r="V763" s="163"/>
    </row>
    <row r="764" spans="1:22" ht="15.75" customHeight="1" x14ac:dyDescent="0.25">
      <c r="A764" s="171">
        <v>318</v>
      </c>
      <c r="B764" s="163" t="s">
        <v>34</v>
      </c>
      <c r="C764" s="163" t="s">
        <v>3227</v>
      </c>
      <c r="D764" s="172">
        <v>44767</v>
      </c>
      <c r="E764" s="187" t="s">
        <v>23</v>
      </c>
      <c r="F764" s="187"/>
      <c r="G764" s="187"/>
      <c r="H764" s="163"/>
      <c r="I764" s="163"/>
      <c r="J764" s="164" t="s">
        <v>3226</v>
      </c>
      <c r="K764" s="145">
        <v>42</v>
      </c>
      <c r="L764" s="163" t="s">
        <v>298</v>
      </c>
      <c r="M764" s="163">
        <v>1.3633999999999999</v>
      </c>
      <c r="N764" s="163">
        <v>5.3570000000000002</v>
      </c>
      <c r="O764" s="163">
        <v>57.262799999999999</v>
      </c>
      <c r="P764" s="163">
        <v>224.994</v>
      </c>
      <c r="Q764" s="163">
        <v>7.44</v>
      </c>
      <c r="R764" s="163">
        <v>458.67</v>
      </c>
      <c r="S764" s="163">
        <v>336.42</v>
      </c>
      <c r="T764" s="163">
        <v>19264.14</v>
      </c>
      <c r="U764" s="163"/>
      <c r="V764" s="163"/>
    </row>
    <row r="765" spans="1:22" s="14" customFormat="1" ht="15.75" customHeight="1" x14ac:dyDescent="0.25">
      <c r="A765" s="141" t="s">
        <v>3239</v>
      </c>
      <c r="B765" s="142" t="s">
        <v>13</v>
      </c>
      <c r="C765" s="142" t="s">
        <v>37</v>
      </c>
      <c r="D765" s="143">
        <v>44767</v>
      </c>
      <c r="E765" s="242" t="s">
        <v>23</v>
      </c>
      <c r="F765" s="242"/>
      <c r="G765" s="242"/>
      <c r="H765" s="142" t="s">
        <v>2078</v>
      </c>
      <c r="I765" s="142"/>
      <c r="J765" s="144" t="s">
        <v>3238</v>
      </c>
      <c r="K765" s="142">
        <v>24</v>
      </c>
      <c r="L765" s="142"/>
      <c r="M765" s="142"/>
      <c r="N765" s="142"/>
      <c r="O765" s="142"/>
      <c r="P765" s="142"/>
      <c r="Q765" s="142"/>
      <c r="R765" s="142"/>
      <c r="S765" s="142"/>
      <c r="T765" s="142">
        <v>18800</v>
      </c>
      <c r="U765" s="142"/>
      <c r="V765" s="142"/>
    </row>
    <row r="766" spans="1:22" ht="15.75" customHeight="1" x14ac:dyDescent="0.25">
      <c r="A766" s="171" t="s">
        <v>2833</v>
      </c>
      <c r="B766" s="163" t="s">
        <v>34</v>
      </c>
      <c r="C766" s="163" t="s">
        <v>3242</v>
      </c>
      <c r="D766" s="172">
        <v>44767</v>
      </c>
      <c r="E766" s="187" t="s">
        <v>23</v>
      </c>
      <c r="F766" s="187"/>
      <c r="G766" s="187"/>
      <c r="H766" s="163"/>
      <c r="I766" s="172">
        <v>44774</v>
      </c>
      <c r="J766" s="164" t="s">
        <v>3241</v>
      </c>
      <c r="K766" s="145">
        <v>82</v>
      </c>
      <c r="L766" s="163"/>
      <c r="M766" s="163"/>
      <c r="N766" s="163"/>
      <c r="O766" s="163"/>
      <c r="P766" s="163"/>
      <c r="Q766" s="163"/>
      <c r="R766" s="163"/>
      <c r="S766" s="163"/>
      <c r="T766" s="163" t="s">
        <v>3240</v>
      </c>
      <c r="U766" s="163"/>
      <c r="V766" s="163"/>
    </row>
    <row r="767" spans="1:22" ht="15.75" customHeight="1" x14ac:dyDescent="0.25">
      <c r="A767" s="171">
        <v>321</v>
      </c>
      <c r="B767" s="163" t="s">
        <v>34</v>
      </c>
      <c r="C767" s="163" t="s">
        <v>861</v>
      </c>
      <c r="D767" s="172">
        <v>44768</v>
      </c>
      <c r="E767" s="187" t="s">
        <v>23</v>
      </c>
      <c r="F767" s="187"/>
      <c r="G767" s="187"/>
      <c r="H767" s="163"/>
      <c r="I767" s="172">
        <v>44774</v>
      </c>
      <c r="J767" s="164" t="s">
        <v>3243</v>
      </c>
      <c r="K767" s="145">
        <v>840</v>
      </c>
      <c r="L767" s="163" t="s">
        <v>662</v>
      </c>
      <c r="M767" s="163">
        <v>0.47389999999999999</v>
      </c>
      <c r="N767" s="163">
        <v>1.355</v>
      </c>
      <c r="O767" s="163">
        <v>398.07600000000002</v>
      </c>
      <c r="P767" s="163">
        <v>1138.2</v>
      </c>
      <c r="Q767" s="163">
        <v>51.75</v>
      </c>
      <c r="R767" s="163">
        <v>149.28</v>
      </c>
      <c r="S767" s="163">
        <v>315</v>
      </c>
      <c r="T767" s="163">
        <v>125393.94</v>
      </c>
      <c r="U767" s="163"/>
      <c r="V767" s="163"/>
    </row>
    <row r="768" spans="1:22" s="14" customFormat="1" ht="15.75" customHeight="1" x14ac:dyDescent="0.25">
      <c r="A768" s="141">
        <v>316</v>
      </c>
      <c r="B768" s="145" t="s">
        <v>13</v>
      </c>
      <c r="C768" s="142" t="s">
        <v>37</v>
      </c>
      <c r="D768" s="143">
        <v>44767</v>
      </c>
      <c r="E768" s="242" t="s">
        <v>23</v>
      </c>
      <c r="F768" s="241"/>
      <c r="G768" s="241"/>
      <c r="H768" s="142"/>
      <c r="I768" s="143"/>
      <c r="J768" s="144" t="s">
        <v>3215</v>
      </c>
      <c r="K768" s="142">
        <v>594</v>
      </c>
      <c r="L768" s="142" t="s">
        <v>1827</v>
      </c>
      <c r="M768" s="142">
        <v>0.1246</v>
      </c>
      <c r="N768" s="142">
        <v>0.51500000000000001</v>
      </c>
      <c r="O768" s="142">
        <v>74.0124</v>
      </c>
      <c r="P768" s="142">
        <v>305.91000000000003</v>
      </c>
      <c r="Q768" s="142">
        <v>9.6199999999999992</v>
      </c>
      <c r="R768" s="142">
        <v>83.2</v>
      </c>
      <c r="S768" s="142">
        <v>667.74</v>
      </c>
      <c r="T768" s="142">
        <v>49421.04</v>
      </c>
      <c r="U768" s="142"/>
      <c r="V768" s="142"/>
    </row>
    <row r="769" spans="1:22" ht="15.75" customHeight="1" x14ac:dyDescent="0.25">
      <c r="A769" s="167">
        <v>317</v>
      </c>
      <c r="B769" s="163" t="s">
        <v>13</v>
      </c>
      <c r="C769" s="162" t="s">
        <v>32</v>
      </c>
      <c r="D769" s="168">
        <v>44767</v>
      </c>
      <c r="E769" s="194" t="s">
        <v>23</v>
      </c>
      <c r="F769" s="187">
        <v>35</v>
      </c>
      <c r="G769" s="187"/>
      <c r="H769" s="162"/>
      <c r="I769" s="168"/>
      <c r="J769" s="169" t="s">
        <v>2773</v>
      </c>
      <c r="K769" s="162">
        <v>185.5</v>
      </c>
      <c r="L769" s="162" t="s">
        <v>1607</v>
      </c>
      <c r="M769" s="162">
        <v>0.2651</v>
      </c>
      <c r="N769" s="162">
        <v>0.82099999999999995</v>
      </c>
      <c r="O769" s="162">
        <v>49.176099999999998</v>
      </c>
      <c r="P769" s="162">
        <v>152.2955</v>
      </c>
      <c r="Q769" s="162">
        <v>6.39</v>
      </c>
      <c r="R769" s="162">
        <v>81.92</v>
      </c>
      <c r="S769" s="162">
        <v>309</v>
      </c>
      <c r="T769" s="162">
        <v>15195.4</v>
      </c>
      <c r="U769" s="162"/>
      <c r="V769" s="162"/>
    </row>
    <row r="770" spans="1:22" s="14" customFormat="1" ht="16.149999999999999" customHeight="1" x14ac:dyDescent="0.25">
      <c r="A770" s="141">
        <v>317</v>
      </c>
      <c r="B770" s="145" t="s">
        <v>13</v>
      </c>
      <c r="C770" s="142" t="s">
        <v>32</v>
      </c>
      <c r="D770" s="143">
        <v>44767</v>
      </c>
      <c r="E770" s="242" t="s">
        <v>23</v>
      </c>
      <c r="F770" s="241">
        <v>327</v>
      </c>
      <c r="G770" s="241"/>
      <c r="H770" s="142"/>
      <c r="I770" s="143"/>
      <c r="J770" s="144" t="s">
        <v>1598</v>
      </c>
      <c r="K770" s="142">
        <v>2025.2</v>
      </c>
      <c r="L770" s="142" t="s">
        <v>3251</v>
      </c>
      <c r="M770" s="142">
        <v>0.2651</v>
      </c>
      <c r="N770" s="142">
        <v>0.82099999999999995</v>
      </c>
      <c r="O770" s="142">
        <v>536.88049999999998</v>
      </c>
      <c r="P770" s="142">
        <v>1662.6892</v>
      </c>
      <c r="Q770" s="142">
        <v>69.790000000000006</v>
      </c>
      <c r="R770" s="142">
        <v>81.92</v>
      </c>
      <c r="S770" s="142">
        <v>309</v>
      </c>
      <c r="T770" s="142">
        <v>165896.07999999999</v>
      </c>
      <c r="U770" s="142"/>
      <c r="V770" s="142"/>
    </row>
    <row r="771" spans="1:22" s="28" customFormat="1" ht="15.75" customHeight="1" x14ac:dyDescent="0.25">
      <c r="A771" s="254">
        <v>322</v>
      </c>
      <c r="B771" s="150" t="s">
        <v>13</v>
      </c>
      <c r="C771" s="150" t="s">
        <v>2466</v>
      </c>
      <c r="D771" s="255">
        <v>44768</v>
      </c>
      <c r="E771" s="256" t="s">
        <v>23</v>
      </c>
      <c r="F771" s="256">
        <v>162</v>
      </c>
      <c r="G771" s="256"/>
      <c r="H771" s="150"/>
      <c r="I771" s="150"/>
      <c r="J771" s="257" t="s">
        <v>117</v>
      </c>
      <c r="K771" s="150">
        <v>840</v>
      </c>
      <c r="L771" s="150" t="s">
        <v>341</v>
      </c>
      <c r="M771" s="150">
        <v>0.1734</v>
      </c>
      <c r="N771" s="150">
        <v>0.35099999999999998</v>
      </c>
      <c r="O771" s="150">
        <v>145.65600000000001</v>
      </c>
      <c r="P771" s="150">
        <v>294.83999999999997</v>
      </c>
      <c r="Q771" s="150">
        <v>18.940000000000001</v>
      </c>
      <c r="R771" s="150">
        <v>59.48</v>
      </c>
      <c r="S771" s="150">
        <v>343</v>
      </c>
      <c r="T771" s="150">
        <v>49960.01</v>
      </c>
      <c r="U771" s="150"/>
      <c r="V771" s="150"/>
    </row>
    <row r="772" spans="1:22" s="86" customFormat="1" ht="15.75" customHeight="1" x14ac:dyDescent="0.25">
      <c r="A772" s="178" t="s">
        <v>3245</v>
      </c>
      <c r="B772" s="179" t="s">
        <v>13</v>
      </c>
      <c r="C772" s="179" t="s">
        <v>2399</v>
      </c>
      <c r="D772" s="180">
        <v>44768</v>
      </c>
      <c r="E772" s="195" t="s">
        <v>23</v>
      </c>
      <c r="F772" s="195"/>
      <c r="G772" s="195"/>
      <c r="H772" s="179"/>
      <c r="I772" s="180">
        <v>44771</v>
      </c>
      <c r="J772" s="181" t="s">
        <v>3244</v>
      </c>
      <c r="K772" s="179"/>
      <c r="L772" s="179">
        <v>136</v>
      </c>
      <c r="M772" s="179"/>
      <c r="N772" s="179"/>
      <c r="O772" s="179"/>
      <c r="P772" s="179"/>
      <c r="Q772" s="179"/>
      <c r="R772" s="179"/>
      <c r="S772" s="179"/>
      <c r="T772" s="179">
        <v>13685</v>
      </c>
      <c r="U772" s="179"/>
      <c r="V772" s="179"/>
    </row>
    <row r="773" spans="1:22" ht="15.75" customHeight="1" x14ac:dyDescent="0.25">
      <c r="A773" s="171" t="s">
        <v>3247</v>
      </c>
      <c r="B773" s="163" t="s">
        <v>34</v>
      </c>
      <c r="C773" s="163" t="s">
        <v>284</v>
      </c>
      <c r="D773" s="172">
        <v>44768</v>
      </c>
      <c r="E773" s="187" t="s">
        <v>23</v>
      </c>
      <c r="F773" s="187"/>
      <c r="G773" s="187"/>
      <c r="H773" s="163"/>
      <c r="I773" s="172">
        <v>44774</v>
      </c>
      <c r="J773" s="164" t="s">
        <v>63</v>
      </c>
      <c r="K773" s="145">
        <v>132</v>
      </c>
      <c r="L773" s="163"/>
      <c r="M773" s="163"/>
      <c r="N773" s="163"/>
      <c r="O773" s="163"/>
      <c r="P773" s="163"/>
      <c r="Q773" s="163"/>
      <c r="R773" s="163"/>
      <c r="S773" s="163"/>
      <c r="T773" s="163" t="s">
        <v>3246</v>
      </c>
      <c r="U773" s="163"/>
      <c r="V773" s="163"/>
    </row>
    <row r="774" spans="1:22" s="14" customFormat="1" ht="15.75" customHeight="1" x14ac:dyDescent="0.25">
      <c r="A774" s="147">
        <v>323</v>
      </c>
      <c r="B774" s="145" t="s">
        <v>13</v>
      </c>
      <c r="C774" s="145" t="s">
        <v>32</v>
      </c>
      <c r="D774" s="148">
        <v>44769</v>
      </c>
      <c r="E774" s="241" t="s">
        <v>23</v>
      </c>
      <c r="F774" s="241" t="s">
        <v>3280</v>
      </c>
      <c r="G774" s="241">
        <v>426</v>
      </c>
      <c r="H774" s="145" t="s">
        <v>3254</v>
      </c>
      <c r="I774" s="145"/>
      <c r="J774" s="146" t="s">
        <v>2880</v>
      </c>
      <c r="K774" s="145">
        <v>2113.65</v>
      </c>
      <c r="L774" s="145" t="s">
        <v>3248</v>
      </c>
      <c r="M774" s="145">
        <v>9.5600000000000004E-2</v>
      </c>
      <c r="N774" s="145">
        <v>0.16</v>
      </c>
      <c r="O774" s="145">
        <v>202.06489999999999</v>
      </c>
      <c r="P774" s="145">
        <v>338.18400000000003</v>
      </c>
      <c r="Q774" s="145">
        <v>26.27</v>
      </c>
      <c r="R774" s="145">
        <v>29.54</v>
      </c>
      <c r="S774" s="145">
        <v>309</v>
      </c>
      <c r="T774" s="145">
        <v>62437.22</v>
      </c>
      <c r="U774" s="145"/>
      <c r="V774" s="145"/>
    </row>
    <row r="775" spans="1:22" s="14" customFormat="1" ht="15.75" customHeight="1" x14ac:dyDescent="0.25">
      <c r="A775" s="147">
        <v>324</v>
      </c>
      <c r="B775" s="145" t="s">
        <v>13</v>
      </c>
      <c r="C775" s="145" t="s">
        <v>32</v>
      </c>
      <c r="D775" s="148">
        <v>44769</v>
      </c>
      <c r="E775" s="242" t="s">
        <v>23</v>
      </c>
      <c r="F775" s="241">
        <f>1145+305+611</f>
        <v>2061</v>
      </c>
      <c r="G775" s="251">
        <v>611</v>
      </c>
      <c r="H775" s="145" t="s">
        <v>3254</v>
      </c>
      <c r="I775" s="145"/>
      <c r="J775" s="252" t="s">
        <v>2841</v>
      </c>
      <c r="K775" s="145">
        <v>10005.549999999999</v>
      </c>
      <c r="L775" s="145" t="s">
        <v>3249</v>
      </c>
      <c r="M775" s="145">
        <v>9.5600000000000004E-2</v>
      </c>
      <c r="N775" s="145">
        <v>0.16</v>
      </c>
      <c r="O775" s="145">
        <v>956.53060000000005</v>
      </c>
      <c r="P775" s="145">
        <v>1600.8879999999999</v>
      </c>
      <c r="Q775" s="145">
        <v>124.35</v>
      </c>
      <c r="R775" s="145">
        <v>29.54</v>
      </c>
      <c r="S775" s="145">
        <v>309</v>
      </c>
      <c r="T775" s="145">
        <v>295563.95</v>
      </c>
      <c r="U775" s="145"/>
      <c r="V775" s="145"/>
    </row>
    <row r="776" spans="1:22" s="86" customFormat="1" ht="15.75" customHeight="1" x14ac:dyDescent="0.25">
      <c r="A776" s="178">
        <v>325</v>
      </c>
      <c r="B776" s="179" t="s">
        <v>13</v>
      </c>
      <c r="C776" s="179" t="s">
        <v>32</v>
      </c>
      <c r="D776" s="180">
        <v>44769</v>
      </c>
      <c r="E776" s="195" t="s">
        <v>23</v>
      </c>
      <c r="F776" s="195"/>
      <c r="G776" s="195">
        <v>534</v>
      </c>
      <c r="H776" s="163" t="s">
        <v>3254</v>
      </c>
      <c r="I776" s="179"/>
      <c r="J776" s="181" t="s">
        <v>1975</v>
      </c>
      <c r="K776" s="179">
        <v>2750.1</v>
      </c>
      <c r="L776" s="179" t="s">
        <v>3250</v>
      </c>
      <c r="M776" s="179">
        <v>0.15790000000000001</v>
      </c>
      <c r="N776" s="179">
        <v>0.309</v>
      </c>
      <c r="O776" s="179">
        <v>434.24079999999998</v>
      </c>
      <c r="P776" s="179">
        <v>849.78089999999997</v>
      </c>
      <c r="Q776" s="179">
        <v>56.45</v>
      </c>
      <c r="R776" s="179">
        <v>48.79</v>
      </c>
      <c r="S776" s="179">
        <v>309</v>
      </c>
      <c r="T776" s="179">
        <v>134177.38</v>
      </c>
      <c r="U776" s="179"/>
      <c r="V776" s="179"/>
    </row>
    <row r="777" spans="1:22" ht="15.75" customHeight="1" x14ac:dyDescent="0.25">
      <c r="A777" s="171" t="s">
        <v>3252</v>
      </c>
      <c r="B777" s="163" t="s">
        <v>13</v>
      </c>
      <c r="C777" s="163" t="s">
        <v>295</v>
      </c>
      <c r="D777" s="172">
        <v>44769</v>
      </c>
      <c r="E777" s="187" t="s">
        <v>23</v>
      </c>
      <c r="F777" s="187"/>
      <c r="G777" s="187"/>
      <c r="H777" s="163"/>
      <c r="I777" s="163"/>
      <c r="J777" s="164" t="s">
        <v>296</v>
      </c>
      <c r="K777" s="163">
        <v>1740</v>
      </c>
      <c r="L777" s="163">
        <v>580</v>
      </c>
      <c r="M777" s="163"/>
      <c r="N777" s="163"/>
      <c r="O777" s="163"/>
      <c r="P777" s="163"/>
      <c r="Q777" s="163"/>
      <c r="R777" s="163"/>
      <c r="S777" s="163"/>
      <c r="T777" s="163">
        <v>46270</v>
      </c>
      <c r="U777" s="163"/>
      <c r="V777" s="163"/>
    </row>
    <row r="778" spans="1:22" ht="15.75" customHeight="1" x14ac:dyDescent="0.25">
      <c r="A778" s="270">
        <v>327</v>
      </c>
      <c r="B778" s="162" t="s">
        <v>34</v>
      </c>
      <c r="C778" s="162" t="s">
        <v>3227</v>
      </c>
      <c r="D778" s="168">
        <v>44770</v>
      </c>
      <c r="E778" s="194" t="s">
        <v>23</v>
      </c>
      <c r="F778" s="194"/>
      <c r="G778" s="194"/>
      <c r="H778" s="162"/>
      <c r="I778" s="162"/>
      <c r="J778" s="169" t="s">
        <v>3226</v>
      </c>
      <c r="K778" s="142">
        <v>2</v>
      </c>
      <c r="L778" s="162" t="s">
        <v>41</v>
      </c>
      <c r="M778" s="162">
        <v>1.3633999999999999</v>
      </c>
      <c r="N778" s="162">
        <v>5.3570000000000002</v>
      </c>
      <c r="O778" s="162">
        <v>2.7267999999999999</v>
      </c>
      <c r="P778" s="162">
        <v>10.714</v>
      </c>
      <c r="Q778" s="162">
        <v>0.35</v>
      </c>
      <c r="R778" s="162">
        <v>458.67</v>
      </c>
      <c r="S778" s="162">
        <v>336.42</v>
      </c>
      <c r="T778" s="162">
        <v>917.35</v>
      </c>
      <c r="U778" s="162"/>
      <c r="V778" s="162"/>
    </row>
    <row r="779" spans="1:22" ht="15.75" customHeight="1" x14ac:dyDescent="0.25">
      <c r="A779" s="171" t="s">
        <v>3255</v>
      </c>
      <c r="B779" s="163" t="s">
        <v>34</v>
      </c>
      <c r="C779" s="163" t="s">
        <v>3128</v>
      </c>
      <c r="D779" s="172">
        <v>44770</v>
      </c>
      <c r="E779" s="187" t="s">
        <v>677</v>
      </c>
      <c r="F779" s="187"/>
      <c r="G779" s="187"/>
      <c r="H779" s="163"/>
      <c r="I779" s="163"/>
      <c r="J779" s="164" t="s">
        <v>859</v>
      </c>
      <c r="K779" s="271">
        <v>4532.3</v>
      </c>
      <c r="L779" s="163">
        <v>743</v>
      </c>
      <c r="M779" s="163"/>
      <c r="N779" s="163"/>
      <c r="O779" s="163"/>
      <c r="P779" s="163"/>
      <c r="Q779" s="163"/>
      <c r="R779" s="163"/>
      <c r="S779" s="163"/>
      <c r="T779" s="163">
        <v>199103.94</v>
      </c>
      <c r="U779" s="163"/>
      <c r="V779" s="163"/>
    </row>
    <row r="780" spans="1:22" ht="15.75" customHeight="1" x14ac:dyDescent="0.25">
      <c r="A780" s="171" t="s">
        <v>3256</v>
      </c>
      <c r="B780" s="163" t="s">
        <v>34</v>
      </c>
      <c r="C780" s="163" t="s">
        <v>3128</v>
      </c>
      <c r="D780" s="172">
        <v>44770</v>
      </c>
      <c r="E780" s="187" t="s">
        <v>677</v>
      </c>
      <c r="F780" s="187"/>
      <c r="G780" s="187"/>
      <c r="H780" s="163"/>
      <c r="I780" s="163"/>
      <c r="J780" s="164" t="s">
        <v>2801</v>
      </c>
      <c r="K780" s="280">
        <v>239.85</v>
      </c>
      <c r="L780" s="163">
        <v>78</v>
      </c>
      <c r="M780" s="163"/>
      <c r="N780" s="163"/>
      <c r="O780" s="163"/>
      <c r="P780" s="163"/>
      <c r="Q780" s="163"/>
      <c r="R780" s="163"/>
      <c r="S780" s="163"/>
      <c r="T780" s="163">
        <v>62245.87</v>
      </c>
      <c r="U780" s="163"/>
      <c r="V780" s="163"/>
    </row>
    <row r="781" spans="1:22" s="14" customFormat="1" ht="15.75" customHeight="1" x14ac:dyDescent="0.25">
      <c r="A781" s="147" t="s">
        <v>3259</v>
      </c>
      <c r="B781" s="145" t="s">
        <v>13</v>
      </c>
      <c r="C781" s="145" t="s">
        <v>548</v>
      </c>
      <c r="D781" s="148">
        <v>44771</v>
      </c>
      <c r="E781" s="241" t="s">
        <v>23</v>
      </c>
      <c r="F781" s="241"/>
      <c r="G781" s="241">
        <v>96</v>
      </c>
      <c r="H781" s="145" t="s">
        <v>2858</v>
      </c>
      <c r="I781" s="145"/>
      <c r="J781" s="146" t="s">
        <v>3257</v>
      </c>
      <c r="K781" s="145" t="s">
        <v>3258</v>
      </c>
      <c r="L781" s="145">
        <v>98</v>
      </c>
      <c r="M781" s="145"/>
      <c r="N781" s="145"/>
      <c r="O781" s="145"/>
      <c r="P781" s="145"/>
      <c r="Q781" s="145"/>
      <c r="R781" s="145"/>
      <c r="S781" s="145"/>
      <c r="T781" s="145">
        <v>102000</v>
      </c>
      <c r="U781" s="145"/>
      <c r="V781" s="145"/>
    </row>
    <row r="782" spans="1:22" ht="15.75" customHeight="1" x14ac:dyDescent="0.25">
      <c r="A782" s="171" t="s">
        <v>3261</v>
      </c>
      <c r="B782" s="163" t="s">
        <v>13</v>
      </c>
      <c r="C782" s="163" t="s">
        <v>3260</v>
      </c>
      <c r="D782" s="172">
        <v>44774</v>
      </c>
      <c r="E782" s="187" t="s">
        <v>677</v>
      </c>
      <c r="F782" s="187"/>
      <c r="G782" s="187"/>
      <c r="H782" s="163"/>
      <c r="I782" s="163"/>
      <c r="J782" s="164" t="s">
        <v>3262</v>
      </c>
      <c r="K782" s="145"/>
      <c r="L782" s="163">
        <v>10</v>
      </c>
      <c r="M782" s="163"/>
      <c r="N782" s="163"/>
      <c r="O782" s="163"/>
      <c r="P782" s="163"/>
      <c r="Q782" s="163"/>
      <c r="R782" s="163"/>
      <c r="S782" s="163"/>
      <c r="T782" s="163">
        <v>5450</v>
      </c>
      <c r="U782" s="163"/>
      <c r="V782" s="163"/>
    </row>
    <row r="783" spans="1:22" ht="15.75" customHeight="1" x14ac:dyDescent="0.25">
      <c r="A783" s="171" t="s">
        <v>3263</v>
      </c>
      <c r="B783" s="163" t="s">
        <v>13</v>
      </c>
      <c r="C783" s="162" t="s">
        <v>289</v>
      </c>
      <c r="D783" s="172">
        <v>44774</v>
      </c>
      <c r="E783" s="194" t="s">
        <v>23</v>
      </c>
      <c r="F783" s="194"/>
      <c r="G783" s="194"/>
      <c r="H783" s="162"/>
      <c r="I783" s="162"/>
      <c r="J783" s="274" t="s">
        <v>177</v>
      </c>
      <c r="K783" s="162"/>
      <c r="L783" s="162" t="s">
        <v>26</v>
      </c>
      <c r="M783" s="162"/>
      <c r="N783" s="162"/>
      <c r="O783" s="162"/>
      <c r="P783" s="162"/>
      <c r="Q783" s="162"/>
      <c r="R783" s="162"/>
      <c r="S783" s="162"/>
      <c r="T783" s="162" t="s">
        <v>2003</v>
      </c>
      <c r="U783" s="162"/>
      <c r="V783" s="162"/>
    </row>
    <row r="784" spans="1:22" ht="15.75" customHeight="1" x14ac:dyDescent="0.25">
      <c r="A784" s="171" t="s">
        <v>3263</v>
      </c>
      <c r="B784" s="163" t="s">
        <v>13</v>
      </c>
      <c r="C784" s="162" t="s">
        <v>289</v>
      </c>
      <c r="D784" s="172">
        <v>44774</v>
      </c>
      <c r="E784" s="194" t="s">
        <v>23</v>
      </c>
      <c r="F784" s="194" t="s">
        <v>17</v>
      </c>
      <c r="G784" s="194"/>
      <c r="H784" s="162"/>
      <c r="I784" s="162"/>
      <c r="J784" s="169" t="s">
        <v>290</v>
      </c>
      <c r="K784" s="162"/>
      <c r="L784" s="162" t="s">
        <v>26</v>
      </c>
      <c r="M784" s="162"/>
      <c r="N784" s="162"/>
      <c r="O784" s="162"/>
      <c r="P784" s="162"/>
      <c r="Q784" s="162"/>
      <c r="R784" s="162"/>
      <c r="S784" s="162"/>
      <c r="T784" s="162" t="s">
        <v>494</v>
      </c>
      <c r="U784" s="162"/>
      <c r="V784" s="162"/>
    </row>
    <row r="785" spans="1:22" ht="15.75" customHeight="1" x14ac:dyDescent="0.25">
      <c r="A785" s="171" t="s">
        <v>3263</v>
      </c>
      <c r="B785" s="163" t="s">
        <v>13</v>
      </c>
      <c r="C785" s="162" t="s">
        <v>289</v>
      </c>
      <c r="D785" s="172">
        <v>44774</v>
      </c>
      <c r="E785" s="194" t="s">
        <v>23</v>
      </c>
      <c r="F785" s="187"/>
      <c r="G785" s="187"/>
      <c r="H785" s="162"/>
      <c r="I785" s="163"/>
      <c r="J785" s="164" t="s">
        <v>241</v>
      </c>
      <c r="K785" s="145"/>
      <c r="L785" s="163" t="s">
        <v>26</v>
      </c>
      <c r="M785" s="163"/>
      <c r="N785" s="163"/>
      <c r="O785" s="163"/>
      <c r="P785" s="163"/>
      <c r="Q785" s="163"/>
      <c r="R785" s="163"/>
      <c r="S785" s="163"/>
      <c r="T785" s="163" t="s">
        <v>320</v>
      </c>
      <c r="U785" s="163"/>
      <c r="V785" s="163"/>
    </row>
    <row r="786" spans="1:22" ht="15.75" customHeight="1" x14ac:dyDescent="0.25">
      <c r="A786" s="171">
        <v>329</v>
      </c>
      <c r="B786" s="163" t="s">
        <v>34</v>
      </c>
      <c r="C786" s="163" t="s">
        <v>46</v>
      </c>
      <c r="D786" s="172">
        <v>44774</v>
      </c>
      <c r="E786" s="187" t="s">
        <v>23</v>
      </c>
      <c r="F786" s="187"/>
      <c r="G786" s="187"/>
      <c r="H786" s="163"/>
      <c r="I786" s="163"/>
      <c r="J786" s="164" t="s">
        <v>645</v>
      </c>
      <c r="K786" s="145">
        <v>192</v>
      </c>
      <c r="L786" s="163" t="s">
        <v>207</v>
      </c>
      <c r="M786" s="163">
        <v>0.5323</v>
      </c>
      <c r="N786" s="163">
        <v>2.5880000000000001</v>
      </c>
      <c r="O786" s="163">
        <v>102.2016</v>
      </c>
      <c r="P786" s="163">
        <v>496.89600000000002</v>
      </c>
      <c r="Q786" s="163">
        <v>13.29</v>
      </c>
      <c r="R786" s="163">
        <v>167.67</v>
      </c>
      <c r="S786" s="163">
        <v>315</v>
      </c>
      <c r="T786" s="163">
        <v>32193.5</v>
      </c>
      <c r="U786" s="163"/>
      <c r="V786" s="163"/>
    </row>
    <row r="787" spans="1:22" ht="15.75" customHeight="1" x14ac:dyDescent="0.25">
      <c r="A787" s="171">
        <v>330</v>
      </c>
      <c r="B787" s="163" t="s">
        <v>13</v>
      </c>
      <c r="C787" s="163" t="s">
        <v>28</v>
      </c>
      <c r="D787" s="172">
        <v>44774</v>
      </c>
      <c r="E787" s="187" t="s">
        <v>23</v>
      </c>
      <c r="F787" s="187"/>
      <c r="G787" s="187">
        <v>12</v>
      </c>
      <c r="H787" s="163"/>
      <c r="I787" s="163"/>
      <c r="J787" s="164" t="s">
        <v>3231</v>
      </c>
      <c r="K787" s="145">
        <v>72</v>
      </c>
      <c r="L787" s="163" t="s">
        <v>171</v>
      </c>
      <c r="M787" s="163">
        <v>0.43969999999999998</v>
      </c>
      <c r="N787" s="163">
        <v>1.1279999999999999</v>
      </c>
      <c r="O787" s="163">
        <v>31.6584</v>
      </c>
      <c r="P787" s="163">
        <v>81.215999999999994</v>
      </c>
      <c r="Q787" s="163">
        <v>4.12</v>
      </c>
      <c r="R787" s="163">
        <v>150.82</v>
      </c>
      <c r="S787" s="163">
        <v>343</v>
      </c>
      <c r="T787" s="163">
        <v>10859.04</v>
      </c>
      <c r="U787" s="163"/>
      <c r="V787" s="163"/>
    </row>
    <row r="788" spans="1:22" s="14" customFormat="1" ht="15.75" customHeight="1" x14ac:dyDescent="0.25">
      <c r="A788" s="141">
        <v>331</v>
      </c>
      <c r="B788" s="145" t="s">
        <v>13</v>
      </c>
      <c r="C788" s="145" t="s">
        <v>32</v>
      </c>
      <c r="D788" s="148">
        <v>44774</v>
      </c>
      <c r="E788" s="242" t="s">
        <v>23</v>
      </c>
      <c r="F788" s="242">
        <f>159+157</f>
        <v>316</v>
      </c>
      <c r="G788" s="242"/>
      <c r="H788" s="142"/>
      <c r="I788" s="142"/>
      <c r="J788" s="144" t="s">
        <v>2773</v>
      </c>
      <c r="K788" s="142">
        <v>1701.3</v>
      </c>
      <c r="L788" s="142" t="s">
        <v>3264</v>
      </c>
      <c r="M788" s="142">
        <v>0.2651</v>
      </c>
      <c r="N788" s="142">
        <v>0.82099999999999995</v>
      </c>
      <c r="O788" s="142">
        <v>451.01459999999997</v>
      </c>
      <c r="P788" s="142">
        <v>1396.7673</v>
      </c>
      <c r="Q788" s="142">
        <v>58.63</v>
      </c>
      <c r="R788" s="142">
        <v>81.92</v>
      </c>
      <c r="S788" s="142">
        <v>309</v>
      </c>
      <c r="T788" s="142">
        <v>139363.51999999999</v>
      </c>
      <c r="U788" s="142"/>
      <c r="V788" s="142"/>
    </row>
    <row r="789" spans="1:22" s="14" customFormat="1" ht="15.75" customHeight="1" x14ac:dyDescent="0.25">
      <c r="A789" s="147">
        <v>331</v>
      </c>
      <c r="B789" s="145" t="s">
        <v>13</v>
      </c>
      <c r="C789" s="145" t="s">
        <v>32</v>
      </c>
      <c r="D789" s="148">
        <v>44774</v>
      </c>
      <c r="E789" s="258" t="s">
        <v>23</v>
      </c>
      <c r="F789" s="241">
        <v>196</v>
      </c>
      <c r="G789" s="241"/>
      <c r="H789" s="145"/>
      <c r="I789" s="145"/>
      <c r="J789" s="146" t="s">
        <v>1598</v>
      </c>
      <c r="K789" s="145">
        <v>1195.5999999999999</v>
      </c>
      <c r="L789" s="145" t="s">
        <v>1169</v>
      </c>
      <c r="M789" s="145">
        <v>0.2651</v>
      </c>
      <c r="N789" s="145">
        <v>0.82099999999999995</v>
      </c>
      <c r="O789" s="145">
        <v>316.95359999999999</v>
      </c>
      <c r="P789" s="145">
        <v>981.58759999999995</v>
      </c>
      <c r="Q789" s="145">
        <v>41.2</v>
      </c>
      <c r="R789" s="145">
        <v>81.92</v>
      </c>
      <c r="S789" s="145">
        <v>309</v>
      </c>
      <c r="T789" s="145">
        <v>97943.55</v>
      </c>
      <c r="U789" s="145"/>
      <c r="V789" s="145"/>
    </row>
    <row r="790" spans="1:22" ht="15.75" customHeight="1" x14ac:dyDescent="0.25">
      <c r="A790" s="171" t="s">
        <v>3265</v>
      </c>
      <c r="B790" s="163" t="s">
        <v>13</v>
      </c>
      <c r="C790" s="163" t="s">
        <v>295</v>
      </c>
      <c r="D790" s="172">
        <v>44775</v>
      </c>
      <c r="E790" s="187" t="s">
        <v>23</v>
      </c>
      <c r="F790" s="187"/>
      <c r="G790" s="187"/>
      <c r="H790" s="163" t="s">
        <v>2078</v>
      </c>
      <c r="I790" s="163"/>
      <c r="J790" s="164" t="s">
        <v>2165</v>
      </c>
      <c r="K790" s="163"/>
      <c r="L790" s="163">
        <v>44</v>
      </c>
      <c r="M790" s="163"/>
      <c r="N790" s="163"/>
      <c r="O790" s="163"/>
      <c r="P790" s="163"/>
      <c r="Q790" s="163"/>
      <c r="R790" s="163"/>
      <c r="S790" s="163"/>
      <c r="T790" s="163">
        <v>37605</v>
      </c>
      <c r="U790" s="163"/>
      <c r="V790" s="163"/>
    </row>
    <row r="791" spans="1:22" ht="30.75" customHeight="1" x14ac:dyDescent="0.25">
      <c r="A791" s="171" t="s">
        <v>3268</v>
      </c>
      <c r="B791" s="163" t="s">
        <v>34</v>
      </c>
      <c r="C791" s="163" t="s">
        <v>1884</v>
      </c>
      <c r="D791" s="172">
        <v>44776</v>
      </c>
      <c r="E791" s="187" t="s">
        <v>23</v>
      </c>
      <c r="F791" s="187"/>
      <c r="G791" s="187"/>
      <c r="H791" s="163"/>
      <c r="I791" s="163"/>
      <c r="J791" s="164" t="s">
        <v>3267</v>
      </c>
      <c r="K791" s="145"/>
      <c r="L791" s="163"/>
      <c r="M791" s="163"/>
      <c r="N791" s="163"/>
      <c r="O791" s="163"/>
      <c r="P791" s="163"/>
      <c r="Q791" s="163"/>
      <c r="R791" s="163"/>
      <c r="S791" s="163"/>
      <c r="T791" s="163" t="s">
        <v>2928</v>
      </c>
      <c r="U791" s="163"/>
      <c r="V791" s="163"/>
    </row>
    <row r="792" spans="1:22" s="28" customFormat="1" ht="15.75" customHeight="1" x14ac:dyDescent="0.25">
      <c r="A792" s="254">
        <v>332</v>
      </c>
      <c r="B792" s="150" t="s">
        <v>13</v>
      </c>
      <c r="C792" s="150" t="s">
        <v>595</v>
      </c>
      <c r="D792" s="255">
        <v>44776</v>
      </c>
      <c r="E792" s="256" t="s">
        <v>23</v>
      </c>
      <c r="F792" s="256"/>
      <c r="G792" s="256">
        <f>56+51</f>
        <v>107</v>
      </c>
      <c r="H792" s="150"/>
      <c r="I792" s="150"/>
      <c r="J792" s="257" t="s">
        <v>630</v>
      </c>
      <c r="K792" s="150">
        <v>695.5</v>
      </c>
      <c r="L792" s="150" t="s">
        <v>1473</v>
      </c>
      <c r="M792" s="150">
        <v>0.54049999999999998</v>
      </c>
      <c r="N792" s="150">
        <v>2.0979999999999999</v>
      </c>
      <c r="O792" s="150">
        <v>375.9178</v>
      </c>
      <c r="P792" s="150">
        <v>1459.1590000000001</v>
      </c>
      <c r="Q792" s="150">
        <v>48.87</v>
      </c>
      <c r="R792" s="150">
        <v>151.34</v>
      </c>
      <c r="S792" s="150">
        <v>280</v>
      </c>
      <c r="T792" s="150">
        <v>105256.97</v>
      </c>
      <c r="U792" s="150"/>
      <c r="V792" s="150"/>
    </row>
    <row r="793" spans="1:22" s="28" customFormat="1" ht="15.75" customHeight="1" x14ac:dyDescent="0.25">
      <c r="A793" s="254">
        <v>333</v>
      </c>
      <c r="B793" s="150" t="s">
        <v>13</v>
      </c>
      <c r="C793" s="150" t="s">
        <v>595</v>
      </c>
      <c r="D793" s="255">
        <v>44776</v>
      </c>
      <c r="E793" s="256" t="s">
        <v>23</v>
      </c>
      <c r="F793" s="256">
        <v>80</v>
      </c>
      <c r="G793" s="256"/>
      <c r="H793" s="150"/>
      <c r="I793" s="150"/>
      <c r="J793" s="257" t="s">
        <v>999</v>
      </c>
      <c r="K793" s="150">
        <v>520</v>
      </c>
      <c r="L793" s="150" t="s">
        <v>113</v>
      </c>
      <c r="M793" s="150">
        <v>0.626</v>
      </c>
      <c r="N793" s="150">
        <v>2.1869999999999998</v>
      </c>
      <c r="O793" s="150">
        <v>325.52</v>
      </c>
      <c r="P793" s="150">
        <v>1137.24</v>
      </c>
      <c r="Q793" s="150">
        <v>42.32</v>
      </c>
      <c r="R793" s="150">
        <v>175.28</v>
      </c>
      <c r="S793" s="150">
        <v>280</v>
      </c>
      <c r="T793" s="150">
        <v>91145.600000000006</v>
      </c>
      <c r="U793" s="150"/>
      <c r="V793" s="150"/>
    </row>
    <row r="794" spans="1:22" s="71" customFormat="1" ht="15.75" customHeight="1" x14ac:dyDescent="0.25">
      <c r="A794" s="212" t="s">
        <v>3269</v>
      </c>
      <c r="B794" s="213" t="s">
        <v>13</v>
      </c>
      <c r="C794" s="213" t="s">
        <v>2152</v>
      </c>
      <c r="D794" s="214">
        <v>44777</v>
      </c>
      <c r="E794" s="215" t="s">
        <v>677</v>
      </c>
      <c r="F794" s="215"/>
      <c r="G794" s="215"/>
      <c r="H794" s="213" t="s">
        <v>2057</v>
      </c>
      <c r="I794" s="213"/>
      <c r="J794" s="216" t="s">
        <v>890</v>
      </c>
      <c r="K794" s="213"/>
      <c r="L794" s="213">
        <v>100</v>
      </c>
      <c r="M794" s="213"/>
      <c r="N794" s="213"/>
      <c r="O794" s="213"/>
      <c r="P794" s="213"/>
      <c r="Q794" s="213"/>
      <c r="R794" s="213"/>
      <c r="S794" s="213"/>
      <c r="T794" s="213">
        <v>14950</v>
      </c>
      <c r="U794" s="213"/>
      <c r="V794" s="213"/>
    </row>
    <row r="795" spans="1:22" s="14" customFormat="1" ht="15.75" customHeight="1" x14ac:dyDescent="0.25">
      <c r="A795" s="141" t="s">
        <v>3270</v>
      </c>
      <c r="B795" s="145" t="s">
        <v>13</v>
      </c>
      <c r="C795" s="142" t="s">
        <v>30</v>
      </c>
      <c r="D795" s="143">
        <v>44778</v>
      </c>
      <c r="E795" s="242" t="s">
        <v>23</v>
      </c>
      <c r="F795" s="242"/>
      <c r="G795" s="242"/>
      <c r="H795" s="142" t="s">
        <v>2078</v>
      </c>
      <c r="I795" s="142"/>
      <c r="J795" s="144" t="s">
        <v>871</v>
      </c>
      <c r="K795" s="142"/>
      <c r="L795" s="142">
        <v>143</v>
      </c>
      <c r="M795" s="142"/>
      <c r="N795" s="142"/>
      <c r="O795" s="142"/>
      <c r="P795" s="142"/>
      <c r="Q795" s="142"/>
      <c r="R795" s="142"/>
      <c r="S795" s="142"/>
      <c r="T795" s="142" t="s">
        <v>3271</v>
      </c>
      <c r="U795" s="142"/>
      <c r="V795" s="142"/>
    </row>
    <row r="796" spans="1:22" s="14" customFormat="1" ht="15.75" customHeight="1" x14ac:dyDescent="0.25">
      <c r="A796" s="141" t="s">
        <v>3270</v>
      </c>
      <c r="B796" s="145" t="s">
        <v>13</v>
      </c>
      <c r="C796" s="142" t="s">
        <v>30</v>
      </c>
      <c r="D796" s="143">
        <v>44778</v>
      </c>
      <c r="E796" s="242" t="s">
        <v>23</v>
      </c>
      <c r="F796" s="242"/>
      <c r="G796" s="242"/>
      <c r="H796" s="142" t="s">
        <v>2078</v>
      </c>
      <c r="I796" s="145"/>
      <c r="J796" s="146" t="s">
        <v>872</v>
      </c>
      <c r="K796" s="145"/>
      <c r="L796" s="145">
        <v>50</v>
      </c>
      <c r="M796" s="145"/>
      <c r="N796" s="145"/>
      <c r="O796" s="145"/>
      <c r="P796" s="145"/>
      <c r="Q796" s="145"/>
      <c r="R796" s="145"/>
      <c r="S796" s="145"/>
      <c r="T796" s="145" t="s">
        <v>3272</v>
      </c>
      <c r="U796" s="145"/>
      <c r="V796" s="145"/>
    </row>
    <row r="797" spans="1:22" s="14" customFormat="1" ht="15.75" customHeight="1" x14ac:dyDescent="0.25">
      <c r="A797" s="141" t="s">
        <v>3273</v>
      </c>
      <c r="B797" s="145" t="s">
        <v>13</v>
      </c>
      <c r="C797" s="142" t="s">
        <v>30</v>
      </c>
      <c r="D797" s="143">
        <v>44778</v>
      </c>
      <c r="E797" s="242" t="s">
        <v>23</v>
      </c>
      <c r="F797" s="242"/>
      <c r="G797" s="242"/>
      <c r="H797" s="142" t="s">
        <v>2078</v>
      </c>
      <c r="I797" s="142"/>
      <c r="J797" s="144" t="s">
        <v>710</v>
      </c>
      <c r="K797" s="142"/>
      <c r="L797" s="142" t="s">
        <v>3131</v>
      </c>
      <c r="M797" s="142"/>
      <c r="N797" s="142"/>
      <c r="O797" s="142"/>
      <c r="P797" s="142"/>
      <c r="Q797" s="142"/>
      <c r="R797" s="142"/>
      <c r="S797" s="142"/>
      <c r="T797" s="142" t="s">
        <v>3275</v>
      </c>
      <c r="U797" s="142"/>
      <c r="V797" s="142"/>
    </row>
    <row r="798" spans="1:22" s="14" customFormat="1" ht="15.75" customHeight="1" x14ac:dyDescent="0.25">
      <c r="A798" s="141" t="s">
        <v>3273</v>
      </c>
      <c r="B798" s="145" t="s">
        <v>13</v>
      </c>
      <c r="C798" s="142" t="s">
        <v>30</v>
      </c>
      <c r="D798" s="143">
        <v>44778</v>
      </c>
      <c r="E798" s="242" t="s">
        <v>23</v>
      </c>
      <c r="F798" s="242"/>
      <c r="G798" s="242"/>
      <c r="H798" s="142" t="s">
        <v>2078</v>
      </c>
      <c r="I798" s="142"/>
      <c r="J798" s="144" t="s">
        <v>711</v>
      </c>
      <c r="K798" s="142"/>
      <c r="L798" s="142" t="s">
        <v>3131</v>
      </c>
      <c r="M798" s="142"/>
      <c r="N798" s="142"/>
      <c r="O798" s="142"/>
      <c r="P798" s="142"/>
      <c r="Q798" s="142"/>
      <c r="R798" s="142"/>
      <c r="S798" s="142"/>
      <c r="T798" s="142" t="s">
        <v>3275</v>
      </c>
      <c r="U798" s="142"/>
      <c r="V798" s="142"/>
    </row>
    <row r="799" spans="1:22" s="14" customFormat="1" ht="15.75" customHeight="1" x14ac:dyDescent="0.25">
      <c r="A799" s="141" t="s">
        <v>3273</v>
      </c>
      <c r="B799" s="145" t="s">
        <v>13</v>
      </c>
      <c r="C799" s="142" t="s">
        <v>30</v>
      </c>
      <c r="D799" s="143">
        <v>44778</v>
      </c>
      <c r="E799" s="242" t="s">
        <v>23</v>
      </c>
      <c r="F799" s="242"/>
      <c r="G799" s="242"/>
      <c r="H799" s="142" t="s">
        <v>2078</v>
      </c>
      <c r="I799" s="142"/>
      <c r="J799" s="144" t="s">
        <v>712</v>
      </c>
      <c r="K799" s="142"/>
      <c r="L799" s="142" t="s">
        <v>613</v>
      </c>
      <c r="M799" s="142"/>
      <c r="N799" s="142"/>
      <c r="O799" s="142"/>
      <c r="P799" s="142"/>
      <c r="Q799" s="142"/>
      <c r="R799" s="142"/>
      <c r="S799" s="142"/>
      <c r="T799" s="142" t="s">
        <v>2909</v>
      </c>
      <c r="U799" s="142"/>
      <c r="V799" s="142"/>
    </row>
    <row r="800" spans="1:22" s="14" customFormat="1" ht="15.75" customHeight="1" x14ac:dyDescent="0.25">
      <c r="A800" s="141" t="s">
        <v>3273</v>
      </c>
      <c r="B800" s="145" t="s">
        <v>13</v>
      </c>
      <c r="C800" s="142" t="s">
        <v>30</v>
      </c>
      <c r="D800" s="143">
        <v>44778</v>
      </c>
      <c r="E800" s="242" t="s">
        <v>23</v>
      </c>
      <c r="F800" s="242"/>
      <c r="G800" s="242"/>
      <c r="H800" s="142" t="s">
        <v>2078</v>
      </c>
      <c r="I800" s="142"/>
      <c r="J800" s="144" t="s">
        <v>713</v>
      </c>
      <c r="K800" s="142"/>
      <c r="L800" s="142" t="s">
        <v>1679</v>
      </c>
      <c r="M800" s="142"/>
      <c r="N800" s="142"/>
      <c r="O800" s="142"/>
      <c r="P800" s="142"/>
      <c r="Q800" s="142"/>
      <c r="R800" s="142"/>
      <c r="S800" s="142"/>
      <c r="T800" s="142" t="s">
        <v>3276</v>
      </c>
      <c r="U800" s="142"/>
      <c r="V800" s="142"/>
    </row>
    <row r="801" spans="1:22" s="14" customFormat="1" ht="15.75" customHeight="1" x14ac:dyDescent="0.25">
      <c r="A801" s="141" t="s">
        <v>3273</v>
      </c>
      <c r="B801" s="145" t="s">
        <v>13</v>
      </c>
      <c r="C801" s="142" t="s">
        <v>30</v>
      </c>
      <c r="D801" s="143">
        <v>44778</v>
      </c>
      <c r="E801" s="242" t="s">
        <v>23</v>
      </c>
      <c r="F801" s="242"/>
      <c r="G801" s="242"/>
      <c r="H801" s="142" t="s">
        <v>2078</v>
      </c>
      <c r="I801" s="142"/>
      <c r="J801" s="144" t="s">
        <v>714</v>
      </c>
      <c r="K801" s="142"/>
      <c r="L801" s="142" t="s">
        <v>3274</v>
      </c>
      <c r="M801" s="142"/>
      <c r="N801" s="142"/>
      <c r="O801" s="142"/>
      <c r="P801" s="142"/>
      <c r="Q801" s="142"/>
      <c r="R801" s="142"/>
      <c r="S801" s="142"/>
      <c r="T801" s="142" t="s">
        <v>3277</v>
      </c>
      <c r="U801" s="142"/>
      <c r="V801" s="142"/>
    </row>
    <row r="802" spans="1:22" s="14" customFormat="1" ht="15.75" customHeight="1" x14ac:dyDescent="0.25">
      <c r="A802" s="141" t="s">
        <v>3273</v>
      </c>
      <c r="B802" s="145" t="s">
        <v>13</v>
      </c>
      <c r="C802" s="142" t="s">
        <v>30</v>
      </c>
      <c r="D802" s="143">
        <v>44778</v>
      </c>
      <c r="E802" s="242" t="s">
        <v>23</v>
      </c>
      <c r="F802" s="242"/>
      <c r="G802" s="242"/>
      <c r="H802" s="142" t="s">
        <v>2078</v>
      </c>
      <c r="I802" s="142"/>
      <c r="J802" s="144" t="s">
        <v>715</v>
      </c>
      <c r="K802" s="142"/>
      <c r="L802" s="142" t="s">
        <v>3274</v>
      </c>
      <c r="M802" s="142"/>
      <c r="N802" s="142"/>
      <c r="O802" s="142"/>
      <c r="P802" s="142"/>
      <c r="Q802" s="142"/>
      <c r="R802" s="142"/>
      <c r="S802" s="142"/>
      <c r="T802" s="142" t="s">
        <v>3277</v>
      </c>
      <c r="U802" s="142"/>
      <c r="V802" s="142"/>
    </row>
    <row r="803" spans="1:22" s="14" customFormat="1" ht="15.75" customHeight="1" x14ac:dyDescent="0.25">
      <c r="A803" s="141" t="s">
        <v>3273</v>
      </c>
      <c r="B803" s="145" t="s">
        <v>13</v>
      </c>
      <c r="C803" s="142" t="s">
        <v>30</v>
      </c>
      <c r="D803" s="143">
        <v>44778</v>
      </c>
      <c r="E803" s="242" t="s">
        <v>23</v>
      </c>
      <c r="F803" s="242"/>
      <c r="G803" s="242"/>
      <c r="H803" s="142" t="s">
        <v>2078</v>
      </c>
      <c r="I803" s="142"/>
      <c r="J803" s="144" t="s">
        <v>716</v>
      </c>
      <c r="K803" s="142"/>
      <c r="L803" s="142" t="s">
        <v>54</v>
      </c>
      <c r="M803" s="142"/>
      <c r="N803" s="142"/>
      <c r="O803" s="142"/>
      <c r="P803" s="142"/>
      <c r="Q803" s="142"/>
      <c r="R803" s="142"/>
      <c r="S803" s="142"/>
      <c r="T803" s="142" t="s">
        <v>1319</v>
      </c>
      <c r="U803" s="142"/>
      <c r="V803" s="142"/>
    </row>
    <row r="804" spans="1:22" s="14" customFormat="1" ht="15.75" customHeight="1" x14ac:dyDescent="0.25">
      <c r="A804" s="141" t="s">
        <v>3273</v>
      </c>
      <c r="B804" s="145" t="s">
        <v>13</v>
      </c>
      <c r="C804" s="142" t="s">
        <v>30</v>
      </c>
      <c r="D804" s="143">
        <v>44778</v>
      </c>
      <c r="E804" s="242" t="s">
        <v>23</v>
      </c>
      <c r="F804" s="242"/>
      <c r="G804" s="242"/>
      <c r="H804" s="142" t="s">
        <v>2078</v>
      </c>
      <c r="I804" s="142"/>
      <c r="J804" s="144" t="s">
        <v>717</v>
      </c>
      <c r="K804" s="142"/>
      <c r="L804" s="142" t="s">
        <v>54</v>
      </c>
      <c r="M804" s="142"/>
      <c r="N804" s="142"/>
      <c r="O804" s="142"/>
      <c r="P804" s="142"/>
      <c r="Q804" s="142"/>
      <c r="R804" s="142"/>
      <c r="S804" s="142"/>
      <c r="T804" s="142" t="s">
        <v>1319</v>
      </c>
      <c r="U804" s="142"/>
      <c r="V804" s="142"/>
    </row>
    <row r="805" spans="1:22" s="14" customFormat="1" ht="15.75" customHeight="1" x14ac:dyDescent="0.25">
      <c r="A805" s="141" t="s">
        <v>3273</v>
      </c>
      <c r="B805" s="145" t="s">
        <v>13</v>
      </c>
      <c r="C805" s="142" t="s">
        <v>30</v>
      </c>
      <c r="D805" s="143">
        <v>44778</v>
      </c>
      <c r="E805" s="242" t="s">
        <v>23</v>
      </c>
      <c r="F805" s="242"/>
      <c r="G805" s="242"/>
      <c r="H805" s="142" t="s">
        <v>2078</v>
      </c>
      <c r="I805" s="142"/>
      <c r="J805" s="144" t="s">
        <v>718</v>
      </c>
      <c r="K805" s="142"/>
      <c r="L805" s="142" t="s">
        <v>3131</v>
      </c>
      <c r="M805" s="142"/>
      <c r="N805" s="142"/>
      <c r="O805" s="142"/>
      <c r="P805" s="142"/>
      <c r="Q805" s="142"/>
      <c r="R805" s="142"/>
      <c r="S805" s="142"/>
      <c r="T805" s="142" t="s">
        <v>234</v>
      </c>
      <c r="U805" s="142"/>
      <c r="V805" s="142"/>
    </row>
    <row r="806" spans="1:22" s="14" customFormat="1" ht="15.75" customHeight="1" x14ac:dyDescent="0.25">
      <c r="A806" s="141" t="s">
        <v>3273</v>
      </c>
      <c r="B806" s="145" t="s">
        <v>13</v>
      </c>
      <c r="C806" s="142" t="s">
        <v>30</v>
      </c>
      <c r="D806" s="143">
        <v>44778</v>
      </c>
      <c r="E806" s="242" t="s">
        <v>23</v>
      </c>
      <c r="F806" s="242"/>
      <c r="G806" s="242"/>
      <c r="H806" s="142" t="s">
        <v>2078</v>
      </c>
      <c r="I806" s="145"/>
      <c r="J806" s="146" t="s">
        <v>719</v>
      </c>
      <c r="K806" s="145"/>
      <c r="L806" s="145" t="s">
        <v>3131</v>
      </c>
      <c r="M806" s="145"/>
      <c r="N806" s="145"/>
      <c r="O806" s="145"/>
      <c r="P806" s="145"/>
      <c r="Q806" s="145"/>
      <c r="R806" s="145"/>
      <c r="S806" s="145"/>
      <c r="T806" s="145" t="s">
        <v>234</v>
      </c>
      <c r="U806" s="145"/>
      <c r="V806" s="145"/>
    </row>
    <row r="807" spans="1:22" ht="15.75" customHeight="1" x14ac:dyDescent="0.25">
      <c r="A807" s="171" t="s">
        <v>3279</v>
      </c>
      <c r="B807" s="163" t="s">
        <v>13</v>
      </c>
      <c r="C807" s="163" t="s">
        <v>37</v>
      </c>
      <c r="D807" s="172">
        <v>44784</v>
      </c>
      <c r="E807" s="187" t="s">
        <v>23</v>
      </c>
      <c r="F807" s="187"/>
      <c r="G807" s="187"/>
      <c r="H807" s="163"/>
      <c r="I807" s="163"/>
      <c r="J807" s="164" t="s">
        <v>1308</v>
      </c>
      <c r="K807" s="145">
        <v>171</v>
      </c>
      <c r="L807" s="163">
        <v>57</v>
      </c>
      <c r="M807" s="163"/>
      <c r="N807" s="163"/>
      <c r="O807" s="163"/>
      <c r="P807" s="163"/>
      <c r="Q807" s="163"/>
      <c r="R807" s="163"/>
      <c r="S807" s="163"/>
      <c r="T807" s="163">
        <v>26000</v>
      </c>
      <c r="U807" s="163"/>
      <c r="V807" s="163"/>
    </row>
    <row r="808" spans="1:22" ht="15.75" customHeight="1" x14ac:dyDescent="0.25">
      <c r="A808" s="167" t="s">
        <v>1838</v>
      </c>
      <c r="B808" s="162" t="s">
        <v>34</v>
      </c>
      <c r="C808" s="162" t="s">
        <v>284</v>
      </c>
      <c r="D808" s="168">
        <v>44785</v>
      </c>
      <c r="E808" s="194" t="s">
        <v>23</v>
      </c>
      <c r="F808" s="187"/>
      <c r="G808" s="187"/>
      <c r="H808" s="162"/>
      <c r="I808" s="162"/>
      <c r="J808" s="169" t="s">
        <v>3320</v>
      </c>
      <c r="K808" s="142" t="s">
        <v>552</v>
      </c>
      <c r="L808" s="162"/>
      <c r="M808" s="162"/>
      <c r="N808" s="162"/>
      <c r="O808" s="162"/>
      <c r="P808" s="162"/>
      <c r="Q808" s="162"/>
      <c r="R808" s="162"/>
      <c r="S808" s="162"/>
      <c r="T808" s="162" t="s">
        <v>3329</v>
      </c>
      <c r="U808" s="162"/>
      <c r="V808" s="162"/>
    </row>
    <row r="809" spans="1:22" ht="15.75" customHeight="1" x14ac:dyDescent="0.25">
      <c r="A809" s="167" t="s">
        <v>1838</v>
      </c>
      <c r="B809" s="162" t="s">
        <v>34</v>
      </c>
      <c r="C809" s="162" t="s">
        <v>284</v>
      </c>
      <c r="D809" s="168">
        <v>44785</v>
      </c>
      <c r="E809" s="194" t="s">
        <v>23</v>
      </c>
      <c r="F809" s="187"/>
      <c r="G809" s="187"/>
      <c r="H809" s="162"/>
      <c r="I809" s="162"/>
      <c r="J809" s="169" t="s">
        <v>3321</v>
      </c>
      <c r="K809" s="142" t="s">
        <v>3326</v>
      </c>
      <c r="L809" s="162"/>
      <c r="M809" s="162"/>
      <c r="N809" s="162"/>
      <c r="O809" s="162"/>
      <c r="P809" s="162"/>
      <c r="Q809" s="162"/>
      <c r="R809" s="162"/>
      <c r="S809" s="162"/>
      <c r="T809" s="162" t="s">
        <v>3329</v>
      </c>
      <c r="U809" s="162"/>
      <c r="V809" s="162"/>
    </row>
    <row r="810" spans="1:22" ht="15.75" customHeight="1" x14ac:dyDescent="0.25">
      <c r="A810" s="167" t="s">
        <v>1838</v>
      </c>
      <c r="B810" s="162" t="s">
        <v>34</v>
      </c>
      <c r="C810" s="162" t="s">
        <v>284</v>
      </c>
      <c r="D810" s="168">
        <v>44785</v>
      </c>
      <c r="E810" s="194" t="s">
        <v>23</v>
      </c>
      <c r="F810" s="187"/>
      <c r="G810" s="187"/>
      <c r="H810" s="162"/>
      <c r="I810" s="162"/>
      <c r="J810" s="169" t="s">
        <v>3322</v>
      </c>
      <c r="K810" s="142" t="s">
        <v>1562</v>
      </c>
      <c r="L810" s="162"/>
      <c r="M810" s="162"/>
      <c r="N810" s="162"/>
      <c r="O810" s="162"/>
      <c r="P810" s="162"/>
      <c r="Q810" s="162"/>
      <c r="R810" s="162"/>
      <c r="S810" s="162"/>
      <c r="T810" s="162" t="s">
        <v>3329</v>
      </c>
      <c r="U810" s="162"/>
      <c r="V810" s="162"/>
    </row>
    <row r="811" spans="1:22" ht="15.75" customHeight="1" x14ac:dyDescent="0.25">
      <c r="A811" s="167" t="s">
        <v>1838</v>
      </c>
      <c r="B811" s="162" t="s">
        <v>34</v>
      </c>
      <c r="C811" s="162" t="s">
        <v>284</v>
      </c>
      <c r="D811" s="168">
        <v>44785</v>
      </c>
      <c r="E811" s="194" t="s">
        <v>23</v>
      </c>
      <c r="F811" s="187"/>
      <c r="G811" s="187"/>
      <c r="H811" s="162"/>
      <c r="I811" s="162"/>
      <c r="J811" s="169" t="s">
        <v>3323</v>
      </c>
      <c r="K811" s="142" t="s">
        <v>3327</v>
      </c>
      <c r="L811" s="162"/>
      <c r="M811" s="162"/>
      <c r="N811" s="162"/>
      <c r="O811" s="162"/>
      <c r="P811" s="162"/>
      <c r="Q811" s="162"/>
      <c r="R811" s="162"/>
      <c r="S811" s="162"/>
      <c r="T811" s="162" t="s">
        <v>3330</v>
      </c>
      <c r="U811" s="162"/>
      <c r="V811" s="162"/>
    </row>
    <row r="812" spans="1:22" ht="15.75" customHeight="1" x14ac:dyDescent="0.25">
      <c r="A812" s="167" t="s">
        <v>1838</v>
      </c>
      <c r="B812" s="162" t="s">
        <v>34</v>
      </c>
      <c r="C812" s="162" t="s">
        <v>284</v>
      </c>
      <c r="D812" s="168">
        <v>44785</v>
      </c>
      <c r="E812" s="194" t="s">
        <v>23</v>
      </c>
      <c r="F812" s="187"/>
      <c r="G812" s="187"/>
      <c r="H812" s="162"/>
      <c r="I812" s="162"/>
      <c r="J812" s="169" t="s">
        <v>3324</v>
      </c>
      <c r="K812" s="142" t="s">
        <v>2704</v>
      </c>
      <c r="L812" s="162"/>
      <c r="M812" s="162"/>
      <c r="N812" s="162"/>
      <c r="O812" s="162"/>
      <c r="P812" s="162"/>
      <c r="Q812" s="162"/>
      <c r="R812" s="162"/>
      <c r="S812" s="162"/>
      <c r="T812" s="162" t="s">
        <v>3331</v>
      </c>
      <c r="U812" s="162"/>
      <c r="V812" s="162"/>
    </row>
    <row r="813" spans="1:22" ht="15.75" customHeight="1" x14ac:dyDescent="0.25">
      <c r="A813" s="167" t="s">
        <v>1838</v>
      </c>
      <c r="B813" s="162" t="s">
        <v>34</v>
      </c>
      <c r="C813" s="162" t="s">
        <v>284</v>
      </c>
      <c r="D813" s="168">
        <v>44785</v>
      </c>
      <c r="E813" s="194" t="s">
        <v>23</v>
      </c>
      <c r="F813" s="187"/>
      <c r="G813" s="187"/>
      <c r="H813" s="162"/>
      <c r="I813" s="162"/>
      <c r="J813" s="169" t="s">
        <v>3325</v>
      </c>
      <c r="K813" s="142" t="s">
        <v>3328</v>
      </c>
      <c r="L813" s="162"/>
      <c r="M813" s="162"/>
      <c r="N813" s="162"/>
      <c r="O813" s="162"/>
      <c r="P813" s="162"/>
      <c r="Q813" s="162"/>
      <c r="R813" s="162"/>
      <c r="S813" s="162"/>
      <c r="T813" s="162" t="s">
        <v>3332</v>
      </c>
      <c r="U813" s="162"/>
      <c r="V813" s="162"/>
    </row>
    <row r="814" spans="1:22" ht="15.75" customHeight="1" x14ac:dyDescent="0.25">
      <c r="A814" s="167" t="s">
        <v>1851</v>
      </c>
      <c r="B814" s="162" t="s">
        <v>34</v>
      </c>
      <c r="C814" s="162" t="s">
        <v>284</v>
      </c>
      <c r="D814" s="168">
        <v>44788</v>
      </c>
      <c r="E814" s="194" t="s">
        <v>23</v>
      </c>
      <c r="F814" s="187"/>
      <c r="G814" s="187"/>
      <c r="H814" s="162"/>
      <c r="I814" s="162"/>
      <c r="J814" s="169" t="s">
        <v>63</v>
      </c>
      <c r="K814" s="142" t="s">
        <v>3333</v>
      </c>
      <c r="L814" s="162"/>
      <c r="M814" s="162"/>
      <c r="N814" s="162"/>
      <c r="O814" s="162"/>
      <c r="P814" s="162"/>
      <c r="Q814" s="162"/>
      <c r="R814" s="162"/>
      <c r="S814" s="162"/>
      <c r="T814" s="162" t="s">
        <v>3334</v>
      </c>
      <c r="U814" s="162"/>
      <c r="V814" s="162"/>
    </row>
    <row r="815" spans="1:22" s="14" customFormat="1" ht="45.75" customHeight="1" x14ac:dyDescent="0.25">
      <c r="A815" s="147" t="s">
        <v>3281</v>
      </c>
      <c r="B815" s="145" t="s">
        <v>13</v>
      </c>
      <c r="C815" s="145" t="s">
        <v>637</v>
      </c>
      <c r="D815" s="148">
        <v>44785</v>
      </c>
      <c r="E815" s="241" t="s">
        <v>23</v>
      </c>
      <c r="F815" s="241"/>
      <c r="G815" s="241"/>
      <c r="H815" s="145"/>
      <c r="I815" s="145"/>
      <c r="J815" s="276" t="s">
        <v>177</v>
      </c>
      <c r="K815" s="145"/>
      <c r="L815" s="145"/>
      <c r="M815" s="145"/>
      <c r="N815" s="145"/>
      <c r="O815" s="145"/>
      <c r="P815" s="145"/>
      <c r="Q815" s="145"/>
      <c r="R815" s="145"/>
      <c r="S815" s="145"/>
      <c r="T815" s="220" t="s">
        <v>3285</v>
      </c>
      <c r="U815" s="145"/>
      <c r="V815" s="145"/>
    </row>
    <row r="816" spans="1:22" s="71" customFormat="1" ht="15.75" customHeight="1" x14ac:dyDescent="0.25">
      <c r="A816" s="212" t="s">
        <v>3282</v>
      </c>
      <c r="B816" s="213" t="s">
        <v>13</v>
      </c>
      <c r="C816" s="213" t="s">
        <v>3283</v>
      </c>
      <c r="D816" s="214">
        <v>44785</v>
      </c>
      <c r="E816" s="215" t="s">
        <v>677</v>
      </c>
      <c r="F816" s="215"/>
      <c r="G816" s="215"/>
      <c r="H816" s="213"/>
      <c r="I816" s="213"/>
      <c r="J816" s="216" t="s">
        <v>2007</v>
      </c>
      <c r="K816" s="213" t="s">
        <v>90</v>
      </c>
      <c r="L816" s="213"/>
      <c r="M816" s="213"/>
      <c r="N816" s="213"/>
      <c r="O816" s="213"/>
      <c r="P816" s="213"/>
      <c r="Q816" s="213"/>
      <c r="R816" s="213"/>
      <c r="S816" s="213"/>
      <c r="T816" s="213"/>
      <c r="U816" s="213"/>
      <c r="V816" s="213"/>
    </row>
    <row r="817" spans="1:22" s="71" customFormat="1" ht="15.75" customHeight="1" x14ac:dyDescent="0.25">
      <c r="A817" s="212" t="s">
        <v>3282</v>
      </c>
      <c r="B817" s="213" t="s">
        <v>13</v>
      </c>
      <c r="C817" s="213" t="s">
        <v>3283</v>
      </c>
      <c r="D817" s="214">
        <v>44785</v>
      </c>
      <c r="E817" s="215" t="s">
        <v>677</v>
      </c>
      <c r="F817" s="215"/>
      <c r="G817" s="215"/>
      <c r="H817" s="277"/>
      <c r="I817" s="277"/>
      <c r="J817" s="278" t="s">
        <v>752</v>
      </c>
      <c r="K817" s="277" t="s">
        <v>233</v>
      </c>
      <c r="L817" s="277"/>
      <c r="M817" s="277"/>
      <c r="N817" s="277"/>
      <c r="O817" s="277"/>
      <c r="P817" s="277"/>
      <c r="Q817" s="277"/>
      <c r="R817" s="277"/>
      <c r="S817" s="277"/>
      <c r="T817" s="277"/>
      <c r="U817" s="277"/>
      <c r="V817" s="277"/>
    </row>
    <row r="818" spans="1:22" s="71" customFormat="1" ht="15.75" customHeight="1" x14ac:dyDescent="0.25">
      <c r="A818" s="212" t="s">
        <v>3282</v>
      </c>
      <c r="B818" s="213" t="s">
        <v>13</v>
      </c>
      <c r="C818" s="213" t="s">
        <v>3283</v>
      </c>
      <c r="D818" s="214">
        <v>44785</v>
      </c>
      <c r="E818" s="215" t="s">
        <v>677</v>
      </c>
      <c r="F818" s="279"/>
      <c r="G818" s="279"/>
      <c r="H818" s="277"/>
      <c r="I818" s="277"/>
      <c r="J818" s="278" t="s">
        <v>3284</v>
      </c>
      <c r="K818" s="277" t="s">
        <v>36</v>
      </c>
      <c r="L818" s="277"/>
      <c r="M818" s="277"/>
      <c r="N818" s="277"/>
      <c r="O818" s="277"/>
      <c r="P818" s="277"/>
      <c r="Q818" s="277"/>
      <c r="R818" s="277"/>
      <c r="S818" s="277"/>
      <c r="T818" s="277"/>
      <c r="U818" s="277"/>
      <c r="V818" s="277"/>
    </row>
    <row r="819" spans="1:22" ht="15.75" customHeight="1" x14ac:dyDescent="0.25">
      <c r="A819" s="171" t="s">
        <v>3286</v>
      </c>
      <c r="B819" s="163" t="s">
        <v>13</v>
      </c>
      <c r="C819" s="163" t="s">
        <v>37</v>
      </c>
      <c r="D819" s="172">
        <v>44788</v>
      </c>
      <c r="E819" s="187" t="s">
        <v>23</v>
      </c>
      <c r="F819" s="187"/>
      <c r="G819" s="187"/>
      <c r="H819" s="163"/>
      <c r="I819" s="163"/>
      <c r="J819" s="164" t="s">
        <v>3287</v>
      </c>
      <c r="K819" s="163">
        <v>660</v>
      </c>
      <c r="L819" s="163">
        <v>220</v>
      </c>
      <c r="M819" s="163"/>
      <c r="N819" s="163"/>
      <c r="O819" s="163"/>
      <c r="P819" s="163"/>
      <c r="Q819" s="163"/>
      <c r="R819" s="163"/>
      <c r="S819" s="163"/>
      <c r="T819" s="163">
        <v>143000</v>
      </c>
      <c r="U819" s="163"/>
      <c r="V819" s="163"/>
    </row>
    <row r="820" spans="1:22" s="313" customFormat="1" ht="15.75" customHeight="1" x14ac:dyDescent="0.25">
      <c r="A820" s="199" t="s">
        <v>1856</v>
      </c>
      <c r="B820" s="200" t="s">
        <v>13</v>
      </c>
      <c r="C820" s="200" t="s">
        <v>653</v>
      </c>
      <c r="D820" s="201">
        <v>44790</v>
      </c>
      <c r="E820" s="202" t="s">
        <v>23</v>
      </c>
      <c r="F820" s="240"/>
      <c r="G820" s="240"/>
      <c r="H820" s="204"/>
      <c r="I820" s="200"/>
      <c r="J820" s="203" t="s">
        <v>3305</v>
      </c>
      <c r="K820" s="200" t="s">
        <v>3307</v>
      </c>
      <c r="L820" s="200">
        <v>35</v>
      </c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</row>
    <row r="821" spans="1:22" s="313" customFormat="1" ht="15.75" customHeight="1" x14ac:dyDescent="0.25">
      <c r="A821" s="199" t="s">
        <v>1856</v>
      </c>
      <c r="B821" s="200" t="s">
        <v>13</v>
      </c>
      <c r="C821" s="200" t="s">
        <v>653</v>
      </c>
      <c r="D821" s="201">
        <v>44790</v>
      </c>
      <c r="E821" s="202" t="s">
        <v>23</v>
      </c>
      <c r="F821" s="240"/>
      <c r="G821" s="240"/>
      <c r="H821" s="204"/>
      <c r="I821" s="200"/>
      <c r="J821" s="203" t="s">
        <v>3306</v>
      </c>
      <c r="K821" s="200" t="s">
        <v>2813</v>
      </c>
      <c r="L821" s="200">
        <v>80</v>
      </c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</row>
    <row r="822" spans="1:22" ht="15.75" customHeight="1" x14ac:dyDescent="0.25">
      <c r="A822" s="171" t="s">
        <v>3288</v>
      </c>
      <c r="B822" s="163" t="s">
        <v>13</v>
      </c>
      <c r="C822" s="163" t="s">
        <v>2399</v>
      </c>
      <c r="D822" s="172">
        <v>44790</v>
      </c>
      <c r="E822" s="187" t="s">
        <v>23</v>
      </c>
      <c r="F822" s="187"/>
      <c r="G822" s="187"/>
      <c r="H822" s="163"/>
      <c r="I822" s="163"/>
      <c r="J822" s="164" t="s">
        <v>3289</v>
      </c>
      <c r="K822" s="163"/>
      <c r="L822" s="163">
        <v>160</v>
      </c>
      <c r="M822" s="163"/>
      <c r="N822" s="163"/>
      <c r="O822" s="163"/>
      <c r="P822" s="163"/>
      <c r="Q822" s="163"/>
      <c r="R822" s="163"/>
      <c r="S822" s="163"/>
      <c r="T822" s="163"/>
      <c r="U822" s="163"/>
      <c r="V822" s="163"/>
    </row>
    <row r="823" spans="1:22" ht="15.75" customHeight="1" x14ac:dyDescent="0.25">
      <c r="A823" s="171" t="s">
        <v>3290</v>
      </c>
      <c r="B823" s="163" t="s">
        <v>13</v>
      </c>
      <c r="C823" s="163" t="s">
        <v>612</v>
      </c>
      <c r="D823" s="172">
        <v>44790</v>
      </c>
      <c r="E823" s="187" t="s">
        <v>23</v>
      </c>
      <c r="F823" s="187"/>
      <c r="G823" s="187"/>
      <c r="H823" s="163"/>
      <c r="I823" s="163"/>
      <c r="J823" s="164" t="s">
        <v>3291</v>
      </c>
      <c r="K823" s="163"/>
      <c r="L823" s="163">
        <v>12</v>
      </c>
      <c r="M823" s="163"/>
      <c r="N823" s="163"/>
      <c r="O823" s="163"/>
      <c r="P823" s="163"/>
      <c r="Q823" s="163"/>
      <c r="R823" s="163"/>
      <c r="S823" s="163"/>
      <c r="T823" s="163"/>
      <c r="U823" s="163"/>
      <c r="V823" s="163"/>
    </row>
    <row r="824" spans="1:22" s="14" customFormat="1" ht="15.75" customHeight="1" x14ac:dyDescent="0.25">
      <c r="A824" s="141" t="s">
        <v>3295</v>
      </c>
      <c r="B824" s="145" t="s">
        <v>13</v>
      </c>
      <c r="C824" s="142" t="s">
        <v>1696</v>
      </c>
      <c r="D824" s="143">
        <v>44791</v>
      </c>
      <c r="E824" s="282" t="s">
        <v>23</v>
      </c>
      <c r="F824" s="242"/>
      <c r="G824" s="242"/>
      <c r="H824" s="142"/>
      <c r="I824" s="142"/>
      <c r="J824" s="144" t="s">
        <v>3292</v>
      </c>
      <c r="K824" s="142" t="s">
        <v>66</v>
      </c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</row>
    <row r="825" spans="1:22" s="14" customFormat="1" ht="15.75" customHeight="1" x14ac:dyDescent="0.25">
      <c r="A825" s="141" t="s">
        <v>3295</v>
      </c>
      <c r="B825" s="145" t="s">
        <v>13</v>
      </c>
      <c r="C825" s="142" t="s">
        <v>1696</v>
      </c>
      <c r="D825" s="143">
        <v>44791</v>
      </c>
      <c r="E825" s="282" t="s">
        <v>23</v>
      </c>
      <c r="F825" s="242"/>
      <c r="G825" s="242"/>
      <c r="H825" s="142"/>
      <c r="I825" s="142"/>
      <c r="J825" s="144" t="s">
        <v>1916</v>
      </c>
      <c r="K825" s="142" t="s">
        <v>3296</v>
      </c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</row>
    <row r="826" spans="1:22" s="14" customFormat="1" ht="15.75" customHeight="1" x14ac:dyDescent="0.25">
      <c r="A826" s="141" t="s">
        <v>3295</v>
      </c>
      <c r="B826" s="145" t="s">
        <v>13</v>
      </c>
      <c r="C826" s="142" t="s">
        <v>1696</v>
      </c>
      <c r="D826" s="143">
        <v>44791</v>
      </c>
      <c r="E826" s="282" t="s">
        <v>23</v>
      </c>
      <c r="F826" s="242"/>
      <c r="G826" s="242"/>
      <c r="H826" s="142"/>
      <c r="I826" s="142"/>
      <c r="J826" s="144" t="s">
        <v>949</v>
      </c>
      <c r="K826" s="142" t="s">
        <v>379</v>
      </c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</row>
    <row r="827" spans="1:22" s="14" customFormat="1" ht="15.75" customHeight="1" x14ac:dyDescent="0.25">
      <c r="A827" s="141" t="s">
        <v>3295</v>
      </c>
      <c r="B827" s="145" t="s">
        <v>13</v>
      </c>
      <c r="C827" s="142" t="s">
        <v>1696</v>
      </c>
      <c r="D827" s="143">
        <v>44791</v>
      </c>
      <c r="E827" s="282" t="s">
        <v>23</v>
      </c>
      <c r="F827" s="242"/>
      <c r="G827" s="242"/>
      <c r="H827" s="142"/>
      <c r="I827" s="142"/>
      <c r="J827" s="144" t="s">
        <v>3293</v>
      </c>
      <c r="K827" s="142" t="s">
        <v>66</v>
      </c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</row>
    <row r="828" spans="1:22" s="14" customFormat="1" ht="15.75" customHeight="1" x14ac:dyDescent="0.25">
      <c r="A828" s="141" t="s">
        <v>3295</v>
      </c>
      <c r="B828" s="145" t="s">
        <v>13</v>
      </c>
      <c r="C828" s="142" t="s">
        <v>1696</v>
      </c>
      <c r="D828" s="143">
        <v>44791</v>
      </c>
      <c r="E828" s="282" t="s">
        <v>23</v>
      </c>
      <c r="F828" s="242"/>
      <c r="G828" s="242"/>
      <c r="H828" s="142"/>
      <c r="I828" s="142"/>
      <c r="J828" s="144" t="s">
        <v>2570</v>
      </c>
      <c r="K828" s="142" t="s">
        <v>66</v>
      </c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</row>
    <row r="829" spans="1:22" s="14" customFormat="1" ht="15.75" customHeight="1" x14ac:dyDescent="0.25">
      <c r="A829" s="141" t="s">
        <v>3295</v>
      </c>
      <c r="B829" s="145" t="s">
        <v>13</v>
      </c>
      <c r="C829" s="142" t="s">
        <v>1696</v>
      </c>
      <c r="D829" s="143">
        <v>44791</v>
      </c>
      <c r="E829" s="282" t="s">
        <v>23</v>
      </c>
      <c r="F829" s="242"/>
      <c r="G829" s="242"/>
      <c r="H829" s="142"/>
      <c r="I829" s="142"/>
      <c r="J829" s="144" t="s">
        <v>2571</v>
      </c>
      <c r="K829" s="142" t="s">
        <v>379</v>
      </c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</row>
    <row r="830" spans="1:22" s="14" customFormat="1" ht="15.75" customHeight="1" x14ac:dyDescent="0.25">
      <c r="A830" s="141" t="s">
        <v>3295</v>
      </c>
      <c r="B830" s="145" t="s">
        <v>13</v>
      </c>
      <c r="C830" s="142" t="s">
        <v>1696</v>
      </c>
      <c r="D830" s="143">
        <v>44791</v>
      </c>
      <c r="E830" s="282" t="s">
        <v>23</v>
      </c>
      <c r="F830" s="242"/>
      <c r="G830" s="242"/>
      <c r="H830" s="142"/>
      <c r="I830" s="142"/>
      <c r="J830" s="144" t="s">
        <v>3294</v>
      </c>
      <c r="K830" s="142" t="s">
        <v>53</v>
      </c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</row>
    <row r="831" spans="1:22" s="14" customFormat="1" ht="15.75" customHeight="1" x14ac:dyDescent="0.25">
      <c r="A831" s="141" t="s">
        <v>3295</v>
      </c>
      <c r="B831" s="145" t="s">
        <v>13</v>
      </c>
      <c r="C831" s="142" t="s">
        <v>1696</v>
      </c>
      <c r="D831" s="143">
        <v>44791</v>
      </c>
      <c r="E831" s="282" t="s">
        <v>23</v>
      </c>
      <c r="F831" s="242"/>
      <c r="G831" s="242"/>
      <c r="H831" s="142"/>
      <c r="I831" s="142"/>
      <c r="J831" s="144" t="s">
        <v>953</v>
      </c>
      <c r="K831" s="142" t="s">
        <v>53</v>
      </c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</row>
    <row r="832" spans="1:22" s="14" customFormat="1" ht="15.75" customHeight="1" x14ac:dyDescent="0.25">
      <c r="A832" s="141" t="s">
        <v>3295</v>
      </c>
      <c r="B832" s="145" t="s">
        <v>13</v>
      </c>
      <c r="C832" s="142" t="s">
        <v>1696</v>
      </c>
      <c r="D832" s="143">
        <v>44791</v>
      </c>
      <c r="E832" s="282" t="s">
        <v>23</v>
      </c>
      <c r="F832" s="242"/>
      <c r="G832" s="242"/>
      <c r="H832" s="142"/>
      <c r="I832" s="145"/>
      <c r="J832" s="146" t="s">
        <v>954</v>
      </c>
      <c r="K832" s="145" t="s">
        <v>53</v>
      </c>
      <c r="L832" s="145"/>
      <c r="M832" s="145"/>
      <c r="N832" s="145"/>
      <c r="O832" s="145"/>
      <c r="P832" s="145"/>
      <c r="Q832" s="145"/>
      <c r="R832" s="145"/>
      <c r="S832" s="145"/>
      <c r="T832" s="145"/>
      <c r="U832" s="145"/>
      <c r="V832" s="145"/>
    </row>
    <row r="833" spans="1:22" s="14" customFormat="1" ht="15.75" customHeight="1" x14ac:dyDescent="0.25">
      <c r="A833" s="147">
        <v>340</v>
      </c>
      <c r="B833" s="145" t="s">
        <v>13</v>
      </c>
      <c r="C833" s="145" t="s">
        <v>2973</v>
      </c>
      <c r="D833" s="143">
        <v>44791</v>
      </c>
      <c r="E833" s="241" t="s">
        <v>23</v>
      </c>
      <c r="F833" s="241"/>
      <c r="G833" s="241">
        <v>37</v>
      </c>
      <c r="H833" s="145"/>
      <c r="I833" s="145"/>
      <c r="J833" s="146" t="s">
        <v>1751</v>
      </c>
      <c r="K833" s="145">
        <v>181.3</v>
      </c>
      <c r="L833" s="145" t="s">
        <v>257</v>
      </c>
      <c r="M833" s="145">
        <v>0.66659999999999997</v>
      </c>
      <c r="N833" s="145">
        <v>1.994</v>
      </c>
      <c r="O833" s="145">
        <v>120.8546</v>
      </c>
      <c r="P833" s="145">
        <v>361.51220000000001</v>
      </c>
      <c r="Q833" s="145">
        <v>15.71</v>
      </c>
      <c r="R833" s="145">
        <v>228.64</v>
      </c>
      <c r="S833" s="145">
        <v>343</v>
      </c>
      <c r="T833" s="145">
        <v>41452.43</v>
      </c>
      <c r="U833" s="145"/>
      <c r="V833" s="145"/>
    </row>
    <row r="834" spans="1:22" s="14" customFormat="1" ht="15.75" customHeight="1" x14ac:dyDescent="0.25">
      <c r="A834" s="147">
        <v>341</v>
      </c>
      <c r="B834" s="145" t="s">
        <v>13</v>
      </c>
      <c r="C834" s="145" t="s">
        <v>2973</v>
      </c>
      <c r="D834" s="143">
        <v>44791</v>
      </c>
      <c r="E834" s="241" t="s">
        <v>23</v>
      </c>
      <c r="F834" s="241"/>
      <c r="G834" s="241">
        <v>63</v>
      </c>
      <c r="H834" s="145"/>
      <c r="I834" s="145"/>
      <c r="J834" s="146" t="s">
        <v>1863</v>
      </c>
      <c r="K834" s="145">
        <v>308.7</v>
      </c>
      <c r="L834" s="145" t="s">
        <v>3297</v>
      </c>
      <c r="M834" s="145">
        <v>0.39269999999999999</v>
      </c>
      <c r="N834" s="145">
        <v>0.872</v>
      </c>
      <c r="O834" s="145">
        <v>121.2265</v>
      </c>
      <c r="P834" s="145">
        <v>269.18639999999999</v>
      </c>
      <c r="Q834" s="145">
        <v>15.76</v>
      </c>
      <c r="R834" s="145">
        <v>134.69999999999999</v>
      </c>
      <c r="S834" s="145">
        <v>343</v>
      </c>
      <c r="T834" s="145">
        <v>41581.89</v>
      </c>
      <c r="U834" s="145"/>
      <c r="V834" s="145"/>
    </row>
    <row r="835" spans="1:22" ht="15.75" customHeight="1" x14ac:dyDescent="0.25">
      <c r="A835" s="167" t="s">
        <v>3298</v>
      </c>
      <c r="B835" s="163" t="s">
        <v>13</v>
      </c>
      <c r="C835" s="162" t="s">
        <v>1696</v>
      </c>
      <c r="D835" s="168">
        <v>44791</v>
      </c>
      <c r="E835" s="194" t="s">
        <v>677</v>
      </c>
      <c r="F835" s="187"/>
      <c r="G835" s="187"/>
      <c r="H835" s="162"/>
      <c r="I835" s="162"/>
      <c r="J835" s="169" t="s">
        <v>2007</v>
      </c>
      <c r="K835" s="142" t="s">
        <v>90</v>
      </c>
      <c r="L835" s="162">
        <v>8</v>
      </c>
      <c r="M835" s="162"/>
      <c r="N835" s="162"/>
      <c r="O835" s="162"/>
      <c r="P835" s="162"/>
      <c r="Q835" s="162"/>
      <c r="R835" s="162"/>
      <c r="S835" s="162"/>
      <c r="T835" s="162" t="s">
        <v>3340</v>
      </c>
      <c r="U835" s="162"/>
      <c r="V835" s="162"/>
    </row>
    <row r="836" spans="1:22" ht="15.75" customHeight="1" x14ac:dyDescent="0.25">
      <c r="A836" s="167" t="s">
        <v>3298</v>
      </c>
      <c r="B836" s="163" t="s">
        <v>13</v>
      </c>
      <c r="C836" s="162" t="s">
        <v>1696</v>
      </c>
      <c r="D836" s="168">
        <v>44791</v>
      </c>
      <c r="E836" s="194" t="s">
        <v>677</v>
      </c>
      <c r="F836" s="194"/>
      <c r="G836" s="194"/>
      <c r="H836" s="162"/>
      <c r="I836" s="162"/>
      <c r="J836" s="169" t="s">
        <v>752</v>
      </c>
      <c r="K836" s="142" t="s">
        <v>248</v>
      </c>
      <c r="L836" s="162">
        <v>3</v>
      </c>
      <c r="M836" s="162"/>
      <c r="N836" s="162"/>
      <c r="O836" s="162"/>
      <c r="P836" s="162"/>
      <c r="Q836" s="162"/>
      <c r="R836" s="162"/>
      <c r="S836" s="162"/>
      <c r="T836" s="162" t="s">
        <v>3341</v>
      </c>
      <c r="U836" s="162"/>
      <c r="V836" s="162"/>
    </row>
    <row r="837" spans="1:22" ht="15.75" customHeight="1" x14ac:dyDescent="0.25">
      <c r="A837" s="167" t="s">
        <v>3298</v>
      </c>
      <c r="B837" s="163" t="s">
        <v>13</v>
      </c>
      <c r="C837" s="162" t="s">
        <v>1696</v>
      </c>
      <c r="D837" s="168">
        <v>44791</v>
      </c>
      <c r="E837" s="187" t="s">
        <v>677</v>
      </c>
      <c r="F837" s="194"/>
      <c r="G837" s="194"/>
      <c r="H837" s="162"/>
      <c r="I837" s="163"/>
      <c r="J837" s="164" t="s">
        <v>3284</v>
      </c>
      <c r="K837" s="145" t="s">
        <v>96</v>
      </c>
      <c r="L837" s="163">
        <v>2</v>
      </c>
      <c r="M837" s="163"/>
      <c r="N837" s="163"/>
      <c r="O837" s="163"/>
      <c r="P837" s="163"/>
      <c r="Q837" s="163"/>
      <c r="R837" s="163"/>
      <c r="S837" s="163"/>
      <c r="T837" s="163" t="s">
        <v>3342</v>
      </c>
      <c r="U837" s="163"/>
      <c r="V837" s="163"/>
    </row>
    <row r="838" spans="1:22" s="14" customFormat="1" ht="15.75" customHeight="1" x14ac:dyDescent="0.25">
      <c r="A838" s="147">
        <v>342</v>
      </c>
      <c r="B838" s="145" t="s">
        <v>13</v>
      </c>
      <c r="C838" s="145" t="s">
        <v>489</v>
      </c>
      <c r="D838" s="143">
        <v>44791</v>
      </c>
      <c r="E838" s="241" t="s">
        <v>23</v>
      </c>
      <c r="F838" s="281"/>
      <c r="G838" s="281"/>
      <c r="H838" s="145"/>
      <c r="I838" s="145"/>
      <c r="J838" s="146" t="s">
        <v>783</v>
      </c>
      <c r="K838" s="145">
        <v>501</v>
      </c>
      <c r="L838" s="145" t="s">
        <v>2627</v>
      </c>
      <c r="M838" s="145">
        <v>0.15310000000000001</v>
      </c>
      <c r="N838" s="145">
        <v>1.1000000000000001</v>
      </c>
      <c r="O838" s="145">
        <v>76.703100000000006</v>
      </c>
      <c r="P838" s="145">
        <v>551.1</v>
      </c>
      <c r="Q838" s="145">
        <v>9.9700000000000006</v>
      </c>
      <c r="R838" s="145">
        <v>47.92</v>
      </c>
      <c r="S838" s="145">
        <v>313</v>
      </c>
      <c r="T838" s="145">
        <v>24007.919999999998</v>
      </c>
      <c r="U838" s="145"/>
      <c r="V838" s="145"/>
    </row>
    <row r="839" spans="1:22" ht="15.75" customHeight="1" x14ac:dyDescent="0.25">
      <c r="A839" s="171">
        <v>343</v>
      </c>
      <c r="B839" s="163" t="s">
        <v>13</v>
      </c>
      <c r="C839" s="163" t="s">
        <v>657</v>
      </c>
      <c r="D839" s="168">
        <v>44791</v>
      </c>
      <c r="E839" s="187" t="s">
        <v>23</v>
      </c>
      <c r="F839" s="194"/>
      <c r="G839" s="194">
        <f>128+128+132</f>
        <v>388</v>
      </c>
      <c r="H839" s="163"/>
      <c r="I839" s="163"/>
      <c r="J839" s="164" t="s">
        <v>2963</v>
      </c>
      <c r="K839" s="163">
        <v>2250.4</v>
      </c>
      <c r="L839" s="163" t="s">
        <v>3299</v>
      </c>
      <c r="M839" s="163">
        <v>0.1724</v>
      </c>
      <c r="N839" s="163">
        <v>0.41499999999999998</v>
      </c>
      <c r="O839" s="163">
        <v>387.96899999999999</v>
      </c>
      <c r="P839" s="163">
        <v>933.91600000000005</v>
      </c>
      <c r="Q839" s="163">
        <v>50.44</v>
      </c>
      <c r="R839" s="163">
        <v>54.31</v>
      </c>
      <c r="S839" s="163">
        <v>315</v>
      </c>
      <c r="T839" s="163">
        <v>122219.22</v>
      </c>
      <c r="U839" s="163"/>
      <c r="V839" s="163"/>
    </row>
    <row r="840" spans="1:22" ht="15.75" customHeight="1" x14ac:dyDescent="0.25">
      <c r="A840" s="171">
        <v>345</v>
      </c>
      <c r="B840" s="163" t="s">
        <v>13</v>
      </c>
      <c r="C840" s="163" t="s">
        <v>1433</v>
      </c>
      <c r="D840" s="168">
        <v>44791</v>
      </c>
      <c r="E840" s="187" t="s">
        <v>23</v>
      </c>
      <c r="F840" s="194"/>
      <c r="G840" s="194">
        <v>26</v>
      </c>
      <c r="H840" s="163"/>
      <c r="I840" s="163"/>
      <c r="J840" s="164" t="s">
        <v>1472</v>
      </c>
      <c r="K840" s="163">
        <v>156</v>
      </c>
      <c r="L840" s="163" t="s">
        <v>231</v>
      </c>
      <c r="M840" s="163">
        <v>0.41239999999999999</v>
      </c>
      <c r="N840" s="163">
        <v>1.1619999999999999</v>
      </c>
      <c r="O840" s="163">
        <v>64.334400000000002</v>
      </c>
      <c r="P840" s="163">
        <v>181.27199999999999</v>
      </c>
      <c r="Q840" s="163">
        <v>8.36</v>
      </c>
      <c r="R840" s="163">
        <v>141.44999999999999</v>
      </c>
      <c r="S840" s="163">
        <v>343</v>
      </c>
      <c r="T840" s="163">
        <v>22066.7</v>
      </c>
      <c r="U840" s="163"/>
      <c r="V840" s="163"/>
    </row>
    <row r="841" spans="1:22" s="14" customFormat="1" ht="15.75" customHeight="1" x14ac:dyDescent="0.25">
      <c r="A841" s="147">
        <v>344</v>
      </c>
      <c r="B841" s="145" t="s">
        <v>13</v>
      </c>
      <c r="C841" s="145" t="s">
        <v>37</v>
      </c>
      <c r="D841" s="143">
        <v>44791</v>
      </c>
      <c r="E841" s="241" t="s">
        <v>23</v>
      </c>
      <c r="F841" s="242"/>
      <c r="G841" s="242">
        <f>108+107</f>
        <v>215</v>
      </c>
      <c r="H841" s="145" t="s">
        <v>1707</v>
      </c>
      <c r="I841" s="145"/>
      <c r="J841" s="146" t="s">
        <v>3300</v>
      </c>
      <c r="K841" s="145">
        <v>648</v>
      </c>
      <c r="L841" s="145" t="s">
        <v>3316</v>
      </c>
      <c r="M841" s="145">
        <v>0.21340000000000001</v>
      </c>
      <c r="N841" s="145">
        <v>0.86599999999999999</v>
      </c>
      <c r="O841" s="145">
        <v>138.28319999999999</v>
      </c>
      <c r="P841" s="145">
        <v>561.16800000000001</v>
      </c>
      <c r="Q841" s="145">
        <v>17.98</v>
      </c>
      <c r="R841" s="145">
        <v>142.07</v>
      </c>
      <c r="S841" s="145">
        <v>665.75</v>
      </c>
      <c r="T841" s="145">
        <v>92061.36</v>
      </c>
      <c r="U841" s="145"/>
      <c r="V841" s="145"/>
    </row>
    <row r="842" spans="1:22" s="14" customFormat="1" ht="15.75" customHeight="1" x14ac:dyDescent="0.25">
      <c r="A842" s="141">
        <v>347</v>
      </c>
      <c r="B842" s="145" t="s">
        <v>13</v>
      </c>
      <c r="C842" s="142" t="s">
        <v>32</v>
      </c>
      <c r="D842" s="143">
        <v>44791</v>
      </c>
      <c r="E842" s="242" t="s">
        <v>23</v>
      </c>
      <c r="F842" s="242">
        <v>101</v>
      </c>
      <c r="G842" s="261">
        <v>162</v>
      </c>
      <c r="H842" s="142" t="s">
        <v>3398</v>
      </c>
      <c r="I842" s="142"/>
      <c r="J842" s="263" t="s">
        <v>3301</v>
      </c>
      <c r="K842" s="142">
        <v>1201.5</v>
      </c>
      <c r="L842" s="142" t="s">
        <v>3302</v>
      </c>
      <c r="M842" s="142">
        <v>0.2651</v>
      </c>
      <c r="N842" s="142">
        <v>0.82099999999999995</v>
      </c>
      <c r="O842" s="142">
        <v>318.51769999999999</v>
      </c>
      <c r="P842" s="142">
        <v>986.43150000000003</v>
      </c>
      <c r="Q842" s="142">
        <v>41.41</v>
      </c>
      <c r="R842" s="142">
        <v>81.92</v>
      </c>
      <c r="S842" s="142">
        <v>309</v>
      </c>
      <c r="T842" s="142">
        <v>98421.95</v>
      </c>
      <c r="U842" s="142"/>
      <c r="V842" s="142"/>
    </row>
    <row r="843" spans="1:22" ht="15.75" customHeight="1" x14ac:dyDescent="0.25">
      <c r="A843" s="141">
        <v>347</v>
      </c>
      <c r="B843" s="163" t="s">
        <v>13</v>
      </c>
      <c r="C843" s="162" t="s">
        <v>32</v>
      </c>
      <c r="D843" s="168">
        <v>44791</v>
      </c>
      <c r="E843" s="187" t="s">
        <v>23</v>
      </c>
      <c r="F843" s="194">
        <v>216</v>
      </c>
      <c r="G843" s="261">
        <v>170</v>
      </c>
      <c r="H843" s="142" t="s">
        <v>1669</v>
      </c>
      <c r="I843" s="163"/>
      <c r="J843" s="252" t="s">
        <v>3303</v>
      </c>
      <c r="K843" s="145">
        <v>1949.3</v>
      </c>
      <c r="L843" s="163" t="s">
        <v>3416</v>
      </c>
      <c r="M843" s="163">
        <v>0.2651</v>
      </c>
      <c r="N843" s="163">
        <v>0.82099999999999995</v>
      </c>
      <c r="O843" s="163">
        <v>516.75940000000003</v>
      </c>
      <c r="P843" s="163">
        <v>1600.3752999999999</v>
      </c>
      <c r="Q843" s="163">
        <v>67.180000000000007</v>
      </c>
      <c r="R843" s="163">
        <v>81.92</v>
      </c>
      <c r="S843" s="163">
        <v>309</v>
      </c>
      <c r="T843" s="163">
        <v>159686.66</v>
      </c>
      <c r="U843" s="163">
        <v>159686.66</v>
      </c>
      <c r="V843" s="163"/>
    </row>
    <row r="844" spans="1:22" s="14" customFormat="1" ht="15.75" customHeight="1" x14ac:dyDescent="0.25">
      <c r="A844" s="141">
        <v>348</v>
      </c>
      <c r="B844" s="145" t="s">
        <v>13</v>
      </c>
      <c r="C844" s="142" t="s">
        <v>32</v>
      </c>
      <c r="D844" s="143">
        <v>44791</v>
      </c>
      <c r="E844" s="242" t="s">
        <v>23</v>
      </c>
      <c r="F844" s="242">
        <v>155</v>
      </c>
      <c r="G844" s="242"/>
      <c r="H844" s="142" t="s">
        <v>3304</v>
      </c>
      <c r="I844" s="142"/>
      <c r="J844" s="144" t="s">
        <v>3301</v>
      </c>
      <c r="K844" s="142">
        <v>689.75</v>
      </c>
      <c r="L844" s="142" t="s">
        <v>1511</v>
      </c>
      <c r="M844" s="142">
        <v>0.2651</v>
      </c>
      <c r="N844" s="142">
        <v>0.82099999999999995</v>
      </c>
      <c r="O844" s="142">
        <v>182.8527</v>
      </c>
      <c r="P844" s="142">
        <v>566.28480000000002</v>
      </c>
      <c r="Q844" s="142">
        <v>23.77</v>
      </c>
      <c r="R844" s="142">
        <v>64.42</v>
      </c>
      <c r="S844" s="142">
        <v>243</v>
      </c>
      <c r="T844" s="142">
        <v>44433.21</v>
      </c>
      <c r="U844" s="142"/>
      <c r="V844" s="142"/>
    </row>
    <row r="845" spans="1:22" ht="15.75" customHeight="1" x14ac:dyDescent="0.25">
      <c r="A845" s="171">
        <v>348</v>
      </c>
      <c r="B845" s="163" t="s">
        <v>13</v>
      </c>
      <c r="C845" s="162" t="s">
        <v>32</v>
      </c>
      <c r="D845" s="168">
        <v>44791</v>
      </c>
      <c r="E845" s="187" t="s">
        <v>23</v>
      </c>
      <c r="F845" s="194">
        <v>188</v>
      </c>
      <c r="G845" s="194"/>
      <c r="H845" s="162" t="s">
        <v>3304</v>
      </c>
      <c r="I845" s="163"/>
      <c r="J845" s="164" t="s">
        <v>3303</v>
      </c>
      <c r="K845" s="145">
        <v>974.65</v>
      </c>
      <c r="L845" s="163" t="s">
        <v>88</v>
      </c>
      <c r="M845" s="163">
        <v>0.2651</v>
      </c>
      <c r="N845" s="163">
        <v>0.82099999999999995</v>
      </c>
      <c r="O845" s="163">
        <v>258.37970000000001</v>
      </c>
      <c r="P845" s="163">
        <v>800.18769999999995</v>
      </c>
      <c r="Q845" s="163">
        <v>33.590000000000003</v>
      </c>
      <c r="R845" s="163">
        <v>64.42</v>
      </c>
      <c r="S845" s="163">
        <v>243</v>
      </c>
      <c r="T845" s="163">
        <v>62786.95</v>
      </c>
      <c r="U845" s="163"/>
      <c r="V845" s="163"/>
    </row>
    <row r="846" spans="1:22" ht="15.75" customHeight="1" x14ac:dyDescent="0.25">
      <c r="A846" s="171">
        <v>350</v>
      </c>
      <c r="B846" s="163" t="s">
        <v>34</v>
      </c>
      <c r="C846" s="163" t="s">
        <v>19</v>
      </c>
      <c r="D846" s="172">
        <v>44792</v>
      </c>
      <c r="E846" s="187" t="s">
        <v>23</v>
      </c>
      <c r="F846" s="218"/>
      <c r="G846" s="218"/>
      <c r="H846" s="163" t="s">
        <v>1669</v>
      </c>
      <c r="I846" s="163"/>
      <c r="J846" s="164" t="s">
        <v>3094</v>
      </c>
      <c r="K846" s="145">
        <v>928.7</v>
      </c>
      <c r="L846" s="163" t="s">
        <v>2390</v>
      </c>
      <c r="M846" s="163">
        <v>0.27160000000000001</v>
      </c>
      <c r="N846" s="163">
        <v>0.72799999999999998</v>
      </c>
      <c r="O846" s="163">
        <v>252.23490000000001</v>
      </c>
      <c r="P846" s="163">
        <v>676.09360000000004</v>
      </c>
      <c r="Q846" s="163">
        <v>32.79</v>
      </c>
      <c r="R846" s="163">
        <v>93.16</v>
      </c>
      <c r="S846" s="163">
        <v>343</v>
      </c>
      <c r="T846" s="163">
        <v>86516.58</v>
      </c>
      <c r="U846" s="163"/>
      <c r="V846" s="163"/>
    </row>
    <row r="847" spans="1:22" ht="30.75" customHeight="1" x14ac:dyDescent="0.25">
      <c r="A847" s="171" t="s">
        <v>3255</v>
      </c>
      <c r="B847" s="163" t="s">
        <v>34</v>
      </c>
      <c r="C847" s="163" t="s">
        <v>3128</v>
      </c>
      <c r="D847" s="172">
        <v>44792</v>
      </c>
      <c r="E847" s="187" t="s">
        <v>23</v>
      </c>
      <c r="F847" s="187"/>
      <c r="G847" s="187"/>
      <c r="H847" s="222" t="s">
        <v>3345</v>
      </c>
      <c r="I847" s="163"/>
      <c r="J847" s="164" t="s">
        <v>3308</v>
      </c>
      <c r="K847" s="145" t="s">
        <v>3309</v>
      </c>
      <c r="L847" s="163"/>
      <c r="M847" s="163"/>
      <c r="N847" s="163"/>
      <c r="O847" s="163"/>
      <c r="P847" s="163"/>
      <c r="Q847" s="163"/>
      <c r="R847" s="163"/>
      <c r="S847" s="163" t="s">
        <v>3310</v>
      </c>
      <c r="T847" s="163" t="s">
        <v>3311</v>
      </c>
      <c r="U847" s="163"/>
      <c r="V847" s="163"/>
    </row>
    <row r="848" spans="1:22" ht="30.75" customHeight="1" x14ac:dyDescent="0.25">
      <c r="A848" s="171" t="s">
        <v>3256</v>
      </c>
      <c r="B848" s="163" t="s">
        <v>34</v>
      </c>
      <c r="C848" s="163" t="s">
        <v>3128</v>
      </c>
      <c r="D848" s="172">
        <v>44792</v>
      </c>
      <c r="E848" s="187" t="s">
        <v>23</v>
      </c>
      <c r="F848" s="187"/>
      <c r="G848" s="187" t="s">
        <v>3335</v>
      </c>
      <c r="H848" s="163" t="s">
        <v>1669</v>
      </c>
      <c r="I848" s="163"/>
      <c r="J848" s="164" t="s">
        <v>3312</v>
      </c>
      <c r="K848" s="145" t="s">
        <v>3313</v>
      </c>
      <c r="L848" s="163"/>
      <c r="M848" s="163"/>
      <c r="N848" s="163"/>
      <c r="O848" s="163"/>
      <c r="P848" s="163"/>
      <c r="Q848" s="163"/>
      <c r="R848" s="163"/>
      <c r="S848" s="163" t="s">
        <v>3314</v>
      </c>
      <c r="T848" s="163" t="s">
        <v>3315</v>
      </c>
      <c r="U848" s="163"/>
      <c r="V848" s="163"/>
    </row>
    <row r="849" spans="1:22" ht="30.75" customHeight="1" x14ac:dyDescent="0.25">
      <c r="A849" s="171" t="s">
        <v>3336</v>
      </c>
      <c r="B849" s="163" t="s">
        <v>34</v>
      </c>
      <c r="C849" s="163" t="s">
        <v>3337</v>
      </c>
      <c r="D849" s="172">
        <v>44796</v>
      </c>
      <c r="E849" s="187" t="s">
        <v>677</v>
      </c>
      <c r="F849" s="187"/>
      <c r="G849" s="187"/>
      <c r="H849" s="163"/>
      <c r="I849" s="163"/>
      <c r="J849" s="164" t="s">
        <v>3338</v>
      </c>
      <c r="K849" s="145">
        <v>6</v>
      </c>
      <c r="L849" s="163">
        <v>1</v>
      </c>
      <c r="M849" s="163"/>
      <c r="N849" s="163"/>
      <c r="O849" s="163"/>
      <c r="P849" s="163"/>
      <c r="Q849" s="163"/>
      <c r="R849" s="163"/>
      <c r="S849" s="163"/>
      <c r="T849" s="163"/>
      <c r="U849" s="163"/>
      <c r="V849" s="163"/>
    </row>
    <row r="850" spans="1:22" s="28" customFormat="1" ht="30.75" customHeight="1" x14ac:dyDescent="0.25">
      <c r="A850" s="254">
        <v>354</v>
      </c>
      <c r="B850" s="150" t="s">
        <v>13</v>
      </c>
      <c r="C850" s="150" t="s">
        <v>2466</v>
      </c>
      <c r="D850" s="255">
        <v>44797</v>
      </c>
      <c r="E850" s="256" t="s">
        <v>23</v>
      </c>
      <c r="F850" s="258"/>
      <c r="G850" s="258"/>
      <c r="H850" s="150"/>
      <c r="I850" s="150"/>
      <c r="J850" s="257" t="s">
        <v>3339</v>
      </c>
      <c r="K850" s="150">
        <v>180</v>
      </c>
      <c r="L850" s="150" t="s">
        <v>33</v>
      </c>
      <c r="M850" s="150">
        <v>0.2697</v>
      </c>
      <c r="N850" s="150">
        <v>0.46</v>
      </c>
      <c r="O850" s="150">
        <v>48.545999999999999</v>
      </c>
      <c r="P850" s="150">
        <v>82.8</v>
      </c>
      <c r="Q850" s="150">
        <v>6.31</v>
      </c>
      <c r="R850" s="150">
        <v>92.51</v>
      </c>
      <c r="S850" s="150">
        <v>343</v>
      </c>
      <c r="T850" s="150">
        <v>16651.28</v>
      </c>
      <c r="U850" s="150"/>
      <c r="V850" s="150"/>
    </row>
    <row r="851" spans="1:22" s="14" customFormat="1" ht="15.75" customHeight="1" x14ac:dyDescent="0.25">
      <c r="A851" s="147" t="s">
        <v>3343</v>
      </c>
      <c r="B851" s="145" t="s">
        <v>13</v>
      </c>
      <c r="C851" s="145" t="s">
        <v>37</v>
      </c>
      <c r="D851" s="148">
        <v>44798</v>
      </c>
      <c r="E851" s="241" t="s">
        <v>23</v>
      </c>
      <c r="F851" s="241"/>
      <c r="G851" s="241"/>
      <c r="H851" s="145"/>
      <c r="I851" s="145"/>
      <c r="J851" s="146" t="s">
        <v>422</v>
      </c>
      <c r="K851" s="145"/>
      <c r="L851" s="145">
        <v>66</v>
      </c>
      <c r="M851" s="145"/>
      <c r="N851" s="145"/>
      <c r="O851" s="145"/>
      <c r="P851" s="145"/>
      <c r="Q851" s="145"/>
      <c r="R851" s="145"/>
      <c r="S851" s="145"/>
      <c r="T851" s="145">
        <v>13000</v>
      </c>
      <c r="U851" s="145"/>
      <c r="V851" s="145"/>
    </row>
    <row r="852" spans="1:22" ht="15.75" customHeight="1" x14ac:dyDescent="0.25">
      <c r="A852" s="171">
        <v>355</v>
      </c>
      <c r="B852" s="163" t="s">
        <v>13</v>
      </c>
      <c r="C852" s="163" t="s">
        <v>1433</v>
      </c>
      <c r="D852" s="172">
        <v>44799</v>
      </c>
      <c r="E852" s="187" t="s">
        <v>23</v>
      </c>
      <c r="F852" s="187"/>
      <c r="G852" s="187">
        <v>54</v>
      </c>
      <c r="H852" s="163"/>
      <c r="I852" s="163"/>
      <c r="J852" s="164" t="s">
        <v>1472</v>
      </c>
      <c r="K852" s="145">
        <v>324</v>
      </c>
      <c r="L852" s="163" t="s">
        <v>170</v>
      </c>
      <c r="M852" s="163">
        <v>0.41239999999999999</v>
      </c>
      <c r="N852" s="163">
        <v>1.1619999999999999</v>
      </c>
      <c r="O852" s="163">
        <v>133.61760000000001</v>
      </c>
      <c r="P852" s="163">
        <v>376.488</v>
      </c>
      <c r="Q852" s="163">
        <v>17.37</v>
      </c>
      <c r="R852" s="163">
        <v>141.44999999999999</v>
      </c>
      <c r="S852" s="163">
        <v>343</v>
      </c>
      <c r="T852" s="163">
        <v>45830.84</v>
      </c>
      <c r="U852" s="163"/>
      <c r="V852" s="163"/>
    </row>
    <row r="853" spans="1:22" s="14" customFormat="1" ht="15.75" customHeight="1" x14ac:dyDescent="0.25">
      <c r="A853" s="147">
        <v>356</v>
      </c>
      <c r="B853" s="145" t="s">
        <v>13</v>
      </c>
      <c r="C853" s="145" t="s">
        <v>657</v>
      </c>
      <c r="D853" s="148">
        <v>44799</v>
      </c>
      <c r="E853" s="241" t="s">
        <v>23</v>
      </c>
      <c r="F853" s="241"/>
      <c r="G853" s="241"/>
      <c r="H853" s="145"/>
      <c r="I853" s="145"/>
      <c r="J853" s="146" t="s">
        <v>2963</v>
      </c>
      <c r="K853" s="145">
        <v>487.2</v>
      </c>
      <c r="L853" s="145" t="s">
        <v>1139</v>
      </c>
      <c r="M853" s="145">
        <v>0.1724</v>
      </c>
      <c r="N853" s="145">
        <v>0.41499999999999998</v>
      </c>
      <c r="O853" s="145">
        <v>83.993300000000005</v>
      </c>
      <c r="P853" s="145">
        <v>202.18799999999999</v>
      </c>
      <c r="Q853" s="145">
        <v>10.92</v>
      </c>
      <c r="R853" s="145">
        <v>59.13</v>
      </c>
      <c r="S853" s="145">
        <v>343</v>
      </c>
      <c r="T853" s="145">
        <v>28809.7</v>
      </c>
      <c r="U853" s="145"/>
      <c r="V853" s="145"/>
    </row>
    <row r="854" spans="1:22" ht="15.75" customHeight="1" x14ac:dyDescent="0.25">
      <c r="A854" s="167">
        <v>357</v>
      </c>
      <c r="B854" s="163" t="s">
        <v>13</v>
      </c>
      <c r="C854" s="162" t="s">
        <v>2973</v>
      </c>
      <c r="D854" s="172">
        <v>44799</v>
      </c>
      <c r="E854" s="194" t="s">
        <v>23</v>
      </c>
      <c r="F854" s="194"/>
      <c r="G854" s="194">
        <v>12</v>
      </c>
      <c r="H854" s="162"/>
      <c r="I854" s="162"/>
      <c r="J854" s="169" t="s">
        <v>1751</v>
      </c>
      <c r="K854" s="162">
        <v>58.8</v>
      </c>
      <c r="L854" s="162" t="s">
        <v>171</v>
      </c>
      <c r="M854" s="162">
        <v>0.66659999999999997</v>
      </c>
      <c r="N854" s="162">
        <v>1.994</v>
      </c>
      <c r="O854" s="162">
        <v>39.196100000000001</v>
      </c>
      <c r="P854" s="162">
        <v>117.24720000000001</v>
      </c>
      <c r="Q854" s="162">
        <v>5.0999999999999996</v>
      </c>
      <c r="R854" s="162">
        <v>228.64</v>
      </c>
      <c r="S854" s="162">
        <v>343</v>
      </c>
      <c r="T854" s="162">
        <v>13444.03</v>
      </c>
      <c r="U854" s="162"/>
      <c r="V854" s="162"/>
    </row>
    <row r="855" spans="1:22" s="14" customFormat="1" ht="15.75" customHeight="1" x14ac:dyDescent="0.25">
      <c r="A855" s="141">
        <v>357</v>
      </c>
      <c r="B855" s="145" t="s">
        <v>13</v>
      </c>
      <c r="C855" s="142" t="s">
        <v>2973</v>
      </c>
      <c r="D855" s="148">
        <v>44799</v>
      </c>
      <c r="E855" s="194" t="s">
        <v>23</v>
      </c>
      <c r="F855" s="242"/>
      <c r="G855" s="242">
        <v>207</v>
      </c>
      <c r="H855" s="142"/>
      <c r="I855" s="142"/>
      <c r="J855" s="144" t="s">
        <v>1753</v>
      </c>
      <c r="K855" s="142">
        <v>1014.3</v>
      </c>
      <c r="L855" s="142" t="s">
        <v>152</v>
      </c>
      <c r="M855" s="142">
        <v>0.247</v>
      </c>
      <c r="N855" s="142">
        <v>0.498</v>
      </c>
      <c r="O855" s="142">
        <v>250.53210000000001</v>
      </c>
      <c r="P855" s="142">
        <v>505.12139999999999</v>
      </c>
      <c r="Q855" s="142">
        <v>32.57</v>
      </c>
      <c r="R855" s="142">
        <v>84.72</v>
      </c>
      <c r="S855" s="142">
        <v>343</v>
      </c>
      <c r="T855" s="142">
        <v>85932.51</v>
      </c>
      <c r="U855" s="142"/>
      <c r="V855" s="142"/>
    </row>
    <row r="856" spans="1:22" ht="15.75" customHeight="1" x14ac:dyDescent="0.25">
      <c r="A856" s="167">
        <v>357</v>
      </c>
      <c r="B856" s="163" t="s">
        <v>13</v>
      </c>
      <c r="C856" s="162" t="s">
        <v>2973</v>
      </c>
      <c r="D856" s="172">
        <v>44799</v>
      </c>
      <c r="E856" s="194" t="s">
        <v>23</v>
      </c>
      <c r="F856" s="194"/>
      <c r="G856" s="194">
        <v>63</v>
      </c>
      <c r="H856" s="163"/>
      <c r="I856" s="163"/>
      <c r="J856" s="164" t="s">
        <v>1863</v>
      </c>
      <c r="K856" s="163">
        <v>308.7</v>
      </c>
      <c r="L856" s="163" t="s">
        <v>3297</v>
      </c>
      <c r="M856" s="163">
        <v>0.39269999999999999</v>
      </c>
      <c r="N856" s="163">
        <v>0.872</v>
      </c>
      <c r="O856" s="163">
        <v>121.2265</v>
      </c>
      <c r="P856" s="163">
        <v>269.18639999999999</v>
      </c>
      <c r="Q856" s="163">
        <v>15.76</v>
      </c>
      <c r="R856" s="163">
        <v>134.69999999999999</v>
      </c>
      <c r="S856" s="163">
        <v>343</v>
      </c>
      <c r="T856" s="163">
        <v>41580.69</v>
      </c>
      <c r="U856" s="163"/>
      <c r="V856" s="163"/>
    </row>
    <row r="857" spans="1:22" ht="15.75" customHeight="1" x14ac:dyDescent="0.25">
      <c r="A857" s="171">
        <v>359</v>
      </c>
      <c r="B857" s="163" t="s">
        <v>34</v>
      </c>
      <c r="C857" s="163" t="s">
        <v>19</v>
      </c>
      <c r="D857" s="172">
        <v>44802</v>
      </c>
      <c r="E857" s="187" t="s">
        <v>23</v>
      </c>
      <c r="F857" s="187"/>
      <c r="G857" s="187"/>
      <c r="H857" s="163" t="s">
        <v>1669</v>
      </c>
      <c r="I857" s="172">
        <v>44810</v>
      </c>
      <c r="J857" s="164" t="s">
        <v>3094</v>
      </c>
      <c r="K857" s="145">
        <v>1043.4000000000001</v>
      </c>
      <c r="L857" s="163" t="s">
        <v>2144</v>
      </c>
      <c r="M857" s="163">
        <v>0.27160000000000001</v>
      </c>
      <c r="N857" s="163">
        <v>0.72799999999999998</v>
      </c>
      <c r="O857" s="163">
        <v>283.38740000000001</v>
      </c>
      <c r="P857" s="163">
        <v>759.59519999999998</v>
      </c>
      <c r="Q857" s="163">
        <v>36.840000000000003</v>
      </c>
      <c r="R857" s="163">
        <v>118.96</v>
      </c>
      <c r="S857" s="163">
        <v>438</v>
      </c>
      <c r="T857" s="163">
        <v>124123.7</v>
      </c>
      <c r="U857" s="163"/>
      <c r="V857" s="163"/>
    </row>
    <row r="858" spans="1:22" ht="15.75" customHeight="1" x14ac:dyDescent="0.25">
      <c r="A858" s="167">
        <v>360</v>
      </c>
      <c r="B858" s="162" t="s">
        <v>34</v>
      </c>
      <c r="C858" s="162" t="s">
        <v>79</v>
      </c>
      <c r="D858" s="168">
        <v>44802</v>
      </c>
      <c r="E858" s="187" t="s">
        <v>23</v>
      </c>
      <c r="F858" s="187"/>
      <c r="G858" s="187"/>
      <c r="H858" s="162" t="s">
        <v>1973</v>
      </c>
      <c r="I858" s="172">
        <v>44810</v>
      </c>
      <c r="J858" s="169" t="s">
        <v>3346</v>
      </c>
      <c r="K858" s="142">
        <v>160</v>
      </c>
      <c r="L858" s="162" t="s">
        <v>272</v>
      </c>
      <c r="M858" s="162">
        <v>0.45550000000000002</v>
      </c>
      <c r="N858" s="162">
        <v>1.6990000000000001</v>
      </c>
      <c r="O858" s="162">
        <v>72.88</v>
      </c>
      <c r="P858" s="162">
        <v>271.83999999999997</v>
      </c>
      <c r="Q858" s="162">
        <v>9.4700000000000006</v>
      </c>
      <c r="R858" s="162">
        <v>110.69</v>
      </c>
      <c r="S858" s="162">
        <v>243</v>
      </c>
      <c r="T858" s="162">
        <v>17709.84</v>
      </c>
      <c r="U858" s="162"/>
      <c r="V858" s="162"/>
    </row>
    <row r="859" spans="1:22" ht="15.75" customHeight="1" x14ac:dyDescent="0.25">
      <c r="A859" s="167">
        <v>360</v>
      </c>
      <c r="B859" s="162" t="s">
        <v>34</v>
      </c>
      <c r="C859" s="162" t="s">
        <v>79</v>
      </c>
      <c r="D859" s="168">
        <v>44802</v>
      </c>
      <c r="E859" s="187" t="s">
        <v>23</v>
      </c>
      <c r="F859" s="218"/>
      <c r="G859" s="218"/>
      <c r="H859" s="162" t="s">
        <v>1973</v>
      </c>
      <c r="I859" s="172">
        <v>44810</v>
      </c>
      <c r="J859" s="164" t="s">
        <v>2625</v>
      </c>
      <c r="K859" s="145">
        <v>138</v>
      </c>
      <c r="L859" s="163" t="s">
        <v>1822</v>
      </c>
      <c r="M859" s="163">
        <v>0.45550000000000002</v>
      </c>
      <c r="N859" s="163">
        <v>1.6990000000000001</v>
      </c>
      <c r="O859" s="163">
        <v>62.859000000000002</v>
      </c>
      <c r="P859" s="163">
        <v>234.46199999999999</v>
      </c>
      <c r="Q859" s="163">
        <v>8.17</v>
      </c>
      <c r="R859" s="163">
        <v>110.69</v>
      </c>
      <c r="S859" s="163">
        <v>243</v>
      </c>
      <c r="T859" s="163">
        <v>15274.74</v>
      </c>
      <c r="U859" s="163"/>
      <c r="V859" s="163"/>
    </row>
    <row r="860" spans="1:22" s="28" customFormat="1" ht="15.75" customHeight="1" x14ac:dyDescent="0.25">
      <c r="A860" s="254" t="s">
        <v>3348</v>
      </c>
      <c r="B860" s="150" t="s">
        <v>13</v>
      </c>
      <c r="C860" s="150" t="s">
        <v>3074</v>
      </c>
      <c r="D860" s="275">
        <v>44802</v>
      </c>
      <c r="E860" s="256" t="s">
        <v>23</v>
      </c>
      <c r="F860" s="256"/>
      <c r="G860" s="256"/>
      <c r="H860" s="150" t="s">
        <v>2078</v>
      </c>
      <c r="I860" s="150"/>
      <c r="J860" s="257" t="s">
        <v>3347</v>
      </c>
      <c r="K860" s="150">
        <v>750</v>
      </c>
      <c r="L860" s="150">
        <v>125</v>
      </c>
      <c r="M860" s="150"/>
      <c r="N860" s="150"/>
      <c r="O860" s="150"/>
      <c r="P860" s="150"/>
      <c r="Q860" s="150"/>
      <c r="R860" s="150"/>
      <c r="S860" s="150"/>
      <c r="T860" s="150">
        <v>50140</v>
      </c>
      <c r="U860" s="150"/>
      <c r="V860" s="150"/>
    </row>
    <row r="861" spans="1:22" s="14" customFormat="1" ht="15.75" customHeight="1" x14ac:dyDescent="0.25">
      <c r="A861" s="147">
        <v>361</v>
      </c>
      <c r="B861" s="145" t="s">
        <v>13</v>
      </c>
      <c r="C861" s="145" t="s">
        <v>37</v>
      </c>
      <c r="D861" s="143">
        <v>44802</v>
      </c>
      <c r="E861" s="241" t="s">
        <v>23</v>
      </c>
      <c r="F861" s="241"/>
      <c r="G861" s="241">
        <v>70</v>
      </c>
      <c r="H861" s="145"/>
      <c r="I861" s="145"/>
      <c r="J861" s="146" t="s">
        <v>3349</v>
      </c>
      <c r="K861" s="145">
        <v>210</v>
      </c>
      <c r="L861" s="145" t="s">
        <v>343</v>
      </c>
      <c r="M861" s="145">
        <v>6.9500000000000006E-2</v>
      </c>
      <c r="N861" s="145">
        <v>0.182</v>
      </c>
      <c r="O861" s="145">
        <v>14.595000000000001</v>
      </c>
      <c r="P861" s="145">
        <v>38.22</v>
      </c>
      <c r="Q861" s="145">
        <v>1.9</v>
      </c>
      <c r="R861" s="145">
        <v>50.16</v>
      </c>
      <c r="S861" s="145">
        <v>721.73</v>
      </c>
      <c r="T861" s="145">
        <v>10533.65</v>
      </c>
      <c r="U861" s="145"/>
      <c r="V861" s="145"/>
    </row>
    <row r="862" spans="1:22" s="28" customFormat="1" ht="15.75" customHeight="1" x14ac:dyDescent="0.25">
      <c r="A862" s="283" t="s">
        <v>1887</v>
      </c>
      <c r="B862" s="150" t="s">
        <v>13</v>
      </c>
      <c r="C862" s="149" t="s">
        <v>43</v>
      </c>
      <c r="D862" s="275">
        <v>44802</v>
      </c>
      <c r="E862" s="258" t="s">
        <v>23</v>
      </c>
      <c r="F862" s="258"/>
      <c r="G862" s="258"/>
      <c r="H862" s="149"/>
      <c r="I862" s="149"/>
      <c r="J862" s="284" t="s">
        <v>1837</v>
      </c>
      <c r="K862" s="149" t="s">
        <v>250</v>
      </c>
      <c r="L862" s="149">
        <v>7</v>
      </c>
      <c r="M862" s="149"/>
      <c r="N862" s="149"/>
      <c r="O862" s="149"/>
      <c r="P862" s="149"/>
      <c r="Q862" s="149"/>
      <c r="R862" s="149"/>
      <c r="S862" s="149"/>
      <c r="T862" s="149" t="s">
        <v>3350</v>
      </c>
      <c r="U862" s="149"/>
      <c r="V862" s="149"/>
    </row>
    <row r="863" spans="1:22" s="28" customFormat="1" ht="15.75" customHeight="1" x14ac:dyDescent="0.25">
      <c r="A863" s="283" t="s">
        <v>1887</v>
      </c>
      <c r="B863" s="150" t="s">
        <v>13</v>
      </c>
      <c r="C863" s="149" t="s">
        <v>43</v>
      </c>
      <c r="D863" s="275">
        <v>44802</v>
      </c>
      <c r="E863" s="258" t="s">
        <v>23</v>
      </c>
      <c r="F863" s="258"/>
      <c r="G863" s="258"/>
      <c r="H863" s="149"/>
      <c r="I863" s="149"/>
      <c r="J863" s="284" t="s">
        <v>551</v>
      </c>
      <c r="K863" s="149" t="s">
        <v>233</v>
      </c>
      <c r="L863" s="149">
        <v>5</v>
      </c>
      <c r="M863" s="149"/>
      <c r="N863" s="149"/>
      <c r="O863" s="149"/>
      <c r="P863" s="149"/>
      <c r="Q863" s="149"/>
      <c r="R863" s="149"/>
      <c r="S863" s="149"/>
      <c r="T863" s="149" t="s">
        <v>3350</v>
      </c>
      <c r="U863" s="149"/>
      <c r="V863" s="149"/>
    </row>
    <row r="864" spans="1:22" s="28" customFormat="1" ht="15.75" customHeight="1" x14ac:dyDescent="0.25">
      <c r="A864" s="283" t="s">
        <v>1887</v>
      </c>
      <c r="B864" s="150" t="s">
        <v>13</v>
      </c>
      <c r="C864" s="149" t="s">
        <v>43</v>
      </c>
      <c r="D864" s="275">
        <v>44802</v>
      </c>
      <c r="E864" s="258" t="s">
        <v>23</v>
      </c>
      <c r="F864" s="258"/>
      <c r="G864" s="258"/>
      <c r="H864" s="149"/>
      <c r="I864" s="149"/>
      <c r="J864" s="284" t="s">
        <v>349</v>
      </c>
      <c r="K864" s="149" t="s">
        <v>90</v>
      </c>
      <c r="L864" s="149">
        <v>8</v>
      </c>
      <c r="M864" s="149"/>
      <c r="N864" s="149"/>
      <c r="O864" s="149"/>
      <c r="P864" s="149"/>
      <c r="Q864" s="149"/>
      <c r="R864" s="149"/>
      <c r="S864" s="149"/>
      <c r="T864" s="149" t="s">
        <v>3350</v>
      </c>
      <c r="U864" s="149"/>
      <c r="V864" s="149"/>
    </row>
    <row r="865" spans="1:22" s="28" customFormat="1" ht="15.75" customHeight="1" x14ac:dyDescent="0.25">
      <c r="A865" s="283" t="s">
        <v>1887</v>
      </c>
      <c r="B865" s="150" t="s">
        <v>13</v>
      </c>
      <c r="C865" s="149" t="s">
        <v>43</v>
      </c>
      <c r="D865" s="275">
        <v>44802</v>
      </c>
      <c r="E865" s="258" t="s">
        <v>23</v>
      </c>
      <c r="F865" s="258"/>
      <c r="G865" s="258"/>
      <c r="H865" s="149"/>
      <c r="I865" s="149"/>
      <c r="J865" s="284" t="s">
        <v>275</v>
      </c>
      <c r="K865" s="149" t="s">
        <v>36</v>
      </c>
      <c r="L865" s="149">
        <v>4</v>
      </c>
      <c r="M865" s="149"/>
      <c r="N865" s="149"/>
      <c r="O865" s="149"/>
      <c r="P865" s="149"/>
      <c r="Q865" s="149"/>
      <c r="R865" s="149"/>
      <c r="S865" s="149"/>
      <c r="T865" s="149" t="s">
        <v>3350</v>
      </c>
      <c r="U865" s="149"/>
      <c r="V865" s="149"/>
    </row>
    <row r="866" spans="1:22" s="28" customFormat="1" ht="15.75" customHeight="1" x14ac:dyDescent="0.25">
      <c r="A866" s="283" t="s">
        <v>1887</v>
      </c>
      <c r="B866" s="150" t="s">
        <v>13</v>
      </c>
      <c r="C866" s="149" t="s">
        <v>43</v>
      </c>
      <c r="D866" s="275">
        <v>44802</v>
      </c>
      <c r="E866" s="258" t="s">
        <v>23</v>
      </c>
      <c r="F866" s="258"/>
      <c r="G866" s="258"/>
      <c r="H866" s="149"/>
      <c r="I866" s="149"/>
      <c r="J866" s="284" t="s">
        <v>1895</v>
      </c>
      <c r="K866" s="149" t="s">
        <v>490</v>
      </c>
      <c r="L866" s="149">
        <v>10</v>
      </c>
      <c r="M866" s="149"/>
      <c r="N866" s="149"/>
      <c r="O866" s="149"/>
      <c r="P866" s="149"/>
      <c r="Q866" s="149"/>
      <c r="R866" s="149"/>
      <c r="S866" s="149"/>
      <c r="T866" s="149" t="s">
        <v>3350</v>
      </c>
      <c r="U866" s="149"/>
      <c r="V866" s="149"/>
    </row>
    <row r="867" spans="1:22" s="28" customFormat="1" ht="15.75" customHeight="1" x14ac:dyDescent="0.25">
      <c r="A867" s="283" t="s">
        <v>1887</v>
      </c>
      <c r="B867" s="150" t="s">
        <v>13</v>
      </c>
      <c r="C867" s="149" t="s">
        <v>43</v>
      </c>
      <c r="D867" s="275">
        <v>44802</v>
      </c>
      <c r="E867" s="258" t="s">
        <v>23</v>
      </c>
      <c r="F867" s="258"/>
      <c r="G867" s="258"/>
      <c r="H867" s="149"/>
      <c r="I867" s="150"/>
      <c r="J867" s="257" t="s">
        <v>2022</v>
      </c>
      <c r="K867" s="150" t="s">
        <v>2222</v>
      </c>
      <c r="L867" s="150">
        <v>20</v>
      </c>
      <c r="M867" s="150"/>
      <c r="N867" s="150"/>
      <c r="O867" s="150"/>
      <c r="P867" s="150"/>
      <c r="Q867" s="150"/>
      <c r="R867" s="150"/>
      <c r="S867" s="150"/>
      <c r="T867" s="150" t="s">
        <v>3350</v>
      </c>
      <c r="U867" s="150"/>
      <c r="V867" s="150"/>
    </row>
    <row r="868" spans="1:22" ht="30.75" customHeight="1" x14ac:dyDescent="0.25">
      <c r="A868" s="171" t="s">
        <v>3354</v>
      </c>
      <c r="B868" s="163" t="s">
        <v>34</v>
      </c>
      <c r="C868" s="163" t="s">
        <v>3128</v>
      </c>
      <c r="D868" s="172">
        <v>44797</v>
      </c>
      <c r="E868" s="187" t="s">
        <v>23</v>
      </c>
      <c r="F868" s="187"/>
      <c r="G868" s="187"/>
      <c r="H868" s="163"/>
      <c r="I868" s="163"/>
      <c r="J868" s="164" t="s">
        <v>3353</v>
      </c>
      <c r="K868" s="145"/>
      <c r="L868" s="163"/>
      <c r="M868" s="163"/>
      <c r="N868" s="163"/>
      <c r="O868" s="163"/>
      <c r="P868" s="163"/>
      <c r="Q868" s="163"/>
      <c r="R868" s="163"/>
      <c r="S868" s="163"/>
      <c r="T868" s="163" t="s">
        <v>3352</v>
      </c>
      <c r="U868" s="163"/>
      <c r="V868" s="163"/>
    </row>
    <row r="869" spans="1:22" ht="15.75" customHeight="1" x14ac:dyDescent="0.25">
      <c r="A869" s="171">
        <v>363</v>
      </c>
      <c r="B869" s="163" t="s">
        <v>34</v>
      </c>
      <c r="C869" s="163" t="s">
        <v>201</v>
      </c>
      <c r="D869" s="172">
        <v>44803</v>
      </c>
      <c r="E869" s="187" t="s">
        <v>23</v>
      </c>
      <c r="F869" s="187"/>
      <c r="G869" s="187"/>
      <c r="H869" s="163"/>
      <c r="I869" s="172">
        <v>44810</v>
      </c>
      <c r="J869" s="164" t="s">
        <v>2719</v>
      </c>
      <c r="K869" s="145">
        <v>174</v>
      </c>
      <c r="L869" s="163" t="s">
        <v>360</v>
      </c>
      <c r="M869" s="163">
        <v>0.68820000000000003</v>
      </c>
      <c r="N869" s="163">
        <v>3.2480000000000002</v>
      </c>
      <c r="O869" s="163">
        <v>119.74679999999999</v>
      </c>
      <c r="P869" s="163">
        <v>565.15200000000004</v>
      </c>
      <c r="Q869" s="163">
        <v>15.57</v>
      </c>
      <c r="R869" s="163">
        <v>236.05</v>
      </c>
      <c r="S869" s="163">
        <v>343</v>
      </c>
      <c r="T869" s="163">
        <v>41073.15</v>
      </c>
      <c r="U869" s="163"/>
      <c r="V869" s="163"/>
    </row>
    <row r="870" spans="1:22" ht="15.75" customHeight="1" x14ac:dyDescent="0.25">
      <c r="A870" s="167">
        <v>365</v>
      </c>
      <c r="B870" s="163" t="s">
        <v>13</v>
      </c>
      <c r="C870" s="162" t="s">
        <v>32</v>
      </c>
      <c r="D870" s="168">
        <v>44803</v>
      </c>
      <c r="E870" s="194" t="s">
        <v>23</v>
      </c>
      <c r="F870" s="187"/>
      <c r="G870" s="187"/>
      <c r="H870" s="162" t="s">
        <v>1669</v>
      </c>
      <c r="I870" s="162"/>
      <c r="J870" s="169" t="s">
        <v>3301</v>
      </c>
      <c r="K870" s="142">
        <v>1272.7</v>
      </c>
      <c r="L870" s="162" t="s">
        <v>1092</v>
      </c>
      <c r="M870" s="162">
        <v>0.2651</v>
      </c>
      <c r="N870" s="162">
        <v>0.82099999999999995</v>
      </c>
      <c r="O870" s="162">
        <v>337.39280000000002</v>
      </c>
      <c r="P870" s="162">
        <v>1044.8867</v>
      </c>
      <c r="Q870" s="162">
        <v>43.86</v>
      </c>
      <c r="R870" s="162">
        <v>81.92</v>
      </c>
      <c r="S870" s="162">
        <v>309</v>
      </c>
      <c r="T870" s="162">
        <v>104254.37</v>
      </c>
      <c r="U870" s="162"/>
      <c r="V870" s="162"/>
    </row>
    <row r="871" spans="1:22" ht="15.75" customHeight="1" x14ac:dyDescent="0.25">
      <c r="A871" s="171">
        <v>365</v>
      </c>
      <c r="B871" s="163" t="s">
        <v>13</v>
      </c>
      <c r="C871" s="162" t="s">
        <v>32</v>
      </c>
      <c r="D871" s="168">
        <v>44803</v>
      </c>
      <c r="E871" s="187" t="s">
        <v>23</v>
      </c>
      <c r="F871" s="194">
        <v>115</v>
      </c>
      <c r="G871" s="194"/>
      <c r="H871" s="162" t="s">
        <v>3304</v>
      </c>
      <c r="I871" s="163"/>
      <c r="J871" s="164" t="s">
        <v>3301</v>
      </c>
      <c r="K871" s="145">
        <v>511.75</v>
      </c>
      <c r="L871" s="163" t="s">
        <v>352</v>
      </c>
      <c r="M871" s="163">
        <v>0.2651</v>
      </c>
      <c r="N871" s="163">
        <v>0.82099999999999995</v>
      </c>
      <c r="O871" s="163">
        <v>135.66489999999999</v>
      </c>
      <c r="P871" s="163">
        <v>420.14679999999998</v>
      </c>
      <c r="Q871" s="163">
        <v>17.64</v>
      </c>
      <c r="R871" s="163">
        <v>64.42</v>
      </c>
      <c r="S871" s="163">
        <v>243</v>
      </c>
      <c r="T871" s="163">
        <v>32966.58</v>
      </c>
      <c r="U871" s="163"/>
      <c r="V871" s="163"/>
    </row>
    <row r="872" spans="1:22" s="14" customFormat="1" ht="15.75" customHeight="1" x14ac:dyDescent="0.25">
      <c r="A872" s="147" t="s">
        <v>3356</v>
      </c>
      <c r="B872" s="145" t="s">
        <v>13</v>
      </c>
      <c r="C872" s="145" t="s">
        <v>3357</v>
      </c>
      <c r="D872" s="148">
        <v>44805</v>
      </c>
      <c r="E872" s="241" t="s">
        <v>23</v>
      </c>
      <c r="F872" s="242"/>
      <c r="G872" s="242"/>
      <c r="H872" s="145"/>
      <c r="I872" s="145"/>
      <c r="J872" s="146" t="s">
        <v>3355</v>
      </c>
      <c r="K872" s="145">
        <v>18</v>
      </c>
      <c r="L872" s="145">
        <v>3</v>
      </c>
      <c r="M872" s="145"/>
      <c r="N872" s="145"/>
      <c r="O872" s="145"/>
      <c r="P872" s="145"/>
      <c r="Q872" s="145"/>
      <c r="R872" s="145"/>
      <c r="S872" s="145"/>
      <c r="T872" s="145">
        <v>6300</v>
      </c>
      <c r="U872" s="145"/>
      <c r="V872" s="145"/>
    </row>
    <row r="873" spans="1:22" s="14" customFormat="1" ht="15.75" customHeight="1" x14ac:dyDescent="0.25">
      <c r="A873" s="141" t="s">
        <v>3358</v>
      </c>
      <c r="B873" s="145" t="s">
        <v>13</v>
      </c>
      <c r="C873" s="142" t="s">
        <v>3361</v>
      </c>
      <c r="D873" s="148">
        <v>44805</v>
      </c>
      <c r="E873" s="241" t="s">
        <v>23</v>
      </c>
      <c r="F873" s="242"/>
      <c r="G873" s="242"/>
      <c r="H873" s="145"/>
      <c r="I873" s="142"/>
      <c r="J873" s="144" t="s">
        <v>2007</v>
      </c>
      <c r="K873" s="142" t="s">
        <v>90</v>
      </c>
      <c r="L873" s="142">
        <v>8</v>
      </c>
      <c r="M873" s="142"/>
      <c r="N873" s="142"/>
      <c r="O873" s="142"/>
      <c r="P873" s="142"/>
      <c r="Q873" s="142"/>
      <c r="R873" s="142"/>
      <c r="S873" s="142"/>
      <c r="T873" s="142" t="s">
        <v>1422</v>
      </c>
      <c r="U873" s="142"/>
      <c r="V873" s="142"/>
    </row>
    <row r="874" spans="1:22" s="14" customFormat="1" ht="15.75" customHeight="1" x14ac:dyDescent="0.25">
      <c r="A874" s="141" t="s">
        <v>3358</v>
      </c>
      <c r="B874" s="145" t="s">
        <v>13</v>
      </c>
      <c r="C874" s="142" t="s">
        <v>3361</v>
      </c>
      <c r="D874" s="148">
        <v>44805</v>
      </c>
      <c r="E874" s="241" t="s">
        <v>23</v>
      </c>
      <c r="F874" s="242"/>
      <c r="G874" s="242"/>
      <c r="H874" s="145"/>
      <c r="I874" s="142"/>
      <c r="J874" s="144" t="s">
        <v>752</v>
      </c>
      <c r="K874" s="142" t="s">
        <v>248</v>
      </c>
      <c r="L874" s="142">
        <v>3</v>
      </c>
      <c r="M874" s="142"/>
      <c r="N874" s="142"/>
      <c r="O874" s="142"/>
      <c r="P874" s="142"/>
      <c r="Q874" s="142"/>
      <c r="R874" s="142"/>
      <c r="S874" s="142"/>
      <c r="T874" s="142" t="s">
        <v>3359</v>
      </c>
      <c r="U874" s="142"/>
      <c r="V874" s="142"/>
    </row>
    <row r="875" spans="1:22" s="14" customFormat="1" ht="15.75" customHeight="1" x14ac:dyDescent="0.25">
      <c r="A875" s="141" t="s">
        <v>3358</v>
      </c>
      <c r="B875" s="145" t="s">
        <v>13</v>
      </c>
      <c r="C875" s="142" t="s">
        <v>3361</v>
      </c>
      <c r="D875" s="148">
        <v>44805</v>
      </c>
      <c r="E875" s="241" t="s">
        <v>23</v>
      </c>
      <c r="F875" s="242"/>
      <c r="G875" s="242"/>
      <c r="H875" s="145"/>
      <c r="I875" s="145"/>
      <c r="J875" s="146" t="s">
        <v>3284</v>
      </c>
      <c r="K875" s="145" t="s">
        <v>96</v>
      </c>
      <c r="L875" s="145">
        <v>2</v>
      </c>
      <c r="M875" s="145"/>
      <c r="N875" s="145"/>
      <c r="O875" s="145"/>
      <c r="P875" s="145"/>
      <c r="Q875" s="145"/>
      <c r="R875" s="145"/>
      <c r="S875" s="145"/>
      <c r="T875" s="145" t="s">
        <v>3360</v>
      </c>
      <c r="U875" s="145"/>
      <c r="V875" s="145"/>
    </row>
    <row r="876" spans="1:22" ht="15.75" customHeight="1" x14ac:dyDescent="0.25">
      <c r="A876" s="171" t="s">
        <v>3362</v>
      </c>
      <c r="B876" s="163" t="s">
        <v>13</v>
      </c>
      <c r="C876" s="163" t="s">
        <v>295</v>
      </c>
      <c r="D876" s="172">
        <v>44806</v>
      </c>
      <c r="E876" s="187" t="s">
        <v>23</v>
      </c>
      <c r="F876" s="187"/>
      <c r="G876" s="187"/>
      <c r="H876" s="163"/>
      <c r="I876" s="163"/>
      <c r="J876" s="164" t="s">
        <v>2165</v>
      </c>
      <c r="K876" s="145"/>
      <c r="L876" s="163">
        <v>45</v>
      </c>
      <c r="M876" s="163"/>
      <c r="N876" s="163"/>
      <c r="O876" s="163"/>
      <c r="P876" s="163"/>
      <c r="Q876" s="163"/>
      <c r="R876" s="163"/>
      <c r="S876" s="163"/>
      <c r="T876" s="163">
        <v>41365</v>
      </c>
      <c r="U876" s="163"/>
      <c r="V876" s="163"/>
    </row>
    <row r="877" spans="1:22" ht="15.75" customHeight="1" x14ac:dyDescent="0.25">
      <c r="A877" s="171" t="s">
        <v>3363</v>
      </c>
      <c r="B877" s="163" t="s">
        <v>13</v>
      </c>
      <c r="C877" s="163" t="s">
        <v>313</v>
      </c>
      <c r="D877" s="172">
        <v>44806</v>
      </c>
      <c r="E877" s="187" t="s">
        <v>23</v>
      </c>
      <c r="F877" s="187"/>
      <c r="G877" s="187"/>
      <c r="H877" s="163"/>
      <c r="I877" s="163"/>
      <c r="J877" s="164" t="s">
        <v>77</v>
      </c>
      <c r="K877" s="163"/>
      <c r="L877" s="163">
        <v>2</v>
      </c>
      <c r="M877" s="163"/>
      <c r="N877" s="163"/>
      <c r="O877" s="163"/>
      <c r="P877" s="163"/>
      <c r="Q877" s="163"/>
      <c r="R877" s="163"/>
      <c r="S877" s="163"/>
      <c r="T877" s="163">
        <v>5900</v>
      </c>
      <c r="U877" s="163"/>
      <c r="V877" s="163"/>
    </row>
    <row r="878" spans="1:22" ht="15.75" customHeight="1" x14ac:dyDescent="0.25">
      <c r="A878" s="167" t="s">
        <v>3364</v>
      </c>
      <c r="B878" s="163" t="s">
        <v>13</v>
      </c>
      <c r="C878" s="162" t="s">
        <v>30</v>
      </c>
      <c r="D878" s="172">
        <v>44806</v>
      </c>
      <c r="E878" s="194" t="s">
        <v>23</v>
      </c>
      <c r="F878" s="194"/>
      <c r="G878" s="194"/>
      <c r="H878" s="162"/>
      <c r="I878" s="162"/>
      <c r="J878" s="169" t="s">
        <v>710</v>
      </c>
      <c r="K878" s="142"/>
      <c r="L878" s="162" t="s">
        <v>233</v>
      </c>
      <c r="M878" s="162"/>
      <c r="N878" s="162"/>
      <c r="O878" s="162"/>
      <c r="P878" s="162"/>
      <c r="Q878" s="162"/>
      <c r="R878" s="162"/>
      <c r="S878" s="162"/>
      <c r="T878" s="162" t="s">
        <v>484</v>
      </c>
      <c r="U878" s="162"/>
      <c r="V878" s="162"/>
    </row>
    <row r="879" spans="1:22" ht="15.75" customHeight="1" x14ac:dyDescent="0.25">
      <c r="A879" s="167" t="s">
        <v>3364</v>
      </c>
      <c r="B879" s="163" t="s">
        <v>13</v>
      </c>
      <c r="C879" s="162" t="s">
        <v>30</v>
      </c>
      <c r="D879" s="172">
        <v>44806</v>
      </c>
      <c r="E879" s="194" t="s">
        <v>23</v>
      </c>
      <c r="F879" s="194"/>
      <c r="G879" s="194"/>
      <c r="H879" s="162"/>
      <c r="I879" s="162"/>
      <c r="J879" s="169" t="s">
        <v>711</v>
      </c>
      <c r="K879" s="142"/>
      <c r="L879" s="162" t="s">
        <v>233</v>
      </c>
      <c r="M879" s="162"/>
      <c r="N879" s="162"/>
      <c r="O879" s="162"/>
      <c r="P879" s="162"/>
      <c r="Q879" s="162"/>
      <c r="R879" s="162"/>
      <c r="S879" s="162"/>
      <c r="T879" s="162" t="s">
        <v>484</v>
      </c>
      <c r="U879" s="162"/>
      <c r="V879" s="162"/>
    </row>
    <row r="880" spans="1:22" ht="15.75" customHeight="1" x14ac:dyDescent="0.25">
      <c r="A880" s="167" t="s">
        <v>3364</v>
      </c>
      <c r="B880" s="163" t="s">
        <v>13</v>
      </c>
      <c r="C880" s="162" t="s">
        <v>30</v>
      </c>
      <c r="D880" s="172">
        <v>44806</v>
      </c>
      <c r="E880" s="194" t="s">
        <v>23</v>
      </c>
      <c r="F880" s="194"/>
      <c r="G880" s="194"/>
      <c r="H880" s="162"/>
      <c r="I880" s="162"/>
      <c r="J880" s="169" t="s">
        <v>712</v>
      </c>
      <c r="K880" s="142"/>
      <c r="L880" s="162" t="s">
        <v>3365</v>
      </c>
      <c r="M880" s="162"/>
      <c r="N880" s="162"/>
      <c r="O880" s="162"/>
      <c r="P880" s="162"/>
      <c r="Q880" s="162"/>
      <c r="R880" s="162"/>
      <c r="S880" s="162"/>
      <c r="T880" s="162" t="s">
        <v>3368</v>
      </c>
      <c r="U880" s="162"/>
      <c r="V880" s="162"/>
    </row>
    <row r="881" spans="1:22" ht="15.75" customHeight="1" x14ac:dyDescent="0.25">
      <c r="A881" s="167" t="s">
        <v>3364</v>
      </c>
      <c r="B881" s="163" t="s">
        <v>13</v>
      </c>
      <c r="C881" s="162" t="s">
        <v>30</v>
      </c>
      <c r="D881" s="172">
        <v>44806</v>
      </c>
      <c r="E881" s="194" t="s">
        <v>23</v>
      </c>
      <c r="F881" s="194"/>
      <c r="G881" s="194"/>
      <c r="H881" s="162"/>
      <c r="I881" s="162"/>
      <c r="J881" s="169" t="s">
        <v>713</v>
      </c>
      <c r="K881" s="142"/>
      <c r="L881" s="162" t="s">
        <v>613</v>
      </c>
      <c r="M881" s="162"/>
      <c r="N881" s="162"/>
      <c r="O881" s="162"/>
      <c r="P881" s="162"/>
      <c r="Q881" s="162"/>
      <c r="R881" s="162"/>
      <c r="S881" s="162"/>
      <c r="T881" s="162" t="s">
        <v>511</v>
      </c>
      <c r="U881" s="162"/>
      <c r="V881" s="162"/>
    </row>
    <row r="882" spans="1:22" ht="15.75" customHeight="1" x14ac:dyDescent="0.25">
      <c r="A882" s="167" t="s">
        <v>3364</v>
      </c>
      <c r="B882" s="163" t="s">
        <v>13</v>
      </c>
      <c r="C882" s="162" t="s">
        <v>30</v>
      </c>
      <c r="D882" s="172">
        <v>44806</v>
      </c>
      <c r="E882" s="194" t="s">
        <v>23</v>
      </c>
      <c r="F882" s="194"/>
      <c r="G882" s="194"/>
      <c r="H882" s="162"/>
      <c r="I882" s="162"/>
      <c r="J882" s="169" t="s">
        <v>714</v>
      </c>
      <c r="K882" s="142"/>
      <c r="L882" s="162" t="s">
        <v>3366</v>
      </c>
      <c r="M882" s="162"/>
      <c r="N882" s="162"/>
      <c r="O882" s="162"/>
      <c r="P882" s="162"/>
      <c r="Q882" s="162"/>
      <c r="R882" s="162"/>
      <c r="S882" s="162"/>
      <c r="T882" s="162" t="s">
        <v>3369</v>
      </c>
      <c r="U882" s="162"/>
      <c r="V882" s="162"/>
    </row>
    <row r="883" spans="1:22" ht="15.75" customHeight="1" x14ac:dyDescent="0.25">
      <c r="A883" s="167" t="s">
        <v>3364</v>
      </c>
      <c r="B883" s="163" t="s">
        <v>13</v>
      </c>
      <c r="C883" s="162" t="s">
        <v>30</v>
      </c>
      <c r="D883" s="172">
        <v>44806</v>
      </c>
      <c r="E883" s="194" t="s">
        <v>23</v>
      </c>
      <c r="F883" s="194"/>
      <c r="G883" s="194"/>
      <c r="H883" s="162"/>
      <c r="I883" s="162"/>
      <c r="J883" s="169" t="s">
        <v>715</v>
      </c>
      <c r="K883" s="142"/>
      <c r="L883" s="162" t="s">
        <v>96</v>
      </c>
      <c r="M883" s="162"/>
      <c r="N883" s="162"/>
      <c r="O883" s="162"/>
      <c r="P883" s="162"/>
      <c r="Q883" s="162"/>
      <c r="R883" s="162"/>
      <c r="S883" s="162"/>
      <c r="T883" s="162" t="s">
        <v>1353</v>
      </c>
      <c r="U883" s="162"/>
      <c r="V883" s="162"/>
    </row>
    <row r="884" spans="1:22" ht="15.75" customHeight="1" x14ac:dyDescent="0.25">
      <c r="A884" s="167" t="s">
        <v>3364</v>
      </c>
      <c r="B884" s="163" t="s">
        <v>13</v>
      </c>
      <c r="C884" s="162" t="s">
        <v>30</v>
      </c>
      <c r="D884" s="172">
        <v>44806</v>
      </c>
      <c r="E884" s="194" t="s">
        <v>23</v>
      </c>
      <c r="F884" s="194"/>
      <c r="G884" s="194"/>
      <c r="H884" s="162"/>
      <c r="I884" s="162"/>
      <c r="J884" s="169" t="s">
        <v>718</v>
      </c>
      <c r="K884" s="142"/>
      <c r="L884" s="162" t="s">
        <v>3367</v>
      </c>
      <c r="M884" s="162"/>
      <c r="N884" s="162"/>
      <c r="O884" s="162"/>
      <c r="P884" s="162"/>
      <c r="Q884" s="162"/>
      <c r="R884" s="162"/>
      <c r="S884" s="162"/>
      <c r="T884" s="162" t="s">
        <v>3370</v>
      </c>
      <c r="U884" s="162"/>
      <c r="V884" s="162"/>
    </row>
    <row r="885" spans="1:22" ht="15.75" customHeight="1" x14ac:dyDescent="0.25">
      <c r="A885" s="167" t="s">
        <v>3364</v>
      </c>
      <c r="B885" s="163" t="s">
        <v>13</v>
      </c>
      <c r="C885" s="162" t="s">
        <v>30</v>
      </c>
      <c r="D885" s="172">
        <v>44806</v>
      </c>
      <c r="E885" s="194" t="s">
        <v>23</v>
      </c>
      <c r="F885" s="194"/>
      <c r="G885" s="194"/>
      <c r="H885" s="162"/>
      <c r="I885" s="162"/>
      <c r="J885" s="169" t="s">
        <v>719</v>
      </c>
      <c r="K885" s="142"/>
      <c r="L885" s="162" t="s">
        <v>75</v>
      </c>
      <c r="M885" s="162"/>
      <c r="N885" s="162"/>
      <c r="O885" s="162"/>
      <c r="P885" s="162"/>
      <c r="Q885" s="162"/>
      <c r="R885" s="162"/>
      <c r="S885" s="162"/>
      <c r="T885" s="162" t="s">
        <v>943</v>
      </c>
      <c r="U885" s="162"/>
      <c r="V885" s="162"/>
    </row>
    <row r="886" spans="1:22" ht="15.75" customHeight="1" x14ac:dyDescent="0.25">
      <c r="A886" s="167" t="s">
        <v>3364</v>
      </c>
      <c r="B886" s="163" t="s">
        <v>13</v>
      </c>
      <c r="C886" s="162" t="s">
        <v>30</v>
      </c>
      <c r="D886" s="172">
        <v>44806</v>
      </c>
      <c r="E886" s="194" t="s">
        <v>23</v>
      </c>
      <c r="F886" s="194"/>
      <c r="G886" s="194"/>
      <c r="H886" s="162"/>
      <c r="I886" s="162"/>
      <c r="J886" s="169" t="s">
        <v>716</v>
      </c>
      <c r="K886" s="142"/>
      <c r="L886" s="162" t="s">
        <v>123</v>
      </c>
      <c r="M886" s="162"/>
      <c r="N886" s="162"/>
      <c r="O886" s="162"/>
      <c r="P886" s="162"/>
      <c r="Q886" s="162"/>
      <c r="R886" s="162"/>
      <c r="S886" s="162"/>
      <c r="T886" s="162" t="s">
        <v>495</v>
      </c>
      <c r="U886" s="162"/>
      <c r="V886" s="162"/>
    </row>
    <row r="887" spans="1:22" ht="15.75" customHeight="1" x14ac:dyDescent="0.25">
      <c r="A887" s="167" t="s">
        <v>3364</v>
      </c>
      <c r="B887" s="163" t="s">
        <v>13</v>
      </c>
      <c r="C887" s="162" t="s">
        <v>30</v>
      </c>
      <c r="D887" s="172">
        <v>44806</v>
      </c>
      <c r="E887" s="194" t="s">
        <v>23</v>
      </c>
      <c r="F887" s="194"/>
      <c r="G887" s="194"/>
      <c r="H887" s="162"/>
      <c r="I887" s="162"/>
      <c r="J887" s="169" t="s">
        <v>717</v>
      </c>
      <c r="K887" s="142"/>
      <c r="L887" s="162" t="s">
        <v>123</v>
      </c>
      <c r="M887" s="162"/>
      <c r="N887" s="162"/>
      <c r="O887" s="162"/>
      <c r="P887" s="162"/>
      <c r="Q887" s="162"/>
      <c r="R887" s="162"/>
      <c r="S887" s="162"/>
      <c r="T887" s="162" t="s">
        <v>495</v>
      </c>
      <c r="U887" s="162"/>
      <c r="V887" s="162"/>
    </row>
    <row r="888" spans="1:22" ht="15.75" customHeight="1" x14ac:dyDescent="0.25">
      <c r="A888" s="167" t="s">
        <v>3364</v>
      </c>
      <c r="B888" s="163" t="s">
        <v>13</v>
      </c>
      <c r="C888" s="162" t="s">
        <v>30</v>
      </c>
      <c r="D888" s="172">
        <v>44806</v>
      </c>
      <c r="E888" s="194" t="s">
        <v>23</v>
      </c>
      <c r="F888" s="194"/>
      <c r="G888" s="194"/>
      <c r="H888" s="162"/>
      <c r="I888" s="162"/>
      <c r="J888" s="169" t="s">
        <v>871</v>
      </c>
      <c r="K888" s="142"/>
      <c r="L888" s="162" t="s">
        <v>3328</v>
      </c>
      <c r="M888" s="162"/>
      <c r="N888" s="162"/>
      <c r="O888" s="162"/>
      <c r="P888" s="162"/>
      <c r="Q888" s="162"/>
      <c r="R888" s="162"/>
      <c r="S888" s="162"/>
      <c r="T888" s="162" t="s">
        <v>3371</v>
      </c>
      <c r="U888" s="162"/>
      <c r="V888" s="162"/>
    </row>
    <row r="889" spans="1:22" ht="15.75" customHeight="1" x14ac:dyDescent="0.25">
      <c r="A889" s="167" t="s">
        <v>3364</v>
      </c>
      <c r="B889" s="163" t="s">
        <v>13</v>
      </c>
      <c r="C889" s="162" t="s">
        <v>30</v>
      </c>
      <c r="D889" s="172">
        <v>44806</v>
      </c>
      <c r="E889" s="194" t="s">
        <v>23</v>
      </c>
      <c r="F889" s="194"/>
      <c r="G889" s="194"/>
      <c r="H889" s="162"/>
      <c r="I889" s="163"/>
      <c r="J889" s="164" t="s">
        <v>872</v>
      </c>
      <c r="K889" s="145"/>
      <c r="L889" s="163" t="s">
        <v>3365</v>
      </c>
      <c r="M889" s="163"/>
      <c r="N889" s="163"/>
      <c r="O889" s="163"/>
      <c r="P889" s="163"/>
      <c r="Q889" s="163"/>
      <c r="R889" s="163"/>
      <c r="S889" s="163"/>
      <c r="T889" s="163" t="s">
        <v>1212</v>
      </c>
      <c r="U889" s="163"/>
      <c r="V889" s="163"/>
    </row>
    <row r="890" spans="1:22" s="14" customFormat="1" ht="15.75" customHeight="1" x14ac:dyDescent="0.25">
      <c r="A890" s="147">
        <v>369</v>
      </c>
      <c r="B890" s="145" t="s">
        <v>13</v>
      </c>
      <c r="C890" s="145" t="s">
        <v>2466</v>
      </c>
      <c r="D890" s="148">
        <v>44809</v>
      </c>
      <c r="E890" s="241" t="s">
        <v>23</v>
      </c>
      <c r="F890" s="241">
        <v>54</v>
      </c>
      <c r="G890" s="241"/>
      <c r="H890" s="145"/>
      <c r="I890" s="145"/>
      <c r="J890" s="146" t="s">
        <v>149</v>
      </c>
      <c r="K890" s="145">
        <v>270</v>
      </c>
      <c r="L890" s="145" t="s">
        <v>170</v>
      </c>
      <c r="M890" s="145">
        <v>0.18360000000000001</v>
      </c>
      <c r="N890" s="145">
        <v>0.39400000000000002</v>
      </c>
      <c r="O890" s="145">
        <v>49.572000000000003</v>
      </c>
      <c r="P890" s="145">
        <v>106.38</v>
      </c>
      <c r="Q890" s="145">
        <v>6.44</v>
      </c>
      <c r="R890" s="145">
        <v>62.97</v>
      </c>
      <c r="S890" s="145">
        <v>343</v>
      </c>
      <c r="T890" s="145">
        <v>17003.2</v>
      </c>
      <c r="U890" s="145"/>
      <c r="V890" s="145"/>
    </row>
    <row r="891" spans="1:22" s="14" customFormat="1" ht="15.75" customHeight="1" x14ac:dyDescent="0.25">
      <c r="A891" s="141" t="s">
        <v>1905</v>
      </c>
      <c r="B891" s="142" t="s">
        <v>34</v>
      </c>
      <c r="C891" s="142" t="s">
        <v>284</v>
      </c>
      <c r="D891" s="143">
        <v>44809</v>
      </c>
      <c r="E891" s="194" t="s">
        <v>23</v>
      </c>
      <c r="F891" s="187"/>
      <c r="G891" s="187"/>
      <c r="H891" s="142"/>
      <c r="I891" s="142"/>
      <c r="J891" s="144" t="s">
        <v>3388</v>
      </c>
      <c r="K891" s="142" t="s">
        <v>3389</v>
      </c>
      <c r="L891" s="142">
        <v>20</v>
      </c>
      <c r="M891" s="142"/>
      <c r="N891" s="142"/>
      <c r="O891" s="142"/>
      <c r="P891" s="142"/>
      <c r="Q891" s="142"/>
      <c r="R891" s="142"/>
      <c r="S891" s="142"/>
      <c r="T891" s="142" t="s">
        <v>3391</v>
      </c>
      <c r="U891" s="142"/>
      <c r="V891" s="142"/>
    </row>
    <row r="892" spans="1:22" s="14" customFormat="1" ht="15.75" customHeight="1" x14ac:dyDescent="0.25">
      <c r="A892" s="141" t="s">
        <v>1905</v>
      </c>
      <c r="B892" s="142" t="s">
        <v>34</v>
      </c>
      <c r="C892" s="142" t="s">
        <v>284</v>
      </c>
      <c r="D892" s="143">
        <v>44809</v>
      </c>
      <c r="E892" s="194" t="s">
        <v>23</v>
      </c>
      <c r="F892" s="187"/>
      <c r="G892" s="187"/>
      <c r="H892" s="142"/>
      <c r="I892" s="142"/>
      <c r="J892" s="144" t="s">
        <v>2919</v>
      </c>
      <c r="K892" s="142" t="s">
        <v>3390</v>
      </c>
      <c r="L892" s="142">
        <v>16</v>
      </c>
      <c r="M892" s="142"/>
      <c r="N892" s="142"/>
      <c r="O892" s="142"/>
      <c r="P892" s="142"/>
      <c r="Q892" s="142"/>
      <c r="R892" s="142"/>
      <c r="S892" s="142"/>
      <c r="T892" s="142" t="s">
        <v>3392</v>
      </c>
      <c r="U892" s="142"/>
      <c r="V892" s="142"/>
    </row>
    <row r="893" spans="1:22" ht="15.75" customHeight="1" x14ac:dyDescent="0.25">
      <c r="A893" s="171" t="s">
        <v>1909</v>
      </c>
      <c r="B893" s="163" t="s">
        <v>13</v>
      </c>
      <c r="C893" s="163" t="s">
        <v>295</v>
      </c>
      <c r="D893" s="172">
        <v>44810</v>
      </c>
      <c r="E893" s="187" t="s">
        <v>23</v>
      </c>
      <c r="F893" s="187"/>
      <c r="G893" s="187"/>
      <c r="H893" s="163"/>
      <c r="I893" s="163"/>
      <c r="J893" s="164" t="s">
        <v>3372</v>
      </c>
      <c r="K893" s="163"/>
      <c r="L893" s="163">
        <v>2</v>
      </c>
      <c r="M893" s="163"/>
      <c r="N893" s="163"/>
      <c r="O893" s="163"/>
      <c r="P893" s="163"/>
      <c r="Q893" s="163"/>
      <c r="R893" s="163"/>
      <c r="S893" s="163"/>
      <c r="T893" s="163">
        <v>10900</v>
      </c>
      <c r="U893" s="163"/>
      <c r="V893" s="163"/>
    </row>
    <row r="894" spans="1:22" s="14" customFormat="1" ht="15.75" customHeight="1" x14ac:dyDescent="0.25">
      <c r="A894" s="147" t="s">
        <v>3374</v>
      </c>
      <c r="B894" s="145" t="s">
        <v>13</v>
      </c>
      <c r="C894" s="145" t="s">
        <v>37</v>
      </c>
      <c r="D894" s="148">
        <v>44811</v>
      </c>
      <c r="E894" s="241" t="s">
        <v>23</v>
      </c>
      <c r="F894" s="241"/>
      <c r="G894" s="241"/>
      <c r="H894" s="145" t="s">
        <v>2078</v>
      </c>
      <c r="I894" s="145"/>
      <c r="J894" s="146" t="s">
        <v>3373</v>
      </c>
      <c r="K894" s="145"/>
      <c r="L894" s="145">
        <v>12</v>
      </c>
      <c r="M894" s="145"/>
      <c r="N894" s="145"/>
      <c r="O894" s="145"/>
      <c r="P894" s="145"/>
      <c r="Q894" s="145"/>
      <c r="R894" s="145"/>
      <c r="S894" s="145"/>
      <c r="T894" s="145">
        <v>22200</v>
      </c>
      <c r="U894" s="145"/>
      <c r="V894" s="145"/>
    </row>
    <row r="895" spans="1:22" s="14" customFormat="1" ht="15.75" customHeight="1" x14ac:dyDescent="0.25">
      <c r="A895" s="147" t="s">
        <v>3375</v>
      </c>
      <c r="B895" s="145" t="s">
        <v>13</v>
      </c>
      <c r="C895" s="145" t="s">
        <v>37</v>
      </c>
      <c r="D895" s="148">
        <v>44811</v>
      </c>
      <c r="E895" s="241" t="s">
        <v>23</v>
      </c>
      <c r="F895" s="241"/>
      <c r="G895" s="241"/>
      <c r="H895" s="145"/>
      <c r="I895" s="145"/>
      <c r="J895" s="146" t="s">
        <v>3291</v>
      </c>
      <c r="K895" s="145"/>
      <c r="L895" s="145">
        <v>24</v>
      </c>
      <c r="M895" s="145"/>
      <c r="N895" s="145"/>
      <c r="O895" s="145"/>
      <c r="P895" s="145"/>
      <c r="Q895" s="145"/>
      <c r="R895" s="145"/>
      <c r="S895" s="145"/>
      <c r="T895" s="145">
        <v>44400</v>
      </c>
      <c r="U895" s="145"/>
      <c r="V895" s="145"/>
    </row>
    <row r="896" spans="1:22" s="14" customFormat="1" ht="15.75" customHeight="1" x14ac:dyDescent="0.25">
      <c r="A896" s="147">
        <v>371</v>
      </c>
      <c r="B896" s="145" t="s">
        <v>13</v>
      </c>
      <c r="C896" s="145" t="s">
        <v>37</v>
      </c>
      <c r="D896" s="148">
        <v>44811</v>
      </c>
      <c r="E896" s="241" t="s">
        <v>23</v>
      </c>
      <c r="F896" s="241"/>
      <c r="G896" s="241"/>
      <c r="H896" s="145"/>
      <c r="I896" s="145"/>
      <c r="J896" s="146" t="s">
        <v>3377</v>
      </c>
      <c r="K896" s="145">
        <v>834</v>
      </c>
      <c r="L896" s="145" t="s">
        <v>3378</v>
      </c>
      <c r="M896" s="145">
        <v>7.5499999999999998E-2</v>
      </c>
      <c r="N896" s="145">
        <v>0.248</v>
      </c>
      <c r="O896" s="145">
        <v>62.966999999999999</v>
      </c>
      <c r="P896" s="145">
        <v>206.83199999999999</v>
      </c>
      <c r="Q896" s="145">
        <v>8.19</v>
      </c>
      <c r="R896" s="145">
        <v>27.18</v>
      </c>
      <c r="S896" s="145">
        <v>360</v>
      </c>
      <c r="T896" s="145">
        <v>22668.12</v>
      </c>
      <c r="U896" s="145"/>
      <c r="V896" s="145"/>
    </row>
    <row r="897" spans="1:22" ht="15.75" customHeight="1" x14ac:dyDescent="0.25">
      <c r="A897" s="171">
        <v>372</v>
      </c>
      <c r="B897" s="163" t="s">
        <v>13</v>
      </c>
      <c r="C897" s="163" t="s">
        <v>2466</v>
      </c>
      <c r="D897" s="172">
        <v>44811</v>
      </c>
      <c r="E897" s="187" t="s">
        <v>23</v>
      </c>
      <c r="F897" s="187">
        <v>160</v>
      </c>
      <c r="G897" s="187"/>
      <c r="H897" s="163"/>
      <c r="I897" s="163"/>
      <c r="J897" s="164" t="s">
        <v>119</v>
      </c>
      <c r="K897" s="163">
        <v>810</v>
      </c>
      <c r="L897" s="163" t="s">
        <v>306</v>
      </c>
      <c r="M897" s="163">
        <v>0.1827</v>
      </c>
      <c r="N897" s="163">
        <v>0.36899999999999999</v>
      </c>
      <c r="O897" s="163">
        <v>147.98699999999999</v>
      </c>
      <c r="P897" s="163">
        <v>298.89</v>
      </c>
      <c r="Q897" s="163">
        <v>19.239999999999998</v>
      </c>
      <c r="R897" s="163">
        <v>62.67</v>
      </c>
      <c r="S897" s="163">
        <v>343</v>
      </c>
      <c r="T897" s="163">
        <v>50759.54</v>
      </c>
      <c r="U897" s="163"/>
      <c r="V897" s="163"/>
    </row>
    <row r="898" spans="1:22" ht="15.75" customHeight="1" x14ac:dyDescent="0.25">
      <c r="A898" s="171" t="s">
        <v>3424</v>
      </c>
      <c r="B898" s="163" t="s">
        <v>13</v>
      </c>
      <c r="C898" s="163" t="s">
        <v>3425</v>
      </c>
      <c r="D898" s="172">
        <v>44813</v>
      </c>
      <c r="E898" s="187" t="s">
        <v>23</v>
      </c>
      <c r="F898" s="187"/>
      <c r="G898" s="187"/>
      <c r="H898" s="163" t="s">
        <v>2078</v>
      </c>
      <c r="I898" s="163"/>
      <c r="J898" s="164" t="s">
        <v>3379</v>
      </c>
      <c r="K898" s="163"/>
      <c r="L898" s="163">
        <v>225</v>
      </c>
      <c r="M898" s="163"/>
      <c r="N898" s="163"/>
      <c r="O898" s="163"/>
      <c r="P898" s="163"/>
      <c r="Q898" s="163"/>
      <c r="R898" s="163"/>
      <c r="S898" s="163"/>
      <c r="T898" s="163">
        <v>21800</v>
      </c>
      <c r="U898" s="163"/>
      <c r="V898" s="163"/>
    </row>
    <row r="899" spans="1:22" ht="15.75" customHeight="1" x14ac:dyDescent="0.25">
      <c r="A899" s="171" t="s">
        <v>3380</v>
      </c>
      <c r="B899" s="163" t="s">
        <v>13</v>
      </c>
      <c r="C899" s="163" t="s">
        <v>480</v>
      </c>
      <c r="D899" s="172">
        <v>44813</v>
      </c>
      <c r="E899" s="187" t="s">
        <v>23</v>
      </c>
      <c r="F899" s="187"/>
      <c r="G899" s="187"/>
      <c r="H899" s="162" t="s">
        <v>2078</v>
      </c>
      <c r="I899" s="163"/>
      <c r="J899" s="164" t="s">
        <v>481</v>
      </c>
      <c r="K899" s="145">
        <v>312</v>
      </c>
      <c r="L899" s="163">
        <v>52</v>
      </c>
      <c r="M899" s="163"/>
      <c r="N899" s="163"/>
      <c r="O899" s="163"/>
      <c r="P899" s="163"/>
      <c r="Q899" s="163"/>
      <c r="R899" s="163"/>
      <c r="S899" s="163"/>
      <c r="T899" s="163">
        <v>25070</v>
      </c>
      <c r="U899" s="163"/>
      <c r="V899" s="163"/>
    </row>
    <row r="900" spans="1:22" ht="45.75" customHeight="1" x14ac:dyDescent="0.25">
      <c r="A900" s="167">
        <v>375</v>
      </c>
      <c r="B900" s="162" t="s">
        <v>34</v>
      </c>
      <c r="C900" s="162" t="s">
        <v>79</v>
      </c>
      <c r="D900" s="168">
        <v>44816</v>
      </c>
      <c r="E900" s="194" t="s">
        <v>23</v>
      </c>
      <c r="F900" s="187"/>
      <c r="G900" s="187">
        <v>2760</v>
      </c>
      <c r="H900" s="221" t="s">
        <v>3413</v>
      </c>
      <c r="I900" s="162"/>
      <c r="J900" s="169" t="s">
        <v>3382</v>
      </c>
      <c r="K900" s="162">
        <v>2796</v>
      </c>
      <c r="L900" s="162" t="s">
        <v>3383</v>
      </c>
      <c r="M900" s="162">
        <v>8.9399999999999993E-2</v>
      </c>
      <c r="N900" s="162">
        <v>0.128</v>
      </c>
      <c r="O900" s="162">
        <v>249.9624</v>
      </c>
      <c r="P900" s="162">
        <v>357.88799999999998</v>
      </c>
      <c r="Q900" s="162">
        <v>32.5</v>
      </c>
      <c r="R900" s="162">
        <v>28.16</v>
      </c>
      <c r="S900" s="162">
        <v>315</v>
      </c>
      <c r="T900" s="162">
        <v>78738.16</v>
      </c>
      <c r="U900" s="162"/>
      <c r="V900" s="162"/>
    </row>
    <row r="901" spans="1:22" ht="15.75" customHeight="1" x14ac:dyDescent="0.25">
      <c r="A901" s="167" t="s">
        <v>1738</v>
      </c>
      <c r="B901" s="162" t="s">
        <v>34</v>
      </c>
      <c r="C901" s="162" t="s">
        <v>16</v>
      </c>
      <c r="D901" s="168">
        <v>44816</v>
      </c>
      <c r="E901" s="194" t="s">
        <v>23</v>
      </c>
      <c r="F901" s="187">
        <v>648</v>
      </c>
      <c r="G901" s="187">
        <v>552</v>
      </c>
      <c r="H901" s="162" t="s">
        <v>3433</v>
      </c>
      <c r="I901" s="162"/>
      <c r="J901" s="169" t="s">
        <v>2423</v>
      </c>
      <c r="K901" s="162">
        <v>1200</v>
      </c>
      <c r="L901" s="162" t="s">
        <v>410</v>
      </c>
      <c r="M901" s="162">
        <v>0.29970000000000002</v>
      </c>
      <c r="N901" s="162">
        <v>1.6739999999999999</v>
      </c>
      <c r="O901" s="162">
        <v>359.64</v>
      </c>
      <c r="P901" s="162">
        <v>2008.8</v>
      </c>
      <c r="Q901" s="162">
        <v>46.75</v>
      </c>
      <c r="R901" s="162">
        <v>131.27000000000001</v>
      </c>
      <c r="S901" s="162">
        <v>438</v>
      </c>
      <c r="T901" s="162">
        <v>157522.32</v>
      </c>
      <c r="U901" s="162"/>
      <c r="V901" s="162"/>
    </row>
    <row r="902" spans="1:22" s="28" customFormat="1" ht="15.75" customHeight="1" x14ac:dyDescent="0.25">
      <c r="A902" s="283" t="s">
        <v>3384</v>
      </c>
      <c r="B902" s="149" t="s">
        <v>34</v>
      </c>
      <c r="C902" s="149" t="s">
        <v>16</v>
      </c>
      <c r="D902" s="275">
        <v>44816</v>
      </c>
      <c r="E902" s="187" t="s">
        <v>23</v>
      </c>
      <c r="F902" s="256">
        <v>1320</v>
      </c>
      <c r="G902" s="256">
        <v>36</v>
      </c>
      <c r="H902" s="149" t="s">
        <v>3794</v>
      </c>
      <c r="I902" s="149"/>
      <c r="J902" s="284" t="s">
        <v>2845</v>
      </c>
      <c r="K902" s="149">
        <v>1362</v>
      </c>
      <c r="L902" s="149" t="s">
        <v>3385</v>
      </c>
      <c r="M902" s="149">
        <v>0.15909999999999999</v>
      </c>
      <c r="N902" s="149">
        <v>0.26</v>
      </c>
      <c r="O902" s="149">
        <v>216.6942</v>
      </c>
      <c r="P902" s="149">
        <v>354.12</v>
      </c>
      <c r="Q902" s="149">
        <v>28.17</v>
      </c>
      <c r="R902" s="149">
        <v>69.69</v>
      </c>
      <c r="S902" s="149">
        <v>438</v>
      </c>
      <c r="T902" s="149">
        <v>94912.06</v>
      </c>
      <c r="U902" s="149"/>
      <c r="V902" s="149"/>
    </row>
    <row r="903" spans="1:22" s="28" customFormat="1" ht="15.75" customHeight="1" x14ac:dyDescent="0.25">
      <c r="A903" s="283" t="s">
        <v>3386</v>
      </c>
      <c r="B903" s="149" t="s">
        <v>34</v>
      </c>
      <c r="C903" s="149" t="s">
        <v>16</v>
      </c>
      <c r="D903" s="275">
        <v>44816</v>
      </c>
      <c r="E903" s="187" t="s">
        <v>23</v>
      </c>
      <c r="F903" s="256">
        <v>540</v>
      </c>
      <c r="G903" s="256">
        <v>492</v>
      </c>
      <c r="H903" s="149"/>
      <c r="I903" s="149"/>
      <c r="J903" s="284" t="s">
        <v>2859</v>
      </c>
      <c r="K903" s="149">
        <v>1044</v>
      </c>
      <c r="L903" s="149" t="s">
        <v>3387</v>
      </c>
      <c r="M903" s="149">
        <v>0.27260000000000001</v>
      </c>
      <c r="N903" s="149">
        <v>0.72899999999999998</v>
      </c>
      <c r="O903" s="149">
        <v>284.59440000000001</v>
      </c>
      <c r="P903" s="149">
        <v>761.07600000000002</v>
      </c>
      <c r="Q903" s="149">
        <v>37</v>
      </c>
      <c r="R903" s="149">
        <v>93.5</v>
      </c>
      <c r="S903" s="149">
        <v>343</v>
      </c>
      <c r="T903" s="149">
        <v>97615.88</v>
      </c>
      <c r="U903" s="149"/>
      <c r="V903" s="149"/>
    </row>
    <row r="904" spans="1:22" ht="15.75" customHeight="1" x14ac:dyDescent="0.25">
      <c r="A904" s="167" t="s">
        <v>3381</v>
      </c>
      <c r="B904" s="163" t="s">
        <v>13</v>
      </c>
      <c r="C904" s="162" t="s">
        <v>289</v>
      </c>
      <c r="D904" s="168">
        <v>44817</v>
      </c>
      <c r="E904" s="194" t="s">
        <v>23</v>
      </c>
      <c r="F904" s="194"/>
      <c r="G904" s="194"/>
      <c r="H904" s="162" t="s">
        <v>2078</v>
      </c>
      <c r="I904" s="162"/>
      <c r="J904" s="169" t="s">
        <v>177</v>
      </c>
      <c r="K904" s="142"/>
      <c r="L904" s="162">
        <v>1</v>
      </c>
      <c r="M904" s="162"/>
      <c r="N904" s="162"/>
      <c r="O904" s="162"/>
      <c r="P904" s="162"/>
      <c r="Q904" s="162"/>
      <c r="R904" s="162"/>
      <c r="S904" s="162"/>
      <c r="T904" s="162" t="s">
        <v>796</v>
      </c>
      <c r="U904" s="162"/>
      <c r="V904" s="162"/>
    </row>
    <row r="905" spans="1:22" ht="15.75" customHeight="1" x14ac:dyDescent="0.25">
      <c r="A905" s="167" t="s">
        <v>3381</v>
      </c>
      <c r="B905" s="163" t="s">
        <v>13</v>
      </c>
      <c r="C905" s="162" t="s">
        <v>289</v>
      </c>
      <c r="D905" s="168">
        <v>44817</v>
      </c>
      <c r="E905" s="194" t="s">
        <v>23</v>
      </c>
      <c r="F905" s="194"/>
      <c r="G905" s="194"/>
      <c r="H905" s="162" t="s">
        <v>2078</v>
      </c>
      <c r="I905" s="162"/>
      <c r="J905" s="169" t="s">
        <v>290</v>
      </c>
      <c r="K905" s="142"/>
      <c r="L905" s="162">
        <v>1</v>
      </c>
      <c r="M905" s="162"/>
      <c r="N905" s="162"/>
      <c r="O905" s="162"/>
      <c r="P905" s="162"/>
      <c r="Q905" s="162"/>
      <c r="R905" s="162"/>
      <c r="S905" s="162"/>
      <c r="T905" s="162" t="s">
        <v>269</v>
      </c>
      <c r="U905" s="162"/>
      <c r="V905" s="162"/>
    </row>
    <row r="906" spans="1:22" ht="15.75" customHeight="1" x14ac:dyDescent="0.25">
      <c r="A906" s="167" t="s">
        <v>3381</v>
      </c>
      <c r="B906" s="163" t="s">
        <v>13</v>
      </c>
      <c r="C906" s="162" t="s">
        <v>289</v>
      </c>
      <c r="D906" s="168">
        <v>44817</v>
      </c>
      <c r="E906" s="194" t="s">
        <v>23</v>
      </c>
      <c r="F906" s="194"/>
      <c r="G906" s="194"/>
      <c r="H906" s="162" t="s">
        <v>2078</v>
      </c>
      <c r="I906" s="163"/>
      <c r="J906" s="164" t="s">
        <v>241</v>
      </c>
      <c r="K906" s="145"/>
      <c r="L906" s="163">
        <v>1</v>
      </c>
      <c r="M906" s="163"/>
      <c r="N906" s="163"/>
      <c r="O906" s="163"/>
      <c r="P906" s="163"/>
      <c r="Q906" s="163"/>
      <c r="R906" s="163"/>
      <c r="S906" s="163"/>
      <c r="T906" s="163" t="s">
        <v>186</v>
      </c>
      <c r="U906" s="163"/>
      <c r="V906" s="163"/>
    </row>
    <row r="907" spans="1:22" s="14" customFormat="1" ht="15.75" customHeight="1" x14ac:dyDescent="0.25">
      <c r="A907" s="147">
        <v>379</v>
      </c>
      <c r="B907" s="145" t="s">
        <v>13</v>
      </c>
      <c r="C907" s="145" t="s">
        <v>32</v>
      </c>
      <c r="D907" s="148">
        <v>44818</v>
      </c>
      <c r="E907" s="241" t="s">
        <v>23</v>
      </c>
      <c r="F907" s="241">
        <v>144</v>
      </c>
      <c r="G907" s="251">
        <v>182</v>
      </c>
      <c r="H907" s="145" t="s">
        <v>3254</v>
      </c>
      <c r="I907" s="145"/>
      <c r="J907" s="252" t="s">
        <v>1975</v>
      </c>
      <c r="K907" s="145">
        <v>1678.9</v>
      </c>
      <c r="L907" s="145" t="s">
        <v>3393</v>
      </c>
      <c r="M907" s="145">
        <v>0.15790000000000001</v>
      </c>
      <c r="N907" s="145">
        <v>0.309</v>
      </c>
      <c r="O907" s="145">
        <v>265.09829999999999</v>
      </c>
      <c r="P907" s="145">
        <v>518.78009999999995</v>
      </c>
      <c r="Q907" s="145">
        <v>34.46</v>
      </c>
      <c r="R907" s="145">
        <v>48.79</v>
      </c>
      <c r="S907" s="145">
        <v>309</v>
      </c>
      <c r="T907" s="145">
        <v>81915.38</v>
      </c>
      <c r="U907" s="145"/>
      <c r="V907" s="145"/>
    </row>
    <row r="908" spans="1:22" ht="15.75" customHeight="1" x14ac:dyDescent="0.25">
      <c r="A908" s="171" t="s">
        <v>3395</v>
      </c>
      <c r="B908" s="163" t="s">
        <v>13</v>
      </c>
      <c r="C908" s="163" t="s">
        <v>43</v>
      </c>
      <c r="D908" s="172">
        <v>44818</v>
      </c>
      <c r="E908" s="187" t="s">
        <v>23</v>
      </c>
      <c r="F908" s="187"/>
      <c r="G908" s="187"/>
      <c r="H908" s="163" t="s">
        <v>2078</v>
      </c>
      <c r="I908" s="163"/>
      <c r="J908" s="164" t="s">
        <v>3394</v>
      </c>
      <c r="K908" s="163">
        <v>12</v>
      </c>
      <c r="L908" s="163">
        <v>2</v>
      </c>
      <c r="M908" s="163"/>
      <c r="N908" s="163"/>
      <c r="O908" s="163"/>
      <c r="P908" s="163"/>
      <c r="Q908" s="163"/>
      <c r="R908" s="163"/>
      <c r="S908" s="163"/>
      <c r="T908" s="163">
        <v>6270</v>
      </c>
      <c r="U908" s="163"/>
      <c r="V908" s="163"/>
    </row>
    <row r="909" spans="1:22" ht="15.75" customHeight="1" x14ac:dyDescent="0.25">
      <c r="A909" s="171" t="s">
        <v>3397</v>
      </c>
      <c r="B909" s="163" t="s">
        <v>13</v>
      </c>
      <c r="C909" s="163" t="s">
        <v>2399</v>
      </c>
      <c r="D909" s="172">
        <v>44818</v>
      </c>
      <c r="E909" s="187" t="s">
        <v>23</v>
      </c>
      <c r="F909" s="187"/>
      <c r="G909" s="187"/>
      <c r="H909" s="163" t="s">
        <v>2078</v>
      </c>
      <c r="I909" s="163"/>
      <c r="J909" s="164" t="s">
        <v>3396</v>
      </c>
      <c r="K909" s="145"/>
      <c r="L909" s="163">
        <v>480</v>
      </c>
      <c r="M909" s="163"/>
      <c r="N909" s="163"/>
      <c r="O909" s="163"/>
      <c r="P909" s="163"/>
      <c r="Q909" s="163"/>
      <c r="R909" s="163"/>
      <c r="S909" s="163"/>
      <c r="T909" s="163" t="s">
        <v>3399</v>
      </c>
      <c r="U909" s="163"/>
      <c r="V909" s="163"/>
    </row>
    <row r="910" spans="1:22" ht="15.75" customHeight="1" x14ac:dyDescent="0.25">
      <c r="A910" s="171" t="s">
        <v>3400</v>
      </c>
      <c r="B910" s="163" t="s">
        <v>13</v>
      </c>
      <c r="C910" s="163" t="s">
        <v>3401</v>
      </c>
      <c r="D910" s="172">
        <v>44819</v>
      </c>
      <c r="E910" s="187" t="s">
        <v>23</v>
      </c>
      <c r="F910" s="187"/>
      <c r="G910" s="187"/>
      <c r="H910" s="163" t="s">
        <v>3408</v>
      </c>
      <c r="I910" s="163"/>
      <c r="J910" s="164" t="s">
        <v>77</v>
      </c>
      <c r="K910" s="145"/>
      <c r="L910" s="163">
        <v>1</v>
      </c>
      <c r="M910" s="163"/>
      <c r="N910" s="163"/>
      <c r="O910" s="163"/>
      <c r="P910" s="163"/>
      <c r="Q910" s="163"/>
      <c r="R910" s="163"/>
      <c r="S910" s="163"/>
      <c r="T910" s="163">
        <v>13000</v>
      </c>
      <c r="U910" s="163"/>
      <c r="V910" s="163"/>
    </row>
    <row r="911" spans="1:22" ht="15.75" customHeight="1" x14ac:dyDescent="0.25">
      <c r="A911" s="171">
        <v>381</v>
      </c>
      <c r="B911" s="163" t="s">
        <v>13</v>
      </c>
      <c r="C911" s="163" t="s">
        <v>625</v>
      </c>
      <c r="D911" s="172">
        <v>44819</v>
      </c>
      <c r="E911" s="187" t="s">
        <v>23</v>
      </c>
      <c r="F911" s="187"/>
      <c r="G911" s="187">
        <f>96+144+96+48+24</f>
        <v>408</v>
      </c>
      <c r="H911" s="163"/>
      <c r="I911" s="163"/>
      <c r="J911" s="164" t="s">
        <v>681</v>
      </c>
      <c r="K911" s="145">
        <v>1941.1</v>
      </c>
      <c r="L911" s="286">
        <v>413</v>
      </c>
      <c r="M911" s="163">
        <v>0.34789999999999999</v>
      </c>
      <c r="N911" s="163">
        <v>1.643</v>
      </c>
      <c r="O911" s="163">
        <v>675.30870000000004</v>
      </c>
      <c r="P911" s="163">
        <v>3189.2273</v>
      </c>
      <c r="Q911" s="163">
        <v>87.79</v>
      </c>
      <c r="R911" s="163">
        <v>104.37</v>
      </c>
      <c r="S911" s="163">
        <v>300</v>
      </c>
      <c r="T911" s="163">
        <v>202592.61</v>
      </c>
      <c r="U911" s="163"/>
      <c r="V911" s="163"/>
    </row>
    <row r="912" spans="1:22" ht="15.75" customHeight="1" x14ac:dyDescent="0.25">
      <c r="A912" s="171">
        <v>382</v>
      </c>
      <c r="B912" s="163" t="s">
        <v>13</v>
      </c>
      <c r="C912" s="163" t="s">
        <v>1433</v>
      </c>
      <c r="D912" s="172">
        <v>44819</v>
      </c>
      <c r="E912" s="187" t="s">
        <v>23</v>
      </c>
      <c r="F912" s="187"/>
      <c r="G912" s="187"/>
      <c r="H912" s="163"/>
      <c r="I912" s="163"/>
      <c r="J912" s="164" t="s">
        <v>1434</v>
      </c>
      <c r="K912" s="163">
        <v>648</v>
      </c>
      <c r="L912" s="286">
        <v>108</v>
      </c>
      <c r="M912" s="163">
        <v>0.25669999999999998</v>
      </c>
      <c r="N912" s="163">
        <v>0.51100000000000001</v>
      </c>
      <c r="O912" s="163">
        <v>166.3416</v>
      </c>
      <c r="P912" s="163">
        <v>331.12799999999999</v>
      </c>
      <c r="Q912" s="163">
        <v>21.62</v>
      </c>
      <c r="R912" s="163">
        <v>88.05</v>
      </c>
      <c r="S912" s="163">
        <v>343</v>
      </c>
      <c r="T912" s="163">
        <v>57056.4</v>
      </c>
      <c r="U912" s="163"/>
      <c r="V912" s="163"/>
    </row>
    <row r="913" spans="1:22" s="28" customFormat="1" ht="15.75" customHeight="1" x14ac:dyDescent="0.25">
      <c r="A913" s="254">
        <v>383</v>
      </c>
      <c r="B913" s="150" t="s">
        <v>13</v>
      </c>
      <c r="C913" s="150" t="s">
        <v>32</v>
      </c>
      <c r="D913" s="255">
        <v>44819</v>
      </c>
      <c r="E913" s="256" t="s">
        <v>23</v>
      </c>
      <c r="F913" s="256">
        <v>176</v>
      </c>
      <c r="G913" s="256"/>
      <c r="H913" s="150"/>
      <c r="I913" s="150"/>
      <c r="J913" s="257" t="s">
        <v>3301</v>
      </c>
      <c r="K913" s="150">
        <v>783.2</v>
      </c>
      <c r="L913" s="289">
        <v>176</v>
      </c>
      <c r="M913" s="150">
        <v>0.2651</v>
      </c>
      <c r="N913" s="150">
        <v>0.82099999999999995</v>
      </c>
      <c r="O913" s="150">
        <v>207.62629999999999</v>
      </c>
      <c r="P913" s="150">
        <v>643.00720000000001</v>
      </c>
      <c r="Q913" s="150">
        <v>26.99</v>
      </c>
      <c r="R913" s="150">
        <v>81.92</v>
      </c>
      <c r="S913" s="150">
        <v>309</v>
      </c>
      <c r="T913" s="150">
        <v>64159.74</v>
      </c>
      <c r="U913" s="150"/>
      <c r="V913" s="150"/>
    </row>
    <row r="914" spans="1:22" s="28" customFormat="1" ht="15.75" customHeight="1" x14ac:dyDescent="0.25">
      <c r="A914" s="254" t="s">
        <v>3402</v>
      </c>
      <c r="B914" s="150" t="s">
        <v>34</v>
      </c>
      <c r="C914" s="150" t="s">
        <v>16</v>
      </c>
      <c r="D914" s="255">
        <v>44820</v>
      </c>
      <c r="E914" s="187" t="s">
        <v>23</v>
      </c>
      <c r="F914" s="256">
        <v>852</v>
      </c>
      <c r="G914" s="256">
        <v>48</v>
      </c>
      <c r="H914" s="150" t="s">
        <v>3433</v>
      </c>
      <c r="I914" s="150"/>
      <c r="J914" s="257" t="s">
        <v>2845</v>
      </c>
      <c r="K914" s="150">
        <v>900</v>
      </c>
      <c r="L914" s="289" t="s">
        <v>148</v>
      </c>
      <c r="M914" s="150">
        <v>0.15909999999999999</v>
      </c>
      <c r="N914" s="150">
        <v>0.26</v>
      </c>
      <c r="O914" s="150">
        <v>143.19</v>
      </c>
      <c r="P914" s="150">
        <v>234</v>
      </c>
      <c r="Q914" s="150">
        <v>18.61</v>
      </c>
      <c r="R914" s="150">
        <v>69.69</v>
      </c>
      <c r="S914" s="150">
        <v>438</v>
      </c>
      <c r="T914" s="150">
        <v>62717.22</v>
      </c>
      <c r="U914" s="150"/>
      <c r="V914" s="150"/>
    </row>
    <row r="915" spans="1:22" ht="15.75" customHeight="1" x14ac:dyDescent="0.25">
      <c r="A915" s="171">
        <v>384</v>
      </c>
      <c r="B915" s="163" t="s">
        <v>34</v>
      </c>
      <c r="C915" s="163" t="s">
        <v>201</v>
      </c>
      <c r="D915" s="172">
        <v>44820</v>
      </c>
      <c r="E915" s="187" t="s">
        <v>23</v>
      </c>
      <c r="F915" s="187"/>
      <c r="G915" s="187">
        <v>960</v>
      </c>
      <c r="H915" s="163"/>
      <c r="I915" s="163"/>
      <c r="J915" s="164" t="s">
        <v>3403</v>
      </c>
      <c r="K915" s="145">
        <v>1950</v>
      </c>
      <c r="L915" s="286">
        <v>325</v>
      </c>
      <c r="M915" s="163">
        <v>0.15909999999999999</v>
      </c>
      <c r="N915" s="163">
        <v>0.26100000000000001</v>
      </c>
      <c r="O915" s="163">
        <v>310.245</v>
      </c>
      <c r="P915" s="163">
        <v>508.95</v>
      </c>
      <c r="Q915" s="163">
        <v>40.33</v>
      </c>
      <c r="R915" s="163">
        <v>54.57</v>
      </c>
      <c r="S915" s="163">
        <v>343</v>
      </c>
      <c r="T915" s="163">
        <v>106414.04</v>
      </c>
      <c r="U915" s="163"/>
      <c r="V915" s="163"/>
    </row>
    <row r="916" spans="1:22" ht="15.75" customHeight="1" x14ac:dyDescent="0.25">
      <c r="A916" s="171">
        <v>385</v>
      </c>
      <c r="B916" s="163" t="s">
        <v>34</v>
      </c>
      <c r="C916" s="163" t="s">
        <v>3404</v>
      </c>
      <c r="D916" s="172">
        <v>44820</v>
      </c>
      <c r="E916" s="187" t="s">
        <v>23</v>
      </c>
      <c r="F916" s="187"/>
      <c r="G916" s="187"/>
      <c r="H916" s="163"/>
      <c r="I916" s="163"/>
      <c r="J916" s="164" t="s">
        <v>3405</v>
      </c>
      <c r="K916" s="145">
        <v>2245</v>
      </c>
      <c r="L916" s="286">
        <v>449</v>
      </c>
      <c r="M916" s="163">
        <v>0.10100000000000001</v>
      </c>
      <c r="N916" s="163">
        <v>0.30599999999999999</v>
      </c>
      <c r="O916" s="163">
        <v>226.745</v>
      </c>
      <c r="P916" s="163">
        <v>686.97</v>
      </c>
      <c r="Q916" s="163">
        <v>29.48</v>
      </c>
      <c r="R916" s="163">
        <v>24.54</v>
      </c>
      <c r="S916" s="163">
        <v>243</v>
      </c>
      <c r="T916" s="163">
        <v>55099.040000000001</v>
      </c>
      <c r="U916" s="163"/>
      <c r="V916" s="163"/>
    </row>
    <row r="917" spans="1:22" ht="15.75" customHeight="1" x14ac:dyDescent="0.25">
      <c r="A917" s="171">
        <v>385</v>
      </c>
      <c r="B917" s="163" t="s">
        <v>34</v>
      </c>
      <c r="C917" s="163" t="s">
        <v>3404</v>
      </c>
      <c r="D917" s="172">
        <v>44820</v>
      </c>
      <c r="E917" s="187" t="s">
        <v>23</v>
      </c>
      <c r="F917" s="187"/>
      <c r="G917" s="187"/>
      <c r="H917" s="163"/>
      <c r="I917" s="163"/>
      <c r="J917" s="164" t="s">
        <v>3406</v>
      </c>
      <c r="K917" s="145">
        <v>1425</v>
      </c>
      <c r="L917" s="286">
        <v>285</v>
      </c>
      <c r="M917" s="163">
        <v>0.21959999999999999</v>
      </c>
      <c r="N917" s="163">
        <v>0.35</v>
      </c>
      <c r="O917" s="163">
        <v>312.93</v>
      </c>
      <c r="P917" s="163">
        <v>498.75</v>
      </c>
      <c r="Q917" s="163">
        <v>40.68</v>
      </c>
      <c r="R917" s="163">
        <v>53.36</v>
      </c>
      <c r="S917" s="163">
        <v>243</v>
      </c>
      <c r="T917" s="163">
        <v>76041.990000000005</v>
      </c>
      <c r="U917" s="163"/>
      <c r="V917" s="163"/>
    </row>
    <row r="918" spans="1:22" ht="15.75" customHeight="1" x14ac:dyDescent="0.25">
      <c r="A918" s="171">
        <v>385</v>
      </c>
      <c r="B918" s="163" t="s">
        <v>34</v>
      </c>
      <c r="C918" s="163" t="s">
        <v>3404</v>
      </c>
      <c r="D918" s="172">
        <v>44820</v>
      </c>
      <c r="E918" s="187" t="s">
        <v>23</v>
      </c>
      <c r="F918" s="187"/>
      <c r="G918" s="187"/>
      <c r="H918" s="163"/>
      <c r="I918" s="163"/>
      <c r="J918" s="164" t="s">
        <v>3407</v>
      </c>
      <c r="K918" s="145">
        <v>905</v>
      </c>
      <c r="L918" s="286">
        <v>181</v>
      </c>
      <c r="M918" s="163">
        <v>0.25169999999999998</v>
      </c>
      <c r="N918" s="163">
        <v>0.56699999999999995</v>
      </c>
      <c r="O918" s="163">
        <v>227.7885</v>
      </c>
      <c r="P918" s="163">
        <v>513.13499999999999</v>
      </c>
      <c r="Q918" s="163">
        <v>29.61</v>
      </c>
      <c r="R918" s="163">
        <v>61.16</v>
      </c>
      <c r="S918" s="163">
        <v>243</v>
      </c>
      <c r="T918" s="163">
        <v>55352.61</v>
      </c>
      <c r="U918" s="163"/>
      <c r="V918" s="163"/>
    </row>
    <row r="919" spans="1:22" ht="30.75" customHeight="1" x14ac:dyDescent="0.25">
      <c r="A919" s="171" t="s">
        <v>3410</v>
      </c>
      <c r="B919" s="163" t="s">
        <v>34</v>
      </c>
      <c r="C919" s="163" t="s">
        <v>3409</v>
      </c>
      <c r="D919" s="172">
        <v>44820</v>
      </c>
      <c r="E919" s="187" t="s">
        <v>23</v>
      </c>
      <c r="F919" s="187"/>
      <c r="G919" s="187"/>
      <c r="H919" s="163" t="s">
        <v>3428</v>
      </c>
      <c r="I919" s="163"/>
      <c r="J919" s="164" t="s">
        <v>3412</v>
      </c>
      <c r="K919" s="145"/>
      <c r="L919" s="163"/>
      <c r="M919" s="163"/>
      <c r="N919" s="163"/>
      <c r="O919" s="163"/>
      <c r="P919" s="163"/>
      <c r="Q919" s="163"/>
      <c r="R919" s="163"/>
      <c r="S919" s="163"/>
      <c r="T919" s="163" t="s">
        <v>3411</v>
      </c>
      <c r="U919" s="163"/>
      <c r="V919" s="163"/>
    </row>
    <row r="920" spans="1:22" ht="60.75" customHeight="1" x14ac:dyDescent="0.25">
      <c r="A920" s="171">
        <v>387</v>
      </c>
      <c r="B920" s="163" t="s">
        <v>34</v>
      </c>
      <c r="C920" s="163" t="s">
        <v>19</v>
      </c>
      <c r="D920" s="172">
        <v>44823</v>
      </c>
      <c r="E920" s="187" t="s">
        <v>23</v>
      </c>
      <c r="F920" s="187"/>
      <c r="G920" s="187"/>
      <c r="H920" s="222" t="s">
        <v>3427</v>
      </c>
      <c r="I920" s="163"/>
      <c r="J920" s="164" t="s">
        <v>1455</v>
      </c>
      <c r="K920" s="145">
        <v>2297.6999999999998</v>
      </c>
      <c r="L920" s="163" t="s">
        <v>3414</v>
      </c>
      <c r="M920" s="163">
        <v>0.17829999999999999</v>
      </c>
      <c r="N920" s="163">
        <v>0.47499999999999998</v>
      </c>
      <c r="O920" s="163">
        <v>409.67989999999998</v>
      </c>
      <c r="P920" s="163">
        <v>1091.4075</v>
      </c>
      <c r="Q920" s="163">
        <v>53.26</v>
      </c>
      <c r="R920" s="163">
        <v>79.790000000000006</v>
      </c>
      <c r="S920" s="163">
        <v>447.5</v>
      </c>
      <c r="T920" s="163">
        <v>183331.76</v>
      </c>
      <c r="U920" s="163"/>
      <c r="V920" s="163"/>
    </row>
    <row r="921" spans="1:22" ht="15.75" customHeight="1" x14ac:dyDescent="0.25">
      <c r="A921" s="171" t="s">
        <v>3415</v>
      </c>
      <c r="B921" s="163" t="s">
        <v>13</v>
      </c>
      <c r="C921" s="163" t="s">
        <v>2399</v>
      </c>
      <c r="D921" s="172">
        <v>44823</v>
      </c>
      <c r="E921" s="187" t="s">
        <v>23</v>
      </c>
      <c r="F921" s="187"/>
      <c r="G921" s="187"/>
      <c r="H921" s="163" t="s">
        <v>2078</v>
      </c>
      <c r="I921" s="163"/>
      <c r="J921" s="164" t="s">
        <v>3244</v>
      </c>
      <c r="K921" s="145"/>
      <c r="L921" s="163">
        <v>320</v>
      </c>
      <c r="M921" s="163"/>
      <c r="N921" s="163"/>
      <c r="O921" s="163"/>
      <c r="P921" s="163"/>
      <c r="Q921" s="163"/>
      <c r="R921" s="163"/>
      <c r="S921" s="163"/>
      <c r="T921" s="163">
        <v>41055</v>
      </c>
      <c r="U921" s="163"/>
      <c r="V921" s="163"/>
    </row>
    <row r="922" spans="1:22" ht="15.75" customHeight="1" x14ac:dyDescent="0.25">
      <c r="A922" s="171" t="s">
        <v>1987</v>
      </c>
      <c r="B922" s="163" t="s">
        <v>13</v>
      </c>
      <c r="C922" s="163" t="s">
        <v>612</v>
      </c>
      <c r="D922" s="172">
        <v>44824</v>
      </c>
      <c r="E922" s="187" t="s">
        <v>23</v>
      </c>
      <c r="F922" s="187"/>
      <c r="G922" s="187"/>
      <c r="H922" s="163" t="s">
        <v>3419</v>
      </c>
      <c r="I922" s="163"/>
      <c r="J922" s="164" t="s">
        <v>3373</v>
      </c>
      <c r="K922" s="145"/>
      <c r="L922" s="163">
        <v>24</v>
      </c>
      <c r="M922" s="163"/>
      <c r="N922" s="163"/>
      <c r="O922" s="163"/>
      <c r="P922" s="163"/>
      <c r="Q922" s="163"/>
      <c r="R922" s="163"/>
      <c r="S922" s="163"/>
      <c r="T922" s="163">
        <v>44400</v>
      </c>
      <c r="U922" s="163"/>
      <c r="V922" s="163"/>
    </row>
    <row r="923" spans="1:22" s="71" customFormat="1" ht="15.75" customHeight="1" x14ac:dyDescent="0.25">
      <c r="A923" s="287" t="s">
        <v>1980</v>
      </c>
      <c r="B923" s="213" t="s">
        <v>13</v>
      </c>
      <c r="C923" s="277" t="s">
        <v>653</v>
      </c>
      <c r="D923" s="214">
        <v>44824</v>
      </c>
      <c r="E923" s="288" t="s">
        <v>677</v>
      </c>
      <c r="F923" s="215"/>
      <c r="G923" s="215"/>
      <c r="H923" s="213"/>
      <c r="I923" s="277"/>
      <c r="J923" s="278" t="s">
        <v>3417</v>
      </c>
      <c r="K923" s="277">
        <v>820</v>
      </c>
      <c r="L923" s="277">
        <v>200</v>
      </c>
      <c r="M923" s="277"/>
      <c r="N923" s="277"/>
      <c r="O923" s="277"/>
      <c r="P923" s="277"/>
      <c r="Q923" s="277"/>
      <c r="R923" s="277"/>
      <c r="S923" s="277"/>
      <c r="T923" s="277"/>
      <c r="U923" s="277"/>
      <c r="V923" s="277"/>
    </row>
    <row r="924" spans="1:22" s="71" customFormat="1" ht="15.75" customHeight="1" x14ac:dyDescent="0.25">
      <c r="A924" s="287" t="s">
        <v>1980</v>
      </c>
      <c r="B924" s="213" t="s">
        <v>13</v>
      </c>
      <c r="C924" s="277" t="s">
        <v>653</v>
      </c>
      <c r="D924" s="214">
        <v>44824</v>
      </c>
      <c r="E924" s="215" t="s">
        <v>677</v>
      </c>
      <c r="F924" s="288"/>
      <c r="G924" s="288"/>
      <c r="H924" s="213"/>
      <c r="I924" s="213"/>
      <c r="J924" s="216" t="s">
        <v>3418</v>
      </c>
      <c r="K924" s="213">
        <v>820</v>
      </c>
      <c r="L924" s="213">
        <v>200</v>
      </c>
      <c r="M924" s="213"/>
      <c r="N924" s="213"/>
      <c r="O924" s="213"/>
      <c r="P924" s="213"/>
      <c r="Q924" s="213"/>
      <c r="R924" s="213"/>
      <c r="S924" s="213"/>
      <c r="T924" s="213"/>
      <c r="U924" s="213"/>
      <c r="V924" s="213"/>
    </row>
    <row r="925" spans="1:22" ht="15.75" customHeight="1" x14ac:dyDescent="0.25">
      <c r="A925" s="167" t="s">
        <v>3421</v>
      </c>
      <c r="B925" s="163" t="s">
        <v>13</v>
      </c>
      <c r="C925" s="162" t="s">
        <v>653</v>
      </c>
      <c r="D925" s="168">
        <v>44826</v>
      </c>
      <c r="E925" s="194" t="s">
        <v>23</v>
      </c>
      <c r="F925" s="194"/>
      <c r="G925" s="194"/>
      <c r="H925" s="162" t="s">
        <v>3420</v>
      </c>
      <c r="I925" s="162"/>
      <c r="J925" s="169" t="s">
        <v>2110</v>
      </c>
      <c r="K925" s="162">
        <v>4680</v>
      </c>
      <c r="L925" s="162">
        <v>780</v>
      </c>
      <c r="M925" s="162"/>
      <c r="N925" s="162"/>
      <c r="O925" s="162"/>
      <c r="P925" s="162"/>
      <c r="Q925" s="162"/>
      <c r="R925" s="162"/>
      <c r="S925" s="162"/>
      <c r="T925" s="162" t="s">
        <v>3422</v>
      </c>
      <c r="U925" s="162"/>
      <c r="V925" s="162"/>
    </row>
    <row r="926" spans="1:22" ht="15.75" customHeight="1" x14ac:dyDescent="0.25">
      <c r="A926" s="167" t="s">
        <v>3421</v>
      </c>
      <c r="B926" s="163" t="s">
        <v>13</v>
      </c>
      <c r="C926" s="162" t="s">
        <v>653</v>
      </c>
      <c r="D926" s="168">
        <v>44826</v>
      </c>
      <c r="E926" s="187" t="s">
        <v>23</v>
      </c>
      <c r="F926" s="194"/>
      <c r="G926" s="194"/>
      <c r="H926" s="162" t="s">
        <v>3420</v>
      </c>
      <c r="I926" s="163"/>
      <c r="J926" s="164" t="s">
        <v>3417</v>
      </c>
      <c r="K926" s="163">
        <v>196.8</v>
      </c>
      <c r="L926" s="163">
        <v>48</v>
      </c>
      <c r="M926" s="163"/>
      <c r="N926" s="163"/>
      <c r="O926" s="163"/>
      <c r="P926" s="163"/>
      <c r="Q926" s="163"/>
      <c r="R926" s="163"/>
      <c r="S926" s="163"/>
      <c r="T926" s="163" t="s">
        <v>3423</v>
      </c>
      <c r="U926" s="163"/>
      <c r="V926" s="163"/>
    </row>
    <row r="927" spans="1:22" ht="15.75" customHeight="1" x14ac:dyDescent="0.25">
      <c r="A927" s="171">
        <v>395</v>
      </c>
      <c r="B927" s="163" t="s">
        <v>13</v>
      </c>
      <c r="C927" s="163" t="s">
        <v>1433</v>
      </c>
      <c r="D927" s="172">
        <v>44827</v>
      </c>
      <c r="E927" s="187" t="s">
        <v>23</v>
      </c>
      <c r="F927" s="187"/>
      <c r="G927" s="187"/>
      <c r="H927" s="163"/>
      <c r="I927" s="163"/>
      <c r="J927" s="164" t="s">
        <v>1434</v>
      </c>
      <c r="K927" s="145">
        <v>420</v>
      </c>
      <c r="L927" s="163" t="s">
        <v>343</v>
      </c>
      <c r="M927" s="163">
        <v>0.25669999999999998</v>
      </c>
      <c r="N927" s="163">
        <v>0.51100000000000001</v>
      </c>
      <c r="O927" s="163">
        <v>107.81399999999999</v>
      </c>
      <c r="P927" s="163">
        <v>214.62</v>
      </c>
      <c r="Q927" s="163">
        <v>14.02</v>
      </c>
      <c r="R927" s="163">
        <v>88.05</v>
      </c>
      <c r="S927" s="163">
        <v>343</v>
      </c>
      <c r="T927" s="163">
        <v>36981</v>
      </c>
      <c r="U927" s="163"/>
      <c r="V927" s="163"/>
    </row>
    <row r="928" spans="1:22" s="14" customFormat="1" ht="15.75" customHeight="1" x14ac:dyDescent="0.25">
      <c r="A928" s="147">
        <v>451</v>
      </c>
      <c r="B928" s="145" t="s">
        <v>13</v>
      </c>
      <c r="C928" s="145" t="s">
        <v>612</v>
      </c>
      <c r="D928" s="148">
        <v>44830</v>
      </c>
      <c r="E928" s="241" t="s">
        <v>23</v>
      </c>
      <c r="F928" s="241"/>
      <c r="G928" s="241"/>
      <c r="H928" s="145"/>
      <c r="I928" s="145"/>
      <c r="J928" s="146" t="s">
        <v>3426</v>
      </c>
      <c r="K928" s="145">
        <v>24</v>
      </c>
      <c r="L928" s="145"/>
      <c r="M928" s="145"/>
      <c r="N928" s="145"/>
      <c r="O928" s="145"/>
      <c r="P928" s="145"/>
      <c r="Q928" s="145"/>
      <c r="R928" s="145"/>
      <c r="S928" s="145"/>
      <c r="T928" s="145"/>
      <c r="U928" s="145"/>
      <c r="V928" s="145"/>
    </row>
    <row r="929" spans="1:22" ht="33.75" customHeight="1" x14ac:dyDescent="0.25">
      <c r="A929" s="171" t="s">
        <v>3438</v>
      </c>
      <c r="B929" s="163" t="s">
        <v>13</v>
      </c>
      <c r="C929" s="163" t="s">
        <v>37</v>
      </c>
      <c r="D929" s="172">
        <v>44830</v>
      </c>
      <c r="E929" s="187" t="s">
        <v>23</v>
      </c>
      <c r="F929" s="187"/>
      <c r="G929" s="187"/>
      <c r="H929" s="163"/>
      <c r="I929" s="163"/>
      <c r="J929" s="164" t="s">
        <v>3429</v>
      </c>
      <c r="K929" s="145">
        <v>30</v>
      </c>
      <c r="L929" s="163"/>
      <c r="M929" s="163"/>
      <c r="N929" s="163"/>
      <c r="O929" s="163"/>
      <c r="P929" s="163"/>
      <c r="Q929" s="163"/>
      <c r="R929" s="163"/>
      <c r="S929" s="163"/>
      <c r="T929" s="163"/>
      <c r="U929" s="163"/>
      <c r="V929" s="163"/>
    </row>
    <row r="930" spans="1:22" ht="15.75" customHeight="1" x14ac:dyDescent="0.25">
      <c r="A930" s="171">
        <v>397</v>
      </c>
      <c r="B930" s="163" t="s">
        <v>13</v>
      </c>
      <c r="C930" s="163" t="s">
        <v>625</v>
      </c>
      <c r="D930" s="172">
        <v>44831</v>
      </c>
      <c r="E930" s="187" t="s">
        <v>23</v>
      </c>
      <c r="F930" s="187"/>
      <c r="G930" s="187">
        <v>233</v>
      </c>
      <c r="H930" s="163" t="s">
        <v>3077</v>
      </c>
      <c r="I930" s="163"/>
      <c r="J930" s="164" t="s">
        <v>681</v>
      </c>
      <c r="K930" s="163">
        <v>1137.4000000000001</v>
      </c>
      <c r="L930" s="163">
        <v>242</v>
      </c>
      <c r="M930" s="163">
        <v>0.34789999999999999</v>
      </c>
      <c r="N930" s="163">
        <v>1.643</v>
      </c>
      <c r="O930" s="163">
        <v>395.56229999999999</v>
      </c>
      <c r="P930" s="163">
        <v>1868.0909999999999</v>
      </c>
      <c r="Q930" s="163">
        <v>51.42</v>
      </c>
      <c r="R930" s="163">
        <v>108.89</v>
      </c>
      <c r="S930" s="163">
        <v>313</v>
      </c>
      <c r="T930" s="163">
        <v>123811</v>
      </c>
      <c r="U930" s="163"/>
      <c r="V930" s="163"/>
    </row>
    <row r="931" spans="1:22" ht="15.75" customHeight="1" x14ac:dyDescent="0.25">
      <c r="A931" s="171">
        <v>398</v>
      </c>
      <c r="B931" s="163" t="s">
        <v>13</v>
      </c>
      <c r="C931" s="163" t="s">
        <v>625</v>
      </c>
      <c r="D931" s="172">
        <v>44831</v>
      </c>
      <c r="E931" s="187" t="s">
        <v>23</v>
      </c>
      <c r="F931" s="187"/>
      <c r="G931" s="187"/>
      <c r="H931" s="163"/>
      <c r="I931" s="163"/>
      <c r="J931" s="164" t="s">
        <v>3430</v>
      </c>
      <c r="K931" s="163">
        <v>522</v>
      </c>
      <c r="L931" s="163" t="s">
        <v>629</v>
      </c>
      <c r="M931" s="163">
        <v>0.1507</v>
      </c>
      <c r="N931" s="163">
        <v>0.39300000000000002</v>
      </c>
      <c r="O931" s="163">
        <v>78.665400000000005</v>
      </c>
      <c r="P931" s="163">
        <v>205.14599999999999</v>
      </c>
      <c r="Q931" s="163">
        <v>10.23</v>
      </c>
      <c r="R931" s="163">
        <v>35.409999999999997</v>
      </c>
      <c r="S931" s="163">
        <v>235</v>
      </c>
      <c r="T931" s="163">
        <v>18486.37</v>
      </c>
      <c r="U931" s="163"/>
      <c r="V931" s="163"/>
    </row>
    <row r="932" spans="1:22" ht="15.75" customHeight="1" x14ac:dyDescent="0.25">
      <c r="A932" s="171">
        <v>399</v>
      </c>
      <c r="B932" s="163" t="s">
        <v>13</v>
      </c>
      <c r="C932" s="163" t="s">
        <v>32</v>
      </c>
      <c r="D932" s="172">
        <v>44831</v>
      </c>
      <c r="E932" s="187" t="s">
        <v>23</v>
      </c>
      <c r="F932" s="187"/>
      <c r="G932" s="187"/>
      <c r="H932" s="163" t="s">
        <v>543</v>
      </c>
      <c r="I932" s="163"/>
      <c r="J932" s="164" t="s">
        <v>3431</v>
      </c>
      <c r="K932" s="145">
        <v>20.75</v>
      </c>
      <c r="L932" s="163" t="s">
        <v>364</v>
      </c>
      <c r="M932" s="163">
        <v>0.1469</v>
      </c>
      <c r="N932" s="163">
        <v>1.427</v>
      </c>
      <c r="O932" s="163">
        <v>3.0482</v>
      </c>
      <c r="P932" s="163">
        <v>29.610299999999999</v>
      </c>
      <c r="Q932" s="163">
        <v>0.4</v>
      </c>
      <c r="R932" s="163">
        <v>42.16</v>
      </c>
      <c r="S932" s="163">
        <v>287</v>
      </c>
      <c r="T932" s="163">
        <v>874.83</v>
      </c>
      <c r="U932" s="163"/>
      <c r="V932" s="163"/>
    </row>
    <row r="933" spans="1:22" ht="15.75" customHeight="1" x14ac:dyDescent="0.25">
      <c r="A933" s="167">
        <v>401</v>
      </c>
      <c r="B933" s="163" t="s">
        <v>13</v>
      </c>
      <c r="C933" s="162" t="s">
        <v>672</v>
      </c>
      <c r="D933" s="172">
        <v>44831</v>
      </c>
      <c r="E933" s="194" t="s">
        <v>23</v>
      </c>
      <c r="F933" s="187"/>
      <c r="G933" s="187"/>
      <c r="H933" s="162"/>
      <c r="I933" s="162"/>
      <c r="J933" s="169" t="s">
        <v>2879</v>
      </c>
      <c r="K933" s="162">
        <v>691.2</v>
      </c>
      <c r="L933" s="162" t="s">
        <v>3316</v>
      </c>
      <c r="M933" s="162">
        <v>0.31</v>
      </c>
      <c r="N933" s="162">
        <v>1.2010000000000001</v>
      </c>
      <c r="O933" s="162">
        <v>214.27199999999999</v>
      </c>
      <c r="P933" s="162">
        <v>830.13120000000004</v>
      </c>
      <c r="Q933" s="162">
        <v>27.86</v>
      </c>
      <c r="R933" s="162">
        <v>91.45</v>
      </c>
      <c r="S933" s="162">
        <v>295</v>
      </c>
      <c r="T933" s="162">
        <v>63210.239999999998</v>
      </c>
      <c r="U933" s="162"/>
      <c r="V933" s="162"/>
    </row>
    <row r="934" spans="1:22" ht="15.75" customHeight="1" x14ac:dyDescent="0.25">
      <c r="A934" s="171">
        <v>401</v>
      </c>
      <c r="B934" s="163" t="s">
        <v>13</v>
      </c>
      <c r="C934" s="163" t="s">
        <v>672</v>
      </c>
      <c r="D934" s="172">
        <v>44831</v>
      </c>
      <c r="E934" s="187" t="s">
        <v>23</v>
      </c>
      <c r="F934" s="218"/>
      <c r="G934" s="218"/>
      <c r="H934" s="163"/>
      <c r="I934" s="163"/>
      <c r="J934" s="164" t="s">
        <v>2691</v>
      </c>
      <c r="K934" s="163">
        <v>1464</v>
      </c>
      <c r="L934" s="163" t="s">
        <v>3432</v>
      </c>
      <c r="M934" s="163">
        <v>0.31</v>
      </c>
      <c r="N934" s="163">
        <v>1.2010000000000001</v>
      </c>
      <c r="O934" s="163">
        <v>453.84</v>
      </c>
      <c r="P934" s="163">
        <v>1758.2639999999999</v>
      </c>
      <c r="Q934" s="163">
        <v>59</v>
      </c>
      <c r="R934" s="163">
        <v>91.45</v>
      </c>
      <c r="S934" s="163">
        <v>295</v>
      </c>
      <c r="T934" s="163">
        <v>133882.79999999999</v>
      </c>
      <c r="U934" s="163"/>
      <c r="V934" s="163"/>
    </row>
    <row r="935" spans="1:22" s="14" customFormat="1" ht="15.75" customHeight="1" x14ac:dyDescent="0.25">
      <c r="A935" s="141">
        <v>402</v>
      </c>
      <c r="B935" s="142" t="s">
        <v>13</v>
      </c>
      <c r="C935" s="142" t="s">
        <v>32</v>
      </c>
      <c r="D935" s="143">
        <v>44832</v>
      </c>
      <c r="E935" s="242" t="s">
        <v>23</v>
      </c>
      <c r="F935" s="241">
        <f>504+2</f>
        <v>506</v>
      </c>
      <c r="G935" s="241"/>
      <c r="H935" s="142" t="s">
        <v>2391</v>
      </c>
      <c r="I935" s="142"/>
      <c r="J935" s="144" t="s">
        <v>3301</v>
      </c>
      <c r="K935" s="142">
        <v>2309.5500000000002</v>
      </c>
      <c r="L935" s="142" t="s">
        <v>3434</v>
      </c>
      <c r="M935" s="142">
        <v>0.2651</v>
      </c>
      <c r="N935" s="142">
        <v>0.82099999999999995</v>
      </c>
      <c r="O935" s="142">
        <v>612.26170000000002</v>
      </c>
      <c r="P935" s="142">
        <v>1896.1405999999999</v>
      </c>
      <c r="Q935" s="142">
        <v>79.59</v>
      </c>
      <c r="R935" s="142">
        <v>81.92</v>
      </c>
      <c r="S935" s="142">
        <v>309</v>
      </c>
      <c r="T935" s="142">
        <v>189188.87</v>
      </c>
      <c r="U935" s="142"/>
      <c r="V935" s="142"/>
    </row>
    <row r="936" spans="1:22" s="14" customFormat="1" ht="15.75" customHeight="1" x14ac:dyDescent="0.25">
      <c r="A936" s="147">
        <v>402</v>
      </c>
      <c r="B936" s="145" t="s">
        <v>13</v>
      </c>
      <c r="C936" s="145" t="s">
        <v>32</v>
      </c>
      <c r="D936" s="148">
        <v>44832</v>
      </c>
      <c r="E936" s="241" t="s">
        <v>23</v>
      </c>
      <c r="F936" s="281">
        <v>50</v>
      </c>
      <c r="G936" s="281"/>
      <c r="H936" s="145" t="s">
        <v>3201</v>
      </c>
      <c r="I936" s="145"/>
      <c r="J936" s="146" t="s">
        <v>3301</v>
      </c>
      <c r="K936" s="145">
        <v>240.3</v>
      </c>
      <c r="L936" s="145" t="s">
        <v>170</v>
      </c>
      <c r="M936" s="145">
        <v>0.2651</v>
      </c>
      <c r="N936" s="145">
        <v>0.82099999999999995</v>
      </c>
      <c r="O936" s="145">
        <v>63.703499999999998</v>
      </c>
      <c r="P936" s="145">
        <v>197.28630000000001</v>
      </c>
      <c r="Q936" s="145">
        <v>8.2799999999999994</v>
      </c>
      <c r="R936" s="145">
        <v>81.92</v>
      </c>
      <c r="S936" s="145">
        <v>309</v>
      </c>
      <c r="T936" s="145">
        <v>19684.39</v>
      </c>
      <c r="U936" s="145"/>
      <c r="V936" s="145"/>
    </row>
    <row r="937" spans="1:22" ht="15.75" customHeight="1" x14ac:dyDescent="0.25">
      <c r="A937" s="171">
        <v>407</v>
      </c>
      <c r="B937" s="163" t="s">
        <v>13</v>
      </c>
      <c r="C937" s="163" t="s">
        <v>32</v>
      </c>
      <c r="D937" s="172">
        <v>44837</v>
      </c>
      <c r="E937" s="187" t="s">
        <v>23</v>
      </c>
      <c r="F937" s="187"/>
      <c r="G937" s="187">
        <v>56</v>
      </c>
      <c r="H937" s="163" t="s">
        <v>3793</v>
      </c>
      <c r="I937" s="163"/>
      <c r="J937" s="164" t="s">
        <v>3436</v>
      </c>
      <c r="K937" s="163"/>
      <c r="L937" s="163">
        <v>56</v>
      </c>
      <c r="M937" s="163"/>
      <c r="N937" s="163"/>
      <c r="O937" s="163"/>
      <c r="P937" s="163"/>
      <c r="Q937" s="163"/>
      <c r="R937" s="163"/>
      <c r="S937" s="163"/>
      <c r="T937" s="163"/>
      <c r="U937" s="163"/>
      <c r="V937" s="163"/>
    </row>
    <row r="938" spans="1:22" ht="15.75" customHeight="1" x14ac:dyDescent="0.25">
      <c r="A938" s="171" t="s">
        <v>3437</v>
      </c>
      <c r="B938" s="163" t="s">
        <v>13</v>
      </c>
      <c r="C938" s="163" t="s">
        <v>637</v>
      </c>
      <c r="D938" s="172">
        <v>44838</v>
      </c>
      <c r="E938" s="187" t="s">
        <v>23</v>
      </c>
      <c r="F938" s="187"/>
      <c r="G938" s="187"/>
      <c r="H938" s="163"/>
      <c r="I938" s="163"/>
      <c r="J938" s="164" t="s">
        <v>177</v>
      </c>
      <c r="K938" s="145"/>
      <c r="L938" s="163">
        <v>20</v>
      </c>
      <c r="M938" s="163"/>
      <c r="N938" s="163"/>
      <c r="O938" s="163"/>
      <c r="P938" s="163"/>
      <c r="Q938" s="163"/>
      <c r="R938" s="163"/>
      <c r="S938" s="163"/>
      <c r="T938" s="163"/>
      <c r="U938" s="163"/>
      <c r="V938" s="163"/>
    </row>
    <row r="939" spans="1:22" ht="15.75" customHeight="1" x14ac:dyDescent="0.25">
      <c r="A939" s="171" t="s">
        <v>3439</v>
      </c>
      <c r="B939" s="163" t="s">
        <v>13</v>
      </c>
      <c r="C939" s="163" t="s">
        <v>37</v>
      </c>
      <c r="D939" s="172">
        <v>44838</v>
      </c>
      <c r="E939" s="187" t="s">
        <v>23</v>
      </c>
      <c r="F939" s="187"/>
      <c r="G939" s="187"/>
      <c r="H939" s="163" t="s">
        <v>2078</v>
      </c>
      <c r="I939" s="163"/>
      <c r="J939" s="164" t="s">
        <v>3457</v>
      </c>
      <c r="K939" s="145">
        <v>915</v>
      </c>
      <c r="L939" s="163">
        <v>315</v>
      </c>
      <c r="M939" s="163"/>
      <c r="N939" s="163"/>
      <c r="O939" s="163"/>
      <c r="P939" s="163"/>
      <c r="Q939" s="163"/>
      <c r="R939" s="163"/>
      <c r="S939" s="163"/>
      <c r="T939" s="163"/>
      <c r="U939" s="163"/>
      <c r="V939" s="163"/>
    </row>
    <row r="940" spans="1:22" ht="15.75" customHeight="1" x14ac:dyDescent="0.25">
      <c r="A940" s="171" t="s">
        <v>3440</v>
      </c>
      <c r="B940" s="163" t="s">
        <v>13</v>
      </c>
      <c r="C940" s="163" t="s">
        <v>2399</v>
      </c>
      <c r="D940" s="172">
        <v>44838</v>
      </c>
      <c r="E940" s="187" t="s">
        <v>23</v>
      </c>
      <c r="F940" s="187"/>
      <c r="G940" s="187"/>
      <c r="H940" s="163"/>
      <c r="I940" s="163"/>
      <c r="J940" s="164" t="s">
        <v>3396</v>
      </c>
      <c r="K940" s="145"/>
      <c r="L940" s="163">
        <v>700</v>
      </c>
      <c r="M940" s="163"/>
      <c r="N940" s="163"/>
      <c r="O940" s="163"/>
      <c r="P940" s="163"/>
      <c r="Q940" s="163"/>
      <c r="R940" s="163"/>
      <c r="S940" s="163"/>
      <c r="T940" s="163"/>
      <c r="U940" s="163"/>
      <c r="V940" s="163"/>
    </row>
    <row r="941" spans="1:22" ht="15.75" customHeight="1" x14ac:dyDescent="0.25">
      <c r="A941" s="171" t="s">
        <v>2039</v>
      </c>
      <c r="B941" s="163" t="s">
        <v>13</v>
      </c>
      <c r="C941" s="163" t="s">
        <v>585</v>
      </c>
      <c r="D941" s="172">
        <v>44838</v>
      </c>
      <c r="E941" s="187" t="s">
        <v>23</v>
      </c>
      <c r="F941" s="187"/>
      <c r="G941" s="187"/>
      <c r="H941" s="163"/>
      <c r="I941" s="163"/>
      <c r="J941" s="164" t="s">
        <v>871</v>
      </c>
      <c r="K941" s="145"/>
      <c r="L941" s="163">
        <v>71</v>
      </c>
      <c r="M941" s="163"/>
      <c r="N941" s="163"/>
      <c r="O941" s="163"/>
      <c r="P941" s="163"/>
      <c r="Q941" s="163"/>
      <c r="R941" s="163"/>
      <c r="S941" s="163"/>
      <c r="T941" s="163"/>
      <c r="U941" s="163"/>
      <c r="V941" s="163"/>
    </row>
    <row r="942" spans="1:22" ht="15.75" customHeight="1" x14ac:dyDescent="0.25">
      <c r="A942" s="171" t="s">
        <v>2039</v>
      </c>
      <c r="B942" s="163" t="s">
        <v>13</v>
      </c>
      <c r="C942" s="163" t="s">
        <v>585</v>
      </c>
      <c r="D942" s="172">
        <v>44838</v>
      </c>
      <c r="E942" s="187" t="s">
        <v>23</v>
      </c>
      <c r="F942" s="187"/>
      <c r="G942" s="187"/>
      <c r="H942" s="163"/>
      <c r="I942" s="163"/>
      <c r="J942" s="164" t="s">
        <v>872</v>
      </c>
      <c r="K942" s="145"/>
      <c r="L942" s="163">
        <v>18</v>
      </c>
      <c r="M942" s="163"/>
      <c r="N942" s="163"/>
      <c r="O942" s="163"/>
      <c r="P942" s="163"/>
      <c r="Q942" s="163"/>
      <c r="R942" s="163"/>
      <c r="S942" s="163"/>
      <c r="T942" s="163"/>
      <c r="U942" s="163"/>
      <c r="V942" s="163"/>
    </row>
    <row r="943" spans="1:22" ht="15.75" customHeight="1" x14ac:dyDescent="0.25">
      <c r="A943" s="167" t="s">
        <v>3451</v>
      </c>
      <c r="B943" s="163" t="s">
        <v>13</v>
      </c>
      <c r="C943" s="163" t="s">
        <v>585</v>
      </c>
      <c r="D943" s="172">
        <v>44838</v>
      </c>
      <c r="E943" s="187" t="s">
        <v>23</v>
      </c>
      <c r="F943" s="187"/>
      <c r="G943" s="187"/>
      <c r="H943" s="162"/>
      <c r="I943" s="162"/>
      <c r="J943" s="169" t="s">
        <v>3441</v>
      </c>
      <c r="K943" s="142"/>
      <c r="L943" s="162">
        <v>15</v>
      </c>
      <c r="M943" s="162"/>
      <c r="N943" s="162"/>
      <c r="O943" s="162"/>
      <c r="P943" s="162"/>
      <c r="Q943" s="162"/>
      <c r="R943" s="162"/>
      <c r="S943" s="162"/>
      <c r="T943" s="162"/>
      <c r="U943" s="162"/>
      <c r="V943" s="162"/>
    </row>
    <row r="944" spans="1:22" ht="30.75" customHeight="1" x14ac:dyDescent="0.25">
      <c r="A944" s="167" t="s">
        <v>3451</v>
      </c>
      <c r="B944" s="163" t="s">
        <v>13</v>
      </c>
      <c r="C944" s="163" t="s">
        <v>585</v>
      </c>
      <c r="D944" s="172">
        <v>44838</v>
      </c>
      <c r="E944" s="187" t="s">
        <v>23</v>
      </c>
      <c r="F944" s="218"/>
      <c r="G944" s="218"/>
      <c r="H944" s="162"/>
      <c r="I944" s="162"/>
      <c r="J944" s="169" t="s">
        <v>3442</v>
      </c>
      <c r="K944" s="142"/>
      <c r="L944" s="162">
        <v>15</v>
      </c>
      <c r="M944" s="162"/>
      <c r="N944" s="162"/>
      <c r="O944" s="162"/>
      <c r="P944" s="162"/>
      <c r="Q944" s="162"/>
      <c r="R944" s="162"/>
      <c r="S944" s="162"/>
      <c r="T944" s="162"/>
      <c r="U944" s="162"/>
      <c r="V944" s="162"/>
    </row>
    <row r="945" spans="1:22" ht="30.75" customHeight="1" x14ac:dyDescent="0.25">
      <c r="A945" s="167" t="s">
        <v>3451</v>
      </c>
      <c r="B945" s="163" t="s">
        <v>13</v>
      </c>
      <c r="C945" s="163" t="s">
        <v>585</v>
      </c>
      <c r="D945" s="172">
        <v>44838</v>
      </c>
      <c r="E945" s="187" t="s">
        <v>23</v>
      </c>
      <c r="F945" s="218"/>
      <c r="G945" s="218"/>
      <c r="H945" s="162"/>
      <c r="I945" s="162"/>
      <c r="J945" s="169" t="s">
        <v>3443</v>
      </c>
      <c r="K945" s="142"/>
      <c r="L945" s="162">
        <v>18</v>
      </c>
      <c r="M945" s="162"/>
      <c r="N945" s="162"/>
      <c r="O945" s="162"/>
      <c r="P945" s="162"/>
      <c r="Q945" s="162"/>
      <c r="R945" s="162"/>
      <c r="S945" s="162"/>
      <c r="T945" s="162"/>
      <c r="U945" s="162"/>
      <c r="V945" s="162"/>
    </row>
    <row r="946" spans="1:22" ht="30.75" customHeight="1" x14ac:dyDescent="0.25">
      <c r="A946" s="167" t="s">
        <v>3451</v>
      </c>
      <c r="B946" s="163" t="s">
        <v>13</v>
      </c>
      <c r="C946" s="163" t="s">
        <v>585</v>
      </c>
      <c r="D946" s="172">
        <v>44838</v>
      </c>
      <c r="E946" s="187" t="s">
        <v>23</v>
      </c>
      <c r="F946" s="218"/>
      <c r="G946" s="218"/>
      <c r="H946" s="162"/>
      <c r="I946" s="162"/>
      <c r="J946" s="169" t="s">
        <v>3444</v>
      </c>
      <c r="K946" s="142"/>
      <c r="L946" s="162">
        <v>30</v>
      </c>
      <c r="M946" s="162"/>
      <c r="N946" s="162"/>
      <c r="O946" s="162"/>
      <c r="P946" s="162"/>
      <c r="Q946" s="162"/>
      <c r="R946" s="162"/>
      <c r="S946" s="162"/>
      <c r="T946" s="162"/>
      <c r="U946" s="162"/>
      <c r="V946" s="162"/>
    </row>
    <row r="947" spans="1:22" ht="30.75" customHeight="1" x14ac:dyDescent="0.25">
      <c r="A947" s="167" t="s">
        <v>3451</v>
      </c>
      <c r="B947" s="163" t="s">
        <v>13</v>
      </c>
      <c r="C947" s="163" t="s">
        <v>585</v>
      </c>
      <c r="D947" s="172">
        <v>44838</v>
      </c>
      <c r="E947" s="187" t="s">
        <v>23</v>
      </c>
      <c r="F947" s="218"/>
      <c r="G947" s="218"/>
      <c r="H947" s="162"/>
      <c r="I947" s="162"/>
      <c r="J947" s="169" t="s">
        <v>3445</v>
      </c>
      <c r="K947" s="142"/>
      <c r="L947" s="162">
        <v>19</v>
      </c>
      <c r="M947" s="162"/>
      <c r="N947" s="162"/>
      <c r="O947" s="162"/>
      <c r="P947" s="162"/>
      <c r="Q947" s="162"/>
      <c r="R947" s="162"/>
      <c r="S947" s="162"/>
      <c r="T947" s="162"/>
      <c r="U947" s="162"/>
      <c r="V947" s="162"/>
    </row>
    <row r="948" spans="1:22" ht="30.75" customHeight="1" x14ac:dyDescent="0.25">
      <c r="A948" s="167" t="s">
        <v>3451</v>
      </c>
      <c r="B948" s="163" t="s">
        <v>13</v>
      </c>
      <c r="C948" s="163" t="s">
        <v>585</v>
      </c>
      <c r="D948" s="172">
        <v>44838</v>
      </c>
      <c r="E948" s="187" t="s">
        <v>23</v>
      </c>
      <c r="F948" s="218"/>
      <c r="G948" s="218"/>
      <c r="H948" s="162"/>
      <c r="I948" s="162"/>
      <c r="J948" s="169" t="s">
        <v>3446</v>
      </c>
      <c r="K948" s="142"/>
      <c r="L948" s="162">
        <v>11</v>
      </c>
      <c r="M948" s="162"/>
      <c r="N948" s="162"/>
      <c r="O948" s="162"/>
      <c r="P948" s="162"/>
      <c r="Q948" s="162"/>
      <c r="R948" s="162"/>
      <c r="S948" s="162"/>
      <c r="T948" s="162"/>
      <c r="U948" s="162"/>
      <c r="V948" s="162"/>
    </row>
    <row r="949" spans="1:22" ht="30.75" customHeight="1" x14ac:dyDescent="0.25">
      <c r="A949" s="167" t="s">
        <v>3451</v>
      </c>
      <c r="B949" s="163" t="s">
        <v>13</v>
      </c>
      <c r="C949" s="163" t="s">
        <v>585</v>
      </c>
      <c r="D949" s="172">
        <v>44838</v>
      </c>
      <c r="E949" s="187" t="s">
        <v>23</v>
      </c>
      <c r="F949" s="218"/>
      <c r="G949" s="218"/>
      <c r="H949" s="162"/>
      <c r="I949" s="162"/>
      <c r="J949" s="169" t="s">
        <v>3447</v>
      </c>
      <c r="K949" s="142"/>
      <c r="L949" s="162">
        <v>4</v>
      </c>
      <c r="M949" s="162"/>
      <c r="N949" s="162"/>
      <c r="O949" s="162"/>
      <c r="P949" s="162"/>
      <c r="Q949" s="162"/>
      <c r="R949" s="162"/>
      <c r="S949" s="162"/>
      <c r="T949" s="162"/>
      <c r="U949" s="162"/>
      <c r="V949" s="162"/>
    </row>
    <row r="950" spans="1:22" ht="30.75" customHeight="1" x14ac:dyDescent="0.25">
      <c r="A950" s="167" t="s">
        <v>3451</v>
      </c>
      <c r="B950" s="163" t="s">
        <v>13</v>
      </c>
      <c r="C950" s="163" t="s">
        <v>585</v>
      </c>
      <c r="D950" s="172">
        <v>44838</v>
      </c>
      <c r="E950" s="187" t="s">
        <v>23</v>
      </c>
      <c r="F950" s="218"/>
      <c r="G950" s="218"/>
      <c r="H950" s="162"/>
      <c r="I950" s="162"/>
      <c r="J950" s="169" t="s">
        <v>3448</v>
      </c>
      <c r="K950" s="142"/>
      <c r="L950" s="162">
        <v>4</v>
      </c>
      <c r="M950" s="162"/>
      <c r="N950" s="162"/>
      <c r="O950" s="162"/>
      <c r="P950" s="162"/>
      <c r="Q950" s="162"/>
      <c r="R950" s="162"/>
      <c r="S950" s="162"/>
      <c r="T950" s="162"/>
      <c r="U950" s="162"/>
      <c r="V950" s="162"/>
    </row>
    <row r="951" spans="1:22" ht="30.75" customHeight="1" x14ac:dyDescent="0.25">
      <c r="A951" s="167" t="s">
        <v>3451</v>
      </c>
      <c r="B951" s="163" t="s">
        <v>13</v>
      </c>
      <c r="C951" s="163" t="s">
        <v>585</v>
      </c>
      <c r="D951" s="172">
        <v>44838</v>
      </c>
      <c r="E951" s="187" t="s">
        <v>23</v>
      </c>
      <c r="F951" s="218"/>
      <c r="G951" s="218"/>
      <c r="H951" s="162"/>
      <c r="I951" s="162"/>
      <c r="J951" s="169" t="s">
        <v>3449</v>
      </c>
      <c r="K951" s="142"/>
      <c r="L951" s="162">
        <v>11</v>
      </c>
      <c r="M951" s="162"/>
      <c r="N951" s="162"/>
      <c r="O951" s="162"/>
      <c r="P951" s="162"/>
      <c r="Q951" s="162"/>
      <c r="R951" s="162"/>
      <c r="S951" s="162"/>
      <c r="T951" s="162"/>
      <c r="U951" s="162"/>
      <c r="V951" s="162"/>
    </row>
    <row r="952" spans="1:22" ht="30.75" customHeight="1" x14ac:dyDescent="0.25">
      <c r="A952" s="167" t="s">
        <v>3451</v>
      </c>
      <c r="B952" s="163" t="s">
        <v>13</v>
      </c>
      <c r="C952" s="163" t="s">
        <v>585</v>
      </c>
      <c r="D952" s="172">
        <v>44838</v>
      </c>
      <c r="E952" s="187" t="s">
        <v>23</v>
      </c>
      <c r="F952" s="218"/>
      <c r="G952" s="218"/>
      <c r="H952" s="163"/>
      <c r="I952" s="163"/>
      <c r="J952" s="164" t="s">
        <v>3450</v>
      </c>
      <c r="K952" s="145"/>
      <c r="L952" s="163">
        <v>7</v>
      </c>
      <c r="M952" s="163"/>
      <c r="N952" s="163"/>
      <c r="O952" s="163"/>
      <c r="P952" s="163"/>
      <c r="Q952" s="163"/>
      <c r="R952" s="163"/>
      <c r="S952" s="163"/>
      <c r="T952" s="163"/>
      <c r="U952" s="163"/>
      <c r="V952" s="163"/>
    </row>
    <row r="953" spans="1:22" ht="15.75" customHeight="1" x14ac:dyDescent="0.25">
      <c r="A953" s="171" t="s">
        <v>2037</v>
      </c>
      <c r="B953" s="163" t="s">
        <v>13</v>
      </c>
      <c r="C953" s="163" t="s">
        <v>653</v>
      </c>
      <c r="D953" s="172">
        <v>44838</v>
      </c>
      <c r="E953" s="187" t="s">
        <v>23</v>
      </c>
      <c r="F953" s="187"/>
      <c r="G953" s="187">
        <v>320</v>
      </c>
      <c r="H953" s="163" t="s">
        <v>17</v>
      </c>
      <c r="I953" s="163"/>
      <c r="J953" s="164" t="s">
        <v>3452</v>
      </c>
      <c r="K953" s="163" t="s">
        <v>3454</v>
      </c>
      <c r="L953" s="163">
        <v>320</v>
      </c>
      <c r="M953" s="163"/>
      <c r="N953" s="163"/>
      <c r="O953" s="163"/>
      <c r="P953" s="163"/>
      <c r="Q953" s="163"/>
      <c r="R953" s="163"/>
      <c r="S953" s="163"/>
      <c r="T953" s="163"/>
      <c r="U953" s="163"/>
      <c r="V953" s="163"/>
    </row>
    <row r="954" spans="1:22" s="14" customFormat="1" ht="15.75" customHeight="1" x14ac:dyDescent="0.25">
      <c r="A954" s="147" t="s">
        <v>2037</v>
      </c>
      <c r="B954" s="145" t="s">
        <v>13</v>
      </c>
      <c r="C954" s="145" t="s">
        <v>653</v>
      </c>
      <c r="D954" s="148">
        <v>44838</v>
      </c>
      <c r="E954" s="187" t="s">
        <v>23</v>
      </c>
      <c r="F954" s="241"/>
      <c r="G954" s="241">
        <f>144+58</f>
        <v>202</v>
      </c>
      <c r="H954" s="145"/>
      <c r="I954" s="145"/>
      <c r="J954" s="146" t="s">
        <v>3453</v>
      </c>
      <c r="K954" s="145" t="s">
        <v>3455</v>
      </c>
      <c r="L954" s="145">
        <v>202</v>
      </c>
      <c r="M954" s="145"/>
      <c r="N954" s="145"/>
      <c r="O954" s="145"/>
      <c r="P954" s="145"/>
      <c r="Q954" s="145"/>
      <c r="R954" s="145"/>
      <c r="S954" s="145"/>
      <c r="T954" s="145"/>
      <c r="U954" s="145"/>
      <c r="V954" s="145"/>
    </row>
    <row r="955" spans="1:22" ht="15.75" customHeight="1" x14ac:dyDescent="0.25">
      <c r="A955" s="171" t="s">
        <v>3456</v>
      </c>
      <c r="B955" s="163" t="s">
        <v>13</v>
      </c>
      <c r="C955" s="163" t="s">
        <v>43</v>
      </c>
      <c r="D955" s="172">
        <v>44838</v>
      </c>
      <c r="E955" s="187" t="s">
        <v>23</v>
      </c>
      <c r="F955" s="187"/>
      <c r="G955" s="187"/>
      <c r="H955" s="163"/>
      <c r="I955" s="163"/>
      <c r="J955" s="164" t="s">
        <v>3355</v>
      </c>
      <c r="K955" s="163">
        <v>1140</v>
      </c>
      <c r="L955" s="163">
        <v>190</v>
      </c>
      <c r="M955" s="163"/>
      <c r="N955" s="163"/>
      <c r="O955" s="163"/>
      <c r="P955" s="163"/>
      <c r="Q955" s="163"/>
      <c r="R955" s="163"/>
      <c r="S955" s="163"/>
      <c r="T955" s="163"/>
      <c r="U955" s="163"/>
      <c r="V955" s="163"/>
    </row>
    <row r="956" spans="1:22" ht="15.75" customHeight="1" x14ac:dyDescent="0.25">
      <c r="A956" s="171" t="s">
        <v>3458</v>
      </c>
      <c r="B956" s="163" t="s">
        <v>34</v>
      </c>
      <c r="C956" s="163" t="s">
        <v>284</v>
      </c>
      <c r="D956" s="172">
        <v>44838</v>
      </c>
      <c r="E956" s="187" t="s">
        <v>23</v>
      </c>
      <c r="F956" s="187"/>
      <c r="G956" s="187"/>
      <c r="H956" s="163" t="s">
        <v>3463</v>
      </c>
      <c r="I956" s="163"/>
      <c r="J956" s="164" t="s">
        <v>2919</v>
      </c>
      <c r="K956" s="145"/>
      <c r="L956" s="163"/>
      <c r="M956" s="163"/>
      <c r="N956" s="163"/>
      <c r="O956" s="163"/>
      <c r="P956" s="163"/>
      <c r="Q956" s="163"/>
      <c r="R956" s="163"/>
      <c r="S956" s="163"/>
      <c r="T956" s="163" t="s">
        <v>2668</v>
      </c>
      <c r="U956" s="163"/>
      <c r="V956" s="163"/>
    </row>
    <row r="957" spans="1:22" ht="15.75" customHeight="1" x14ac:dyDescent="0.25">
      <c r="A957" s="171" t="s">
        <v>3458</v>
      </c>
      <c r="B957" s="163" t="s">
        <v>34</v>
      </c>
      <c r="C957" s="163" t="s">
        <v>284</v>
      </c>
      <c r="D957" s="172">
        <v>44838</v>
      </c>
      <c r="E957" s="187" t="s">
        <v>23</v>
      </c>
      <c r="F957" s="187"/>
      <c r="G957" s="187"/>
      <c r="H957" s="162" t="s">
        <v>3463</v>
      </c>
      <c r="I957" s="162"/>
      <c r="J957" s="169" t="s">
        <v>3461</v>
      </c>
      <c r="K957" s="142"/>
      <c r="L957" s="162"/>
      <c r="M957" s="162"/>
      <c r="N957" s="162"/>
      <c r="O957" s="162"/>
      <c r="P957" s="162"/>
      <c r="Q957" s="162"/>
      <c r="R957" s="162"/>
      <c r="S957" s="162"/>
      <c r="T957" s="162" t="s">
        <v>2668</v>
      </c>
      <c r="U957" s="162"/>
      <c r="V957" s="162"/>
    </row>
    <row r="958" spans="1:22" ht="15.75" customHeight="1" x14ac:dyDescent="0.25">
      <c r="A958" s="171" t="s">
        <v>3458</v>
      </c>
      <c r="B958" s="163" t="s">
        <v>34</v>
      </c>
      <c r="C958" s="163" t="s">
        <v>284</v>
      </c>
      <c r="D958" s="172">
        <v>44838</v>
      </c>
      <c r="E958" s="187" t="s">
        <v>23</v>
      </c>
      <c r="F958" s="187"/>
      <c r="G958" s="187"/>
      <c r="H958" s="162" t="s">
        <v>3463</v>
      </c>
      <c r="I958" s="162"/>
      <c r="J958" s="169" t="s">
        <v>3462</v>
      </c>
      <c r="K958" s="142"/>
      <c r="L958" s="162"/>
      <c r="M958" s="162"/>
      <c r="N958" s="162"/>
      <c r="O958" s="162"/>
      <c r="P958" s="162"/>
      <c r="Q958" s="162"/>
      <c r="R958" s="162"/>
      <c r="S958" s="162"/>
      <c r="T958" s="162" t="s">
        <v>2668</v>
      </c>
      <c r="U958" s="162"/>
      <c r="V958" s="162"/>
    </row>
    <row r="959" spans="1:22" ht="15.75" customHeight="1" x14ac:dyDescent="0.25">
      <c r="A959" s="171" t="s">
        <v>3459</v>
      </c>
      <c r="B959" s="163" t="s">
        <v>34</v>
      </c>
      <c r="C959" s="163" t="s">
        <v>284</v>
      </c>
      <c r="D959" s="172">
        <v>44839</v>
      </c>
      <c r="E959" s="187" t="s">
        <v>23</v>
      </c>
      <c r="F959" s="187"/>
      <c r="G959" s="187"/>
      <c r="H959" s="163"/>
      <c r="I959" s="163"/>
      <c r="J959" s="164" t="s">
        <v>668</v>
      </c>
      <c r="K959" s="145"/>
      <c r="L959" s="163"/>
      <c r="M959" s="163"/>
      <c r="N959" s="163"/>
      <c r="O959" s="163"/>
      <c r="P959" s="163"/>
      <c r="Q959" s="163"/>
      <c r="R959" s="163"/>
      <c r="S959" s="163"/>
      <c r="T959" s="163" t="s">
        <v>3460</v>
      </c>
      <c r="U959" s="163"/>
      <c r="V959" s="163"/>
    </row>
    <row r="960" spans="1:22" ht="15.75" customHeight="1" x14ac:dyDescent="0.25">
      <c r="A960" s="171">
        <v>410</v>
      </c>
      <c r="B960" s="163" t="s">
        <v>34</v>
      </c>
      <c r="C960" s="163" t="s">
        <v>46</v>
      </c>
      <c r="D960" s="172">
        <v>44839</v>
      </c>
      <c r="E960" s="187" t="s">
        <v>23</v>
      </c>
      <c r="F960" s="187"/>
      <c r="G960" s="187"/>
      <c r="H960" s="163"/>
      <c r="I960" s="163"/>
      <c r="J960" s="164" t="s">
        <v>639</v>
      </c>
      <c r="K960" s="145">
        <v>360</v>
      </c>
      <c r="L960" s="163" t="s">
        <v>308</v>
      </c>
      <c r="M960" s="163">
        <v>0.35859999999999997</v>
      </c>
      <c r="N960" s="163">
        <v>1.518</v>
      </c>
      <c r="O960" s="163">
        <v>129.096</v>
      </c>
      <c r="P960" s="163">
        <v>546.48</v>
      </c>
      <c r="Q960" s="163">
        <v>16.78</v>
      </c>
      <c r="R960" s="163">
        <v>112.96</v>
      </c>
      <c r="S960" s="163">
        <v>315</v>
      </c>
      <c r="T960" s="163">
        <v>40665.24</v>
      </c>
      <c r="U960" s="163"/>
      <c r="V960" s="163"/>
    </row>
    <row r="961" spans="1:22" ht="15.75" customHeight="1" x14ac:dyDescent="0.25">
      <c r="A961" s="171">
        <v>411</v>
      </c>
      <c r="B961" s="163" t="s">
        <v>34</v>
      </c>
      <c r="C961" s="163" t="s">
        <v>201</v>
      </c>
      <c r="D961" s="172">
        <v>44839</v>
      </c>
      <c r="E961" s="187" t="s">
        <v>23</v>
      </c>
      <c r="F961" s="187"/>
      <c r="G961" s="187"/>
      <c r="H961" s="163" t="s">
        <v>1592</v>
      </c>
      <c r="I961" s="163"/>
      <c r="J961" s="164" t="s">
        <v>2561</v>
      </c>
      <c r="K961" s="145">
        <v>588</v>
      </c>
      <c r="L961" s="163" t="s">
        <v>210</v>
      </c>
      <c r="M961" s="163">
        <v>0.31109999999999999</v>
      </c>
      <c r="N961" s="163">
        <v>1.7769999999999999</v>
      </c>
      <c r="O961" s="163">
        <v>182.92679999999999</v>
      </c>
      <c r="P961" s="163">
        <v>1044.876</v>
      </c>
      <c r="Q961" s="163">
        <v>23.78</v>
      </c>
      <c r="R961" s="163">
        <v>106.71</v>
      </c>
      <c r="S961" s="163">
        <v>343</v>
      </c>
      <c r="T961" s="163">
        <v>62745.48</v>
      </c>
      <c r="U961" s="163"/>
      <c r="V961" s="163"/>
    </row>
    <row r="962" spans="1:22" ht="15.75" customHeight="1" x14ac:dyDescent="0.25">
      <c r="A962" s="167" t="s">
        <v>3468</v>
      </c>
      <c r="B962" s="162" t="s">
        <v>34</v>
      </c>
      <c r="C962" s="162" t="s">
        <v>3469</v>
      </c>
      <c r="D962" s="168">
        <v>44838</v>
      </c>
      <c r="E962" s="194" t="s">
        <v>23</v>
      </c>
      <c r="F962" s="187"/>
      <c r="G962" s="187"/>
      <c r="H962" s="162" t="s">
        <v>3474</v>
      </c>
      <c r="I962" s="162"/>
      <c r="J962" s="169" t="s">
        <v>3464</v>
      </c>
      <c r="K962" s="142"/>
      <c r="L962" s="162"/>
      <c r="M962" s="162"/>
      <c r="N962" s="162"/>
      <c r="O962" s="162"/>
      <c r="P962" s="162"/>
      <c r="Q962" s="162"/>
      <c r="R962" s="162"/>
      <c r="S962" s="162"/>
      <c r="T962" s="162" t="s">
        <v>3470</v>
      </c>
      <c r="U962" s="162"/>
      <c r="V962" s="162"/>
    </row>
    <row r="963" spans="1:22" ht="15.75" customHeight="1" x14ac:dyDescent="0.25">
      <c r="A963" s="167" t="s">
        <v>3468</v>
      </c>
      <c r="B963" s="162" t="s">
        <v>34</v>
      </c>
      <c r="C963" s="162" t="s">
        <v>3469</v>
      </c>
      <c r="D963" s="168">
        <v>44838</v>
      </c>
      <c r="E963" s="194" t="s">
        <v>23</v>
      </c>
      <c r="F963" s="218"/>
      <c r="G963" s="218"/>
      <c r="H963" s="162" t="s">
        <v>3474</v>
      </c>
      <c r="I963" s="162"/>
      <c r="J963" s="169" t="s">
        <v>3465</v>
      </c>
      <c r="K963" s="142"/>
      <c r="L963" s="162"/>
      <c r="M963" s="162"/>
      <c r="N963" s="162"/>
      <c r="O963" s="162"/>
      <c r="P963" s="162"/>
      <c r="Q963" s="162"/>
      <c r="R963" s="162"/>
      <c r="S963" s="162"/>
      <c r="T963" s="162" t="s">
        <v>3471</v>
      </c>
      <c r="U963" s="162"/>
      <c r="V963" s="162"/>
    </row>
    <row r="964" spans="1:22" ht="15.75" customHeight="1" x14ac:dyDescent="0.25">
      <c r="A964" s="167" t="s">
        <v>3468</v>
      </c>
      <c r="B964" s="162" t="s">
        <v>34</v>
      </c>
      <c r="C964" s="162" t="s">
        <v>3469</v>
      </c>
      <c r="D964" s="168">
        <v>44838</v>
      </c>
      <c r="E964" s="194" t="s">
        <v>23</v>
      </c>
      <c r="F964" s="218"/>
      <c r="G964" s="218"/>
      <c r="H964" s="162" t="s">
        <v>3474</v>
      </c>
      <c r="I964" s="162"/>
      <c r="J964" s="169" t="s">
        <v>3466</v>
      </c>
      <c r="K964" s="142"/>
      <c r="L964" s="162"/>
      <c r="M964" s="162"/>
      <c r="N964" s="162"/>
      <c r="O964" s="162"/>
      <c r="P964" s="162"/>
      <c r="Q964" s="162"/>
      <c r="R964" s="162"/>
      <c r="S964" s="162"/>
      <c r="T964" s="162" t="s">
        <v>3472</v>
      </c>
      <c r="U964" s="162"/>
      <c r="V964" s="162"/>
    </row>
    <row r="965" spans="1:22" ht="15.75" customHeight="1" x14ac:dyDescent="0.25">
      <c r="A965" s="167" t="s">
        <v>3468</v>
      </c>
      <c r="B965" s="162" t="s">
        <v>34</v>
      </c>
      <c r="C965" s="162" t="s">
        <v>3469</v>
      </c>
      <c r="D965" s="168">
        <v>44838</v>
      </c>
      <c r="E965" s="194" t="s">
        <v>23</v>
      </c>
      <c r="F965" s="218"/>
      <c r="G965" s="218"/>
      <c r="H965" s="162" t="s">
        <v>3474</v>
      </c>
      <c r="I965" s="163"/>
      <c r="J965" s="164" t="s">
        <v>3467</v>
      </c>
      <c r="K965" s="145"/>
      <c r="L965" s="163"/>
      <c r="M965" s="163"/>
      <c r="N965" s="163"/>
      <c r="O965" s="163"/>
      <c r="P965" s="163"/>
      <c r="Q965" s="163"/>
      <c r="R965" s="163"/>
      <c r="S965" s="163"/>
      <c r="T965" s="163" t="s">
        <v>3473</v>
      </c>
      <c r="U965" s="163"/>
      <c r="V965" s="163"/>
    </row>
    <row r="966" spans="1:22" ht="15.75" customHeight="1" x14ac:dyDescent="0.25">
      <c r="A966" s="167">
        <v>416</v>
      </c>
      <c r="B966" s="162" t="s">
        <v>34</v>
      </c>
      <c r="C966" s="162" t="s">
        <v>643</v>
      </c>
      <c r="D966" s="168">
        <v>44840</v>
      </c>
      <c r="E966" s="194" t="s">
        <v>23</v>
      </c>
      <c r="F966" s="187"/>
      <c r="G966" s="187"/>
      <c r="H966" s="162" t="s">
        <v>3477</v>
      </c>
      <c r="I966" s="162"/>
      <c r="J966" s="169" t="s">
        <v>888</v>
      </c>
      <c r="K966" s="142">
        <v>1029</v>
      </c>
      <c r="L966" s="162" t="s">
        <v>3475</v>
      </c>
      <c r="M966" s="162">
        <v>0.22650000000000001</v>
      </c>
      <c r="N966" s="162">
        <v>0.52700000000000002</v>
      </c>
      <c r="O966" s="162">
        <v>233.0685</v>
      </c>
      <c r="P966" s="162">
        <v>542.28300000000002</v>
      </c>
      <c r="Q966" s="162">
        <v>30.3</v>
      </c>
      <c r="R966" s="162">
        <v>48.24</v>
      </c>
      <c r="S966" s="162">
        <v>213</v>
      </c>
      <c r="T966" s="162">
        <v>49638.96</v>
      </c>
      <c r="U966" s="162"/>
      <c r="V966" s="162"/>
    </row>
    <row r="967" spans="1:22" ht="15.75" customHeight="1" x14ac:dyDescent="0.25">
      <c r="A967" s="167">
        <v>416</v>
      </c>
      <c r="B967" s="162" t="s">
        <v>34</v>
      </c>
      <c r="C967" s="162" t="s">
        <v>643</v>
      </c>
      <c r="D967" s="168">
        <v>44840</v>
      </c>
      <c r="E967" s="187" t="s">
        <v>23</v>
      </c>
      <c r="F967" s="218"/>
      <c r="G967" s="218"/>
      <c r="H967" s="163"/>
      <c r="I967" s="163"/>
      <c r="J967" s="164" t="s">
        <v>3476</v>
      </c>
      <c r="K967" s="145">
        <v>537.6</v>
      </c>
      <c r="L967" s="163" t="s">
        <v>164</v>
      </c>
      <c r="M967" s="163">
        <v>0.22650000000000001</v>
      </c>
      <c r="N967" s="163">
        <v>0.52700000000000002</v>
      </c>
      <c r="O967" s="163">
        <v>121.7664</v>
      </c>
      <c r="P967" s="163">
        <v>283.3152</v>
      </c>
      <c r="Q967" s="163">
        <v>15.83</v>
      </c>
      <c r="R967" s="163">
        <v>48.24</v>
      </c>
      <c r="S967" s="163">
        <v>213</v>
      </c>
      <c r="T967" s="163">
        <v>25936.240000000002</v>
      </c>
      <c r="U967" s="163"/>
      <c r="V967" s="163"/>
    </row>
    <row r="968" spans="1:22" ht="15.75" customHeight="1" x14ac:dyDescent="0.25">
      <c r="A968" s="171">
        <v>413</v>
      </c>
      <c r="B968" s="163" t="s">
        <v>13</v>
      </c>
      <c r="C968" s="163" t="s">
        <v>3479</v>
      </c>
      <c r="D968" s="172">
        <v>44839</v>
      </c>
      <c r="E968" s="187" t="s">
        <v>23</v>
      </c>
      <c r="F968" s="187"/>
      <c r="G968" s="187">
        <v>3</v>
      </c>
      <c r="H968" s="163"/>
      <c r="I968" s="163"/>
      <c r="J968" s="164" t="s">
        <v>3478</v>
      </c>
      <c r="K968" s="145">
        <v>18.600000000000001</v>
      </c>
      <c r="L968" s="163" t="s">
        <v>2464</v>
      </c>
      <c r="M968" s="163">
        <v>0.35239999999999999</v>
      </c>
      <c r="N968" s="163">
        <v>1.7929999999999999</v>
      </c>
      <c r="O968" s="163">
        <v>6.5545999999999998</v>
      </c>
      <c r="P968" s="163">
        <v>33.349800000000002</v>
      </c>
      <c r="Q968" s="163">
        <v>0.85</v>
      </c>
      <c r="R968" s="163">
        <v>126.86</v>
      </c>
      <c r="S968" s="163">
        <v>360</v>
      </c>
      <c r="T968" s="163">
        <v>2359.67</v>
      </c>
      <c r="U968" s="163"/>
      <c r="V968" s="163"/>
    </row>
    <row r="969" spans="1:22" ht="15.75" customHeight="1" x14ac:dyDescent="0.25">
      <c r="A969" s="171">
        <v>414</v>
      </c>
      <c r="B969" s="163" t="s">
        <v>13</v>
      </c>
      <c r="C969" s="163" t="s">
        <v>625</v>
      </c>
      <c r="D969" s="172">
        <v>44839</v>
      </c>
      <c r="E969" s="187" t="s">
        <v>23</v>
      </c>
      <c r="F969" s="187"/>
      <c r="G969" s="187">
        <v>57</v>
      </c>
      <c r="H969" s="163"/>
      <c r="I969" s="163"/>
      <c r="J969" s="164" t="s">
        <v>3430</v>
      </c>
      <c r="K969" s="145">
        <v>342</v>
      </c>
      <c r="L969" s="163" t="s">
        <v>3480</v>
      </c>
      <c r="M969" s="163">
        <v>0.1507</v>
      </c>
      <c r="N969" s="163">
        <v>0.39300000000000002</v>
      </c>
      <c r="O969" s="163">
        <v>51.539400000000001</v>
      </c>
      <c r="P969" s="163">
        <v>134.40600000000001</v>
      </c>
      <c r="Q969" s="163">
        <v>6.7</v>
      </c>
      <c r="R969" s="163">
        <v>35.409999999999997</v>
      </c>
      <c r="S969" s="163">
        <v>235</v>
      </c>
      <c r="T969" s="163">
        <v>12110.22</v>
      </c>
      <c r="U969" s="163"/>
      <c r="V969" s="163"/>
    </row>
    <row r="970" spans="1:22" ht="15.75" customHeight="1" x14ac:dyDescent="0.25">
      <c r="A970" s="171">
        <v>415</v>
      </c>
      <c r="B970" s="163" t="s">
        <v>13</v>
      </c>
      <c r="C970" s="163" t="s">
        <v>32</v>
      </c>
      <c r="D970" s="172">
        <v>44839</v>
      </c>
      <c r="E970" s="187" t="s">
        <v>23</v>
      </c>
      <c r="F970" s="187"/>
      <c r="G970" s="187"/>
      <c r="H970" s="163"/>
      <c r="I970" s="163"/>
      <c r="J970" s="164" t="s">
        <v>3481</v>
      </c>
      <c r="K970" s="145">
        <v>12.45</v>
      </c>
      <c r="L970" s="163" t="s">
        <v>2464</v>
      </c>
      <c r="M970" s="163">
        <v>0.17649999999999999</v>
      </c>
      <c r="N970" s="163">
        <v>1.3280000000000001</v>
      </c>
      <c r="O970" s="163">
        <v>2.1974</v>
      </c>
      <c r="P970" s="163">
        <v>16.5336</v>
      </c>
      <c r="Q970" s="163">
        <v>0.28999999999999998</v>
      </c>
      <c r="R970" s="163">
        <v>50.66</v>
      </c>
      <c r="S970" s="163">
        <v>287</v>
      </c>
      <c r="T970" s="163">
        <v>630.66</v>
      </c>
      <c r="U970" s="163"/>
      <c r="V970" s="163"/>
    </row>
    <row r="971" spans="1:22" ht="15.75" customHeight="1" x14ac:dyDescent="0.25">
      <c r="A971" s="167" t="s">
        <v>2040</v>
      </c>
      <c r="B971" s="162" t="s">
        <v>34</v>
      </c>
      <c r="C971" s="162" t="s">
        <v>3128</v>
      </c>
      <c r="D971" s="168">
        <v>44841</v>
      </c>
      <c r="E971" s="194" t="s">
        <v>23</v>
      </c>
      <c r="F971" s="187"/>
      <c r="G971" s="187"/>
      <c r="H971" s="162" t="s">
        <v>3482</v>
      </c>
      <c r="I971" s="162" t="s">
        <v>3488</v>
      </c>
      <c r="J971" s="169" t="s">
        <v>1988</v>
      </c>
      <c r="K971" s="142" t="s">
        <v>3483</v>
      </c>
      <c r="L971" s="162"/>
      <c r="M971" s="162"/>
      <c r="N971" s="162"/>
      <c r="O971" s="162"/>
      <c r="P971" s="162"/>
      <c r="Q971" s="162"/>
      <c r="R971" s="162"/>
      <c r="S971" s="162"/>
      <c r="T971" s="162" t="s">
        <v>3485</v>
      </c>
      <c r="U971" s="162"/>
      <c r="V971" s="162"/>
    </row>
    <row r="972" spans="1:22" ht="15.75" customHeight="1" x14ac:dyDescent="0.25">
      <c r="A972" s="167" t="s">
        <v>2040</v>
      </c>
      <c r="B972" s="162" t="s">
        <v>34</v>
      </c>
      <c r="C972" s="162" t="s">
        <v>3128</v>
      </c>
      <c r="D972" s="168">
        <v>44842</v>
      </c>
      <c r="E972" s="194" t="s">
        <v>23</v>
      </c>
      <c r="F972" s="218"/>
      <c r="G972" s="218"/>
      <c r="H972" s="162" t="s">
        <v>3482</v>
      </c>
      <c r="I972" s="162" t="s">
        <v>3489</v>
      </c>
      <c r="J972" s="169" t="s">
        <v>537</v>
      </c>
      <c r="K972" s="142" t="s">
        <v>3484</v>
      </c>
      <c r="L972" s="162"/>
      <c r="M972" s="162"/>
      <c r="N972" s="162"/>
      <c r="O972" s="162"/>
      <c r="P972" s="162"/>
      <c r="Q972" s="162"/>
      <c r="R972" s="162"/>
      <c r="S972" s="162"/>
      <c r="T972" s="162" t="s">
        <v>3486</v>
      </c>
      <c r="U972" s="162"/>
      <c r="V972" s="162"/>
    </row>
    <row r="973" spans="1:22" ht="15.75" customHeight="1" x14ac:dyDescent="0.25">
      <c r="A973" s="167" t="s">
        <v>2040</v>
      </c>
      <c r="B973" s="162" t="s">
        <v>34</v>
      </c>
      <c r="C973" s="162" t="s">
        <v>3128</v>
      </c>
      <c r="D973" s="168">
        <v>44843</v>
      </c>
      <c r="E973" s="194" t="s">
        <v>23</v>
      </c>
      <c r="F973" s="218"/>
      <c r="G973" s="218"/>
      <c r="H973" s="162" t="s">
        <v>3482</v>
      </c>
      <c r="I973" s="163" t="s">
        <v>3490</v>
      </c>
      <c r="J973" s="164" t="s">
        <v>533</v>
      </c>
      <c r="K973" s="145" t="s">
        <v>3484</v>
      </c>
      <c r="L973" s="163"/>
      <c r="M973" s="163"/>
      <c r="N973" s="163"/>
      <c r="O973" s="163"/>
      <c r="P973" s="163"/>
      <c r="Q973" s="163"/>
      <c r="R973" s="163"/>
      <c r="S973" s="163"/>
      <c r="T973" s="163" t="s">
        <v>3487</v>
      </c>
      <c r="U973" s="163"/>
      <c r="V973" s="163"/>
    </row>
    <row r="974" spans="1:22" s="14" customFormat="1" ht="15.75" customHeight="1" x14ac:dyDescent="0.25">
      <c r="A974" s="147" t="s">
        <v>2042</v>
      </c>
      <c r="B974" s="145" t="s">
        <v>13</v>
      </c>
      <c r="C974" s="145" t="s">
        <v>37</v>
      </c>
      <c r="D974" s="148">
        <v>44841</v>
      </c>
      <c r="E974" s="241" t="s">
        <v>23</v>
      </c>
      <c r="F974" s="241"/>
      <c r="G974" s="241"/>
      <c r="H974" s="145" t="s">
        <v>2078</v>
      </c>
      <c r="I974" s="145"/>
      <c r="J974" s="146" t="s">
        <v>3426</v>
      </c>
      <c r="K974" s="145"/>
      <c r="L974" s="145">
        <v>24</v>
      </c>
      <c r="M974" s="145"/>
      <c r="N974" s="145"/>
      <c r="O974" s="145"/>
      <c r="P974" s="145"/>
      <c r="Q974" s="145"/>
      <c r="R974" s="145"/>
      <c r="S974" s="145"/>
      <c r="T974" s="145">
        <v>44400</v>
      </c>
      <c r="U974" s="145"/>
      <c r="V974" s="145"/>
    </row>
    <row r="975" spans="1:22" ht="15.75" customHeight="1" x14ac:dyDescent="0.25">
      <c r="A975" s="171" t="s">
        <v>2043</v>
      </c>
      <c r="B975" s="163" t="s">
        <v>13</v>
      </c>
      <c r="C975" s="163" t="s">
        <v>2399</v>
      </c>
      <c r="D975" s="172">
        <v>44841</v>
      </c>
      <c r="E975" s="187" t="s">
        <v>23</v>
      </c>
      <c r="F975" s="187"/>
      <c r="G975" s="187"/>
      <c r="H975" s="163" t="s">
        <v>2078</v>
      </c>
      <c r="I975" s="163"/>
      <c r="J975" s="164" t="s">
        <v>3396</v>
      </c>
      <c r="K975" s="145"/>
      <c r="L975" s="163">
        <v>305</v>
      </c>
      <c r="M975" s="163"/>
      <c r="N975" s="163"/>
      <c r="O975" s="163"/>
      <c r="P975" s="163"/>
      <c r="Q975" s="163"/>
      <c r="R975" s="163"/>
      <c r="S975" s="163"/>
      <c r="T975" s="163">
        <v>41055</v>
      </c>
      <c r="U975" s="163"/>
      <c r="V975" s="163"/>
    </row>
    <row r="976" spans="1:22" s="14" customFormat="1" ht="15.75" customHeight="1" x14ac:dyDescent="0.25">
      <c r="A976" s="147">
        <v>412</v>
      </c>
      <c r="B976" s="145" t="s">
        <v>13</v>
      </c>
      <c r="C976" s="145" t="s">
        <v>625</v>
      </c>
      <c r="D976" s="148">
        <v>44841</v>
      </c>
      <c r="E976" s="241" t="s">
        <v>23</v>
      </c>
      <c r="F976" s="241"/>
      <c r="G976" s="241">
        <f>96+48+9+48</f>
        <v>201</v>
      </c>
      <c r="H976" s="145" t="s">
        <v>3500</v>
      </c>
      <c r="I976" s="145"/>
      <c r="J976" s="146" t="s">
        <v>681</v>
      </c>
      <c r="K976" s="145">
        <v>1043.4000000000001</v>
      </c>
      <c r="L976" s="145" t="s">
        <v>1001</v>
      </c>
      <c r="M976" s="145">
        <v>0.34789999999999999</v>
      </c>
      <c r="N976" s="145">
        <v>1.643</v>
      </c>
      <c r="O976" s="145">
        <v>362.99889999999999</v>
      </c>
      <c r="P976" s="145">
        <v>1714.3062</v>
      </c>
      <c r="Q976" s="145">
        <v>47.19</v>
      </c>
      <c r="R976" s="145">
        <v>141.94</v>
      </c>
      <c r="S976" s="145">
        <v>408</v>
      </c>
      <c r="T976" s="145">
        <v>148103.53</v>
      </c>
      <c r="U976" s="145"/>
      <c r="V976" s="145"/>
    </row>
    <row r="977" spans="1:22" s="14" customFormat="1" ht="15.75" customHeight="1" x14ac:dyDescent="0.25">
      <c r="A977" s="147" t="s">
        <v>3491</v>
      </c>
      <c r="B977" s="145" t="s">
        <v>13</v>
      </c>
      <c r="C977" s="145" t="s">
        <v>37</v>
      </c>
      <c r="D977" s="148">
        <v>44841</v>
      </c>
      <c r="E977" s="241" t="s">
        <v>23</v>
      </c>
      <c r="F977" s="241"/>
      <c r="G977" s="241"/>
      <c r="H977" s="145" t="s">
        <v>2078</v>
      </c>
      <c r="I977" s="145"/>
      <c r="J977" s="146" t="s">
        <v>3238</v>
      </c>
      <c r="K977" s="145"/>
      <c r="L977" s="145">
        <v>48</v>
      </c>
      <c r="M977" s="145"/>
      <c r="N977" s="145"/>
      <c r="O977" s="145"/>
      <c r="P977" s="145"/>
      <c r="Q977" s="145"/>
      <c r="R977" s="145"/>
      <c r="S977" s="145"/>
      <c r="T977" s="145">
        <v>37600</v>
      </c>
      <c r="U977" s="145"/>
      <c r="V977" s="145"/>
    </row>
    <row r="978" spans="1:22" ht="15.75" customHeight="1" x14ac:dyDescent="0.25">
      <c r="A978" s="171">
        <v>421</v>
      </c>
      <c r="B978" s="163" t="s">
        <v>13</v>
      </c>
      <c r="C978" s="163" t="s">
        <v>3492</v>
      </c>
      <c r="D978" s="172">
        <v>44841</v>
      </c>
      <c r="E978" s="187" t="s">
        <v>677</v>
      </c>
      <c r="F978" s="187"/>
      <c r="G978" s="187">
        <v>4</v>
      </c>
      <c r="H978" s="163" t="s">
        <v>543</v>
      </c>
      <c r="I978" s="163"/>
      <c r="J978" s="164" t="s">
        <v>602</v>
      </c>
      <c r="K978" s="163">
        <v>1648.3</v>
      </c>
      <c r="L978" s="163" t="s">
        <v>1692</v>
      </c>
      <c r="M978" s="163">
        <v>0.25659999999999999</v>
      </c>
      <c r="N978" s="163">
        <v>0.68899999999999995</v>
      </c>
      <c r="O978" s="163">
        <v>422.9538</v>
      </c>
      <c r="P978" s="163">
        <v>1135.6786999999999</v>
      </c>
      <c r="Q978" s="163">
        <v>54.98</v>
      </c>
      <c r="R978" s="163">
        <v>68</v>
      </c>
      <c r="S978" s="163">
        <v>265</v>
      </c>
      <c r="T978" s="163">
        <v>112084.4</v>
      </c>
      <c r="U978" s="163"/>
      <c r="V978" s="163"/>
    </row>
    <row r="979" spans="1:22" ht="15.75" customHeight="1" x14ac:dyDescent="0.25">
      <c r="A979" s="171">
        <v>425</v>
      </c>
      <c r="B979" s="163" t="s">
        <v>13</v>
      </c>
      <c r="C979" s="163" t="s">
        <v>3510</v>
      </c>
      <c r="D979" s="172">
        <v>44841</v>
      </c>
      <c r="E979" s="187" t="s">
        <v>23</v>
      </c>
      <c r="F979" s="187"/>
      <c r="G979" s="187"/>
      <c r="H979" s="163"/>
      <c r="I979" s="163"/>
      <c r="J979" s="164" t="s">
        <v>3493</v>
      </c>
      <c r="K979" s="145">
        <v>852</v>
      </c>
      <c r="L979" s="163" t="s">
        <v>3494</v>
      </c>
      <c r="M979" s="163">
        <v>0.1938</v>
      </c>
      <c r="N979" s="163">
        <v>0.63600000000000001</v>
      </c>
      <c r="O979" s="163">
        <v>165.11760000000001</v>
      </c>
      <c r="P979" s="163">
        <v>541.87199999999996</v>
      </c>
      <c r="Q979" s="163">
        <v>21.47</v>
      </c>
      <c r="R979" s="163">
        <v>66.47</v>
      </c>
      <c r="S979" s="163">
        <v>343</v>
      </c>
      <c r="T979" s="163">
        <v>56635.34</v>
      </c>
      <c r="U979" s="163"/>
      <c r="V979" s="163"/>
    </row>
    <row r="980" spans="1:22" ht="30.75" customHeight="1" x14ac:dyDescent="0.25">
      <c r="A980" s="171">
        <v>426</v>
      </c>
      <c r="B980" s="163" t="s">
        <v>13</v>
      </c>
      <c r="C980" s="163" t="s">
        <v>3492</v>
      </c>
      <c r="D980" s="172">
        <v>44844</v>
      </c>
      <c r="E980" s="187" t="s">
        <v>23</v>
      </c>
      <c r="F980" s="194"/>
      <c r="G980" s="194">
        <v>245</v>
      </c>
      <c r="H980" s="163" t="s">
        <v>3545</v>
      </c>
      <c r="I980" s="163"/>
      <c r="J980" s="164" t="s">
        <v>3495</v>
      </c>
      <c r="K980" s="145">
        <v>1826.55</v>
      </c>
      <c r="L980" s="163" t="s">
        <v>1945</v>
      </c>
      <c r="M980" s="163">
        <v>0.14660000000000001</v>
      </c>
      <c r="N980" s="163">
        <v>0.317</v>
      </c>
      <c r="O980" s="163">
        <v>267.7722</v>
      </c>
      <c r="P980" s="163">
        <v>579.01639999999998</v>
      </c>
      <c r="Q980" s="163">
        <v>34.81</v>
      </c>
      <c r="R980" s="163">
        <v>38.85</v>
      </c>
      <c r="S980" s="163">
        <v>265</v>
      </c>
      <c r="T980" s="163">
        <v>70959.64</v>
      </c>
      <c r="U980" s="163"/>
      <c r="V980" s="163"/>
    </row>
    <row r="981" spans="1:22" ht="15.75" customHeight="1" x14ac:dyDescent="0.25">
      <c r="A981" s="171" t="s">
        <v>3496</v>
      </c>
      <c r="B981" s="163" t="s">
        <v>34</v>
      </c>
      <c r="C981" s="163" t="s">
        <v>284</v>
      </c>
      <c r="D981" s="172">
        <v>44845</v>
      </c>
      <c r="E981" s="187" t="s">
        <v>23</v>
      </c>
      <c r="F981" s="218"/>
      <c r="G981" s="218"/>
      <c r="H981" s="163"/>
      <c r="I981" s="163"/>
      <c r="J981" s="164" t="s">
        <v>3498</v>
      </c>
      <c r="K981" s="145" t="s">
        <v>3499</v>
      </c>
      <c r="L981" s="163"/>
      <c r="M981" s="163"/>
      <c r="N981" s="163"/>
      <c r="O981" s="163"/>
      <c r="P981" s="163"/>
      <c r="Q981" s="163"/>
      <c r="R981" s="163"/>
      <c r="S981" s="163"/>
      <c r="T981" s="163" t="s">
        <v>3497</v>
      </c>
      <c r="U981" s="163"/>
      <c r="V981" s="163"/>
    </row>
    <row r="982" spans="1:22" s="86" customFormat="1" ht="15.75" customHeight="1" x14ac:dyDescent="0.25">
      <c r="A982" s="158">
        <v>429</v>
      </c>
      <c r="B982" s="179" t="s">
        <v>13</v>
      </c>
      <c r="C982" s="159" t="s">
        <v>2466</v>
      </c>
      <c r="D982" s="160">
        <v>44846</v>
      </c>
      <c r="E982" s="209" t="s">
        <v>23</v>
      </c>
      <c r="F982" s="209"/>
      <c r="G982" s="209"/>
      <c r="H982" s="159"/>
      <c r="I982" s="159"/>
      <c r="J982" s="161" t="s">
        <v>149</v>
      </c>
      <c r="K982" s="159">
        <v>640</v>
      </c>
      <c r="L982" s="159" t="s">
        <v>166</v>
      </c>
      <c r="M982" s="159">
        <v>0.18360000000000001</v>
      </c>
      <c r="N982" s="159">
        <v>0.39400000000000002</v>
      </c>
      <c r="O982" s="159">
        <v>117.504</v>
      </c>
      <c r="P982" s="159">
        <v>252.16</v>
      </c>
      <c r="Q982" s="159">
        <v>15.28</v>
      </c>
      <c r="R982" s="159">
        <v>62.97</v>
      </c>
      <c r="S982" s="159">
        <v>343</v>
      </c>
      <c r="T982" s="159">
        <v>40300.800000000003</v>
      </c>
      <c r="U982" s="159"/>
      <c r="V982" s="159"/>
    </row>
    <row r="983" spans="1:22" s="14" customFormat="1" ht="15.75" customHeight="1" x14ac:dyDescent="0.25">
      <c r="A983" s="141">
        <v>429</v>
      </c>
      <c r="B983" s="145" t="s">
        <v>13</v>
      </c>
      <c r="C983" s="142" t="s">
        <v>2466</v>
      </c>
      <c r="D983" s="143">
        <v>44846</v>
      </c>
      <c r="E983" s="242" t="s">
        <v>23</v>
      </c>
      <c r="F983" s="242">
        <v>238</v>
      </c>
      <c r="G983" s="242"/>
      <c r="H983" s="142"/>
      <c r="I983" s="142"/>
      <c r="J983" s="144" t="s">
        <v>117</v>
      </c>
      <c r="K983" s="142">
        <v>1195</v>
      </c>
      <c r="L983" s="142" t="s">
        <v>3501</v>
      </c>
      <c r="M983" s="142">
        <v>0.1734</v>
      </c>
      <c r="N983" s="142">
        <v>0.35099999999999998</v>
      </c>
      <c r="O983" s="142">
        <v>207.21299999999999</v>
      </c>
      <c r="P983" s="142">
        <v>419.44499999999999</v>
      </c>
      <c r="Q983" s="142">
        <v>26.94</v>
      </c>
      <c r="R983" s="142">
        <v>59.48</v>
      </c>
      <c r="S983" s="142">
        <v>343</v>
      </c>
      <c r="T983" s="142">
        <v>71078.600000000006</v>
      </c>
      <c r="U983" s="142"/>
      <c r="V983" s="142"/>
    </row>
    <row r="984" spans="1:22" ht="15.75" customHeight="1" x14ac:dyDescent="0.25">
      <c r="A984" s="167">
        <v>429</v>
      </c>
      <c r="B984" s="163" t="s">
        <v>13</v>
      </c>
      <c r="C984" s="162" t="s">
        <v>2466</v>
      </c>
      <c r="D984" s="168">
        <v>44846</v>
      </c>
      <c r="E984" s="194" t="s">
        <v>23</v>
      </c>
      <c r="F984" s="194"/>
      <c r="G984" s="194"/>
      <c r="H984" s="162"/>
      <c r="I984" s="162"/>
      <c r="J984" s="169" t="s">
        <v>151</v>
      </c>
      <c r="K984" s="142">
        <v>150</v>
      </c>
      <c r="L984" s="162" t="s">
        <v>56</v>
      </c>
      <c r="M984" s="162">
        <v>0.27189999999999998</v>
      </c>
      <c r="N984" s="162">
        <v>0.50600000000000001</v>
      </c>
      <c r="O984" s="162">
        <v>40.784999999999997</v>
      </c>
      <c r="P984" s="162">
        <v>75.900000000000006</v>
      </c>
      <c r="Q984" s="162">
        <v>5.3</v>
      </c>
      <c r="R984" s="162">
        <v>93.26</v>
      </c>
      <c r="S984" s="162">
        <v>343</v>
      </c>
      <c r="T984" s="162">
        <v>13989</v>
      </c>
      <c r="U984" s="162"/>
      <c r="V984" s="162"/>
    </row>
    <row r="985" spans="1:22" ht="15.75" customHeight="1" x14ac:dyDescent="0.25">
      <c r="A985" s="167">
        <v>429</v>
      </c>
      <c r="B985" s="163" t="s">
        <v>13</v>
      </c>
      <c r="C985" s="162" t="s">
        <v>2466</v>
      </c>
      <c r="D985" s="168">
        <v>44846</v>
      </c>
      <c r="E985" s="194" t="s">
        <v>23</v>
      </c>
      <c r="F985" s="194"/>
      <c r="G985" s="194"/>
      <c r="H985" s="162"/>
      <c r="I985" s="162"/>
      <c r="J985" s="169" t="s">
        <v>3502</v>
      </c>
      <c r="K985" s="142">
        <v>150</v>
      </c>
      <c r="L985" s="162" t="s">
        <v>56</v>
      </c>
      <c r="M985" s="162">
        <v>0.13220000000000001</v>
      </c>
      <c r="N985" s="162">
        <v>0.33</v>
      </c>
      <c r="O985" s="162">
        <v>19.829999999999998</v>
      </c>
      <c r="P985" s="162">
        <v>49.5</v>
      </c>
      <c r="Q985" s="162">
        <v>2.58</v>
      </c>
      <c r="R985" s="162">
        <v>45.34</v>
      </c>
      <c r="S985" s="162">
        <v>343</v>
      </c>
      <c r="T985" s="162">
        <v>6801</v>
      </c>
      <c r="U985" s="162"/>
      <c r="V985" s="162"/>
    </row>
    <row r="986" spans="1:22" ht="15.75" customHeight="1" x14ac:dyDescent="0.25">
      <c r="A986" s="167">
        <v>429</v>
      </c>
      <c r="B986" s="163" t="s">
        <v>13</v>
      </c>
      <c r="C986" s="162" t="s">
        <v>2466</v>
      </c>
      <c r="D986" s="168">
        <v>44846</v>
      </c>
      <c r="E986" s="187" t="s">
        <v>23</v>
      </c>
      <c r="F986" s="194">
        <v>204</v>
      </c>
      <c r="G986" s="194"/>
      <c r="H986" s="163"/>
      <c r="I986" s="163"/>
      <c r="J986" s="164" t="s">
        <v>299</v>
      </c>
      <c r="K986" s="145">
        <v>1020</v>
      </c>
      <c r="L986" s="163" t="s">
        <v>1110</v>
      </c>
      <c r="M986" s="163">
        <v>0.1381</v>
      </c>
      <c r="N986" s="163">
        <v>0.35199999999999998</v>
      </c>
      <c r="O986" s="163">
        <v>140.86199999999999</v>
      </c>
      <c r="P986" s="163">
        <v>359.04</v>
      </c>
      <c r="Q986" s="163">
        <v>18.309999999999999</v>
      </c>
      <c r="R986" s="163">
        <v>47.37</v>
      </c>
      <c r="S986" s="163">
        <v>343</v>
      </c>
      <c r="T986" s="163">
        <v>48317.4</v>
      </c>
      <c r="U986" s="163"/>
      <c r="V986" s="163"/>
    </row>
    <row r="987" spans="1:22" ht="15.75" customHeight="1" x14ac:dyDescent="0.25">
      <c r="A987" s="171" t="s">
        <v>3503</v>
      </c>
      <c r="B987" s="163" t="s">
        <v>13</v>
      </c>
      <c r="C987" s="163" t="s">
        <v>37</v>
      </c>
      <c r="D987" s="168">
        <v>44846</v>
      </c>
      <c r="E987" s="187" t="s">
        <v>23</v>
      </c>
      <c r="F987" s="187"/>
      <c r="G987" s="187"/>
      <c r="H987" s="163" t="s">
        <v>2078</v>
      </c>
      <c r="I987" s="163"/>
      <c r="J987" s="164" t="s">
        <v>3426</v>
      </c>
      <c r="K987" s="163"/>
      <c r="L987" s="163">
        <v>24</v>
      </c>
      <c r="M987" s="163"/>
      <c r="N987" s="163"/>
      <c r="O987" s="163"/>
      <c r="P987" s="163"/>
      <c r="Q987" s="163"/>
      <c r="R987" s="163"/>
      <c r="S987" s="163"/>
      <c r="T987" s="163">
        <v>44400</v>
      </c>
      <c r="U987" s="163"/>
      <c r="V987" s="163"/>
    </row>
    <row r="988" spans="1:22" ht="15.75" customHeight="1" x14ac:dyDescent="0.25">
      <c r="A988" s="171" t="s">
        <v>1980</v>
      </c>
      <c r="B988" s="163" t="s">
        <v>13</v>
      </c>
      <c r="C988" s="163" t="s">
        <v>548</v>
      </c>
      <c r="D988" s="168">
        <v>44846</v>
      </c>
      <c r="E988" s="187" t="s">
        <v>23</v>
      </c>
      <c r="F988" s="187"/>
      <c r="G988" s="187"/>
      <c r="H988" s="163"/>
      <c r="I988" s="163"/>
      <c r="J988" s="164" t="s">
        <v>3417</v>
      </c>
      <c r="K988" s="163" t="s">
        <v>3504</v>
      </c>
      <c r="L988" s="163">
        <v>131</v>
      </c>
      <c r="M988" s="163"/>
      <c r="N988" s="163"/>
      <c r="O988" s="163"/>
      <c r="P988" s="163"/>
      <c r="Q988" s="163"/>
      <c r="R988" s="163"/>
      <c r="S988" s="163"/>
      <c r="T988" s="163" t="s">
        <v>3505</v>
      </c>
      <c r="U988" s="163"/>
      <c r="V988" s="163"/>
    </row>
    <row r="989" spans="1:22" ht="15.75" customHeight="1" x14ac:dyDescent="0.25">
      <c r="A989" s="171">
        <v>431</v>
      </c>
      <c r="B989" s="163" t="s">
        <v>34</v>
      </c>
      <c r="C989" s="163" t="s">
        <v>3507</v>
      </c>
      <c r="D989" s="172">
        <v>44847</v>
      </c>
      <c r="E989" s="187" t="s">
        <v>23</v>
      </c>
      <c r="F989" s="187">
        <v>132</v>
      </c>
      <c r="G989" s="187"/>
      <c r="H989" s="163"/>
      <c r="I989" s="163"/>
      <c r="J989" s="164" t="s">
        <v>3506</v>
      </c>
      <c r="K989" s="145">
        <v>192</v>
      </c>
      <c r="L989" s="163" t="s">
        <v>207</v>
      </c>
      <c r="M989" s="163">
        <v>0.51239999999999997</v>
      </c>
      <c r="N989" s="163">
        <v>3.1469999999999998</v>
      </c>
      <c r="O989" s="163">
        <v>98.380799999999994</v>
      </c>
      <c r="P989" s="163">
        <v>604.22400000000005</v>
      </c>
      <c r="Q989" s="163">
        <v>12.79</v>
      </c>
      <c r="R989" s="163">
        <v>176.78</v>
      </c>
      <c r="S989" s="163">
        <v>345</v>
      </c>
      <c r="T989" s="163">
        <v>33941.379999999997</v>
      </c>
      <c r="U989" s="163"/>
      <c r="V989" s="163"/>
    </row>
    <row r="990" spans="1:22" ht="60.75" customHeight="1" x14ac:dyDescent="0.25">
      <c r="A990" s="171" t="s">
        <v>3508</v>
      </c>
      <c r="B990" s="163" t="s">
        <v>34</v>
      </c>
      <c r="C990" s="163" t="s">
        <v>16</v>
      </c>
      <c r="D990" s="172">
        <v>44847</v>
      </c>
      <c r="E990" s="187" t="s">
        <v>23</v>
      </c>
      <c r="F990" s="187">
        <v>420</v>
      </c>
      <c r="G990" s="187">
        <v>348</v>
      </c>
      <c r="H990" s="222" t="s">
        <v>3642</v>
      </c>
      <c r="I990" s="163"/>
      <c r="J990" s="164" t="s">
        <v>2423</v>
      </c>
      <c r="K990" s="145">
        <v>924</v>
      </c>
      <c r="L990" s="163" t="s">
        <v>359</v>
      </c>
      <c r="M990" s="163">
        <v>0.29970000000000002</v>
      </c>
      <c r="N990" s="163">
        <v>1.6739999999999999</v>
      </c>
      <c r="O990" s="163">
        <v>276.9228</v>
      </c>
      <c r="P990" s="163">
        <v>1546.7760000000001</v>
      </c>
      <c r="Q990" s="163">
        <v>36</v>
      </c>
      <c r="R990" s="163">
        <v>102.8</v>
      </c>
      <c r="S990" s="163">
        <v>343</v>
      </c>
      <c r="T990" s="163">
        <v>94987.199999999997</v>
      </c>
      <c r="U990" s="163"/>
      <c r="V990" s="163"/>
    </row>
    <row r="991" spans="1:22" ht="15.75" customHeight="1" x14ac:dyDescent="0.25">
      <c r="A991" s="167">
        <v>432</v>
      </c>
      <c r="B991" s="162" t="s">
        <v>34</v>
      </c>
      <c r="C991" s="162" t="s">
        <v>19</v>
      </c>
      <c r="D991" s="168">
        <v>44847</v>
      </c>
      <c r="E991" s="187" t="s">
        <v>23</v>
      </c>
      <c r="F991" s="187"/>
      <c r="G991" s="187">
        <f>466.2+913.9</f>
        <v>1380.1</v>
      </c>
      <c r="H991" s="162" t="s">
        <v>3562</v>
      </c>
      <c r="I991" s="162"/>
      <c r="J991" s="169" t="s">
        <v>2594</v>
      </c>
      <c r="K991" s="142">
        <v>1380.1</v>
      </c>
      <c r="L991" s="162" t="s">
        <v>332</v>
      </c>
      <c r="M991" s="162">
        <v>0.3402</v>
      </c>
      <c r="N991" s="162">
        <v>1.4530000000000001</v>
      </c>
      <c r="O991" s="162">
        <v>469.51</v>
      </c>
      <c r="P991" s="162">
        <v>2005.2853</v>
      </c>
      <c r="Q991" s="162">
        <v>61.04</v>
      </c>
      <c r="R991" s="162">
        <v>72.459999999999994</v>
      </c>
      <c r="S991" s="162">
        <v>213</v>
      </c>
      <c r="T991" s="162">
        <v>100005.63</v>
      </c>
      <c r="U991" s="162"/>
      <c r="V991" s="162"/>
    </row>
    <row r="992" spans="1:22" ht="15.75" customHeight="1" x14ac:dyDescent="0.25">
      <c r="A992" s="167">
        <v>432</v>
      </c>
      <c r="B992" s="162" t="s">
        <v>34</v>
      </c>
      <c r="C992" s="162" t="s">
        <v>19</v>
      </c>
      <c r="D992" s="168">
        <v>44847</v>
      </c>
      <c r="E992" s="187" t="s">
        <v>23</v>
      </c>
      <c r="F992" s="218"/>
      <c r="G992" s="218">
        <v>1465.2</v>
      </c>
      <c r="H992" s="162" t="s">
        <v>3563</v>
      </c>
      <c r="I992" s="162"/>
      <c r="J992" s="169" t="s">
        <v>2596</v>
      </c>
      <c r="K992" s="142">
        <v>1465.2</v>
      </c>
      <c r="L992" s="162" t="s">
        <v>3111</v>
      </c>
      <c r="M992" s="162">
        <v>0.11600000000000001</v>
      </c>
      <c r="N992" s="162">
        <v>0.29399999999999998</v>
      </c>
      <c r="O992" s="162">
        <v>169.9632</v>
      </c>
      <c r="P992" s="162">
        <v>430.7688</v>
      </c>
      <c r="Q992" s="162">
        <v>22.1</v>
      </c>
      <c r="R992" s="162">
        <v>24.71</v>
      </c>
      <c r="S992" s="162">
        <v>213</v>
      </c>
      <c r="T992" s="162">
        <v>36202.160000000003</v>
      </c>
      <c r="U992" s="162"/>
      <c r="V992" s="162"/>
    </row>
    <row r="993" spans="1:22" ht="15.75" customHeight="1" x14ac:dyDescent="0.25">
      <c r="A993" s="167">
        <v>432</v>
      </c>
      <c r="B993" s="162" t="s">
        <v>34</v>
      </c>
      <c r="C993" s="162" t="s">
        <v>19</v>
      </c>
      <c r="D993" s="168">
        <v>44847</v>
      </c>
      <c r="E993" s="187" t="s">
        <v>23</v>
      </c>
      <c r="F993" s="218"/>
      <c r="G993" s="218">
        <v>911.95</v>
      </c>
      <c r="H993" s="162" t="s">
        <v>3563</v>
      </c>
      <c r="I993" s="163"/>
      <c r="J993" s="164" t="s">
        <v>3509</v>
      </c>
      <c r="K993" s="145">
        <v>911.95</v>
      </c>
      <c r="L993" s="163" t="s">
        <v>3214</v>
      </c>
      <c r="M993" s="163">
        <v>0.11600000000000001</v>
      </c>
      <c r="N993" s="163">
        <v>0.29399999999999998</v>
      </c>
      <c r="O993" s="163">
        <v>105.78619999999999</v>
      </c>
      <c r="P993" s="163">
        <v>268.11329999999998</v>
      </c>
      <c r="Q993" s="163">
        <v>13.75</v>
      </c>
      <c r="R993" s="163">
        <v>24.71</v>
      </c>
      <c r="S993" s="163">
        <v>213</v>
      </c>
      <c r="T993" s="163">
        <v>22532.46</v>
      </c>
      <c r="U993" s="163"/>
      <c r="V993" s="163"/>
    </row>
    <row r="994" spans="1:22" ht="15.75" customHeight="1" x14ac:dyDescent="0.25">
      <c r="A994" s="171">
        <v>433</v>
      </c>
      <c r="B994" s="163" t="s">
        <v>13</v>
      </c>
      <c r="C994" s="163" t="s">
        <v>2973</v>
      </c>
      <c r="D994" s="172">
        <v>44847</v>
      </c>
      <c r="E994" s="187" t="s">
        <v>23</v>
      </c>
      <c r="F994" s="187">
        <v>207</v>
      </c>
      <c r="G994" s="187"/>
      <c r="H994" s="163"/>
      <c r="I994" s="163"/>
      <c r="J994" s="164" t="s">
        <v>1753</v>
      </c>
      <c r="K994" s="163">
        <v>1014.3</v>
      </c>
      <c r="L994" s="163" t="s">
        <v>152</v>
      </c>
      <c r="M994" s="163">
        <v>0.247</v>
      </c>
      <c r="N994" s="163">
        <v>0.498</v>
      </c>
      <c r="O994" s="163">
        <v>250.53210000000001</v>
      </c>
      <c r="P994" s="163">
        <v>505.12139999999999</v>
      </c>
      <c r="Q994" s="163">
        <v>32.57</v>
      </c>
      <c r="R994" s="163">
        <v>84.72</v>
      </c>
      <c r="S994" s="163">
        <v>343</v>
      </c>
      <c r="T994" s="163">
        <v>85932.51</v>
      </c>
      <c r="U994" s="163"/>
      <c r="V994" s="163"/>
    </row>
    <row r="995" spans="1:22" ht="0.75" customHeight="1" x14ac:dyDescent="0.25">
      <c r="A995" s="171">
        <v>434</v>
      </c>
      <c r="B995" s="163" t="s">
        <v>13</v>
      </c>
      <c r="C995" s="163" t="s">
        <v>32</v>
      </c>
      <c r="D995" s="172">
        <v>44847</v>
      </c>
      <c r="E995" s="187" t="s">
        <v>23</v>
      </c>
      <c r="F995" s="187"/>
      <c r="G995" s="187"/>
      <c r="H995" s="163"/>
      <c r="I995" s="163"/>
      <c r="J995" s="164" t="s">
        <v>3431</v>
      </c>
      <c r="K995" s="163">
        <v>20.75</v>
      </c>
      <c r="L995" s="163" t="s">
        <v>364</v>
      </c>
      <c r="M995" s="163">
        <v>0.1469</v>
      </c>
      <c r="N995" s="163">
        <v>1.427</v>
      </c>
      <c r="O995" s="163">
        <v>3.0482</v>
      </c>
      <c r="P995" s="163">
        <v>29.610299999999999</v>
      </c>
      <c r="Q995" s="163">
        <v>0.4</v>
      </c>
      <c r="R995" s="163">
        <v>42.16</v>
      </c>
      <c r="S995" s="163">
        <v>287</v>
      </c>
      <c r="T995" s="163">
        <v>874.83</v>
      </c>
      <c r="U995" s="163"/>
      <c r="V995" s="163"/>
    </row>
    <row r="996" spans="1:22" s="14" customFormat="1" ht="15.75" customHeight="1" x14ac:dyDescent="0.25">
      <c r="A996" s="147">
        <v>435</v>
      </c>
      <c r="B996" s="145" t="s">
        <v>13</v>
      </c>
      <c r="C996" s="145" t="s">
        <v>32</v>
      </c>
      <c r="D996" s="148">
        <v>44847</v>
      </c>
      <c r="E996" s="241" t="s">
        <v>23</v>
      </c>
      <c r="F996" s="241">
        <v>86</v>
      </c>
      <c r="G996" s="241"/>
      <c r="H996" s="145" t="s">
        <v>1973</v>
      </c>
      <c r="I996" s="145"/>
      <c r="J996" s="146" t="s">
        <v>3303</v>
      </c>
      <c r="K996" s="145">
        <v>454.5</v>
      </c>
      <c r="L996" s="145" t="s">
        <v>235</v>
      </c>
      <c r="M996" s="145">
        <v>0.2651</v>
      </c>
      <c r="N996" s="145">
        <v>0.82099999999999995</v>
      </c>
      <c r="O996" s="145">
        <v>120.488</v>
      </c>
      <c r="P996" s="145">
        <v>373.14449999999999</v>
      </c>
      <c r="Q996" s="145">
        <v>15.66</v>
      </c>
      <c r="R996" s="145">
        <v>64.42</v>
      </c>
      <c r="S996" s="145">
        <v>243</v>
      </c>
      <c r="T996" s="145">
        <v>29278.57</v>
      </c>
      <c r="U996" s="145"/>
      <c r="V996" s="145"/>
    </row>
    <row r="997" spans="1:22" s="14" customFormat="1" ht="15.75" customHeight="1" x14ac:dyDescent="0.25">
      <c r="A997" s="141">
        <v>436</v>
      </c>
      <c r="B997" s="145" t="s">
        <v>13</v>
      </c>
      <c r="C997" s="145" t="s">
        <v>32</v>
      </c>
      <c r="D997" s="148">
        <v>44847</v>
      </c>
      <c r="E997" s="242" t="s">
        <v>23</v>
      </c>
      <c r="F997" s="242">
        <v>89</v>
      </c>
      <c r="G997" s="242"/>
      <c r="H997" s="142" t="s">
        <v>1669</v>
      </c>
      <c r="I997" s="142"/>
      <c r="J997" s="144" t="s">
        <v>3301</v>
      </c>
      <c r="K997" s="142">
        <v>400.5</v>
      </c>
      <c r="L997" s="142" t="s">
        <v>235</v>
      </c>
      <c r="M997" s="142">
        <v>0.2651</v>
      </c>
      <c r="N997" s="142">
        <v>0.82099999999999995</v>
      </c>
      <c r="O997" s="142">
        <v>106.1726</v>
      </c>
      <c r="P997" s="142">
        <v>328.81049999999999</v>
      </c>
      <c r="Q997" s="142">
        <v>13.8</v>
      </c>
      <c r="R997" s="142">
        <v>81.92</v>
      </c>
      <c r="S997" s="142">
        <v>309</v>
      </c>
      <c r="T997" s="142">
        <v>32808.959999999999</v>
      </c>
      <c r="U997" s="142"/>
      <c r="V997" s="142"/>
    </row>
    <row r="998" spans="1:22" s="28" customFormat="1" ht="15.75" customHeight="1" x14ac:dyDescent="0.25">
      <c r="A998" s="254">
        <v>436</v>
      </c>
      <c r="B998" s="150" t="s">
        <v>13</v>
      </c>
      <c r="C998" s="150" t="s">
        <v>32</v>
      </c>
      <c r="D998" s="255">
        <v>44847</v>
      </c>
      <c r="E998" s="256" t="s">
        <v>23</v>
      </c>
      <c r="F998" s="258">
        <v>56</v>
      </c>
      <c r="G998" s="258"/>
      <c r="H998" s="149" t="s">
        <v>1669</v>
      </c>
      <c r="I998" s="150"/>
      <c r="J998" s="257" t="s">
        <v>3303</v>
      </c>
      <c r="K998" s="150">
        <v>303</v>
      </c>
      <c r="L998" s="150" t="s">
        <v>308</v>
      </c>
      <c r="M998" s="150">
        <v>0.2651</v>
      </c>
      <c r="N998" s="150">
        <v>0.82099999999999995</v>
      </c>
      <c r="O998" s="150">
        <v>80.325299999999999</v>
      </c>
      <c r="P998" s="150">
        <v>248.76300000000001</v>
      </c>
      <c r="Q998" s="150">
        <v>10.44</v>
      </c>
      <c r="R998" s="150">
        <v>81.92</v>
      </c>
      <c r="S998" s="150">
        <v>309</v>
      </c>
      <c r="T998" s="150">
        <v>24820.52</v>
      </c>
      <c r="U998" s="150"/>
      <c r="V998" s="150"/>
    </row>
    <row r="999" spans="1:22" s="28" customFormat="1" ht="15.75" customHeight="1" x14ac:dyDescent="0.25">
      <c r="A999" s="254">
        <v>439</v>
      </c>
      <c r="B999" s="150" t="s">
        <v>13</v>
      </c>
      <c r="C999" s="150" t="s">
        <v>595</v>
      </c>
      <c r="D999" s="255">
        <v>44847</v>
      </c>
      <c r="E999" s="256" t="s">
        <v>23</v>
      </c>
      <c r="F999" s="258"/>
      <c r="G999" s="258"/>
      <c r="H999" s="150"/>
      <c r="I999" s="150"/>
      <c r="J999" s="257" t="s">
        <v>3511</v>
      </c>
      <c r="K999" s="150">
        <v>84</v>
      </c>
      <c r="L999" s="150" t="s">
        <v>115</v>
      </c>
      <c r="M999" s="150">
        <v>0.42199999999999999</v>
      </c>
      <c r="N999" s="150">
        <v>1.389</v>
      </c>
      <c r="O999" s="150">
        <v>35.448</v>
      </c>
      <c r="P999" s="150">
        <v>116.676</v>
      </c>
      <c r="Q999" s="150">
        <v>4.6100000000000003</v>
      </c>
      <c r="R999" s="150">
        <v>120.27</v>
      </c>
      <c r="S999" s="150">
        <v>285</v>
      </c>
      <c r="T999" s="150">
        <v>10102.68</v>
      </c>
      <c r="U999" s="150"/>
      <c r="V999" s="150"/>
    </row>
    <row r="1000" spans="1:22" s="28" customFormat="1" ht="15.75" customHeight="1" x14ac:dyDescent="0.25">
      <c r="A1000" s="283" t="s">
        <v>2051</v>
      </c>
      <c r="B1000" s="150" t="s">
        <v>13</v>
      </c>
      <c r="C1000" s="149" t="s">
        <v>289</v>
      </c>
      <c r="D1000" s="275">
        <v>44848</v>
      </c>
      <c r="E1000" s="258" t="s">
        <v>23</v>
      </c>
      <c r="F1000" s="258"/>
      <c r="G1000" s="258"/>
      <c r="H1000" s="149" t="s">
        <v>2078</v>
      </c>
      <c r="I1000" s="149"/>
      <c r="J1000" s="284" t="s">
        <v>177</v>
      </c>
      <c r="K1000" s="149"/>
      <c r="L1000" s="149">
        <v>1</v>
      </c>
      <c r="M1000" s="149"/>
      <c r="N1000" s="149"/>
      <c r="O1000" s="149"/>
      <c r="P1000" s="149"/>
      <c r="Q1000" s="149"/>
      <c r="R1000" s="149"/>
      <c r="S1000" s="149"/>
      <c r="T1000" s="149" t="s">
        <v>796</v>
      </c>
      <c r="U1000" s="149"/>
      <c r="V1000" s="149"/>
    </row>
    <row r="1001" spans="1:22" ht="15.75" customHeight="1" x14ac:dyDescent="0.25">
      <c r="A1001" s="167" t="s">
        <v>2051</v>
      </c>
      <c r="B1001" s="163" t="s">
        <v>13</v>
      </c>
      <c r="C1001" s="162" t="s">
        <v>289</v>
      </c>
      <c r="D1001" s="168">
        <v>44848</v>
      </c>
      <c r="E1001" s="194" t="s">
        <v>23</v>
      </c>
      <c r="F1001" s="194"/>
      <c r="G1001" s="194"/>
      <c r="H1001" s="162" t="s">
        <v>2078</v>
      </c>
      <c r="I1001" s="162"/>
      <c r="J1001" s="169" t="s">
        <v>290</v>
      </c>
      <c r="K1001" s="162"/>
      <c r="L1001" s="162">
        <v>1</v>
      </c>
      <c r="M1001" s="162"/>
      <c r="N1001" s="162"/>
      <c r="O1001" s="162"/>
      <c r="P1001" s="162"/>
      <c r="Q1001" s="162"/>
      <c r="R1001" s="162"/>
      <c r="S1001" s="162"/>
      <c r="T1001" s="162" t="s">
        <v>1422</v>
      </c>
      <c r="U1001" s="162"/>
      <c r="V1001" s="162"/>
    </row>
    <row r="1002" spans="1:22" ht="15.75" customHeight="1" x14ac:dyDescent="0.25">
      <c r="A1002" s="167" t="s">
        <v>2051</v>
      </c>
      <c r="B1002" s="163" t="s">
        <v>13</v>
      </c>
      <c r="C1002" s="162" t="s">
        <v>289</v>
      </c>
      <c r="D1002" s="168">
        <v>44848</v>
      </c>
      <c r="E1002" s="194" t="s">
        <v>23</v>
      </c>
      <c r="F1002" s="194"/>
      <c r="G1002" s="194"/>
      <c r="H1002" s="162" t="s">
        <v>2078</v>
      </c>
      <c r="I1002" s="163"/>
      <c r="J1002" s="164" t="s">
        <v>241</v>
      </c>
      <c r="K1002" s="163"/>
      <c r="L1002" s="163">
        <v>1</v>
      </c>
      <c r="M1002" s="163"/>
      <c r="N1002" s="163"/>
      <c r="O1002" s="163"/>
      <c r="P1002" s="163"/>
      <c r="Q1002" s="163"/>
      <c r="R1002" s="163"/>
      <c r="S1002" s="163"/>
      <c r="T1002" s="163" t="s">
        <v>269</v>
      </c>
      <c r="U1002" s="163"/>
      <c r="V1002" s="163"/>
    </row>
    <row r="1003" spans="1:22" ht="15.75" customHeight="1" x14ac:dyDescent="0.25">
      <c r="A1003" s="171" t="s">
        <v>3513</v>
      </c>
      <c r="B1003" s="163" t="s">
        <v>13</v>
      </c>
      <c r="C1003" s="163" t="s">
        <v>612</v>
      </c>
      <c r="D1003" s="168">
        <v>44848</v>
      </c>
      <c r="E1003" s="194" t="s">
        <v>23</v>
      </c>
      <c r="F1003" s="187"/>
      <c r="G1003" s="187">
        <v>12</v>
      </c>
      <c r="H1003" s="163"/>
      <c r="I1003" s="163"/>
      <c r="J1003" s="164" t="s">
        <v>3512</v>
      </c>
      <c r="K1003" s="163"/>
      <c r="L1003" s="163">
        <v>12</v>
      </c>
      <c r="M1003" s="163"/>
      <c r="N1003" s="163"/>
      <c r="O1003" s="163"/>
      <c r="P1003" s="163"/>
      <c r="Q1003" s="163"/>
      <c r="R1003" s="163"/>
      <c r="S1003" s="163"/>
      <c r="T1003" s="163">
        <v>22200</v>
      </c>
      <c r="U1003" s="163"/>
      <c r="V1003" s="163"/>
    </row>
    <row r="1004" spans="1:22" s="14" customFormat="1" ht="15.75" customHeight="1" x14ac:dyDescent="0.25">
      <c r="A1004" s="141" t="s">
        <v>2053</v>
      </c>
      <c r="B1004" s="145" t="s">
        <v>13</v>
      </c>
      <c r="C1004" s="142" t="s">
        <v>30</v>
      </c>
      <c r="D1004" s="143">
        <v>44848</v>
      </c>
      <c r="E1004" s="242" t="s">
        <v>23</v>
      </c>
      <c r="F1004" s="242"/>
      <c r="G1004" s="242"/>
      <c r="H1004" s="142" t="s">
        <v>2078</v>
      </c>
      <c r="I1004" s="142"/>
      <c r="J1004" s="144" t="s">
        <v>731</v>
      </c>
      <c r="K1004" s="142"/>
      <c r="L1004" s="142" t="s">
        <v>318</v>
      </c>
      <c r="M1004" s="142"/>
      <c r="N1004" s="142"/>
      <c r="O1004" s="142"/>
      <c r="P1004" s="142"/>
      <c r="Q1004" s="142"/>
      <c r="R1004" s="142"/>
      <c r="S1004" s="142"/>
      <c r="T1004" s="142" t="s">
        <v>3520</v>
      </c>
      <c r="U1004" s="142"/>
      <c r="V1004" s="142"/>
    </row>
    <row r="1005" spans="1:22" s="14" customFormat="1" ht="15.75" customHeight="1" x14ac:dyDescent="0.25">
      <c r="A1005" s="141" t="s">
        <v>2053</v>
      </c>
      <c r="B1005" s="145" t="s">
        <v>13</v>
      </c>
      <c r="C1005" s="142" t="s">
        <v>30</v>
      </c>
      <c r="D1005" s="143">
        <v>44848</v>
      </c>
      <c r="E1005" s="242" t="s">
        <v>23</v>
      </c>
      <c r="F1005" s="242"/>
      <c r="G1005" s="242"/>
      <c r="H1005" s="142" t="s">
        <v>2078</v>
      </c>
      <c r="I1005" s="142"/>
      <c r="J1005" s="144" t="s">
        <v>742</v>
      </c>
      <c r="K1005" s="142"/>
      <c r="L1005" s="142" t="s">
        <v>123</v>
      </c>
      <c r="M1005" s="142"/>
      <c r="N1005" s="142"/>
      <c r="O1005" s="142"/>
      <c r="P1005" s="142"/>
      <c r="Q1005" s="142"/>
      <c r="R1005" s="142"/>
      <c r="S1005" s="142"/>
      <c r="T1005" s="142" t="s">
        <v>3156</v>
      </c>
      <c r="U1005" s="142"/>
      <c r="V1005" s="142"/>
    </row>
    <row r="1006" spans="1:22" s="14" customFormat="1" ht="15.75" customHeight="1" x14ac:dyDescent="0.25">
      <c r="A1006" s="141" t="s">
        <v>2053</v>
      </c>
      <c r="B1006" s="145" t="s">
        <v>13</v>
      </c>
      <c r="C1006" s="142" t="s">
        <v>30</v>
      </c>
      <c r="D1006" s="143">
        <v>44848</v>
      </c>
      <c r="E1006" s="242" t="s">
        <v>23</v>
      </c>
      <c r="F1006" s="242"/>
      <c r="G1006" s="242"/>
      <c r="H1006" s="142" t="s">
        <v>2078</v>
      </c>
      <c r="I1006" s="142"/>
      <c r="J1006" s="144" t="s">
        <v>744</v>
      </c>
      <c r="K1006" s="142"/>
      <c r="L1006" s="142" t="s">
        <v>226</v>
      </c>
      <c r="M1006" s="142"/>
      <c r="N1006" s="142"/>
      <c r="O1006" s="142"/>
      <c r="P1006" s="142"/>
      <c r="Q1006" s="142"/>
      <c r="R1006" s="142"/>
      <c r="S1006" s="142"/>
      <c r="T1006" s="142" t="s">
        <v>157</v>
      </c>
      <c r="U1006" s="142"/>
      <c r="V1006" s="142"/>
    </row>
    <row r="1007" spans="1:22" s="14" customFormat="1" ht="15.75" customHeight="1" x14ac:dyDescent="0.25">
      <c r="A1007" s="141" t="s">
        <v>2053</v>
      </c>
      <c r="B1007" s="145" t="s">
        <v>13</v>
      </c>
      <c r="C1007" s="142" t="s">
        <v>30</v>
      </c>
      <c r="D1007" s="143">
        <v>44848</v>
      </c>
      <c r="E1007" s="242" t="s">
        <v>23</v>
      </c>
      <c r="F1007" s="242"/>
      <c r="G1007" s="242"/>
      <c r="H1007" s="142" t="s">
        <v>2078</v>
      </c>
      <c r="I1007" s="142"/>
      <c r="J1007" s="144" t="s">
        <v>733</v>
      </c>
      <c r="K1007" s="142"/>
      <c r="L1007" s="142" t="s">
        <v>123</v>
      </c>
      <c r="M1007" s="142"/>
      <c r="N1007" s="142"/>
      <c r="O1007" s="142"/>
      <c r="P1007" s="142"/>
      <c r="Q1007" s="142"/>
      <c r="R1007" s="142"/>
      <c r="S1007" s="142"/>
      <c r="T1007" s="142" t="s">
        <v>183</v>
      </c>
      <c r="U1007" s="142"/>
      <c r="V1007" s="142"/>
    </row>
    <row r="1008" spans="1:22" s="14" customFormat="1" ht="15.75" customHeight="1" x14ac:dyDescent="0.25">
      <c r="A1008" s="141" t="s">
        <v>2053</v>
      </c>
      <c r="B1008" s="145" t="s">
        <v>13</v>
      </c>
      <c r="C1008" s="142" t="s">
        <v>30</v>
      </c>
      <c r="D1008" s="143">
        <v>44848</v>
      </c>
      <c r="E1008" s="242" t="s">
        <v>23</v>
      </c>
      <c r="F1008" s="242"/>
      <c r="G1008" s="242"/>
      <c r="H1008" s="142" t="s">
        <v>2078</v>
      </c>
      <c r="I1008" s="142"/>
      <c r="J1008" s="144" t="s">
        <v>1255</v>
      </c>
      <c r="K1008" s="142"/>
      <c r="L1008" s="142" t="s">
        <v>123</v>
      </c>
      <c r="M1008" s="142"/>
      <c r="N1008" s="142"/>
      <c r="O1008" s="142"/>
      <c r="P1008" s="142"/>
      <c r="Q1008" s="142"/>
      <c r="R1008" s="142"/>
      <c r="S1008" s="142"/>
      <c r="T1008" s="142" t="s">
        <v>724</v>
      </c>
      <c r="U1008" s="142"/>
      <c r="V1008" s="142"/>
    </row>
    <row r="1009" spans="1:22" s="14" customFormat="1" ht="15.75" customHeight="1" x14ac:dyDescent="0.25">
      <c r="A1009" s="141" t="s">
        <v>2053</v>
      </c>
      <c r="B1009" s="145" t="s">
        <v>13</v>
      </c>
      <c r="C1009" s="142" t="s">
        <v>30</v>
      </c>
      <c r="D1009" s="143">
        <v>44848</v>
      </c>
      <c r="E1009" s="242" t="s">
        <v>23</v>
      </c>
      <c r="F1009" s="242"/>
      <c r="G1009" s="242"/>
      <c r="H1009" s="142" t="s">
        <v>2078</v>
      </c>
      <c r="I1009" s="142"/>
      <c r="J1009" s="144" t="s">
        <v>739</v>
      </c>
      <c r="K1009" s="142"/>
      <c r="L1009" s="142" t="s">
        <v>108</v>
      </c>
      <c r="M1009" s="142"/>
      <c r="N1009" s="142"/>
      <c r="O1009" s="142"/>
      <c r="P1009" s="142"/>
      <c r="Q1009" s="142"/>
      <c r="R1009" s="142"/>
      <c r="S1009" s="142"/>
      <c r="T1009" s="142" t="s">
        <v>182</v>
      </c>
      <c r="U1009" s="142"/>
      <c r="V1009" s="142"/>
    </row>
    <row r="1010" spans="1:22" s="14" customFormat="1" ht="15.75" customHeight="1" x14ac:dyDescent="0.25">
      <c r="A1010" s="141" t="s">
        <v>2053</v>
      </c>
      <c r="B1010" s="145" t="s">
        <v>13</v>
      </c>
      <c r="C1010" s="142" t="s">
        <v>30</v>
      </c>
      <c r="D1010" s="143">
        <v>44848</v>
      </c>
      <c r="E1010" s="242" t="s">
        <v>23</v>
      </c>
      <c r="F1010" s="242"/>
      <c r="G1010" s="242"/>
      <c r="H1010" s="142" t="s">
        <v>2078</v>
      </c>
      <c r="I1010" s="142"/>
      <c r="J1010" s="144" t="s">
        <v>740</v>
      </c>
      <c r="K1010" s="142"/>
      <c r="L1010" s="142" t="s">
        <v>268</v>
      </c>
      <c r="M1010" s="142"/>
      <c r="N1010" s="142"/>
      <c r="O1010" s="142"/>
      <c r="P1010" s="142"/>
      <c r="Q1010" s="142"/>
      <c r="R1010" s="142"/>
      <c r="S1010" s="142"/>
      <c r="T1010" s="142" t="s">
        <v>3521</v>
      </c>
      <c r="U1010" s="142"/>
      <c r="V1010" s="142"/>
    </row>
    <row r="1011" spans="1:22" s="14" customFormat="1" ht="15.75" customHeight="1" x14ac:dyDescent="0.25">
      <c r="A1011" s="141" t="s">
        <v>2053</v>
      </c>
      <c r="B1011" s="145" t="s">
        <v>13</v>
      </c>
      <c r="C1011" s="142" t="s">
        <v>30</v>
      </c>
      <c r="D1011" s="143">
        <v>44848</v>
      </c>
      <c r="E1011" s="242" t="s">
        <v>23</v>
      </c>
      <c r="F1011" s="242"/>
      <c r="G1011" s="242"/>
      <c r="H1011" s="142" t="s">
        <v>2078</v>
      </c>
      <c r="I1011" s="142"/>
      <c r="J1011" s="144" t="s">
        <v>1243</v>
      </c>
      <c r="K1011" s="142"/>
      <c r="L1011" s="142" t="s">
        <v>108</v>
      </c>
      <c r="M1011" s="142"/>
      <c r="N1011" s="142"/>
      <c r="O1011" s="142"/>
      <c r="P1011" s="142"/>
      <c r="Q1011" s="142"/>
      <c r="R1011" s="142"/>
      <c r="S1011" s="142"/>
      <c r="T1011" s="142" t="s">
        <v>3522</v>
      </c>
      <c r="U1011" s="142"/>
      <c r="V1011" s="142"/>
    </row>
    <row r="1012" spans="1:22" s="14" customFormat="1" ht="15.75" customHeight="1" x14ac:dyDescent="0.25">
      <c r="A1012" s="141" t="s">
        <v>2053</v>
      </c>
      <c r="B1012" s="145" t="s">
        <v>13</v>
      </c>
      <c r="C1012" s="142" t="s">
        <v>30</v>
      </c>
      <c r="D1012" s="143">
        <v>44848</v>
      </c>
      <c r="E1012" s="242" t="s">
        <v>23</v>
      </c>
      <c r="F1012" s="242"/>
      <c r="G1012" s="242"/>
      <c r="H1012" s="142" t="s">
        <v>2078</v>
      </c>
      <c r="I1012" s="145"/>
      <c r="J1012" s="146" t="s">
        <v>741</v>
      </c>
      <c r="K1012" s="145"/>
      <c r="L1012" s="145" t="s">
        <v>96</v>
      </c>
      <c r="M1012" s="145"/>
      <c r="N1012" s="145"/>
      <c r="O1012" s="145"/>
      <c r="P1012" s="145"/>
      <c r="Q1012" s="145"/>
      <c r="R1012" s="145"/>
      <c r="S1012" s="145"/>
      <c r="T1012" s="145" t="s">
        <v>486</v>
      </c>
      <c r="U1012" s="145"/>
      <c r="V1012" s="145"/>
    </row>
    <row r="1013" spans="1:22" s="14" customFormat="1" ht="15.75" customHeight="1" x14ac:dyDescent="0.25">
      <c r="A1013" s="141" t="s">
        <v>2060</v>
      </c>
      <c r="B1013" s="145" t="s">
        <v>13</v>
      </c>
      <c r="C1013" s="142" t="s">
        <v>30</v>
      </c>
      <c r="D1013" s="143">
        <v>44848</v>
      </c>
      <c r="E1013" s="242" t="s">
        <v>23</v>
      </c>
      <c r="F1013" s="242"/>
      <c r="G1013" s="242"/>
      <c r="H1013" s="142" t="s">
        <v>2078</v>
      </c>
      <c r="I1013" s="142"/>
      <c r="J1013" s="144" t="s">
        <v>99</v>
      </c>
      <c r="K1013" s="142"/>
      <c r="L1013" s="142" t="s">
        <v>125</v>
      </c>
      <c r="M1013" s="142"/>
      <c r="N1013" s="142"/>
      <c r="O1013" s="142"/>
      <c r="P1013" s="142"/>
      <c r="Q1013" s="142"/>
      <c r="R1013" s="142"/>
      <c r="S1013" s="142"/>
      <c r="T1013" s="142" t="s">
        <v>965</v>
      </c>
      <c r="U1013" s="142"/>
      <c r="V1013" s="142"/>
    </row>
    <row r="1014" spans="1:22" s="14" customFormat="1" ht="15.75" customHeight="1" x14ac:dyDescent="0.25">
      <c r="A1014" s="141" t="s">
        <v>2060</v>
      </c>
      <c r="B1014" s="145" t="s">
        <v>13</v>
      </c>
      <c r="C1014" s="142" t="s">
        <v>30</v>
      </c>
      <c r="D1014" s="143">
        <v>44848</v>
      </c>
      <c r="E1014" s="242" t="s">
        <v>23</v>
      </c>
      <c r="F1014" s="242"/>
      <c r="G1014" s="242"/>
      <c r="H1014" s="142" t="s">
        <v>2078</v>
      </c>
      <c r="I1014" s="142"/>
      <c r="J1014" s="144" t="s">
        <v>102</v>
      </c>
      <c r="K1014" s="142"/>
      <c r="L1014" s="142" t="s">
        <v>125</v>
      </c>
      <c r="M1014" s="142"/>
      <c r="N1014" s="142"/>
      <c r="O1014" s="142"/>
      <c r="P1014" s="142"/>
      <c r="Q1014" s="142"/>
      <c r="R1014" s="142"/>
      <c r="S1014" s="142"/>
      <c r="T1014" s="142" t="s">
        <v>965</v>
      </c>
      <c r="U1014" s="142"/>
      <c r="V1014" s="142"/>
    </row>
    <row r="1015" spans="1:22" s="14" customFormat="1" ht="15.75" customHeight="1" x14ac:dyDescent="0.25">
      <c r="A1015" s="141" t="s">
        <v>2060</v>
      </c>
      <c r="B1015" s="145" t="s">
        <v>13</v>
      </c>
      <c r="C1015" s="142" t="s">
        <v>30</v>
      </c>
      <c r="D1015" s="143">
        <v>44848</v>
      </c>
      <c r="E1015" s="242" t="s">
        <v>23</v>
      </c>
      <c r="F1015" s="242"/>
      <c r="G1015" s="242"/>
      <c r="H1015" s="142" t="s">
        <v>2078</v>
      </c>
      <c r="I1015" s="142"/>
      <c r="J1015" s="144" t="s">
        <v>95</v>
      </c>
      <c r="K1015" s="142"/>
      <c r="L1015" s="142" t="s">
        <v>108</v>
      </c>
      <c r="M1015" s="142"/>
      <c r="N1015" s="142"/>
      <c r="O1015" s="142"/>
      <c r="P1015" s="142"/>
      <c r="Q1015" s="142"/>
      <c r="R1015" s="142"/>
      <c r="S1015" s="142"/>
      <c r="T1015" s="142" t="s">
        <v>3153</v>
      </c>
      <c r="U1015" s="142"/>
      <c r="V1015" s="142"/>
    </row>
    <row r="1016" spans="1:22" s="14" customFormat="1" ht="15.75" customHeight="1" x14ac:dyDescent="0.25">
      <c r="A1016" s="141" t="s">
        <v>2060</v>
      </c>
      <c r="B1016" s="145" t="s">
        <v>13</v>
      </c>
      <c r="C1016" s="142" t="s">
        <v>30</v>
      </c>
      <c r="D1016" s="143">
        <v>44848</v>
      </c>
      <c r="E1016" s="242" t="s">
        <v>23</v>
      </c>
      <c r="F1016" s="242"/>
      <c r="G1016" s="242"/>
      <c r="H1016" s="142" t="s">
        <v>2078</v>
      </c>
      <c r="I1016" s="142"/>
      <c r="J1016" s="144" t="s">
        <v>98</v>
      </c>
      <c r="K1016" s="142"/>
      <c r="L1016" s="142" t="s">
        <v>108</v>
      </c>
      <c r="M1016" s="142"/>
      <c r="N1016" s="142"/>
      <c r="O1016" s="142"/>
      <c r="P1016" s="142"/>
      <c r="Q1016" s="142"/>
      <c r="R1016" s="142"/>
      <c r="S1016" s="142"/>
      <c r="T1016" s="142" t="s">
        <v>3153</v>
      </c>
      <c r="U1016" s="142"/>
      <c r="V1016" s="142"/>
    </row>
    <row r="1017" spans="1:22" s="14" customFormat="1" ht="15.75" customHeight="1" x14ac:dyDescent="0.25">
      <c r="A1017" s="141" t="s">
        <v>2060</v>
      </c>
      <c r="B1017" s="145" t="s">
        <v>13</v>
      </c>
      <c r="C1017" s="142" t="s">
        <v>30</v>
      </c>
      <c r="D1017" s="143">
        <v>44848</v>
      </c>
      <c r="E1017" s="242" t="s">
        <v>23</v>
      </c>
      <c r="F1017" s="242"/>
      <c r="G1017" s="242"/>
      <c r="H1017" s="142" t="s">
        <v>2078</v>
      </c>
      <c r="I1017" s="142"/>
      <c r="J1017" s="144" t="s">
        <v>92</v>
      </c>
      <c r="K1017" s="142"/>
      <c r="L1017" s="142" t="s">
        <v>75</v>
      </c>
      <c r="M1017" s="142"/>
      <c r="N1017" s="142"/>
      <c r="O1017" s="142"/>
      <c r="P1017" s="142"/>
      <c r="Q1017" s="142"/>
      <c r="R1017" s="142"/>
      <c r="S1017" s="142"/>
      <c r="T1017" s="142" t="s">
        <v>494</v>
      </c>
      <c r="U1017" s="142"/>
      <c r="V1017" s="142"/>
    </row>
    <row r="1018" spans="1:22" s="14" customFormat="1" ht="15.75" customHeight="1" x14ac:dyDescent="0.25">
      <c r="A1018" s="141" t="s">
        <v>2060</v>
      </c>
      <c r="B1018" s="145" t="s">
        <v>13</v>
      </c>
      <c r="C1018" s="142" t="s">
        <v>30</v>
      </c>
      <c r="D1018" s="143">
        <v>44848</v>
      </c>
      <c r="E1018" s="242" t="s">
        <v>23</v>
      </c>
      <c r="F1018" s="242"/>
      <c r="G1018" s="242"/>
      <c r="H1018" s="142" t="s">
        <v>2078</v>
      </c>
      <c r="I1018" s="145"/>
      <c r="J1018" s="146" t="s">
        <v>94</v>
      </c>
      <c r="K1018" s="145"/>
      <c r="L1018" s="145" t="s">
        <v>75</v>
      </c>
      <c r="M1018" s="145"/>
      <c r="N1018" s="145"/>
      <c r="O1018" s="145"/>
      <c r="P1018" s="145"/>
      <c r="Q1018" s="145"/>
      <c r="R1018" s="145"/>
      <c r="S1018" s="145"/>
      <c r="T1018" s="145" t="s">
        <v>494</v>
      </c>
      <c r="U1018" s="145"/>
      <c r="V1018" s="145"/>
    </row>
    <row r="1019" spans="1:22" ht="15.75" customHeight="1" x14ac:dyDescent="0.25">
      <c r="A1019" s="167" t="s">
        <v>3514</v>
      </c>
      <c r="B1019" s="163" t="s">
        <v>13</v>
      </c>
      <c r="C1019" s="162" t="s">
        <v>30</v>
      </c>
      <c r="D1019" s="168">
        <v>44848</v>
      </c>
      <c r="E1019" s="258" t="s">
        <v>23</v>
      </c>
      <c r="F1019" s="187"/>
      <c r="G1019" s="187"/>
      <c r="H1019" s="162" t="s">
        <v>2078</v>
      </c>
      <c r="I1019" s="162"/>
      <c r="J1019" s="169" t="s">
        <v>214</v>
      </c>
      <c r="K1019" s="142"/>
      <c r="L1019" s="162" t="s">
        <v>123</v>
      </c>
      <c r="M1019" s="162"/>
      <c r="N1019" s="162"/>
      <c r="O1019" s="162"/>
      <c r="P1019" s="162"/>
      <c r="Q1019" s="162"/>
      <c r="R1019" s="162"/>
      <c r="S1019" s="162"/>
      <c r="T1019" s="162" t="s">
        <v>493</v>
      </c>
      <c r="U1019" s="162"/>
      <c r="V1019" s="162"/>
    </row>
    <row r="1020" spans="1:22" ht="15.75" customHeight="1" x14ac:dyDescent="0.25">
      <c r="A1020" s="167" t="s">
        <v>3514</v>
      </c>
      <c r="B1020" s="163" t="s">
        <v>13</v>
      </c>
      <c r="C1020" s="162" t="s">
        <v>30</v>
      </c>
      <c r="D1020" s="168">
        <v>44848</v>
      </c>
      <c r="E1020" s="258" t="s">
        <v>23</v>
      </c>
      <c r="F1020" s="194"/>
      <c r="G1020" s="194"/>
      <c r="H1020" s="162" t="s">
        <v>2078</v>
      </c>
      <c r="I1020" s="162"/>
      <c r="J1020" s="169" t="s">
        <v>215</v>
      </c>
      <c r="K1020" s="142"/>
      <c r="L1020" s="162" t="s">
        <v>123</v>
      </c>
      <c r="M1020" s="162"/>
      <c r="N1020" s="162"/>
      <c r="O1020" s="162"/>
      <c r="P1020" s="162"/>
      <c r="Q1020" s="162"/>
      <c r="R1020" s="162"/>
      <c r="S1020" s="162"/>
      <c r="T1020" s="162" t="s">
        <v>1711</v>
      </c>
      <c r="U1020" s="162"/>
      <c r="V1020" s="162"/>
    </row>
    <row r="1021" spans="1:22" ht="15.75" customHeight="1" x14ac:dyDescent="0.25">
      <c r="A1021" s="167" t="s">
        <v>3514</v>
      </c>
      <c r="B1021" s="163" t="s">
        <v>13</v>
      </c>
      <c r="C1021" s="162" t="s">
        <v>30</v>
      </c>
      <c r="D1021" s="168">
        <v>44848</v>
      </c>
      <c r="E1021" s="258" t="s">
        <v>23</v>
      </c>
      <c r="F1021" s="194"/>
      <c r="G1021" s="194"/>
      <c r="H1021" s="162" t="s">
        <v>2078</v>
      </c>
      <c r="I1021" s="162"/>
      <c r="J1021" s="169" t="s">
        <v>216</v>
      </c>
      <c r="K1021" s="142"/>
      <c r="L1021" s="162" t="s">
        <v>123</v>
      </c>
      <c r="M1021" s="162"/>
      <c r="N1021" s="162"/>
      <c r="O1021" s="162"/>
      <c r="P1021" s="162"/>
      <c r="Q1021" s="162"/>
      <c r="R1021" s="162"/>
      <c r="S1021" s="162"/>
      <c r="T1021" s="162" t="s">
        <v>1353</v>
      </c>
      <c r="U1021" s="162"/>
      <c r="V1021" s="162"/>
    </row>
    <row r="1022" spans="1:22" ht="15.75" customHeight="1" x14ac:dyDescent="0.25">
      <c r="A1022" s="167" t="s">
        <v>3514</v>
      </c>
      <c r="B1022" s="163" t="s">
        <v>13</v>
      </c>
      <c r="C1022" s="162" t="s">
        <v>30</v>
      </c>
      <c r="D1022" s="168">
        <v>44848</v>
      </c>
      <c r="E1022" s="258" t="s">
        <v>23</v>
      </c>
      <c r="F1022" s="194"/>
      <c r="G1022" s="194"/>
      <c r="H1022" s="162" t="s">
        <v>2078</v>
      </c>
      <c r="I1022" s="162"/>
      <c r="J1022" s="169" t="s">
        <v>219</v>
      </c>
      <c r="K1022" s="142"/>
      <c r="L1022" s="162" t="s">
        <v>123</v>
      </c>
      <c r="M1022" s="162"/>
      <c r="N1022" s="162"/>
      <c r="O1022" s="162"/>
      <c r="P1022" s="162"/>
      <c r="Q1022" s="162"/>
      <c r="R1022" s="162"/>
      <c r="S1022" s="162"/>
      <c r="T1022" s="162" t="s">
        <v>2577</v>
      </c>
      <c r="U1022" s="162"/>
      <c r="V1022" s="162"/>
    </row>
    <row r="1023" spans="1:22" ht="15.75" customHeight="1" x14ac:dyDescent="0.25">
      <c r="A1023" s="167" t="s">
        <v>3514</v>
      </c>
      <c r="B1023" s="163" t="s">
        <v>13</v>
      </c>
      <c r="C1023" s="162" t="s">
        <v>30</v>
      </c>
      <c r="D1023" s="168">
        <v>44848</v>
      </c>
      <c r="E1023" s="258" t="s">
        <v>23</v>
      </c>
      <c r="F1023" s="194"/>
      <c r="G1023" s="194"/>
      <c r="H1023" s="162" t="s">
        <v>2078</v>
      </c>
      <c r="I1023" s="162"/>
      <c r="J1023" s="169" t="s">
        <v>220</v>
      </c>
      <c r="K1023" s="142"/>
      <c r="L1023" s="162" t="s">
        <v>123</v>
      </c>
      <c r="M1023" s="162"/>
      <c r="N1023" s="162"/>
      <c r="O1023" s="162"/>
      <c r="P1023" s="162"/>
      <c r="Q1023" s="162"/>
      <c r="R1023" s="162"/>
      <c r="S1023" s="162"/>
      <c r="T1023" s="162" t="s">
        <v>798</v>
      </c>
      <c r="U1023" s="162"/>
      <c r="V1023" s="162"/>
    </row>
    <row r="1024" spans="1:22" ht="15.75" customHeight="1" x14ac:dyDescent="0.25">
      <c r="A1024" s="167" t="s">
        <v>3514</v>
      </c>
      <c r="B1024" s="163" t="s">
        <v>13</v>
      </c>
      <c r="C1024" s="162" t="s">
        <v>30</v>
      </c>
      <c r="D1024" s="168">
        <v>44848</v>
      </c>
      <c r="E1024" s="258" t="s">
        <v>23</v>
      </c>
      <c r="F1024" s="194"/>
      <c r="G1024" s="194"/>
      <c r="H1024" s="162" t="s">
        <v>2078</v>
      </c>
      <c r="I1024" s="163"/>
      <c r="J1024" s="164" t="s">
        <v>2728</v>
      </c>
      <c r="K1024" s="145"/>
      <c r="L1024" s="163" t="s">
        <v>3515</v>
      </c>
      <c r="M1024" s="163"/>
      <c r="N1024" s="163"/>
      <c r="O1024" s="163"/>
      <c r="P1024" s="163"/>
      <c r="Q1024" s="163"/>
      <c r="R1024" s="163"/>
      <c r="S1024" s="163"/>
      <c r="T1024" s="163" t="s">
        <v>3151</v>
      </c>
      <c r="U1024" s="163"/>
      <c r="V1024" s="163"/>
    </row>
    <row r="1025" spans="1:22" ht="15.75" customHeight="1" x14ac:dyDescent="0.25">
      <c r="A1025" s="171" t="s">
        <v>3516</v>
      </c>
      <c r="B1025" s="163" t="s">
        <v>13</v>
      </c>
      <c r="C1025" s="163" t="s">
        <v>384</v>
      </c>
      <c r="D1025" s="172">
        <v>44851</v>
      </c>
      <c r="E1025" s="187" t="s">
        <v>23</v>
      </c>
      <c r="F1025" s="187"/>
      <c r="G1025" s="187"/>
      <c r="H1025" s="162" t="s">
        <v>2078</v>
      </c>
      <c r="I1025" s="163"/>
      <c r="J1025" s="164" t="s">
        <v>1702</v>
      </c>
      <c r="K1025" s="145">
        <v>18</v>
      </c>
      <c r="L1025" s="163">
        <v>3</v>
      </c>
      <c r="M1025" s="163"/>
      <c r="N1025" s="163"/>
      <c r="O1025" s="163"/>
      <c r="P1025" s="163"/>
      <c r="Q1025" s="163"/>
      <c r="R1025" s="163"/>
      <c r="S1025" s="163"/>
      <c r="T1025" s="163">
        <v>3500</v>
      </c>
      <c r="U1025" s="163"/>
      <c r="V1025" s="163"/>
    </row>
    <row r="1026" spans="1:22" ht="15.75" customHeight="1" x14ac:dyDescent="0.25">
      <c r="A1026" s="171" t="s">
        <v>3523</v>
      </c>
      <c r="B1026" s="163" t="s">
        <v>13</v>
      </c>
      <c r="C1026" s="163" t="s">
        <v>3401</v>
      </c>
      <c r="D1026" s="172">
        <v>44851</v>
      </c>
      <c r="E1026" s="187" t="s">
        <v>23</v>
      </c>
      <c r="F1026" s="187"/>
      <c r="G1026" s="187"/>
      <c r="H1026" s="162" t="s">
        <v>2078</v>
      </c>
      <c r="I1026" s="163"/>
      <c r="J1026" s="164" t="s">
        <v>177</v>
      </c>
      <c r="K1026" s="145"/>
      <c r="L1026" s="163">
        <v>1</v>
      </c>
      <c r="M1026" s="163"/>
      <c r="N1026" s="163"/>
      <c r="O1026" s="163"/>
      <c r="P1026" s="163"/>
      <c r="Q1026" s="163"/>
      <c r="R1026" s="163"/>
      <c r="S1026" s="163"/>
      <c r="T1026" s="163">
        <v>1500</v>
      </c>
      <c r="U1026" s="163"/>
      <c r="V1026" s="163"/>
    </row>
    <row r="1027" spans="1:22" ht="15.75" customHeight="1" x14ac:dyDescent="0.25">
      <c r="A1027" s="171">
        <v>492</v>
      </c>
      <c r="B1027" s="163" t="s">
        <v>34</v>
      </c>
      <c r="C1027" s="163" t="s">
        <v>3526</v>
      </c>
      <c r="D1027" s="172">
        <v>44852</v>
      </c>
      <c r="E1027" s="187" t="s">
        <v>23</v>
      </c>
      <c r="F1027" s="187"/>
      <c r="G1027" s="187"/>
      <c r="H1027" s="163" t="s">
        <v>3527</v>
      </c>
      <c r="I1027" s="163"/>
      <c r="J1027" s="164" t="s">
        <v>3524</v>
      </c>
      <c r="K1027" s="145"/>
      <c r="L1027" s="163"/>
      <c r="M1027" s="163"/>
      <c r="N1027" s="163"/>
      <c r="O1027" s="163"/>
      <c r="P1027" s="163"/>
      <c r="Q1027" s="163"/>
      <c r="R1027" s="163"/>
      <c r="S1027" s="163"/>
      <c r="T1027" s="163" t="s">
        <v>3525</v>
      </c>
      <c r="U1027" s="163"/>
      <c r="V1027" s="163"/>
    </row>
    <row r="1028" spans="1:22" s="28" customFormat="1" ht="15.75" customHeight="1" x14ac:dyDescent="0.25">
      <c r="A1028" s="254">
        <v>443</v>
      </c>
      <c r="B1028" s="150" t="s">
        <v>13</v>
      </c>
      <c r="C1028" s="150" t="s">
        <v>1432</v>
      </c>
      <c r="D1028" s="255">
        <v>44853</v>
      </c>
      <c r="E1028" s="256" t="s">
        <v>23</v>
      </c>
      <c r="F1028" s="256"/>
      <c r="G1028" s="256"/>
      <c r="H1028" s="150"/>
      <c r="I1028" s="150"/>
      <c r="J1028" s="257" t="s">
        <v>3528</v>
      </c>
      <c r="K1028" s="150">
        <v>402</v>
      </c>
      <c r="L1028" s="150" t="s">
        <v>59</v>
      </c>
      <c r="M1028" s="150">
        <v>0.29759999999999998</v>
      </c>
      <c r="N1028" s="150">
        <v>0.67600000000000005</v>
      </c>
      <c r="O1028" s="150">
        <v>119.6352</v>
      </c>
      <c r="P1028" s="150">
        <v>271.75200000000001</v>
      </c>
      <c r="Q1028" s="150">
        <v>15.55</v>
      </c>
      <c r="R1028" s="150">
        <v>102.08</v>
      </c>
      <c r="S1028" s="150">
        <v>343</v>
      </c>
      <c r="T1028" s="150">
        <v>41034.870000000003</v>
      </c>
      <c r="U1028" s="150"/>
      <c r="V1028" s="150"/>
    </row>
    <row r="1029" spans="1:22" ht="15.75" customHeight="1" x14ac:dyDescent="0.25">
      <c r="A1029" s="171" t="s">
        <v>3529</v>
      </c>
      <c r="B1029" s="163" t="s">
        <v>34</v>
      </c>
      <c r="C1029" s="163" t="s">
        <v>1884</v>
      </c>
      <c r="D1029" s="172">
        <v>44853</v>
      </c>
      <c r="E1029" s="187" t="s">
        <v>23</v>
      </c>
      <c r="F1029" s="187"/>
      <c r="G1029" s="187"/>
      <c r="H1029" s="163"/>
      <c r="I1029" s="163"/>
      <c r="J1029" s="164" t="s">
        <v>3530</v>
      </c>
      <c r="K1029" s="145"/>
      <c r="L1029" s="163"/>
      <c r="M1029" s="163"/>
      <c r="N1029" s="163"/>
      <c r="O1029" s="163"/>
      <c r="P1029" s="163"/>
      <c r="Q1029" s="163"/>
      <c r="R1029" s="163"/>
      <c r="S1029" s="163"/>
      <c r="T1029" s="163" t="s">
        <v>3531</v>
      </c>
      <c r="U1029" s="163"/>
      <c r="V1029" s="163"/>
    </row>
    <row r="1030" spans="1:22" ht="15.75" customHeight="1" x14ac:dyDescent="0.25">
      <c r="A1030" s="167">
        <v>446</v>
      </c>
      <c r="B1030" s="162" t="s">
        <v>34</v>
      </c>
      <c r="C1030" s="162" t="s">
        <v>19</v>
      </c>
      <c r="D1030" s="168">
        <v>44854</v>
      </c>
      <c r="E1030" s="187" t="s">
        <v>23</v>
      </c>
      <c r="F1030" s="187"/>
      <c r="G1030" s="187"/>
      <c r="H1030" s="162" t="s">
        <v>3564</v>
      </c>
      <c r="I1030" s="162"/>
      <c r="J1030" s="169" t="s">
        <v>2596</v>
      </c>
      <c r="K1030" s="142">
        <v>222</v>
      </c>
      <c r="L1030" s="162" t="s">
        <v>308</v>
      </c>
      <c r="M1030" s="162">
        <v>0.11600000000000001</v>
      </c>
      <c r="N1030" s="162">
        <v>0.29399999999999998</v>
      </c>
      <c r="O1030" s="162">
        <v>25.751999999999999</v>
      </c>
      <c r="P1030" s="162">
        <v>65.268000000000001</v>
      </c>
      <c r="Q1030" s="162">
        <v>3.35</v>
      </c>
      <c r="R1030" s="162">
        <v>24.71</v>
      </c>
      <c r="S1030" s="162">
        <v>213</v>
      </c>
      <c r="T1030" s="162">
        <v>5485.18</v>
      </c>
      <c r="U1030" s="162"/>
      <c r="V1030" s="162"/>
    </row>
    <row r="1031" spans="1:22" ht="15.75" customHeight="1" x14ac:dyDescent="0.25">
      <c r="A1031" s="167">
        <v>446</v>
      </c>
      <c r="B1031" s="162" t="s">
        <v>34</v>
      </c>
      <c r="C1031" s="162" t="s">
        <v>19</v>
      </c>
      <c r="D1031" s="168">
        <v>44854</v>
      </c>
      <c r="E1031" s="187" t="s">
        <v>23</v>
      </c>
      <c r="F1031" s="218"/>
      <c r="G1031" s="218"/>
      <c r="H1031" s="163" t="s">
        <v>3565</v>
      </c>
      <c r="I1031" s="163"/>
      <c r="J1031" s="164" t="s">
        <v>3532</v>
      </c>
      <c r="K1031" s="145">
        <v>979.05</v>
      </c>
      <c r="L1031" s="163" t="s">
        <v>3264</v>
      </c>
      <c r="M1031" s="163">
        <v>0.3402</v>
      </c>
      <c r="N1031" s="163">
        <v>1.4530000000000001</v>
      </c>
      <c r="O1031" s="163">
        <v>333.07279999999997</v>
      </c>
      <c r="P1031" s="163">
        <v>1422.5597</v>
      </c>
      <c r="Q1031" s="163">
        <v>43.3</v>
      </c>
      <c r="R1031" s="163">
        <v>72.459999999999994</v>
      </c>
      <c r="S1031" s="163">
        <v>213</v>
      </c>
      <c r="T1031" s="163">
        <v>70944.509999999995</v>
      </c>
      <c r="U1031" s="163"/>
      <c r="V1031" s="163"/>
    </row>
    <row r="1032" spans="1:22" s="14" customFormat="1" ht="15.75" customHeight="1" x14ac:dyDescent="0.25">
      <c r="A1032" s="141" t="s">
        <v>2084</v>
      </c>
      <c r="B1032" s="142" t="s">
        <v>13</v>
      </c>
      <c r="C1032" s="142" t="s">
        <v>2399</v>
      </c>
      <c r="D1032" s="143">
        <v>44855</v>
      </c>
      <c r="E1032" s="256" t="s">
        <v>23</v>
      </c>
      <c r="F1032" s="242"/>
      <c r="G1032" s="242">
        <v>184</v>
      </c>
      <c r="H1032" s="142" t="s">
        <v>2078</v>
      </c>
      <c r="I1032" s="142"/>
      <c r="J1032" s="144" t="s">
        <v>3396</v>
      </c>
      <c r="K1032" s="142"/>
      <c r="L1032" s="142" t="s">
        <v>908</v>
      </c>
      <c r="M1032" s="142"/>
      <c r="N1032" s="142"/>
      <c r="O1032" s="142"/>
      <c r="P1032" s="142"/>
      <c r="Q1032" s="142"/>
      <c r="R1032" s="142"/>
      <c r="S1032" s="142"/>
      <c r="T1032" s="142" t="s">
        <v>3534</v>
      </c>
      <c r="U1032" s="142"/>
      <c r="V1032" s="142"/>
    </row>
    <row r="1033" spans="1:22" s="14" customFormat="1" ht="15.75" customHeight="1" x14ac:dyDescent="0.25">
      <c r="A1033" s="141" t="s">
        <v>2084</v>
      </c>
      <c r="B1033" s="142" t="s">
        <v>13</v>
      </c>
      <c r="C1033" s="142" t="s">
        <v>2399</v>
      </c>
      <c r="D1033" s="143">
        <v>44856</v>
      </c>
      <c r="E1033" s="256" t="s">
        <v>23</v>
      </c>
      <c r="F1033" s="242"/>
      <c r="G1033" s="242">
        <v>360</v>
      </c>
      <c r="H1033" s="142" t="s">
        <v>2078</v>
      </c>
      <c r="I1033" s="145"/>
      <c r="J1033" s="146" t="s">
        <v>3244</v>
      </c>
      <c r="K1033" s="145"/>
      <c r="L1033" s="145" t="s">
        <v>3533</v>
      </c>
      <c r="M1033" s="145"/>
      <c r="N1033" s="145"/>
      <c r="O1033" s="145"/>
      <c r="P1033" s="145"/>
      <c r="Q1033" s="145"/>
      <c r="R1033" s="145"/>
      <c r="S1033" s="145"/>
      <c r="T1033" s="145" t="s">
        <v>3535</v>
      </c>
      <c r="U1033" s="145"/>
      <c r="V1033" s="145"/>
    </row>
    <row r="1034" spans="1:22" s="14" customFormat="1" ht="15.75" customHeight="1" x14ac:dyDescent="0.25">
      <c r="A1034" s="147" t="s">
        <v>3536</v>
      </c>
      <c r="B1034" s="142" t="s">
        <v>13</v>
      </c>
      <c r="C1034" s="145" t="s">
        <v>37</v>
      </c>
      <c r="D1034" s="143">
        <v>44857</v>
      </c>
      <c r="E1034" s="241" t="s">
        <v>23</v>
      </c>
      <c r="F1034" s="241"/>
      <c r="G1034" s="241"/>
      <c r="H1034" s="145" t="s">
        <v>1821</v>
      </c>
      <c r="I1034" s="145"/>
      <c r="J1034" s="146" t="s">
        <v>3426</v>
      </c>
      <c r="K1034" s="145"/>
      <c r="L1034" s="145">
        <v>18</v>
      </c>
      <c r="M1034" s="145"/>
      <c r="N1034" s="145"/>
      <c r="O1034" s="145"/>
      <c r="P1034" s="145"/>
      <c r="Q1034" s="145"/>
      <c r="R1034" s="145"/>
      <c r="S1034" s="145"/>
      <c r="T1034" s="145">
        <v>45300</v>
      </c>
      <c r="U1034" s="145"/>
      <c r="V1034" s="145"/>
    </row>
    <row r="1035" spans="1:22" s="28" customFormat="1" ht="15.75" customHeight="1" x14ac:dyDescent="0.25">
      <c r="A1035" s="254" t="s">
        <v>3537</v>
      </c>
      <c r="B1035" s="150" t="s">
        <v>34</v>
      </c>
      <c r="C1035" s="150" t="s">
        <v>16</v>
      </c>
      <c r="D1035" s="255">
        <v>44854</v>
      </c>
      <c r="E1035" s="187" t="s">
        <v>23</v>
      </c>
      <c r="F1035" s="256">
        <v>1080</v>
      </c>
      <c r="G1035" s="256">
        <v>1044</v>
      </c>
      <c r="H1035" s="150" t="s">
        <v>3795</v>
      </c>
      <c r="I1035" s="150"/>
      <c r="J1035" s="257" t="s">
        <v>2845</v>
      </c>
      <c r="K1035" s="150">
        <v>2136</v>
      </c>
      <c r="L1035" s="150" t="s">
        <v>517</v>
      </c>
      <c r="M1035" s="150">
        <v>0.15909999999999999</v>
      </c>
      <c r="N1035" s="150">
        <v>0.26</v>
      </c>
      <c r="O1035" s="150">
        <v>339.83760000000001</v>
      </c>
      <c r="P1035" s="150">
        <v>555.36</v>
      </c>
      <c r="Q1035" s="150">
        <v>44.18</v>
      </c>
      <c r="R1035" s="150">
        <v>69.69</v>
      </c>
      <c r="S1035" s="150">
        <v>438</v>
      </c>
      <c r="T1035" s="150">
        <v>148848.87</v>
      </c>
      <c r="U1035" s="150"/>
      <c r="V1035" s="150"/>
    </row>
    <row r="1036" spans="1:22" s="14" customFormat="1" ht="15.75" customHeight="1" x14ac:dyDescent="0.25">
      <c r="A1036" s="141">
        <v>447</v>
      </c>
      <c r="B1036" s="142" t="s">
        <v>13</v>
      </c>
      <c r="C1036" s="142" t="s">
        <v>2973</v>
      </c>
      <c r="D1036" s="148">
        <v>44854</v>
      </c>
      <c r="E1036" s="242" t="s">
        <v>23</v>
      </c>
      <c r="F1036" s="241">
        <v>160</v>
      </c>
      <c r="G1036" s="241">
        <v>41</v>
      </c>
      <c r="H1036" s="142" t="s">
        <v>322</v>
      </c>
      <c r="I1036" s="142"/>
      <c r="J1036" s="144" t="s">
        <v>1751</v>
      </c>
      <c r="K1036" s="142">
        <v>1048.5999999999999</v>
      </c>
      <c r="L1036" s="142" t="s">
        <v>3538</v>
      </c>
      <c r="M1036" s="142">
        <v>0.66659999999999997</v>
      </c>
      <c r="N1036" s="142">
        <v>1.994</v>
      </c>
      <c r="O1036" s="142">
        <v>698.99680000000001</v>
      </c>
      <c r="P1036" s="142">
        <v>2090.9083999999998</v>
      </c>
      <c r="Q1036" s="142">
        <v>90.87</v>
      </c>
      <c r="R1036" s="142">
        <v>228.64</v>
      </c>
      <c r="S1036" s="142">
        <v>343</v>
      </c>
      <c r="T1036" s="142">
        <v>239755.89</v>
      </c>
      <c r="U1036" s="142"/>
      <c r="V1036" s="142"/>
    </row>
    <row r="1037" spans="1:22" s="14" customFormat="1" ht="15.75" customHeight="1" x14ac:dyDescent="0.25">
      <c r="A1037" s="147">
        <v>447</v>
      </c>
      <c r="B1037" s="142" t="s">
        <v>13</v>
      </c>
      <c r="C1037" s="142" t="s">
        <v>2973</v>
      </c>
      <c r="D1037" s="148">
        <v>44854</v>
      </c>
      <c r="E1037" s="241" t="s">
        <v>23</v>
      </c>
      <c r="F1037" s="281">
        <v>105</v>
      </c>
      <c r="G1037" s="281"/>
      <c r="H1037" s="145"/>
      <c r="I1037" s="145"/>
      <c r="J1037" s="146" t="s">
        <v>1863</v>
      </c>
      <c r="K1037" s="145">
        <v>514.5</v>
      </c>
      <c r="L1037" s="145" t="s">
        <v>274</v>
      </c>
      <c r="M1037" s="145">
        <v>0.39269999999999999</v>
      </c>
      <c r="N1037" s="145">
        <v>0.872</v>
      </c>
      <c r="O1037" s="145">
        <v>202.04419999999999</v>
      </c>
      <c r="P1037" s="145">
        <v>448.64400000000001</v>
      </c>
      <c r="Q1037" s="145">
        <v>26.27</v>
      </c>
      <c r="R1037" s="145">
        <v>134.69999999999999</v>
      </c>
      <c r="S1037" s="145">
        <v>343</v>
      </c>
      <c r="T1037" s="145">
        <v>69301.14</v>
      </c>
      <c r="U1037" s="145"/>
      <c r="V1037" s="145"/>
    </row>
    <row r="1038" spans="1:22" s="28" customFormat="1" ht="27.75" customHeight="1" x14ac:dyDescent="0.25">
      <c r="A1038" s="254">
        <v>448</v>
      </c>
      <c r="B1038" s="149" t="s">
        <v>13</v>
      </c>
      <c r="C1038" s="150" t="s">
        <v>28</v>
      </c>
      <c r="D1038" s="255">
        <v>44854</v>
      </c>
      <c r="E1038" s="256" t="s">
        <v>23</v>
      </c>
      <c r="F1038" s="256">
        <v>344</v>
      </c>
      <c r="G1038" s="256"/>
      <c r="H1038" s="150"/>
      <c r="I1038" s="150"/>
      <c r="J1038" s="257" t="s">
        <v>2608</v>
      </c>
      <c r="K1038" s="150">
        <v>2064</v>
      </c>
      <c r="L1038" s="150" t="s">
        <v>1367</v>
      </c>
      <c r="M1038" s="150">
        <v>0.30719999999999997</v>
      </c>
      <c r="N1038" s="150">
        <v>0.69199999999999995</v>
      </c>
      <c r="O1038" s="150">
        <v>634.06079999999997</v>
      </c>
      <c r="P1038" s="150">
        <v>1428.288</v>
      </c>
      <c r="Q1038" s="150">
        <v>82.43</v>
      </c>
      <c r="R1038" s="150">
        <v>108.44</v>
      </c>
      <c r="S1038" s="150">
        <v>353</v>
      </c>
      <c r="T1038" s="150">
        <v>223820.16</v>
      </c>
      <c r="U1038" s="150"/>
      <c r="V1038" s="150"/>
    </row>
    <row r="1039" spans="1:22" ht="15.75" customHeight="1" x14ac:dyDescent="0.25">
      <c r="A1039" s="171" t="s">
        <v>3539</v>
      </c>
      <c r="B1039" s="163" t="s">
        <v>34</v>
      </c>
      <c r="C1039" s="163" t="s">
        <v>16</v>
      </c>
      <c r="D1039" s="172">
        <v>44854</v>
      </c>
      <c r="E1039" s="187" t="s">
        <v>23</v>
      </c>
      <c r="F1039" s="187">
        <f>756+192</f>
        <v>948</v>
      </c>
      <c r="G1039" s="187"/>
      <c r="H1039" s="163" t="s">
        <v>3687</v>
      </c>
      <c r="I1039" s="163"/>
      <c r="J1039" s="164" t="s">
        <v>2423</v>
      </c>
      <c r="K1039" s="145">
        <v>1218</v>
      </c>
      <c r="L1039" s="163" t="s">
        <v>3540</v>
      </c>
      <c r="M1039" s="163">
        <v>0.29970000000000002</v>
      </c>
      <c r="N1039" s="163">
        <v>1.6739999999999999</v>
      </c>
      <c r="O1039" s="163">
        <v>365.03460000000001</v>
      </c>
      <c r="P1039" s="163">
        <v>2038.932</v>
      </c>
      <c r="Q1039" s="163">
        <v>47.45</v>
      </c>
      <c r="R1039" s="163">
        <v>130.07</v>
      </c>
      <c r="S1039" s="163">
        <v>434</v>
      </c>
      <c r="T1039" s="163">
        <v>158425.01999999999</v>
      </c>
      <c r="U1039" s="163"/>
      <c r="V1039" s="163"/>
    </row>
    <row r="1040" spans="1:22" s="28" customFormat="1" ht="15.75" customHeight="1" x14ac:dyDescent="0.25">
      <c r="A1040" s="254" t="s">
        <v>3541</v>
      </c>
      <c r="B1040" s="150" t="s">
        <v>34</v>
      </c>
      <c r="C1040" s="150" t="s">
        <v>16</v>
      </c>
      <c r="D1040" s="255">
        <v>44854</v>
      </c>
      <c r="E1040" s="256" t="s">
        <v>23</v>
      </c>
      <c r="F1040" s="302">
        <v>738</v>
      </c>
      <c r="G1040" s="256">
        <v>252</v>
      </c>
      <c r="H1040" s="150"/>
      <c r="I1040" s="255">
        <v>44959</v>
      </c>
      <c r="J1040" s="257" t="s">
        <v>2730</v>
      </c>
      <c r="K1040" s="150">
        <v>990</v>
      </c>
      <c r="L1040" s="150" t="s">
        <v>87</v>
      </c>
      <c r="M1040" s="150">
        <v>0.3498</v>
      </c>
      <c r="N1040" s="150">
        <v>1.425</v>
      </c>
      <c r="O1040" s="150">
        <v>346.30200000000002</v>
      </c>
      <c r="P1040" s="150">
        <v>1410.75</v>
      </c>
      <c r="Q1040" s="150">
        <v>45.02</v>
      </c>
      <c r="R1040" s="150">
        <v>119.98</v>
      </c>
      <c r="S1040" s="150">
        <v>343</v>
      </c>
      <c r="T1040" s="150">
        <v>118781.59</v>
      </c>
      <c r="U1040" s="150"/>
      <c r="V1040" s="150"/>
    </row>
    <row r="1041" spans="1:22" s="86" customFormat="1" ht="15.75" customHeight="1" x14ac:dyDescent="0.25">
      <c r="A1041" s="178">
        <v>449</v>
      </c>
      <c r="B1041" s="159" t="s">
        <v>13</v>
      </c>
      <c r="C1041" s="179" t="s">
        <v>3492</v>
      </c>
      <c r="D1041" s="180">
        <v>44854</v>
      </c>
      <c r="E1041" s="195" t="s">
        <v>23</v>
      </c>
      <c r="F1041" s="195">
        <v>208</v>
      </c>
      <c r="G1041" s="195"/>
      <c r="H1041" s="179"/>
      <c r="I1041" s="179"/>
      <c r="J1041" s="181" t="s">
        <v>602</v>
      </c>
      <c r="K1041" s="179">
        <v>1107.7</v>
      </c>
      <c r="L1041" s="179" t="s">
        <v>3542</v>
      </c>
      <c r="M1041" s="179">
        <v>0.25659999999999999</v>
      </c>
      <c r="N1041" s="179">
        <v>0.68899999999999995</v>
      </c>
      <c r="O1041" s="179">
        <v>284.23579999999998</v>
      </c>
      <c r="P1041" s="179">
        <v>763.20529999999997</v>
      </c>
      <c r="Q1041" s="179">
        <v>36.950000000000003</v>
      </c>
      <c r="R1041" s="179">
        <v>68</v>
      </c>
      <c r="S1041" s="179">
        <v>265</v>
      </c>
      <c r="T1041" s="179">
        <v>75323.600000000006</v>
      </c>
      <c r="U1041" s="179"/>
      <c r="V1041" s="179"/>
    </row>
    <row r="1042" spans="1:22" s="14" customFormat="1" ht="15.75" customHeight="1" x14ac:dyDescent="0.25">
      <c r="A1042" s="147">
        <v>450</v>
      </c>
      <c r="B1042" s="142" t="s">
        <v>13</v>
      </c>
      <c r="C1042" s="145" t="s">
        <v>32</v>
      </c>
      <c r="D1042" s="148">
        <v>44854</v>
      </c>
      <c r="E1042" s="241" t="s">
        <v>23</v>
      </c>
      <c r="F1042" s="241">
        <v>89</v>
      </c>
      <c r="G1042" s="241"/>
      <c r="H1042" s="145"/>
      <c r="I1042" s="145"/>
      <c r="J1042" s="146" t="s">
        <v>3301</v>
      </c>
      <c r="K1042" s="145">
        <v>396.05</v>
      </c>
      <c r="L1042" s="145">
        <v>89</v>
      </c>
      <c r="M1042" s="145">
        <v>0.2651</v>
      </c>
      <c r="N1042" s="145">
        <v>0.82099999999999995</v>
      </c>
      <c r="O1042" s="145">
        <v>104.99290000000001</v>
      </c>
      <c r="P1042" s="145">
        <v>325.15710000000001</v>
      </c>
      <c r="Q1042" s="145">
        <v>13.65</v>
      </c>
      <c r="R1042" s="145">
        <v>81.92</v>
      </c>
      <c r="S1042" s="145">
        <v>309</v>
      </c>
      <c r="T1042" s="145">
        <v>32442.79</v>
      </c>
      <c r="U1042" s="145"/>
      <c r="V1042" s="145"/>
    </row>
    <row r="1043" spans="1:22" s="14" customFormat="1" ht="30.75" customHeight="1" x14ac:dyDescent="0.25">
      <c r="A1043" s="147">
        <v>451</v>
      </c>
      <c r="B1043" s="142" t="s">
        <v>13</v>
      </c>
      <c r="C1043" s="145" t="s">
        <v>3544</v>
      </c>
      <c r="D1043" s="148">
        <v>44854</v>
      </c>
      <c r="E1043" s="241" t="s">
        <v>23</v>
      </c>
      <c r="F1043" s="241"/>
      <c r="G1043" s="241">
        <v>61</v>
      </c>
      <c r="H1043" s="145" t="s">
        <v>2787</v>
      </c>
      <c r="I1043" s="145"/>
      <c r="J1043" s="146" t="s">
        <v>3543</v>
      </c>
      <c r="K1043" s="145">
        <v>372</v>
      </c>
      <c r="L1043" s="145" t="s">
        <v>120</v>
      </c>
      <c r="M1043" s="145">
        <v>0.60040000000000004</v>
      </c>
      <c r="N1043" s="145">
        <v>2.5739999999999998</v>
      </c>
      <c r="O1043" s="145">
        <v>223.34880000000001</v>
      </c>
      <c r="P1043" s="145">
        <v>957.52800000000002</v>
      </c>
      <c r="Q1043" s="145">
        <v>29.04</v>
      </c>
      <c r="R1043" s="145" t="s">
        <v>17</v>
      </c>
      <c r="S1043" s="145">
        <v>343</v>
      </c>
      <c r="T1043" s="145" t="s">
        <v>17</v>
      </c>
      <c r="U1043" s="145"/>
      <c r="V1043" s="145"/>
    </row>
    <row r="1044" spans="1:22" s="14" customFormat="1" ht="22.15" customHeight="1" x14ac:dyDescent="0.25">
      <c r="A1044" s="147" t="s">
        <v>3546</v>
      </c>
      <c r="B1044" s="145" t="s">
        <v>13</v>
      </c>
      <c r="C1044" s="145" t="s">
        <v>554</v>
      </c>
      <c r="D1044" s="148">
        <v>44858</v>
      </c>
      <c r="E1044" s="241" t="s">
        <v>23</v>
      </c>
      <c r="F1044" s="241"/>
      <c r="G1044" s="241">
        <v>201</v>
      </c>
      <c r="H1044" s="145" t="s">
        <v>2078</v>
      </c>
      <c r="I1044" s="145"/>
      <c r="J1044" s="146" t="s">
        <v>459</v>
      </c>
      <c r="K1044" s="145"/>
      <c r="L1044" s="145">
        <v>201</v>
      </c>
      <c r="M1044" s="145"/>
      <c r="N1044" s="145"/>
      <c r="O1044" s="145"/>
      <c r="P1044" s="145"/>
      <c r="Q1044" s="145"/>
      <c r="R1044" s="145"/>
      <c r="S1044" s="145"/>
      <c r="T1044" s="145" t="s">
        <v>3547</v>
      </c>
      <c r="U1044" s="145"/>
      <c r="V1044" s="145"/>
    </row>
    <row r="1045" spans="1:22" ht="15.75" customHeight="1" x14ac:dyDescent="0.25">
      <c r="A1045" s="171" t="s">
        <v>2101</v>
      </c>
      <c r="B1045" s="163" t="s">
        <v>13</v>
      </c>
      <c r="C1045" s="163" t="s">
        <v>548</v>
      </c>
      <c r="D1045" s="172">
        <v>44858</v>
      </c>
      <c r="E1045" s="187" t="s">
        <v>23</v>
      </c>
      <c r="F1045" s="187"/>
      <c r="G1045" s="187"/>
      <c r="H1045" s="163" t="s">
        <v>2078</v>
      </c>
      <c r="I1045" s="163"/>
      <c r="J1045" s="164" t="s">
        <v>3548</v>
      </c>
      <c r="K1045" s="163">
        <v>1230</v>
      </c>
      <c r="L1045" s="163">
        <v>205</v>
      </c>
      <c r="M1045" s="163"/>
      <c r="N1045" s="163"/>
      <c r="O1045" s="163"/>
      <c r="P1045" s="163"/>
      <c r="Q1045" s="163"/>
      <c r="R1045" s="163"/>
      <c r="S1045" s="163"/>
      <c r="T1045" s="163">
        <v>80100</v>
      </c>
      <c r="U1045" s="163"/>
      <c r="V1045" s="163"/>
    </row>
    <row r="1046" spans="1:22" ht="15.75" customHeight="1" x14ac:dyDescent="0.25">
      <c r="A1046" s="167" t="s">
        <v>3555</v>
      </c>
      <c r="B1046" s="162" t="s">
        <v>34</v>
      </c>
      <c r="C1046" s="162" t="s">
        <v>284</v>
      </c>
      <c r="D1046" s="168">
        <v>44859</v>
      </c>
      <c r="E1046" s="194" t="s">
        <v>23</v>
      </c>
      <c r="F1046" s="187"/>
      <c r="G1046" s="187"/>
      <c r="H1046" s="162"/>
      <c r="I1046" s="162"/>
      <c r="J1046" s="169" t="s">
        <v>2919</v>
      </c>
      <c r="K1046" s="142" t="s">
        <v>3390</v>
      </c>
      <c r="L1046" s="162"/>
      <c r="M1046" s="162"/>
      <c r="N1046" s="162"/>
      <c r="O1046" s="162"/>
      <c r="P1046" s="162"/>
      <c r="Q1046" s="162"/>
      <c r="R1046" s="162" t="s">
        <v>3550</v>
      </c>
      <c r="S1046" s="162"/>
      <c r="T1046" s="162" t="s">
        <v>3551</v>
      </c>
      <c r="U1046" s="162"/>
      <c r="V1046" s="162"/>
    </row>
    <row r="1047" spans="1:22" ht="15.75" customHeight="1" x14ac:dyDescent="0.25">
      <c r="A1047" s="167" t="s">
        <v>3555</v>
      </c>
      <c r="B1047" s="162" t="s">
        <v>34</v>
      </c>
      <c r="C1047" s="162" t="s">
        <v>284</v>
      </c>
      <c r="D1047" s="168">
        <v>44859</v>
      </c>
      <c r="E1047" s="187" t="s">
        <v>23</v>
      </c>
      <c r="F1047" s="218"/>
      <c r="G1047" s="218"/>
      <c r="H1047" s="163"/>
      <c r="I1047" s="163"/>
      <c r="J1047" s="164" t="s">
        <v>3549</v>
      </c>
      <c r="K1047" s="145" t="s">
        <v>3552</v>
      </c>
      <c r="L1047" s="163"/>
      <c r="M1047" s="163"/>
      <c r="N1047" s="163"/>
      <c r="O1047" s="163"/>
      <c r="P1047" s="163"/>
      <c r="Q1047" s="163"/>
      <c r="R1047" s="163" t="s">
        <v>3553</v>
      </c>
      <c r="S1047" s="163"/>
      <c r="T1047" s="163" t="s">
        <v>3554</v>
      </c>
      <c r="U1047" s="163"/>
      <c r="V1047" s="163"/>
    </row>
    <row r="1048" spans="1:22" ht="30.75" customHeight="1" x14ac:dyDescent="0.25">
      <c r="A1048" s="171" t="s">
        <v>3559</v>
      </c>
      <c r="B1048" s="163" t="s">
        <v>34</v>
      </c>
      <c r="C1048" s="163" t="s">
        <v>3558</v>
      </c>
      <c r="D1048" s="172">
        <v>44858</v>
      </c>
      <c r="E1048" s="187" t="s">
        <v>23</v>
      </c>
      <c r="F1048" s="187"/>
      <c r="G1048" s="187"/>
      <c r="H1048" s="163" t="s">
        <v>3605</v>
      </c>
      <c r="I1048" s="163"/>
      <c r="J1048" s="164" t="s">
        <v>3557</v>
      </c>
      <c r="K1048" s="145"/>
      <c r="L1048" s="163"/>
      <c r="M1048" s="163"/>
      <c r="N1048" s="163"/>
      <c r="O1048" s="163"/>
      <c r="P1048" s="163"/>
      <c r="Q1048" s="163"/>
      <c r="R1048" s="163"/>
      <c r="S1048" s="163"/>
      <c r="T1048" s="163" t="s">
        <v>3556</v>
      </c>
      <c r="U1048" s="163"/>
      <c r="V1048" s="163"/>
    </row>
    <row r="1049" spans="1:22" ht="15.75" customHeight="1" x14ac:dyDescent="0.25">
      <c r="A1049" s="171" t="s">
        <v>2131</v>
      </c>
      <c r="B1049" s="163" t="s">
        <v>13</v>
      </c>
      <c r="C1049" s="163" t="s">
        <v>3561</v>
      </c>
      <c r="D1049" s="172">
        <v>44861</v>
      </c>
      <c r="E1049" s="187" t="s">
        <v>23</v>
      </c>
      <c r="F1049" s="187"/>
      <c r="G1049" s="187"/>
      <c r="H1049" s="163"/>
      <c r="I1049" s="163"/>
      <c r="J1049" s="164" t="s">
        <v>3560</v>
      </c>
      <c r="K1049" s="163">
        <v>6076</v>
      </c>
      <c r="L1049" s="163">
        <v>1519</v>
      </c>
      <c r="M1049" s="163"/>
      <c r="N1049" s="163"/>
      <c r="O1049" s="163"/>
      <c r="P1049" s="163"/>
      <c r="Q1049" s="163"/>
      <c r="R1049" s="163"/>
      <c r="S1049" s="163"/>
      <c r="T1049" s="163">
        <v>652562.4</v>
      </c>
      <c r="U1049" s="163"/>
      <c r="V1049" s="163"/>
    </row>
    <row r="1050" spans="1:22" ht="15.75" customHeight="1" x14ac:dyDescent="0.25">
      <c r="A1050" s="167" t="s">
        <v>2118</v>
      </c>
      <c r="B1050" s="163" t="s">
        <v>13</v>
      </c>
      <c r="C1050" s="162" t="s">
        <v>2399</v>
      </c>
      <c r="D1050" s="168">
        <v>44862</v>
      </c>
      <c r="E1050" s="194" t="s">
        <v>23</v>
      </c>
      <c r="F1050" s="194"/>
      <c r="G1050" s="194"/>
      <c r="H1050" s="162"/>
      <c r="I1050" s="162"/>
      <c r="J1050" s="169" t="s">
        <v>3566</v>
      </c>
      <c r="K1050" s="142"/>
      <c r="L1050" s="162">
        <v>22</v>
      </c>
      <c r="M1050" s="162"/>
      <c r="N1050" s="162"/>
      <c r="O1050" s="162"/>
      <c r="P1050" s="162"/>
      <c r="Q1050" s="162"/>
      <c r="R1050" s="162"/>
      <c r="S1050" s="162"/>
      <c r="T1050" s="162" t="s">
        <v>3570</v>
      </c>
      <c r="U1050" s="162"/>
      <c r="V1050" s="162"/>
    </row>
    <row r="1051" spans="1:22" ht="30.75" customHeight="1" x14ac:dyDescent="0.25">
      <c r="A1051" s="167" t="s">
        <v>2118</v>
      </c>
      <c r="B1051" s="163" t="s">
        <v>13</v>
      </c>
      <c r="C1051" s="162" t="s">
        <v>2399</v>
      </c>
      <c r="D1051" s="168">
        <v>44862</v>
      </c>
      <c r="E1051" s="194" t="s">
        <v>23</v>
      </c>
      <c r="F1051" s="194"/>
      <c r="G1051" s="194"/>
      <c r="H1051" s="162"/>
      <c r="I1051" s="162"/>
      <c r="J1051" s="169" t="s">
        <v>3567</v>
      </c>
      <c r="K1051" s="142"/>
      <c r="L1051" s="162">
        <v>53</v>
      </c>
      <c r="M1051" s="162"/>
      <c r="N1051" s="162"/>
      <c r="O1051" s="162"/>
      <c r="P1051" s="162"/>
      <c r="Q1051" s="162"/>
      <c r="R1051" s="162"/>
      <c r="S1051" s="162"/>
      <c r="T1051" s="162" t="s">
        <v>3571</v>
      </c>
      <c r="U1051" s="162"/>
      <c r="V1051" s="162"/>
    </row>
    <row r="1052" spans="1:22" ht="30.75" customHeight="1" x14ac:dyDescent="0.25">
      <c r="A1052" s="167" t="s">
        <v>2118</v>
      </c>
      <c r="B1052" s="163" t="s">
        <v>13</v>
      </c>
      <c r="C1052" s="162" t="s">
        <v>2399</v>
      </c>
      <c r="D1052" s="168">
        <v>44862</v>
      </c>
      <c r="E1052" s="194" t="s">
        <v>23</v>
      </c>
      <c r="F1052" s="194"/>
      <c r="G1052" s="194"/>
      <c r="H1052" s="162"/>
      <c r="I1052" s="162"/>
      <c r="J1052" s="169" t="s">
        <v>3568</v>
      </c>
      <c r="K1052" s="142"/>
      <c r="L1052" s="162">
        <v>26</v>
      </c>
      <c r="M1052" s="162"/>
      <c r="N1052" s="162"/>
      <c r="O1052" s="162"/>
      <c r="P1052" s="162"/>
      <c r="Q1052" s="162"/>
      <c r="R1052" s="162"/>
      <c r="S1052" s="162"/>
      <c r="T1052" s="162" t="s">
        <v>3572</v>
      </c>
      <c r="U1052" s="162"/>
      <c r="V1052" s="162"/>
    </row>
    <row r="1053" spans="1:22" ht="15.75" customHeight="1" x14ac:dyDescent="0.25">
      <c r="A1053" s="167" t="s">
        <v>2118</v>
      </c>
      <c r="B1053" s="163" t="s">
        <v>13</v>
      </c>
      <c r="C1053" s="162" t="s">
        <v>2399</v>
      </c>
      <c r="D1053" s="168">
        <v>44862</v>
      </c>
      <c r="E1053" s="194" t="s">
        <v>23</v>
      </c>
      <c r="F1053" s="194"/>
      <c r="G1053" s="194"/>
      <c r="H1053" s="162"/>
      <c r="I1053" s="163"/>
      <c r="J1053" s="164" t="s">
        <v>3569</v>
      </c>
      <c r="K1053" s="145"/>
      <c r="L1053" s="163">
        <v>412</v>
      </c>
      <c r="M1053" s="163"/>
      <c r="N1053" s="163"/>
      <c r="O1053" s="163"/>
      <c r="P1053" s="163"/>
      <c r="Q1053" s="163"/>
      <c r="R1053" s="163"/>
      <c r="S1053" s="163"/>
      <c r="T1053" s="163" t="s">
        <v>3573</v>
      </c>
      <c r="U1053" s="163"/>
      <c r="V1053" s="163"/>
    </row>
    <row r="1054" spans="1:22" ht="45.75" customHeight="1" x14ac:dyDescent="0.25">
      <c r="A1054" s="171" t="s">
        <v>3576</v>
      </c>
      <c r="B1054" s="163" t="s">
        <v>34</v>
      </c>
      <c r="C1054" s="163" t="s">
        <v>284</v>
      </c>
      <c r="D1054" s="172">
        <v>44862</v>
      </c>
      <c r="E1054" s="187" t="s">
        <v>23</v>
      </c>
      <c r="F1054" s="187"/>
      <c r="G1054" s="187"/>
      <c r="H1054" s="163" t="s">
        <v>3604</v>
      </c>
      <c r="I1054" s="163"/>
      <c r="J1054" s="164" t="s">
        <v>3601</v>
      </c>
      <c r="K1054" s="145" t="s">
        <v>3574</v>
      </c>
      <c r="L1054" s="163"/>
      <c r="M1054" s="163"/>
      <c r="N1054" s="163"/>
      <c r="O1054" s="163"/>
      <c r="P1054" s="163"/>
      <c r="Q1054" s="163"/>
      <c r="R1054" s="163"/>
      <c r="S1054" s="163"/>
      <c r="T1054" s="163" t="s">
        <v>3575</v>
      </c>
      <c r="U1054" s="163"/>
      <c r="V1054" s="163"/>
    </row>
    <row r="1055" spans="1:22" s="28" customFormat="1" ht="30.75" customHeight="1" x14ac:dyDescent="0.25">
      <c r="A1055" s="254">
        <v>459</v>
      </c>
      <c r="B1055" s="150" t="s">
        <v>13</v>
      </c>
      <c r="C1055" s="150" t="s">
        <v>28</v>
      </c>
      <c r="D1055" s="275">
        <v>44862</v>
      </c>
      <c r="E1055" s="256" t="s">
        <v>23</v>
      </c>
      <c r="F1055" s="256">
        <v>520</v>
      </c>
      <c r="G1055" s="256"/>
      <c r="H1055" s="150" t="s">
        <v>3578</v>
      </c>
      <c r="I1055" s="150"/>
      <c r="J1055" s="257" t="s">
        <v>2608</v>
      </c>
      <c r="K1055" s="150">
        <v>3120</v>
      </c>
      <c r="L1055" s="150">
        <v>520</v>
      </c>
      <c r="M1055" s="150">
        <v>0.30719999999999997</v>
      </c>
      <c r="N1055" s="150">
        <v>0.69199999999999995</v>
      </c>
      <c r="O1055" s="150">
        <v>958.46400000000006</v>
      </c>
      <c r="P1055" s="150">
        <v>2159.04</v>
      </c>
      <c r="Q1055" s="150">
        <v>124.6</v>
      </c>
      <c r="R1055" s="150">
        <v>108.44</v>
      </c>
      <c r="S1055" s="150">
        <v>353</v>
      </c>
      <c r="T1055" s="150">
        <v>338337.79</v>
      </c>
      <c r="U1055" s="150"/>
      <c r="V1055" s="150"/>
    </row>
    <row r="1056" spans="1:22" ht="51" customHeight="1" x14ac:dyDescent="0.25">
      <c r="A1056" s="171" t="s">
        <v>3579</v>
      </c>
      <c r="B1056" s="163" t="s">
        <v>34</v>
      </c>
      <c r="C1056" s="163" t="s">
        <v>16</v>
      </c>
      <c r="D1056" s="172">
        <v>44865</v>
      </c>
      <c r="E1056" s="187" t="s">
        <v>23</v>
      </c>
      <c r="F1056" s="187"/>
      <c r="G1056" s="187"/>
      <c r="H1056" s="163"/>
      <c r="I1056" s="163"/>
      <c r="J1056" s="164" t="s">
        <v>2581</v>
      </c>
      <c r="K1056" s="145">
        <v>288</v>
      </c>
      <c r="L1056" s="163" t="s">
        <v>634</v>
      </c>
      <c r="M1056" s="163">
        <v>0.56989999999999996</v>
      </c>
      <c r="N1056" s="163">
        <v>1.304</v>
      </c>
      <c r="O1056" s="163">
        <v>164.13120000000001</v>
      </c>
      <c r="P1056" s="163">
        <v>375.55200000000002</v>
      </c>
      <c r="Q1056" s="163">
        <v>21.34</v>
      </c>
      <c r="R1056" s="163">
        <v>249.62</v>
      </c>
      <c r="S1056" s="163">
        <v>438</v>
      </c>
      <c r="T1056" s="163">
        <v>71889.47</v>
      </c>
      <c r="U1056" s="163"/>
      <c r="V1056" s="163"/>
    </row>
    <row r="1057" spans="1:22" s="28" customFormat="1" ht="15.75" customHeight="1" x14ac:dyDescent="0.25">
      <c r="A1057" s="254" t="s">
        <v>3580</v>
      </c>
      <c r="B1057" s="150" t="s">
        <v>34</v>
      </c>
      <c r="C1057" s="150" t="s">
        <v>16</v>
      </c>
      <c r="D1057" s="255">
        <v>44865</v>
      </c>
      <c r="E1057" s="256" t="s">
        <v>23</v>
      </c>
      <c r="F1057" s="302">
        <f>822+144</f>
        <v>966</v>
      </c>
      <c r="G1057" s="256"/>
      <c r="H1057" s="150"/>
      <c r="I1057" s="150"/>
      <c r="J1057" s="257" t="s">
        <v>2469</v>
      </c>
      <c r="K1057" s="150">
        <v>1110</v>
      </c>
      <c r="L1057" s="150" t="s">
        <v>424</v>
      </c>
      <c r="M1057" s="150">
        <v>0.70820000000000005</v>
      </c>
      <c r="N1057" s="150">
        <v>3.4609999999999999</v>
      </c>
      <c r="O1057" s="150">
        <v>786.10199999999998</v>
      </c>
      <c r="P1057" s="150">
        <v>3841.71</v>
      </c>
      <c r="Q1057" s="150">
        <v>102.19</v>
      </c>
      <c r="R1057" s="150">
        <v>242.91</v>
      </c>
      <c r="S1057" s="150">
        <v>343</v>
      </c>
      <c r="T1057" s="150">
        <v>269630.09999999998</v>
      </c>
      <c r="U1057" s="150"/>
      <c r="V1057" s="150"/>
    </row>
    <row r="1058" spans="1:22" ht="15.75" customHeight="1" x14ac:dyDescent="0.25">
      <c r="A1058" s="171">
        <v>460</v>
      </c>
      <c r="B1058" s="163" t="s">
        <v>34</v>
      </c>
      <c r="C1058" s="163" t="s">
        <v>19</v>
      </c>
      <c r="D1058" s="172">
        <v>44865</v>
      </c>
      <c r="E1058" s="187" t="s">
        <v>23</v>
      </c>
      <c r="F1058" s="187"/>
      <c r="G1058" s="187"/>
      <c r="H1058" s="163"/>
      <c r="I1058" s="163"/>
      <c r="J1058" s="164" t="s">
        <v>2594</v>
      </c>
      <c r="K1058" s="145">
        <v>925</v>
      </c>
      <c r="L1058" s="163" t="s">
        <v>3581</v>
      </c>
      <c r="M1058" s="163">
        <v>0.3402</v>
      </c>
      <c r="N1058" s="163">
        <v>1.4530000000000001</v>
      </c>
      <c r="O1058" s="163">
        <v>314.685</v>
      </c>
      <c r="P1058" s="163">
        <v>1344.0250000000001</v>
      </c>
      <c r="Q1058" s="163">
        <v>40.909999999999997</v>
      </c>
      <c r="R1058" s="163">
        <v>72.459999999999994</v>
      </c>
      <c r="S1058" s="163">
        <v>213</v>
      </c>
      <c r="T1058" s="163">
        <v>67027.91</v>
      </c>
      <c r="U1058" s="163"/>
      <c r="V1058" s="163"/>
    </row>
    <row r="1059" spans="1:22" ht="15.75" customHeight="1" x14ac:dyDescent="0.25">
      <c r="A1059" s="171">
        <v>460</v>
      </c>
      <c r="B1059" s="163" t="s">
        <v>34</v>
      </c>
      <c r="C1059" s="163" t="s">
        <v>19</v>
      </c>
      <c r="D1059" s="172">
        <v>44865</v>
      </c>
      <c r="E1059" s="187" t="s">
        <v>23</v>
      </c>
      <c r="F1059" s="187"/>
      <c r="G1059" s="187"/>
      <c r="H1059" s="162"/>
      <c r="I1059" s="162"/>
      <c r="J1059" s="169" t="s">
        <v>2596</v>
      </c>
      <c r="K1059" s="142">
        <v>799.2</v>
      </c>
      <c r="L1059" s="162" t="s">
        <v>3316</v>
      </c>
      <c r="M1059" s="162">
        <v>0.11600000000000001</v>
      </c>
      <c r="N1059" s="162">
        <v>0.29399999999999998</v>
      </c>
      <c r="O1059" s="162">
        <v>92.7072</v>
      </c>
      <c r="P1059" s="162">
        <v>234.9648</v>
      </c>
      <c r="Q1059" s="162">
        <v>12.05</v>
      </c>
      <c r="R1059" s="162">
        <v>24.71</v>
      </c>
      <c r="S1059" s="162">
        <v>213</v>
      </c>
      <c r="T1059" s="162">
        <v>19746.63</v>
      </c>
      <c r="U1059" s="162"/>
      <c r="V1059" s="162"/>
    </row>
    <row r="1060" spans="1:22" s="14" customFormat="1" ht="15.75" customHeight="1" x14ac:dyDescent="0.25">
      <c r="A1060" s="147">
        <v>461</v>
      </c>
      <c r="B1060" s="145" t="s">
        <v>13</v>
      </c>
      <c r="C1060" s="145" t="s">
        <v>2973</v>
      </c>
      <c r="D1060" s="148">
        <v>44865</v>
      </c>
      <c r="E1060" s="241" t="s">
        <v>23</v>
      </c>
      <c r="F1060" s="241"/>
      <c r="G1060" s="241">
        <v>98</v>
      </c>
      <c r="H1060" s="145"/>
      <c r="I1060" s="145"/>
      <c r="J1060" s="146" t="s">
        <v>1863</v>
      </c>
      <c r="K1060" s="145">
        <v>480.2</v>
      </c>
      <c r="L1060" s="145" t="s">
        <v>210</v>
      </c>
      <c r="M1060" s="145">
        <v>0.39269999999999999</v>
      </c>
      <c r="N1060" s="145">
        <v>0.872</v>
      </c>
      <c r="O1060" s="145">
        <v>188.5745</v>
      </c>
      <c r="P1060" s="145">
        <v>418.73439999999999</v>
      </c>
      <c r="Q1060" s="145">
        <v>24.51</v>
      </c>
      <c r="R1060" s="145">
        <v>134.69999999999999</v>
      </c>
      <c r="S1060" s="145">
        <v>343</v>
      </c>
      <c r="T1060" s="145">
        <v>64681.07</v>
      </c>
      <c r="U1060" s="145"/>
      <c r="V1060" s="145"/>
    </row>
    <row r="1061" spans="1:22" s="86" customFormat="1" ht="15.75" customHeight="1" x14ac:dyDescent="0.25">
      <c r="A1061" s="178">
        <v>462</v>
      </c>
      <c r="B1061" s="179" t="s">
        <v>13</v>
      </c>
      <c r="C1061" s="179" t="s">
        <v>657</v>
      </c>
      <c r="D1061" s="180">
        <v>44865</v>
      </c>
      <c r="E1061" s="195" t="s">
        <v>23</v>
      </c>
      <c r="F1061" s="195"/>
      <c r="G1061" s="195">
        <v>231</v>
      </c>
      <c r="H1061" s="179"/>
      <c r="I1061" s="179"/>
      <c r="J1061" s="181" t="s">
        <v>2963</v>
      </c>
      <c r="K1061" s="179">
        <v>1339.8</v>
      </c>
      <c r="L1061" s="179" t="s">
        <v>86</v>
      </c>
      <c r="M1061" s="179">
        <v>0.1724</v>
      </c>
      <c r="N1061" s="179">
        <v>0.41499999999999998</v>
      </c>
      <c r="O1061" s="179">
        <v>230.98150000000001</v>
      </c>
      <c r="P1061" s="179">
        <v>556.01700000000005</v>
      </c>
      <c r="Q1061" s="179">
        <v>30.03</v>
      </c>
      <c r="R1061" s="179">
        <v>54.31</v>
      </c>
      <c r="S1061" s="179">
        <v>315</v>
      </c>
      <c r="T1061" s="179">
        <v>72759.179999999993</v>
      </c>
      <c r="U1061" s="179"/>
      <c r="V1061" s="179"/>
    </row>
    <row r="1062" spans="1:22" ht="15.75" customHeight="1" x14ac:dyDescent="0.25">
      <c r="A1062" s="171">
        <v>463</v>
      </c>
      <c r="B1062" s="163" t="s">
        <v>13</v>
      </c>
      <c r="C1062" s="175" t="s">
        <v>3492</v>
      </c>
      <c r="D1062" s="172">
        <v>44865</v>
      </c>
      <c r="E1062" s="187" t="s">
        <v>23</v>
      </c>
      <c r="F1062" s="187">
        <v>94</v>
      </c>
      <c r="G1062" s="187"/>
      <c r="H1062" s="163" t="s">
        <v>2391</v>
      </c>
      <c r="I1062" s="163"/>
      <c r="J1062" s="164" t="s">
        <v>602</v>
      </c>
      <c r="K1062" s="163">
        <v>519.4</v>
      </c>
      <c r="L1062" s="163" t="s">
        <v>210</v>
      </c>
      <c r="M1062" s="163">
        <v>0.25659999999999999</v>
      </c>
      <c r="N1062" s="163">
        <v>0.68899999999999995</v>
      </c>
      <c r="O1062" s="163">
        <v>133.27799999999999</v>
      </c>
      <c r="P1062" s="163">
        <v>357.86660000000001</v>
      </c>
      <c r="Q1062" s="163">
        <v>17.329999999999998</v>
      </c>
      <c r="R1062" s="163">
        <v>68</v>
      </c>
      <c r="S1062" s="163">
        <v>265</v>
      </c>
      <c r="T1062" s="163">
        <v>35318.68</v>
      </c>
      <c r="U1062" s="163"/>
      <c r="V1062" s="163"/>
    </row>
    <row r="1063" spans="1:22" ht="15.75" customHeight="1" x14ac:dyDescent="0.25">
      <c r="A1063" s="171">
        <v>464</v>
      </c>
      <c r="B1063" s="163" t="s">
        <v>13</v>
      </c>
      <c r="C1063" s="163" t="s">
        <v>3583</v>
      </c>
      <c r="D1063" s="172">
        <v>44865</v>
      </c>
      <c r="E1063" s="187" t="s">
        <v>23</v>
      </c>
      <c r="F1063" s="187">
        <v>14</v>
      </c>
      <c r="G1063" s="187"/>
      <c r="H1063" s="163"/>
      <c r="I1063" s="163"/>
      <c r="J1063" s="164" t="s">
        <v>3582</v>
      </c>
      <c r="K1063" s="163">
        <v>42</v>
      </c>
      <c r="L1063" s="163" t="s">
        <v>115</v>
      </c>
      <c r="M1063" s="163">
        <v>0.23599999999999999</v>
      </c>
      <c r="N1063" s="163">
        <v>0.70499999999999996</v>
      </c>
      <c r="O1063" s="163">
        <v>9.9120000000000008</v>
      </c>
      <c r="P1063" s="163">
        <v>29.61</v>
      </c>
      <c r="Q1063" s="163">
        <v>1.29</v>
      </c>
      <c r="R1063" s="163">
        <v>70.8</v>
      </c>
      <c r="S1063" s="163">
        <v>300</v>
      </c>
      <c r="T1063" s="163">
        <v>2973.6</v>
      </c>
      <c r="U1063" s="163"/>
      <c r="V1063" s="163"/>
    </row>
    <row r="1064" spans="1:22" s="28" customFormat="1" ht="15.75" customHeight="1" x14ac:dyDescent="0.25">
      <c r="A1064" s="254">
        <v>465</v>
      </c>
      <c r="B1064" s="150" t="s">
        <v>13</v>
      </c>
      <c r="C1064" s="150" t="s">
        <v>2466</v>
      </c>
      <c r="D1064" s="255">
        <v>44865</v>
      </c>
      <c r="E1064" s="258" t="s">
        <v>23</v>
      </c>
      <c r="F1064" s="258">
        <v>143</v>
      </c>
      <c r="G1064" s="258"/>
      <c r="H1064" s="149"/>
      <c r="I1064" s="149"/>
      <c r="J1064" s="284" t="s">
        <v>149</v>
      </c>
      <c r="K1064" s="149">
        <v>715</v>
      </c>
      <c r="L1064" s="149" t="s">
        <v>3584</v>
      </c>
      <c r="M1064" s="149">
        <v>0.18360000000000001</v>
      </c>
      <c r="N1064" s="149">
        <v>0.39400000000000002</v>
      </c>
      <c r="O1064" s="149">
        <v>131.274</v>
      </c>
      <c r="P1064" s="149">
        <v>281.70999999999998</v>
      </c>
      <c r="Q1064" s="149">
        <v>17.07</v>
      </c>
      <c r="R1064" s="149">
        <v>62.97</v>
      </c>
      <c r="S1064" s="149">
        <v>343</v>
      </c>
      <c r="T1064" s="149">
        <v>45026.98</v>
      </c>
      <c r="U1064" s="149"/>
      <c r="V1064" s="149"/>
    </row>
    <row r="1065" spans="1:22" s="28" customFormat="1" ht="15.75" customHeight="1" x14ac:dyDescent="0.25">
      <c r="A1065" s="254">
        <v>465</v>
      </c>
      <c r="B1065" s="150" t="s">
        <v>13</v>
      </c>
      <c r="C1065" s="150" t="s">
        <v>2466</v>
      </c>
      <c r="D1065" s="255">
        <v>44865</v>
      </c>
      <c r="E1065" s="256" t="s">
        <v>23</v>
      </c>
      <c r="F1065" s="258">
        <v>70</v>
      </c>
      <c r="G1065" s="258"/>
      <c r="H1065" s="150"/>
      <c r="I1065" s="150"/>
      <c r="J1065" s="257" t="s">
        <v>151</v>
      </c>
      <c r="K1065" s="150">
        <v>350</v>
      </c>
      <c r="L1065" s="150" t="s">
        <v>343</v>
      </c>
      <c r="M1065" s="150">
        <v>0.27189999999999998</v>
      </c>
      <c r="N1065" s="150">
        <v>0.50600000000000001</v>
      </c>
      <c r="O1065" s="150">
        <v>95.165000000000006</v>
      </c>
      <c r="P1065" s="150">
        <v>177.1</v>
      </c>
      <c r="Q1065" s="150">
        <v>12.37</v>
      </c>
      <c r="R1065" s="150">
        <v>93.26</v>
      </c>
      <c r="S1065" s="150">
        <v>343</v>
      </c>
      <c r="T1065" s="150">
        <v>32641.599999999999</v>
      </c>
      <c r="U1065" s="150"/>
      <c r="V1065" s="150"/>
    </row>
    <row r="1066" spans="1:22" ht="15.75" customHeight="1" x14ac:dyDescent="0.25">
      <c r="A1066" s="167" t="s">
        <v>3587</v>
      </c>
      <c r="B1066" s="162" t="s">
        <v>34</v>
      </c>
      <c r="C1066" s="162" t="s">
        <v>3469</v>
      </c>
      <c r="D1066" s="168">
        <v>44866</v>
      </c>
      <c r="E1066" s="194" t="s">
        <v>23</v>
      </c>
      <c r="F1066" s="218"/>
      <c r="G1066" s="218"/>
      <c r="H1066" s="162"/>
      <c r="I1066" s="162"/>
      <c r="J1066" s="169" t="s">
        <v>3465</v>
      </c>
      <c r="K1066" s="142" t="s">
        <v>3585</v>
      </c>
      <c r="L1066" s="162"/>
      <c r="M1066" s="162"/>
      <c r="N1066" s="162"/>
      <c r="O1066" s="162"/>
      <c r="P1066" s="162"/>
      <c r="Q1066" s="162"/>
      <c r="R1066" s="162"/>
      <c r="S1066" s="162"/>
      <c r="T1066" s="162" t="s">
        <v>3471</v>
      </c>
      <c r="U1066" s="162"/>
      <c r="V1066" s="162"/>
    </row>
    <row r="1067" spans="1:22" ht="15.75" customHeight="1" x14ac:dyDescent="0.25">
      <c r="A1067" s="167" t="s">
        <v>3587</v>
      </c>
      <c r="B1067" s="162" t="s">
        <v>34</v>
      </c>
      <c r="C1067" s="162" t="s">
        <v>3469</v>
      </c>
      <c r="D1067" s="168">
        <v>44866</v>
      </c>
      <c r="E1067" s="187" t="s">
        <v>23</v>
      </c>
      <c r="F1067" s="218"/>
      <c r="G1067" s="218"/>
      <c r="H1067" s="163"/>
      <c r="I1067" s="163"/>
      <c r="J1067" s="164" t="s">
        <v>3466</v>
      </c>
      <c r="K1067" s="145" t="s">
        <v>3586</v>
      </c>
      <c r="L1067" s="163"/>
      <c r="M1067" s="163"/>
      <c r="N1067" s="163"/>
      <c r="O1067" s="163"/>
      <c r="P1067" s="163"/>
      <c r="Q1067" s="163"/>
      <c r="R1067" s="163"/>
      <c r="S1067" s="163"/>
      <c r="T1067" s="163" t="s">
        <v>3472</v>
      </c>
      <c r="U1067" s="163"/>
      <c r="V1067" s="163"/>
    </row>
    <row r="1068" spans="1:22" s="14" customFormat="1" ht="15.75" customHeight="1" x14ac:dyDescent="0.25">
      <c r="A1068" s="141" t="s">
        <v>3591</v>
      </c>
      <c r="B1068" s="145" t="s">
        <v>13</v>
      </c>
      <c r="C1068" s="142" t="s">
        <v>27</v>
      </c>
      <c r="D1068" s="143">
        <v>44867</v>
      </c>
      <c r="E1068" s="242" t="s">
        <v>23</v>
      </c>
      <c r="F1068" s="242"/>
      <c r="G1068" s="242"/>
      <c r="H1068" s="145"/>
      <c r="I1068" s="142"/>
      <c r="J1068" s="144" t="s">
        <v>620</v>
      </c>
      <c r="K1068" s="142"/>
      <c r="L1068" s="290">
        <v>451</v>
      </c>
      <c r="M1068" s="142"/>
      <c r="N1068" s="142"/>
      <c r="O1068" s="142"/>
      <c r="P1068" s="142"/>
      <c r="Q1068" s="142"/>
      <c r="R1068" s="142"/>
      <c r="S1068" s="142"/>
      <c r="T1068" s="142" t="s">
        <v>3588</v>
      </c>
      <c r="U1068" s="142"/>
      <c r="V1068" s="142"/>
    </row>
    <row r="1069" spans="1:22" s="14" customFormat="1" ht="15.75" customHeight="1" x14ac:dyDescent="0.25">
      <c r="A1069" s="141" t="s">
        <v>3591</v>
      </c>
      <c r="B1069" s="145" t="s">
        <v>13</v>
      </c>
      <c r="C1069" s="142" t="s">
        <v>27</v>
      </c>
      <c r="D1069" s="143">
        <v>44867</v>
      </c>
      <c r="E1069" s="242" t="s">
        <v>23</v>
      </c>
      <c r="F1069" s="242"/>
      <c r="G1069" s="242"/>
      <c r="H1069" s="145"/>
      <c r="I1069" s="142"/>
      <c r="J1069" s="144" t="s">
        <v>1291</v>
      </c>
      <c r="K1069" s="142"/>
      <c r="L1069" s="290">
        <v>490</v>
      </c>
      <c r="M1069" s="142"/>
      <c r="N1069" s="142"/>
      <c r="O1069" s="142"/>
      <c r="P1069" s="142"/>
      <c r="Q1069" s="142"/>
      <c r="R1069" s="142"/>
      <c r="S1069" s="142"/>
      <c r="T1069" s="142" t="s">
        <v>3589</v>
      </c>
      <c r="U1069" s="142"/>
      <c r="V1069" s="142"/>
    </row>
    <row r="1070" spans="1:22" s="14" customFormat="1" ht="15.75" customHeight="1" x14ac:dyDescent="0.25">
      <c r="A1070" s="141" t="s">
        <v>3591</v>
      </c>
      <c r="B1070" s="145" t="s">
        <v>13</v>
      </c>
      <c r="C1070" s="142" t="s">
        <v>27</v>
      </c>
      <c r="D1070" s="143">
        <v>44867</v>
      </c>
      <c r="E1070" s="242" t="s">
        <v>23</v>
      </c>
      <c r="F1070" s="242"/>
      <c r="G1070" s="242"/>
      <c r="H1070" s="145"/>
      <c r="I1070" s="145"/>
      <c r="J1070" s="146" t="s">
        <v>25</v>
      </c>
      <c r="K1070" s="145"/>
      <c r="L1070" s="291">
        <v>1</v>
      </c>
      <c r="M1070" s="145"/>
      <c r="N1070" s="145"/>
      <c r="O1070" s="145"/>
      <c r="P1070" s="145"/>
      <c r="Q1070" s="145"/>
      <c r="R1070" s="145"/>
      <c r="S1070" s="145"/>
      <c r="T1070" s="145" t="s">
        <v>3590</v>
      </c>
      <c r="U1070" s="145"/>
      <c r="V1070" s="145"/>
    </row>
    <row r="1071" spans="1:22" ht="15.75" customHeight="1" x14ac:dyDescent="0.25">
      <c r="A1071" s="171" t="s">
        <v>3592</v>
      </c>
      <c r="B1071" s="163" t="s">
        <v>13</v>
      </c>
      <c r="C1071" s="163" t="s">
        <v>313</v>
      </c>
      <c r="D1071" s="168">
        <v>44867</v>
      </c>
      <c r="E1071" s="187" t="s">
        <v>23</v>
      </c>
      <c r="F1071" s="187"/>
      <c r="G1071" s="187">
        <v>3</v>
      </c>
      <c r="H1071" s="163"/>
      <c r="I1071" s="163"/>
      <c r="J1071" s="164" t="s">
        <v>177</v>
      </c>
      <c r="K1071" s="163"/>
      <c r="L1071" s="163">
        <v>3</v>
      </c>
      <c r="M1071" s="163"/>
      <c r="N1071" s="163"/>
      <c r="O1071" s="163"/>
      <c r="P1071" s="163"/>
      <c r="Q1071" s="163"/>
      <c r="R1071" s="163"/>
      <c r="S1071" s="163"/>
      <c r="T1071" s="163">
        <v>6500</v>
      </c>
      <c r="U1071" s="163"/>
      <c r="V1071" s="163"/>
    </row>
    <row r="1072" spans="1:22" ht="15.75" customHeight="1" x14ac:dyDescent="0.25">
      <c r="A1072" s="167" t="s">
        <v>2153</v>
      </c>
      <c r="B1072" s="163" t="s">
        <v>13</v>
      </c>
      <c r="C1072" s="162" t="s">
        <v>30</v>
      </c>
      <c r="D1072" s="168">
        <v>44867</v>
      </c>
      <c r="E1072" s="194" t="s">
        <v>23</v>
      </c>
      <c r="F1072" s="194"/>
      <c r="G1072" s="194"/>
      <c r="H1072" s="162"/>
      <c r="I1072" s="162"/>
      <c r="J1072" s="169" t="s">
        <v>92</v>
      </c>
      <c r="K1072" s="162"/>
      <c r="L1072" s="162" t="s">
        <v>125</v>
      </c>
      <c r="M1072" s="162"/>
      <c r="N1072" s="162"/>
      <c r="O1072" s="162"/>
      <c r="P1072" s="162"/>
      <c r="Q1072" s="162"/>
      <c r="R1072" s="162"/>
      <c r="S1072" s="162"/>
      <c r="T1072" s="162" t="s">
        <v>183</v>
      </c>
      <c r="U1072" s="162"/>
      <c r="V1072" s="162"/>
    </row>
    <row r="1073" spans="1:22" ht="15.75" customHeight="1" x14ac:dyDescent="0.25">
      <c r="A1073" s="167" t="s">
        <v>2153</v>
      </c>
      <c r="B1073" s="163" t="s">
        <v>13</v>
      </c>
      <c r="C1073" s="162" t="s">
        <v>30</v>
      </c>
      <c r="D1073" s="168">
        <v>44867</v>
      </c>
      <c r="E1073" s="194" t="s">
        <v>23</v>
      </c>
      <c r="F1073" s="194"/>
      <c r="G1073" s="194"/>
      <c r="H1073" s="162"/>
      <c r="I1073" s="162"/>
      <c r="J1073" s="169" t="s">
        <v>99</v>
      </c>
      <c r="K1073" s="162"/>
      <c r="L1073" s="162" t="s">
        <v>357</v>
      </c>
      <c r="M1073" s="162"/>
      <c r="N1073" s="162"/>
      <c r="O1073" s="162"/>
      <c r="P1073" s="162"/>
      <c r="Q1073" s="162"/>
      <c r="R1073" s="162"/>
      <c r="S1073" s="162"/>
      <c r="T1073" s="162" t="s">
        <v>1186</v>
      </c>
      <c r="U1073" s="162"/>
      <c r="V1073" s="162"/>
    </row>
    <row r="1074" spans="1:22" ht="15.75" customHeight="1" x14ac:dyDescent="0.25">
      <c r="A1074" s="167" t="s">
        <v>2153</v>
      </c>
      <c r="B1074" s="163" t="s">
        <v>13</v>
      </c>
      <c r="C1074" s="162" t="s">
        <v>30</v>
      </c>
      <c r="D1074" s="168">
        <v>44867</v>
      </c>
      <c r="E1074" s="194" t="s">
        <v>23</v>
      </c>
      <c r="F1074" s="194"/>
      <c r="G1074" s="194"/>
      <c r="H1074" s="162"/>
      <c r="I1074" s="162"/>
      <c r="J1074" s="169" t="s">
        <v>94</v>
      </c>
      <c r="K1074" s="162"/>
      <c r="L1074" s="162" t="s">
        <v>125</v>
      </c>
      <c r="M1074" s="162"/>
      <c r="N1074" s="162"/>
      <c r="O1074" s="162"/>
      <c r="P1074" s="162"/>
      <c r="Q1074" s="162"/>
      <c r="R1074" s="162"/>
      <c r="S1074" s="162"/>
      <c r="T1074" s="162" t="s">
        <v>183</v>
      </c>
      <c r="U1074" s="162"/>
      <c r="V1074" s="162"/>
    </row>
    <row r="1075" spans="1:22" ht="15.75" customHeight="1" x14ac:dyDescent="0.25">
      <c r="A1075" s="167" t="s">
        <v>2153</v>
      </c>
      <c r="B1075" s="163" t="s">
        <v>13</v>
      </c>
      <c r="C1075" s="162" t="s">
        <v>30</v>
      </c>
      <c r="D1075" s="168">
        <v>44867</v>
      </c>
      <c r="E1075" s="194" t="s">
        <v>23</v>
      </c>
      <c r="F1075" s="194"/>
      <c r="G1075" s="194"/>
      <c r="H1075" s="162"/>
      <c r="I1075" s="163"/>
      <c r="J1075" s="164" t="s">
        <v>102</v>
      </c>
      <c r="K1075" s="163"/>
      <c r="L1075" s="163" t="s">
        <v>357</v>
      </c>
      <c r="M1075" s="163"/>
      <c r="N1075" s="163"/>
      <c r="O1075" s="163"/>
      <c r="P1075" s="163"/>
      <c r="Q1075" s="163"/>
      <c r="R1075" s="163"/>
      <c r="S1075" s="163"/>
      <c r="T1075" s="163" t="s">
        <v>1186</v>
      </c>
      <c r="U1075" s="163"/>
      <c r="V1075" s="163"/>
    </row>
    <row r="1076" spans="1:22" ht="15.75" customHeight="1" x14ac:dyDescent="0.25">
      <c r="A1076" s="171" t="s">
        <v>3593</v>
      </c>
      <c r="B1076" s="163" t="s">
        <v>13</v>
      </c>
      <c r="C1076" s="162" t="s">
        <v>30</v>
      </c>
      <c r="D1076" s="168">
        <v>44867</v>
      </c>
      <c r="E1076" s="194" t="s">
        <v>23</v>
      </c>
      <c r="F1076" s="187"/>
      <c r="G1076" s="187"/>
      <c r="H1076" s="162"/>
      <c r="I1076" s="163"/>
      <c r="J1076" s="164" t="s">
        <v>2728</v>
      </c>
      <c r="K1076" s="163"/>
      <c r="L1076" s="163">
        <v>179</v>
      </c>
      <c r="M1076" s="163"/>
      <c r="N1076" s="163"/>
      <c r="O1076" s="163"/>
      <c r="P1076" s="163"/>
      <c r="Q1076" s="163"/>
      <c r="R1076" s="163"/>
      <c r="S1076" s="163"/>
      <c r="T1076" s="175">
        <v>54500</v>
      </c>
      <c r="U1076" s="163"/>
      <c r="V1076" s="163"/>
    </row>
    <row r="1077" spans="1:22" s="14" customFormat="1" ht="15.75" customHeight="1" x14ac:dyDescent="0.25">
      <c r="A1077" s="141" t="s">
        <v>2159</v>
      </c>
      <c r="B1077" s="145" t="s">
        <v>13</v>
      </c>
      <c r="C1077" s="142" t="s">
        <v>30</v>
      </c>
      <c r="D1077" s="143">
        <v>44867</v>
      </c>
      <c r="E1077" s="194" t="s">
        <v>23</v>
      </c>
      <c r="F1077" s="242"/>
      <c r="G1077" s="242"/>
      <c r="H1077" s="142"/>
      <c r="I1077" s="142"/>
      <c r="J1077" s="144" t="s">
        <v>731</v>
      </c>
      <c r="K1077" s="142"/>
      <c r="L1077" s="142" t="s">
        <v>125</v>
      </c>
      <c r="M1077" s="142"/>
      <c r="N1077" s="142"/>
      <c r="O1077" s="142"/>
      <c r="P1077" s="142"/>
      <c r="Q1077" s="142"/>
      <c r="R1077" s="142"/>
      <c r="S1077" s="142"/>
      <c r="T1077" s="142"/>
      <c r="U1077" s="142"/>
      <c r="V1077" s="142"/>
    </row>
    <row r="1078" spans="1:22" s="14" customFormat="1" ht="15.75" customHeight="1" x14ac:dyDescent="0.25">
      <c r="A1078" s="141" t="s">
        <v>2159</v>
      </c>
      <c r="B1078" s="145" t="s">
        <v>13</v>
      </c>
      <c r="C1078" s="142" t="s">
        <v>30</v>
      </c>
      <c r="D1078" s="143">
        <v>44867</v>
      </c>
      <c r="E1078" s="194" t="s">
        <v>23</v>
      </c>
      <c r="F1078" s="242"/>
      <c r="G1078" s="242"/>
      <c r="H1078" s="142"/>
      <c r="I1078" s="142"/>
      <c r="J1078" s="144" t="s">
        <v>744</v>
      </c>
      <c r="K1078" s="142"/>
      <c r="L1078" s="142" t="s">
        <v>73</v>
      </c>
      <c r="M1078" s="142"/>
      <c r="N1078" s="142"/>
      <c r="O1078" s="142"/>
      <c r="P1078" s="142"/>
      <c r="Q1078" s="142"/>
      <c r="R1078" s="142"/>
      <c r="S1078" s="142"/>
      <c r="T1078" s="142"/>
      <c r="U1078" s="142"/>
      <c r="V1078" s="142"/>
    </row>
    <row r="1079" spans="1:22" s="14" customFormat="1" ht="15.75" customHeight="1" x14ac:dyDescent="0.25">
      <c r="A1079" s="141" t="s">
        <v>2159</v>
      </c>
      <c r="B1079" s="145" t="s">
        <v>13</v>
      </c>
      <c r="C1079" s="142" t="s">
        <v>30</v>
      </c>
      <c r="D1079" s="143">
        <v>44867</v>
      </c>
      <c r="E1079" s="194" t="s">
        <v>23</v>
      </c>
      <c r="F1079" s="242"/>
      <c r="G1079" s="242"/>
      <c r="H1079" s="142"/>
      <c r="I1079" s="142"/>
      <c r="J1079" s="144" t="s">
        <v>740</v>
      </c>
      <c r="K1079" s="142"/>
      <c r="L1079" s="142" t="s">
        <v>357</v>
      </c>
      <c r="M1079" s="142"/>
      <c r="N1079" s="142"/>
      <c r="O1079" s="142"/>
      <c r="P1079" s="142"/>
      <c r="Q1079" s="142"/>
      <c r="R1079" s="142"/>
      <c r="S1079" s="142"/>
      <c r="T1079" s="142"/>
      <c r="U1079" s="142"/>
      <c r="V1079" s="142"/>
    </row>
    <row r="1080" spans="1:22" s="14" customFormat="1" ht="15.75" customHeight="1" x14ac:dyDescent="0.25">
      <c r="A1080" s="141" t="s">
        <v>2159</v>
      </c>
      <c r="B1080" s="145" t="s">
        <v>13</v>
      </c>
      <c r="C1080" s="142" t="s">
        <v>30</v>
      </c>
      <c r="D1080" s="143">
        <v>44867</v>
      </c>
      <c r="E1080" s="194" t="s">
        <v>23</v>
      </c>
      <c r="F1080" s="242"/>
      <c r="G1080" s="242"/>
      <c r="H1080" s="142"/>
      <c r="I1080" s="145"/>
      <c r="J1080" s="146" t="s">
        <v>741</v>
      </c>
      <c r="K1080" s="145"/>
      <c r="L1080" s="145" t="s">
        <v>357</v>
      </c>
      <c r="M1080" s="145"/>
      <c r="N1080" s="145"/>
      <c r="O1080" s="145"/>
      <c r="P1080" s="145"/>
      <c r="Q1080" s="145"/>
      <c r="R1080" s="145"/>
      <c r="S1080" s="145"/>
      <c r="T1080" s="145"/>
      <c r="U1080" s="145"/>
      <c r="V1080" s="145"/>
    </row>
    <row r="1081" spans="1:22" ht="15.75" customHeight="1" x14ac:dyDescent="0.25">
      <c r="A1081" s="171" t="s">
        <v>2154</v>
      </c>
      <c r="B1081" s="163" t="s">
        <v>34</v>
      </c>
      <c r="C1081" s="163" t="s">
        <v>1884</v>
      </c>
      <c r="D1081" s="172">
        <v>44867</v>
      </c>
      <c r="E1081" s="187" t="s">
        <v>23</v>
      </c>
      <c r="F1081" s="187"/>
      <c r="G1081" s="187"/>
      <c r="H1081" s="163" t="s">
        <v>2523</v>
      </c>
      <c r="I1081" s="163"/>
      <c r="J1081" s="164" t="s">
        <v>3595</v>
      </c>
      <c r="K1081" s="145"/>
      <c r="L1081" s="175">
        <v>11</v>
      </c>
      <c r="M1081" s="163"/>
      <c r="N1081" s="163"/>
      <c r="O1081" s="163"/>
      <c r="P1081" s="163"/>
      <c r="Q1081" s="163"/>
      <c r="R1081" s="163"/>
      <c r="S1081" s="163"/>
      <c r="T1081" s="163" t="s">
        <v>3594</v>
      </c>
      <c r="U1081" s="163"/>
      <c r="V1081" s="163"/>
    </row>
    <row r="1082" spans="1:22" ht="15.75" customHeight="1" x14ac:dyDescent="0.25">
      <c r="A1082" s="171" t="s">
        <v>2154</v>
      </c>
      <c r="B1082" s="163" t="s">
        <v>34</v>
      </c>
      <c r="C1082" s="163" t="s">
        <v>1884</v>
      </c>
      <c r="D1082" s="172">
        <v>44867</v>
      </c>
      <c r="E1082" s="187" t="s">
        <v>23</v>
      </c>
      <c r="F1082" s="187"/>
      <c r="G1082" s="187"/>
      <c r="H1082" s="163" t="s">
        <v>2523</v>
      </c>
      <c r="I1082" s="163"/>
      <c r="J1082" s="164" t="s">
        <v>3596</v>
      </c>
      <c r="K1082" s="145"/>
      <c r="L1082" s="175">
        <v>7</v>
      </c>
      <c r="M1082" s="163"/>
      <c r="N1082" s="163"/>
      <c r="O1082" s="163"/>
      <c r="P1082" s="163"/>
      <c r="Q1082" s="163"/>
      <c r="R1082" s="163"/>
      <c r="S1082" s="163"/>
      <c r="T1082" s="163"/>
      <c r="U1082" s="163"/>
      <c r="V1082" s="163"/>
    </row>
    <row r="1083" spans="1:22" ht="15.75" customHeight="1" x14ac:dyDescent="0.25">
      <c r="A1083" s="171" t="s">
        <v>2154</v>
      </c>
      <c r="B1083" s="163" t="s">
        <v>34</v>
      </c>
      <c r="C1083" s="163" t="s">
        <v>1884</v>
      </c>
      <c r="D1083" s="172">
        <v>44867</v>
      </c>
      <c r="E1083" s="187" t="s">
        <v>23</v>
      </c>
      <c r="F1083" s="187"/>
      <c r="G1083" s="187"/>
      <c r="H1083" s="163" t="s">
        <v>2523</v>
      </c>
      <c r="I1083" s="163"/>
      <c r="J1083" s="164" t="s">
        <v>3597</v>
      </c>
      <c r="K1083" s="145"/>
      <c r="L1083" s="175">
        <v>1</v>
      </c>
      <c r="M1083" s="163"/>
      <c r="N1083" s="163"/>
      <c r="O1083" s="163"/>
      <c r="P1083" s="163"/>
      <c r="Q1083" s="163"/>
      <c r="R1083" s="163"/>
      <c r="S1083" s="163"/>
      <c r="T1083" s="163"/>
      <c r="U1083" s="163"/>
      <c r="V1083" s="163"/>
    </row>
    <row r="1084" spans="1:22" ht="15.75" customHeight="1" x14ac:dyDescent="0.25">
      <c r="A1084" s="171" t="s">
        <v>2154</v>
      </c>
      <c r="B1084" s="163" t="s">
        <v>34</v>
      </c>
      <c r="C1084" s="163" t="s">
        <v>1884</v>
      </c>
      <c r="D1084" s="172">
        <v>44867</v>
      </c>
      <c r="E1084" s="187" t="s">
        <v>23</v>
      </c>
      <c r="F1084" s="187"/>
      <c r="G1084" s="187"/>
      <c r="H1084" s="163" t="s">
        <v>2523</v>
      </c>
      <c r="I1084" s="163"/>
      <c r="J1084" s="164" t="s">
        <v>3598</v>
      </c>
      <c r="K1084" s="145"/>
      <c r="L1084" s="175">
        <v>1</v>
      </c>
      <c r="M1084" s="163"/>
      <c r="N1084" s="163"/>
      <c r="O1084" s="163"/>
      <c r="P1084" s="163"/>
      <c r="Q1084" s="163"/>
      <c r="R1084" s="163"/>
      <c r="S1084" s="163"/>
      <c r="T1084" s="163"/>
      <c r="U1084" s="163"/>
      <c r="V1084" s="163"/>
    </row>
    <row r="1085" spans="1:22" ht="15.75" customHeight="1" x14ac:dyDescent="0.25">
      <c r="A1085" s="171" t="s">
        <v>2154</v>
      </c>
      <c r="B1085" s="163" t="s">
        <v>34</v>
      </c>
      <c r="C1085" s="163" t="s">
        <v>1884</v>
      </c>
      <c r="D1085" s="172">
        <v>44867</v>
      </c>
      <c r="E1085" s="187" t="s">
        <v>23</v>
      </c>
      <c r="F1085" s="187"/>
      <c r="G1085" s="187"/>
      <c r="H1085" s="163" t="s">
        <v>2523</v>
      </c>
      <c r="I1085" s="163"/>
      <c r="J1085" s="164" t="s">
        <v>3599</v>
      </c>
      <c r="K1085" s="145"/>
      <c r="L1085" s="175">
        <v>1</v>
      </c>
      <c r="M1085" s="163"/>
      <c r="N1085" s="163"/>
      <c r="O1085" s="163"/>
      <c r="P1085" s="163"/>
      <c r="Q1085" s="163"/>
      <c r="R1085" s="163"/>
      <c r="S1085" s="163"/>
      <c r="T1085" s="163"/>
      <c r="U1085" s="163"/>
      <c r="V1085" s="163"/>
    </row>
    <row r="1086" spans="1:22" ht="15.75" customHeight="1" x14ac:dyDescent="0.25">
      <c r="A1086" s="171" t="s">
        <v>2154</v>
      </c>
      <c r="B1086" s="163" t="s">
        <v>34</v>
      </c>
      <c r="C1086" s="163" t="s">
        <v>1884</v>
      </c>
      <c r="D1086" s="172">
        <v>44867</v>
      </c>
      <c r="E1086" s="187" t="s">
        <v>23</v>
      </c>
      <c r="F1086" s="187"/>
      <c r="G1086" s="187"/>
      <c r="H1086" s="163" t="s">
        <v>2523</v>
      </c>
      <c r="I1086" s="163"/>
      <c r="J1086" s="164" t="s">
        <v>3600</v>
      </c>
      <c r="K1086" s="145"/>
      <c r="L1086" s="175">
        <v>1</v>
      </c>
      <c r="M1086" s="163"/>
      <c r="N1086" s="163"/>
      <c r="O1086" s="163"/>
      <c r="P1086" s="163"/>
      <c r="Q1086" s="163"/>
      <c r="R1086" s="163"/>
      <c r="S1086" s="163"/>
      <c r="T1086" s="163"/>
      <c r="U1086" s="163"/>
      <c r="V1086" s="163"/>
    </row>
    <row r="1087" spans="1:22" s="14" customFormat="1" ht="15.75" customHeight="1" x14ac:dyDescent="0.25">
      <c r="A1087" s="147" t="s">
        <v>2258</v>
      </c>
      <c r="B1087" s="145" t="s">
        <v>13</v>
      </c>
      <c r="C1087" s="145" t="s">
        <v>37</v>
      </c>
      <c r="D1087" s="148">
        <v>44868</v>
      </c>
      <c r="E1087" s="241" t="s">
        <v>23</v>
      </c>
      <c r="F1087" s="241"/>
      <c r="G1087" s="241"/>
      <c r="H1087" s="145"/>
      <c r="I1087" s="145"/>
      <c r="J1087" s="146" t="s">
        <v>3291</v>
      </c>
      <c r="K1087" s="145"/>
      <c r="L1087" s="145">
        <v>12</v>
      </c>
      <c r="M1087" s="145"/>
      <c r="N1087" s="145"/>
      <c r="O1087" s="145"/>
      <c r="P1087" s="145"/>
      <c r="Q1087" s="145"/>
      <c r="R1087" s="145"/>
      <c r="S1087" s="145"/>
      <c r="T1087" s="145">
        <v>22200</v>
      </c>
      <c r="U1087" s="145"/>
      <c r="V1087" s="145"/>
    </row>
    <row r="1088" spans="1:22" ht="15.75" customHeight="1" x14ac:dyDescent="0.25">
      <c r="A1088" s="171">
        <v>522</v>
      </c>
      <c r="B1088" s="163" t="s">
        <v>34</v>
      </c>
      <c r="C1088" s="163" t="s">
        <v>2930</v>
      </c>
      <c r="D1088" s="172">
        <v>44867</v>
      </c>
      <c r="E1088" s="187" t="s">
        <v>23</v>
      </c>
      <c r="F1088" s="187"/>
      <c r="G1088" s="187"/>
      <c r="H1088" s="163" t="s">
        <v>3603</v>
      </c>
      <c r="I1088" s="163"/>
      <c r="J1088" s="164" t="s">
        <v>3602</v>
      </c>
      <c r="K1088" s="145"/>
      <c r="L1088" s="163"/>
      <c r="M1088" s="163"/>
      <c r="N1088" s="163"/>
      <c r="O1088" s="163"/>
      <c r="P1088" s="163"/>
      <c r="Q1088" s="163"/>
      <c r="R1088" s="163"/>
      <c r="S1088" s="163"/>
      <c r="T1088" s="163" t="s">
        <v>2891</v>
      </c>
      <c r="U1088" s="163"/>
      <c r="V1088" s="163"/>
    </row>
    <row r="1089" spans="1:22" s="14" customFormat="1" ht="15.75" customHeight="1" x14ac:dyDescent="0.25">
      <c r="A1089" s="147" t="s">
        <v>2186</v>
      </c>
      <c r="B1089" s="145" t="s">
        <v>13</v>
      </c>
      <c r="C1089" s="145" t="s">
        <v>2399</v>
      </c>
      <c r="D1089" s="148">
        <v>44872</v>
      </c>
      <c r="E1089" s="241" t="s">
        <v>23</v>
      </c>
      <c r="F1089" s="241"/>
      <c r="G1089" s="241"/>
      <c r="H1089" s="145" t="s">
        <v>2078</v>
      </c>
      <c r="I1089" s="145"/>
      <c r="J1089" s="146" t="s">
        <v>3606</v>
      </c>
      <c r="K1089" s="145"/>
      <c r="L1089" s="145">
        <v>154</v>
      </c>
      <c r="M1089" s="145"/>
      <c r="N1089" s="145"/>
      <c r="O1089" s="145"/>
      <c r="P1089" s="145"/>
      <c r="Q1089" s="145"/>
      <c r="R1089" s="145"/>
      <c r="S1089" s="145"/>
      <c r="T1089" s="145">
        <v>13685</v>
      </c>
      <c r="U1089" s="145"/>
      <c r="V1089" s="145"/>
    </row>
    <row r="1090" spans="1:22" s="28" customFormat="1" ht="30.75" customHeight="1" x14ac:dyDescent="0.25">
      <c r="A1090" s="254" t="s">
        <v>3607</v>
      </c>
      <c r="B1090" s="150" t="s">
        <v>34</v>
      </c>
      <c r="C1090" s="150" t="s">
        <v>16</v>
      </c>
      <c r="D1090" s="255">
        <v>44872</v>
      </c>
      <c r="E1090" s="256" t="s">
        <v>23</v>
      </c>
      <c r="F1090" s="256">
        <f>456+240</f>
        <v>696</v>
      </c>
      <c r="G1090" s="256"/>
      <c r="H1090" s="300" t="s">
        <v>3792</v>
      </c>
      <c r="I1090" s="150"/>
      <c r="J1090" s="257" t="s">
        <v>2581</v>
      </c>
      <c r="K1090" s="150">
        <v>1134</v>
      </c>
      <c r="L1090" s="150" t="s">
        <v>666</v>
      </c>
      <c r="M1090" s="150">
        <v>0.56989999999999996</v>
      </c>
      <c r="N1090" s="150">
        <v>1.304</v>
      </c>
      <c r="O1090" s="150">
        <v>646.26660000000004</v>
      </c>
      <c r="P1090" s="150">
        <v>1478.7360000000001</v>
      </c>
      <c r="Q1090" s="150">
        <v>84.01</v>
      </c>
      <c r="R1090" s="150">
        <v>249.62</v>
      </c>
      <c r="S1090" s="150">
        <v>438</v>
      </c>
      <c r="T1090" s="150">
        <v>283064.77</v>
      </c>
      <c r="U1090" s="150"/>
      <c r="V1090" s="150"/>
    </row>
    <row r="1091" spans="1:22" ht="15.75" customHeight="1" x14ac:dyDescent="0.25">
      <c r="A1091" s="171">
        <v>468</v>
      </c>
      <c r="B1091" s="163" t="s">
        <v>34</v>
      </c>
      <c r="C1091" s="163" t="s">
        <v>79</v>
      </c>
      <c r="D1091" s="172">
        <v>44872</v>
      </c>
      <c r="E1091" s="187" t="s">
        <v>23</v>
      </c>
      <c r="F1091" s="187"/>
      <c r="G1091" s="187"/>
      <c r="H1091" s="163"/>
      <c r="I1091" s="163"/>
      <c r="J1091" s="164" t="s">
        <v>2625</v>
      </c>
      <c r="K1091" s="145">
        <v>486</v>
      </c>
      <c r="L1091" s="163" t="s">
        <v>863</v>
      </c>
      <c r="M1091" s="163">
        <v>0.45550000000000002</v>
      </c>
      <c r="N1091" s="163">
        <v>1.6990000000000001</v>
      </c>
      <c r="O1091" s="163">
        <v>221.37299999999999</v>
      </c>
      <c r="P1091" s="163">
        <v>825.71400000000006</v>
      </c>
      <c r="Q1091" s="163">
        <v>28.78</v>
      </c>
      <c r="R1091" s="163">
        <v>110.69</v>
      </c>
      <c r="S1091" s="163">
        <v>243</v>
      </c>
      <c r="T1091" s="163">
        <v>53795.34</v>
      </c>
      <c r="U1091" s="163"/>
      <c r="V1091" s="163"/>
    </row>
    <row r="1092" spans="1:22" s="14" customFormat="1" ht="15.75" customHeight="1" x14ac:dyDescent="0.25">
      <c r="A1092" s="147">
        <v>469</v>
      </c>
      <c r="B1092" s="145" t="s">
        <v>13</v>
      </c>
      <c r="C1092" s="145" t="s">
        <v>292</v>
      </c>
      <c r="D1092" s="148">
        <v>44872</v>
      </c>
      <c r="E1092" s="241" t="s">
        <v>23</v>
      </c>
      <c r="F1092" s="241"/>
      <c r="G1092" s="241">
        <f>180+275</f>
        <v>455</v>
      </c>
      <c r="H1092" s="145" t="s">
        <v>2391</v>
      </c>
      <c r="I1092" s="145"/>
      <c r="J1092" s="146" t="s">
        <v>3608</v>
      </c>
      <c r="K1092" s="145">
        <v>1927.8</v>
      </c>
      <c r="L1092" s="145" t="s">
        <v>3609</v>
      </c>
      <c r="M1092" s="145">
        <v>0.3266</v>
      </c>
      <c r="N1092" s="145">
        <v>0.84099999999999997</v>
      </c>
      <c r="O1092" s="145">
        <v>629.61950000000002</v>
      </c>
      <c r="P1092" s="145">
        <v>1621.2798</v>
      </c>
      <c r="Q1092" s="145">
        <v>81.849999999999994</v>
      </c>
      <c r="R1092" s="145">
        <v>105.49</v>
      </c>
      <c r="S1092" s="145">
        <v>323</v>
      </c>
      <c r="T1092" s="145">
        <v>203367.09</v>
      </c>
      <c r="U1092" s="145"/>
      <c r="V1092" s="145"/>
    </row>
    <row r="1093" spans="1:22" s="14" customFormat="1" ht="15.75" customHeight="1" x14ac:dyDescent="0.25">
      <c r="A1093" s="147">
        <v>470</v>
      </c>
      <c r="B1093" s="145" t="s">
        <v>13</v>
      </c>
      <c r="C1093" s="145" t="s">
        <v>2376</v>
      </c>
      <c r="D1093" s="148">
        <v>44872</v>
      </c>
      <c r="E1093" s="241" t="s">
        <v>23</v>
      </c>
      <c r="F1093" s="241">
        <f>1180+809</f>
        <v>1989</v>
      </c>
      <c r="G1093" s="241"/>
      <c r="H1093" s="145" t="s">
        <v>3624</v>
      </c>
      <c r="I1093" s="145"/>
      <c r="J1093" s="146" t="s">
        <v>38</v>
      </c>
      <c r="K1093" s="145">
        <v>5967</v>
      </c>
      <c r="L1093" s="145" t="s">
        <v>3610</v>
      </c>
      <c r="M1093" s="145">
        <v>6.4500000000000002E-2</v>
      </c>
      <c r="N1093" s="145">
        <v>8.5000000000000006E-2</v>
      </c>
      <c r="O1093" s="145">
        <v>384.87150000000003</v>
      </c>
      <c r="P1093" s="145">
        <v>507.19499999999999</v>
      </c>
      <c r="Q1093" s="145">
        <v>50.03</v>
      </c>
      <c r="R1093" s="145">
        <v>18.38</v>
      </c>
      <c r="S1093" s="145">
        <v>285</v>
      </c>
      <c r="T1093" s="145">
        <v>109688.38</v>
      </c>
      <c r="U1093" s="145"/>
      <c r="V1093" s="145"/>
    </row>
    <row r="1094" spans="1:22" ht="15.75" customHeight="1" x14ac:dyDescent="0.25">
      <c r="A1094" s="171">
        <v>471</v>
      </c>
      <c r="B1094" s="163" t="s">
        <v>13</v>
      </c>
      <c r="C1094" s="163" t="s">
        <v>32</v>
      </c>
      <c r="D1094" s="172">
        <v>44872</v>
      </c>
      <c r="E1094" s="187" t="s">
        <v>23</v>
      </c>
      <c r="F1094" s="187">
        <v>74</v>
      </c>
      <c r="G1094" s="187"/>
      <c r="H1094" s="163"/>
      <c r="I1094" s="163"/>
      <c r="J1094" s="164" t="s">
        <v>2773</v>
      </c>
      <c r="K1094" s="145">
        <v>392.2</v>
      </c>
      <c r="L1094" s="163" t="s">
        <v>118</v>
      </c>
      <c r="M1094" s="163">
        <v>0.2651</v>
      </c>
      <c r="N1094" s="163">
        <v>0.82099999999999995</v>
      </c>
      <c r="O1094" s="163">
        <v>103.9722</v>
      </c>
      <c r="P1094" s="163">
        <v>321.99619999999999</v>
      </c>
      <c r="Q1094" s="163">
        <v>13.52</v>
      </c>
      <c r="R1094" s="163">
        <v>81.92</v>
      </c>
      <c r="S1094" s="163">
        <v>309</v>
      </c>
      <c r="T1094" s="163">
        <v>32127.42</v>
      </c>
      <c r="U1094" s="163"/>
      <c r="V1094" s="163"/>
    </row>
    <row r="1095" spans="1:22" s="14" customFormat="1" ht="15.75" customHeight="1" x14ac:dyDescent="0.25">
      <c r="A1095" s="141">
        <v>472</v>
      </c>
      <c r="B1095" s="145" t="s">
        <v>13</v>
      </c>
      <c r="C1095" s="145" t="s">
        <v>32</v>
      </c>
      <c r="D1095" s="148">
        <v>44872</v>
      </c>
      <c r="E1095" s="242" t="s">
        <v>23</v>
      </c>
      <c r="F1095" s="242"/>
      <c r="G1095" s="242">
        <v>294</v>
      </c>
      <c r="H1095" s="142" t="s">
        <v>3500</v>
      </c>
      <c r="I1095" s="142"/>
      <c r="J1095" s="144" t="s">
        <v>1975</v>
      </c>
      <c r="K1095" s="142">
        <v>1622.25</v>
      </c>
      <c r="L1095" s="142">
        <v>315</v>
      </c>
      <c r="M1095" s="142">
        <v>0.15790000000000001</v>
      </c>
      <c r="N1095" s="142">
        <v>0.309</v>
      </c>
      <c r="O1095" s="142">
        <v>256.1533</v>
      </c>
      <c r="P1095" s="142">
        <v>501.27530000000002</v>
      </c>
      <c r="Q1095" s="142">
        <v>33.299999999999997</v>
      </c>
      <c r="R1095" s="142">
        <v>48.79</v>
      </c>
      <c r="S1095" s="142">
        <v>309</v>
      </c>
      <c r="T1095" s="142">
        <v>79151.360000000001</v>
      </c>
      <c r="U1095" s="142"/>
      <c r="V1095" s="142"/>
    </row>
    <row r="1096" spans="1:22" s="28" customFormat="1" ht="15.75" customHeight="1" x14ac:dyDescent="0.25">
      <c r="A1096" s="283">
        <v>472</v>
      </c>
      <c r="B1096" s="150" t="s">
        <v>13</v>
      </c>
      <c r="C1096" s="150" t="s">
        <v>32</v>
      </c>
      <c r="D1096" s="255">
        <v>44872</v>
      </c>
      <c r="E1096" s="256" t="s">
        <v>23</v>
      </c>
      <c r="F1096" s="258"/>
      <c r="G1096" s="258">
        <v>16</v>
      </c>
      <c r="H1096" s="150"/>
      <c r="I1096" s="150"/>
      <c r="J1096" s="257" t="s">
        <v>3611</v>
      </c>
      <c r="K1096" s="150">
        <v>90.4</v>
      </c>
      <c r="L1096" s="150" t="s">
        <v>520</v>
      </c>
      <c r="M1096" s="150">
        <v>0.1469</v>
      </c>
      <c r="N1096" s="150">
        <v>1.427</v>
      </c>
      <c r="O1096" s="150">
        <v>13.2798</v>
      </c>
      <c r="P1096" s="150">
        <v>129.0008</v>
      </c>
      <c r="Q1096" s="150">
        <v>1.73</v>
      </c>
      <c r="R1096" s="150">
        <v>45.39</v>
      </c>
      <c r="S1096" s="150">
        <v>309</v>
      </c>
      <c r="T1096" s="150">
        <v>4103.45</v>
      </c>
      <c r="U1096" s="150"/>
      <c r="V1096" s="150"/>
    </row>
    <row r="1097" spans="1:22" s="14" customFormat="1" ht="15.75" customHeight="1" x14ac:dyDescent="0.25">
      <c r="A1097" s="147">
        <v>473</v>
      </c>
      <c r="B1097" s="145" t="s">
        <v>13</v>
      </c>
      <c r="C1097" s="145" t="s">
        <v>1433</v>
      </c>
      <c r="D1097" s="148">
        <v>44872</v>
      </c>
      <c r="E1097" s="241" t="s">
        <v>23</v>
      </c>
      <c r="F1097" s="242"/>
      <c r="G1097" s="242">
        <v>73</v>
      </c>
      <c r="H1097" s="145" t="s">
        <v>2370</v>
      </c>
      <c r="I1097" s="145"/>
      <c r="J1097" s="146" t="s">
        <v>1472</v>
      </c>
      <c r="K1097" s="145">
        <v>456</v>
      </c>
      <c r="L1097" s="145">
        <v>76</v>
      </c>
      <c r="M1097" s="145">
        <v>0.41239999999999999</v>
      </c>
      <c r="N1097" s="145">
        <v>1.1619999999999999</v>
      </c>
      <c r="O1097" s="145">
        <v>188.05439999999999</v>
      </c>
      <c r="P1097" s="145">
        <v>529.87199999999996</v>
      </c>
      <c r="Q1097" s="145">
        <v>24.45</v>
      </c>
      <c r="R1097" s="145">
        <v>141.44999999999999</v>
      </c>
      <c r="S1097" s="145">
        <v>343</v>
      </c>
      <c r="T1097" s="145">
        <v>64502.66</v>
      </c>
      <c r="U1097" s="145"/>
      <c r="V1097" s="145"/>
    </row>
    <row r="1098" spans="1:22" s="28" customFormat="1" ht="15.75" customHeight="1" x14ac:dyDescent="0.25">
      <c r="A1098" s="254" t="s">
        <v>3612</v>
      </c>
      <c r="B1098" s="150" t="s">
        <v>13</v>
      </c>
      <c r="C1098" s="150" t="s">
        <v>3404</v>
      </c>
      <c r="D1098" s="255">
        <v>44873</v>
      </c>
      <c r="E1098" s="256" t="s">
        <v>23</v>
      </c>
      <c r="F1098" s="258"/>
      <c r="G1098" s="258"/>
      <c r="H1098" s="150" t="s">
        <v>2078</v>
      </c>
      <c r="I1098" s="150"/>
      <c r="J1098" s="257" t="s">
        <v>177</v>
      </c>
      <c r="K1098" s="150"/>
      <c r="L1098" s="150">
        <v>209</v>
      </c>
      <c r="M1098" s="150"/>
      <c r="N1098" s="150"/>
      <c r="O1098" s="150"/>
      <c r="P1098" s="150"/>
      <c r="Q1098" s="150"/>
      <c r="R1098" s="150"/>
      <c r="S1098" s="150"/>
      <c r="T1098" s="150">
        <v>21800</v>
      </c>
      <c r="U1098" s="150"/>
      <c r="V1098" s="150"/>
    </row>
    <row r="1099" spans="1:22" s="28" customFormat="1" ht="15.75" customHeight="1" x14ac:dyDescent="0.25">
      <c r="A1099" s="283" t="s">
        <v>3617</v>
      </c>
      <c r="B1099" s="150" t="s">
        <v>13</v>
      </c>
      <c r="C1099" s="149" t="s">
        <v>548</v>
      </c>
      <c r="D1099" s="255">
        <v>44873</v>
      </c>
      <c r="E1099" s="241" t="s">
        <v>23</v>
      </c>
      <c r="F1099" s="258"/>
      <c r="G1099" s="258">
        <v>413</v>
      </c>
      <c r="H1099" s="150" t="s">
        <v>2955</v>
      </c>
      <c r="I1099" s="149"/>
      <c r="J1099" s="284" t="s">
        <v>3613</v>
      </c>
      <c r="K1099" s="149" t="s">
        <v>3618</v>
      </c>
      <c r="L1099" s="149">
        <v>417</v>
      </c>
      <c r="M1099" s="149"/>
      <c r="N1099" s="149"/>
      <c r="O1099" s="149"/>
      <c r="P1099" s="149"/>
      <c r="Q1099" s="149"/>
      <c r="R1099" s="149"/>
      <c r="S1099" s="149"/>
      <c r="T1099" s="149" t="s">
        <v>3014</v>
      </c>
      <c r="U1099" s="149"/>
      <c r="V1099" s="149"/>
    </row>
    <row r="1100" spans="1:22" s="28" customFormat="1" ht="15.75" customHeight="1" x14ac:dyDescent="0.25">
      <c r="A1100" s="283" t="s">
        <v>3617</v>
      </c>
      <c r="B1100" s="150" t="s">
        <v>13</v>
      </c>
      <c r="C1100" s="149" t="s">
        <v>548</v>
      </c>
      <c r="D1100" s="255">
        <v>44873</v>
      </c>
      <c r="E1100" s="241" t="s">
        <v>23</v>
      </c>
      <c r="F1100" s="258"/>
      <c r="G1100" s="258">
        <v>115</v>
      </c>
      <c r="H1100" s="150" t="s">
        <v>1173</v>
      </c>
      <c r="I1100" s="149"/>
      <c r="J1100" s="284" t="s">
        <v>3614</v>
      </c>
      <c r="K1100" s="149" t="s">
        <v>3619</v>
      </c>
      <c r="L1100" s="149">
        <v>122</v>
      </c>
      <c r="M1100" s="149"/>
      <c r="N1100" s="149"/>
      <c r="O1100" s="149"/>
      <c r="P1100" s="149"/>
      <c r="Q1100" s="149"/>
      <c r="R1100" s="149"/>
      <c r="S1100" s="149"/>
      <c r="T1100" s="149" t="s">
        <v>3621</v>
      </c>
      <c r="U1100" s="149"/>
      <c r="V1100" s="149"/>
    </row>
    <row r="1101" spans="1:22" s="28" customFormat="1" ht="15.75" customHeight="1" x14ac:dyDescent="0.25">
      <c r="A1101" s="283" t="s">
        <v>3617</v>
      </c>
      <c r="B1101" s="150" t="s">
        <v>13</v>
      </c>
      <c r="C1101" s="149" t="s">
        <v>548</v>
      </c>
      <c r="D1101" s="255">
        <v>44873</v>
      </c>
      <c r="E1101" s="241" t="s">
        <v>23</v>
      </c>
      <c r="F1101" s="258"/>
      <c r="G1101" s="258">
        <v>156</v>
      </c>
      <c r="H1101" s="150" t="s">
        <v>2955</v>
      </c>
      <c r="I1101" s="149"/>
      <c r="J1101" s="284" t="s">
        <v>3615</v>
      </c>
      <c r="K1101" s="149" t="s">
        <v>3620</v>
      </c>
      <c r="L1101" s="149">
        <v>160</v>
      </c>
      <c r="M1101" s="149"/>
      <c r="N1101" s="149"/>
      <c r="O1101" s="149"/>
      <c r="P1101" s="149"/>
      <c r="Q1101" s="149"/>
      <c r="R1101" s="149"/>
      <c r="S1101" s="149"/>
      <c r="T1101" s="149" t="s">
        <v>3622</v>
      </c>
      <c r="U1101" s="149"/>
      <c r="V1101" s="149"/>
    </row>
    <row r="1102" spans="1:22" s="28" customFormat="1" ht="15.75" customHeight="1" x14ac:dyDescent="0.25">
      <c r="A1102" s="283" t="s">
        <v>3617</v>
      </c>
      <c r="B1102" s="150" t="s">
        <v>13</v>
      </c>
      <c r="C1102" s="149" t="s">
        <v>548</v>
      </c>
      <c r="D1102" s="255">
        <v>44873</v>
      </c>
      <c r="E1102" s="241" t="s">
        <v>23</v>
      </c>
      <c r="F1102" s="258"/>
      <c r="G1102" s="258">
        <v>128</v>
      </c>
      <c r="H1102" s="150"/>
      <c r="I1102" s="150"/>
      <c r="J1102" s="257" t="s">
        <v>3616</v>
      </c>
      <c r="K1102" s="150" t="s">
        <v>1515</v>
      </c>
      <c r="L1102" s="150">
        <v>128</v>
      </c>
      <c r="M1102" s="150"/>
      <c r="N1102" s="150"/>
      <c r="O1102" s="150"/>
      <c r="P1102" s="150"/>
      <c r="Q1102" s="150"/>
      <c r="R1102" s="150"/>
      <c r="S1102" s="150"/>
      <c r="T1102" s="150" t="s">
        <v>3623</v>
      </c>
      <c r="U1102" s="150"/>
      <c r="V1102" s="150"/>
    </row>
    <row r="1103" spans="1:22" ht="15.75" customHeight="1" x14ac:dyDescent="0.25">
      <c r="A1103" s="171" t="s">
        <v>2199</v>
      </c>
      <c r="B1103" s="163" t="s">
        <v>13</v>
      </c>
      <c r="C1103" s="163" t="s">
        <v>548</v>
      </c>
      <c r="D1103" s="172">
        <v>44874</v>
      </c>
      <c r="E1103" s="187" t="s">
        <v>23</v>
      </c>
      <c r="F1103" s="187"/>
      <c r="G1103" s="187">
        <v>52</v>
      </c>
      <c r="H1103" s="162" t="s">
        <v>3657</v>
      </c>
      <c r="I1103" s="163"/>
      <c r="J1103" s="164" t="s">
        <v>3625</v>
      </c>
      <c r="K1103" s="163">
        <v>223.6</v>
      </c>
      <c r="L1103" s="163">
        <v>52</v>
      </c>
      <c r="M1103" s="163"/>
      <c r="N1103" s="163"/>
      <c r="O1103" s="163"/>
      <c r="P1103" s="163"/>
      <c r="Q1103" s="163"/>
      <c r="R1103" s="163"/>
      <c r="S1103" s="163"/>
      <c r="T1103" s="163">
        <v>61200</v>
      </c>
      <c r="U1103" s="163"/>
      <c r="V1103" s="163"/>
    </row>
    <row r="1104" spans="1:22" s="14" customFormat="1" ht="15.75" customHeight="1" x14ac:dyDescent="0.25">
      <c r="A1104" s="141" t="s">
        <v>3626</v>
      </c>
      <c r="B1104" s="145" t="s">
        <v>13</v>
      </c>
      <c r="C1104" s="142" t="s">
        <v>30</v>
      </c>
      <c r="D1104" s="143">
        <v>44875</v>
      </c>
      <c r="E1104" s="242" t="s">
        <v>23</v>
      </c>
      <c r="F1104" s="242"/>
      <c r="G1104" s="242"/>
      <c r="H1104" s="142" t="s">
        <v>2078</v>
      </c>
      <c r="I1104" s="142"/>
      <c r="J1104" s="144" t="s">
        <v>731</v>
      </c>
      <c r="K1104" s="142"/>
      <c r="L1104" s="142" t="s">
        <v>318</v>
      </c>
      <c r="M1104" s="142"/>
      <c r="N1104" s="142"/>
      <c r="O1104" s="142"/>
      <c r="P1104" s="142"/>
      <c r="Q1104" s="142"/>
      <c r="R1104" s="142"/>
      <c r="S1104" s="142"/>
      <c r="T1104" s="142" t="s">
        <v>3629</v>
      </c>
      <c r="U1104" s="142"/>
      <c r="V1104" s="142"/>
    </row>
    <row r="1105" spans="1:22" s="14" customFormat="1" ht="15.75" customHeight="1" x14ac:dyDescent="0.25">
      <c r="A1105" s="141" t="s">
        <v>3626</v>
      </c>
      <c r="B1105" s="145" t="s">
        <v>13</v>
      </c>
      <c r="C1105" s="142" t="s">
        <v>30</v>
      </c>
      <c r="D1105" s="143">
        <v>44875</v>
      </c>
      <c r="E1105" s="242" t="s">
        <v>23</v>
      </c>
      <c r="F1105" s="242"/>
      <c r="G1105" s="242"/>
      <c r="H1105" s="142" t="s">
        <v>2078</v>
      </c>
      <c r="I1105" s="142"/>
      <c r="J1105" s="144" t="s">
        <v>744</v>
      </c>
      <c r="K1105" s="142"/>
      <c r="L1105" s="142" t="s">
        <v>1760</v>
      </c>
      <c r="M1105" s="142"/>
      <c r="N1105" s="142"/>
      <c r="O1105" s="142"/>
      <c r="P1105" s="142"/>
      <c r="Q1105" s="142"/>
      <c r="R1105" s="142"/>
      <c r="S1105" s="142"/>
      <c r="T1105" s="142" t="s">
        <v>311</v>
      </c>
      <c r="U1105" s="142"/>
      <c r="V1105" s="142"/>
    </row>
    <row r="1106" spans="1:22" s="14" customFormat="1" ht="15.75" customHeight="1" x14ac:dyDescent="0.25">
      <c r="A1106" s="141" t="s">
        <v>3626</v>
      </c>
      <c r="B1106" s="145" t="s">
        <v>13</v>
      </c>
      <c r="C1106" s="142" t="s">
        <v>30</v>
      </c>
      <c r="D1106" s="143">
        <v>44875</v>
      </c>
      <c r="E1106" s="242" t="s">
        <v>23</v>
      </c>
      <c r="F1106" s="242"/>
      <c r="G1106" s="242"/>
      <c r="H1106" s="142" t="s">
        <v>2078</v>
      </c>
      <c r="I1106" s="142"/>
      <c r="J1106" s="144" t="s">
        <v>740</v>
      </c>
      <c r="K1106" s="142"/>
      <c r="L1106" s="142" t="s">
        <v>125</v>
      </c>
      <c r="M1106" s="142"/>
      <c r="N1106" s="142"/>
      <c r="O1106" s="142"/>
      <c r="P1106" s="142"/>
      <c r="Q1106" s="142"/>
      <c r="R1106" s="142"/>
      <c r="S1106" s="142"/>
      <c r="T1106" s="142" t="s">
        <v>3630</v>
      </c>
      <c r="U1106" s="142"/>
      <c r="V1106" s="142"/>
    </row>
    <row r="1107" spans="1:22" s="14" customFormat="1" ht="15.75" customHeight="1" x14ac:dyDescent="0.25">
      <c r="A1107" s="141" t="s">
        <v>3626</v>
      </c>
      <c r="B1107" s="145" t="s">
        <v>13</v>
      </c>
      <c r="C1107" s="142" t="s">
        <v>30</v>
      </c>
      <c r="D1107" s="143">
        <v>44875</v>
      </c>
      <c r="E1107" s="242" t="s">
        <v>23</v>
      </c>
      <c r="F1107" s="242"/>
      <c r="G1107" s="242"/>
      <c r="H1107" s="142" t="s">
        <v>2078</v>
      </c>
      <c r="I1107" s="142"/>
      <c r="J1107" s="144" t="s">
        <v>745</v>
      </c>
      <c r="K1107" s="142"/>
      <c r="L1107" s="142" t="s">
        <v>369</v>
      </c>
      <c r="M1107" s="142"/>
      <c r="N1107" s="142"/>
      <c r="O1107" s="142"/>
      <c r="P1107" s="142"/>
      <c r="Q1107" s="142"/>
      <c r="R1107" s="142"/>
      <c r="S1107" s="142"/>
      <c r="T1107" s="142" t="s">
        <v>194</v>
      </c>
      <c r="U1107" s="142"/>
      <c r="V1107" s="142"/>
    </row>
    <row r="1108" spans="1:22" s="14" customFormat="1" ht="15.75" customHeight="1" x14ac:dyDescent="0.25">
      <c r="A1108" s="141" t="s">
        <v>3626</v>
      </c>
      <c r="B1108" s="145" t="s">
        <v>13</v>
      </c>
      <c r="C1108" s="142" t="s">
        <v>30</v>
      </c>
      <c r="D1108" s="143">
        <v>44875</v>
      </c>
      <c r="E1108" s="242" t="s">
        <v>23</v>
      </c>
      <c r="F1108" s="242"/>
      <c r="G1108" s="242"/>
      <c r="H1108" s="142" t="s">
        <v>2078</v>
      </c>
      <c r="I1108" s="145"/>
      <c r="J1108" s="146" t="s">
        <v>741</v>
      </c>
      <c r="K1108" s="142"/>
      <c r="L1108" s="145" t="s">
        <v>125</v>
      </c>
      <c r="M1108" s="145"/>
      <c r="N1108" s="145"/>
      <c r="O1108" s="145"/>
      <c r="P1108" s="145"/>
      <c r="Q1108" s="145"/>
      <c r="R1108" s="145"/>
      <c r="S1108" s="145"/>
      <c r="T1108" s="145" t="s">
        <v>511</v>
      </c>
      <c r="U1108" s="145"/>
      <c r="V1108" s="145"/>
    </row>
    <row r="1109" spans="1:22" s="14" customFormat="1" ht="15.75" customHeight="1" x14ac:dyDescent="0.25">
      <c r="A1109" s="147" t="s">
        <v>3627</v>
      </c>
      <c r="B1109" s="145" t="s">
        <v>13</v>
      </c>
      <c r="C1109" s="142" t="s">
        <v>30</v>
      </c>
      <c r="D1109" s="143">
        <v>44875</v>
      </c>
      <c r="E1109" s="242" t="s">
        <v>23</v>
      </c>
      <c r="F1109" s="241"/>
      <c r="G1109" s="241"/>
      <c r="H1109" s="142" t="s">
        <v>2078</v>
      </c>
      <c r="I1109" s="145"/>
      <c r="J1109" s="146" t="s">
        <v>2728</v>
      </c>
      <c r="K1109" s="142"/>
      <c r="L1109" s="145">
        <v>81</v>
      </c>
      <c r="M1109" s="145"/>
      <c r="N1109" s="145"/>
      <c r="O1109" s="145"/>
      <c r="P1109" s="145"/>
      <c r="Q1109" s="145"/>
      <c r="R1109" s="145"/>
      <c r="S1109" s="145"/>
      <c r="T1109" s="145">
        <v>21800</v>
      </c>
      <c r="U1109" s="145"/>
      <c r="V1109" s="145"/>
    </row>
    <row r="1110" spans="1:22" ht="15.75" customHeight="1" x14ac:dyDescent="0.25">
      <c r="A1110" s="171" t="s">
        <v>3628</v>
      </c>
      <c r="B1110" s="163" t="s">
        <v>13</v>
      </c>
      <c r="C1110" s="163" t="s">
        <v>37</v>
      </c>
      <c r="D1110" s="168">
        <v>44875</v>
      </c>
      <c r="E1110" s="187" t="s">
        <v>23</v>
      </c>
      <c r="F1110" s="187"/>
      <c r="G1110" s="187"/>
      <c r="H1110" s="162" t="s">
        <v>2078</v>
      </c>
      <c r="I1110" s="163"/>
      <c r="J1110" s="164" t="s">
        <v>3426</v>
      </c>
      <c r="K1110" s="142"/>
      <c r="L1110" s="145">
        <v>24</v>
      </c>
      <c r="M1110" s="163"/>
      <c r="N1110" s="163"/>
      <c r="O1110" s="163"/>
      <c r="P1110" s="163"/>
      <c r="Q1110" s="163"/>
      <c r="R1110" s="163"/>
      <c r="S1110" s="163"/>
      <c r="T1110" s="163">
        <v>44400</v>
      </c>
      <c r="U1110" s="163"/>
      <c r="V1110" s="163"/>
    </row>
    <row r="1111" spans="1:22" ht="15.75" customHeight="1" x14ac:dyDescent="0.25">
      <c r="A1111" s="171" t="s">
        <v>2206</v>
      </c>
      <c r="B1111" s="163" t="s">
        <v>13</v>
      </c>
      <c r="C1111" s="163" t="s">
        <v>3631</v>
      </c>
      <c r="D1111" s="172">
        <v>44876</v>
      </c>
      <c r="E1111" s="187" t="s">
        <v>23</v>
      </c>
      <c r="F1111" s="187"/>
      <c r="G1111" s="187"/>
      <c r="H1111" s="163" t="s">
        <v>2078</v>
      </c>
      <c r="I1111" s="163"/>
      <c r="J1111" s="164" t="s">
        <v>760</v>
      </c>
      <c r="K1111" s="163">
        <v>420</v>
      </c>
      <c r="L1111" s="163">
        <v>70</v>
      </c>
      <c r="M1111" s="163"/>
      <c r="N1111" s="163"/>
      <c r="O1111" s="163"/>
      <c r="P1111" s="163"/>
      <c r="Q1111" s="163"/>
      <c r="R1111" s="163"/>
      <c r="S1111" s="163"/>
      <c r="T1111" s="163">
        <v>25070</v>
      </c>
      <c r="U1111" s="163"/>
      <c r="V1111" s="163"/>
    </row>
    <row r="1112" spans="1:22" s="14" customFormat="1" ht="15.75" customHeight="1" x14ac:dyDescent="0.25">
      <c r="A1112" s="141" t="s">
        <v>2204</v>
      </c>
      <c r="B1112" s="145" t="s">
        <v>13</v>
      </c>
      <c r="C1112" s="142" t="s">
        <v>30</v>
      </c>
      <c r="D1112" s="148">
        <v>44876</v>
      </c>
      <c r="E1112" s="242" t="s">
        <v>23</v>
      </c>
      <c r="F1112" s="242"/>
      <c r="G1112" s="242"/>
      <c r="H1112" s="145" t="s">
        <v>2078</v>
      </c>
      <c r="I1112" s="142"/>
      <c r="J1112" s="144" t="s">
        <v>99</v>
      </c>
      <c r="K1112" s="142"/>
      <c r="L1112" s="142" t="s">
        <v>125</v>
      </c>
      <c r="M1112" s="142"/>
      <c r="N1112" s="142"/>
      <c r="O1112" s="142"/>
      <c r="P1112" s="142"/>
      <c r="Q1112" s="142"/>
      <c r="R1112" s="142"/>
      <c r="S1112" s="142"/>
      <c r="T1112" s="142" t="s">
        <v>965</v>
      </c>
      <c r="U1112" s="142"/>
      <c r="V1112" s="142"/>
    </row>
    <row r="1113" spans="1:22" s="14" customFormat="1" ht="15.75" customHeight="1" x14ac:dyDescent="0.25">
      <c r="A1113" s="141" t="s">
        <v>2204</v>
      </c>
      <c r="B1113" s="145" t="s">
        <v>13</v>
      </c>
      <c r="C1113" s="142" t="s">
        <v>30</v>
      </c>
      <c r="D1113" s="148">
        <v>44876</v>
      </c>
      <c r="E1113" s="242" t="s">
        <v>23</v>
      </c>
      <c r="F1113" s="242"/>
      <c r="G1113" s="242"/>
      <c r="H1113" s="145" t="s">
        <v>2078</v>
      </c>
      <c r="I1113" s="142"/>
      <c r="J1113" s="144" t="s">
        <v>102</v>
      </c>
      <c r="K1113" s="142"/>
      <c r="L1113" s="142" t="s">
        <v>125</v>
      </c>
      <c r="M1113" s="142"/>
      <c r="N1113" s="142"/>
      <c r="O1113" s="142"/>
      <c r="P1113" s="142"/>
      <c r="Q1113" s="142"/>
      <c r="R1113" s="142"/>
      <c r="S1113" s="142"/>
      <c r="T1113" s="142" t="s">
        <v>965</v>
      </c>
      <c r="U1113" s="142"/>
      <c r="V1113" s="142"/>
    </row>
    <row r="1114" spans="1:22" ht="15.75" customHeight="1" x14ac:dyDescent="0.25">
      <c r="A1114" s="167" t="s">
        <v>2204</v>
      </c>
      <c r="B1114" s="163" t="s">
        <v>13</v>
      </c>
      <c r="C1114" s="162" t="s">
        <v>30</v>
      </c>
      <c r="D1114" s="172">
        <v>44876</v>
      </c>
      <c r="E1114" s="242" t="s">
        <v>23</v>
      </c>
      <c r="F1114" s="194"/>
      <c r="G1114" s="194"/>
      <c r="H1114" s="163" t="s">
        <v>2078</v>
      </c>
      <c r="I1114" s="162"/>
      <c r="J1114" s="169" t="s">
        <v>92</v>
      </c>
      <c r="K1114" s="162"/>
      <c r="L1114" s="162" t="s">
        <v>318</v>
      </c>
      <c r="M1114" s="162"/>
      <c r="N1114" s="162"/>
      <c r="O1114" s="162"/>
      <c r="P1114" s="162"/>
      <c r="Q1114" s="162"/>
      <c r="R1114" s="162"/>
      <c r="S1114" s="162"/>
      <c r="T1114" s="162" t="s">
        <v>136</v>
      </c>
      <c r="U1114" s="162"/>
      <c r="V1114" s="162"/>
    </row>
    <row r="1115" spans="1:22" ht="15.75" customHeight="1" x14ac:dyDescent="0.25">
      <c r="A1115" s="167" t="s">
        <v>2204</v>
      </c>
      <c r="B1115" s="163" t="s">
        <v>13</v>
      </c>
      <c r="C1115" s="162" t="s">
        <v>30</v>
      </c>
      <c r="D1115" s="172">
        <v>44876</v>
      </c>
      <c r="E1115" s="242" t="s">
        <v>23</v>
      </c>
      <c r="F1115" s="194"/>
      <c r="G1115" s="194"/>
      <c r="H1115" s="163" t="s">
        <v>2078</v>
      </c>
      <c r="I1115" s="163"/>
      <c r="J1115" s="164" t="s">
        <v>94</v>
      </c>
      <c r="K1115" s="163"/>
      <c r="L1115" s="163" t="s">
        <v>318</v>
      </c>
      <c r="M1115" s="163"/>
      <c r="N1115" s="163"/>
      <c r="O1115" s="163"/>
      <c r="P1115" s="163"/>
      <c r="Q1115" s="163"/>
      <c r="R1115" s="163"/>
      <c r="S1115" s="163"/>
      <c r="T1115" s="163" t="s">
        <v>136</v>
      </c>
      <c r="U1115" s="163"/>
      <c r="V1115" s="163"/>
    </row>
    <row r="1116" spans="1:22" ht="15.75" customHeight="1" x14ac:dyDescent="0.25">
      <c r="A1116" s="171" t="s">
        <v>3632</v>
      </c>
      <c r="B1116" s="163" t="s">
        <v>34</v>
      </c>
      <c r="C1116" s="163" t="s">
        <v>553</v>
      </c>
      <c r="D1116" s="172">
        <v>44876</v>
      </c>
      <c r="E1116" s="187" t="s">
        <v>23</v>
      </c>
      <c r="F1116" s="187"/>
      <c r="G1116" s="187"/>
      <c r="H1116" s="163" t="s">
        <v>3638</v>
      </c>
      <c r="I1116" s="163"/>
      <c r="J1116" s="164" t="s">
        <v>3634</v>
      </c>
      <c r="K1116" s="145"/>
      <c r="L1116" s="163" t="s">
        <v>1251</v>
      </c>
      <c r="M1116" s="162"/>
      <c r="N1116" s="162"/>
      <c r="O1116" s="163"/>
      <c r="P1116" s="163"/>
      <c r="Q1116" s="163"/>
      <c r="R1116" s="163" t="s">
        <v>3635</v>
      </c>
      <c r="S1116" s="162"/>
      <c r="T1116" s="163" t="s">
        <v>3636</v>
      </c>
      <c r="U1116" s="163"/>
      <c r="V1116" s="163"/>
    </row>
    <row r="1117" spans="1:22" ht="15.75" customHeight="1" x14ac:dyDescent="0.25">
      <c r="A1117" s="171" t="s">
        <v>3632</v>
      </c>
      <c r="B1117" s="163" t="s">
        <v>34</v>
      </c>
      <c r="C1117" s="163" t="s">
        <v>553</v>
      </c>
      <c r="D1117" s="172">
        <v>44876</v>
      </c>
      <c r="E1117" s="187" t="s">
        <v>23</v>
      </c>
      <c r="F1117" s="187"/>
      <c r="G1117" s="187"/>
      <c r="H1117" s="163"/>
      <c r="I1117" s="163"/>
      <c r="J1117" s="164" t="s">
        <v>3633</v>
      </c>
      <c r="K1117" s="145"/>
      <c r="L1117" s="163" t="s">
        <v>96</v>
      </c>
      <c r="M1117" s="163"/>
      <c r="N1117" s="163"/>
      <c r="O1117" s="163"/>
      <c r="P1117" s="163"/>
      <c r="Q1117" s="163"/>
      <c r="R1117" s="163" t="s">
        <v>3635</v>
      </c>
      <c r="S1117" s="163"/>
      <c r="T1117" s="163" t="s">
        <v>3637</v>
      </c>
      <c r="U1117" s="163"/>
      <c r="V1117" s="163"/>
    </row>
    <row r="1118" spans="1:22" s="316" customFormat="1" ht="15.75" customHeight="1" x14ac:dyDescent="0.25">
      <c r="A1118" s="265" t="s">
        <v>2218</v>
      </c>
      <c r="B1118" s="266" t="s">
        <v>13</v>
      </c>
      <c r="C1118" s="266" t="s">
        <v>2152</v>
      </c>
      <c r="D1118" s="273">
        <v>44879</v>
      </c>
      <c r="E1118" s="268" t="s">
        <v>677</v>
      </c>
      <c r="F1118" s="268"/>
      <c r="G1118" s="268"/>
      <c r="H1118" s="266" t="s">
        <v>2057</v>
      </c>
      <c r="I1118" s="266"/>
      <c r="J1118" s="269" t="s">
        <v>952</v>
      </c>
      <c r="K1118" s="266">
        <v>60</v>
      </c>
      <c r="L1118" s="266">
        <v>10</v>
      </c>
      <c r="M1118" s="266"/>
      <c r="N1118" s="266"/>
      <c r="O1118" s="266"/>
      <c r="P1118" s="266"/>
      <c r="Q1118" s="266"/>
      <c r="R1118" s="266"/>
      <c r="S1118" s="266"/>
      <c r="T1118" s="266">
        <v>10900</v>
      </c>
      <c r="U1118" s="266"/>
      <c r="V1118" s="266"/>
    </row>
    <row r="1119" spans="1:22" ht="15.75" customHeight="1" x14ac:dyDescent="0.25">
      <c r="A1119" s="171">
        <v>476</v>
      </c>
      <c r="B1119" s="163" t="s">
        <v>34</v>
      </c>
      <c r="C1119" s="163" t="s">
        <v>79</v>
      </c>
      <c r="D1119" s="172">
        <v>44879</v>
      </c>
      <c r="E1119" s="187" t="s">
        <v>23</v>
      </c>
      <c r="F1119" s="187"/>
      <c r="G1119" s="187"/>
      <c r="H1119" s="163"/>
      <c r="I1119" s="163"/>
      <c r="J1119" s="164" t="s">
        <v>78</v>
      </c>
      <c r="K1119" s="145">
        <v>3120</v>
      </c>
      <c r="L1119" s="163" t="s">
        <v>3577</v>
      </c>
      <c r="M1119" s="163">
        <v>0.20230000000000001</v>
      </c>
      <c r="N1119" s="163">
        <v>0.499</v>
      </c>
      <c r="O1119" s="163">
        <v>631.17600000000004</v>
      </c>
      <c r="P1119" s="163">
        <v>1556.88</v>
      </c>
      <c r="Q1119" s="163">
        <v>82.05</v>
      </c>
      <c r="R1119" s="163">
        <v>44.3</v>
      </c>
      <c r="S1119" s="163">
        <v>219</v>
      </c>
      <c r="T1119" s="163">
        <v>138216</v>
      </c>
      <c r="U1119" s="163"/>
      <c r="V1119" s="163"/>
    </row>
    <row r="1120" spans="1:22" ht="15.75" customHeight="1" x14ac:dyDescent="0.25">
      <c r="A1120" s="167" t="s">
        <v>2220</v>
      </c>
      <c r="B1120" s="163" t="s">
        <v>13</v>
      </c>
      <c r="C1120" s="162" t="s">
        <v>1696</v>
      </c>
      <c r="D1120" s="172">
        <v>44879</v>
      </c>
      <c r="E1120" s="194" t="s">
        <v>23</v>
      </c>
      <c r="F1120" s="187"/>
      <c r="G1120" s="187"/>
      <c r="H1120" s="162" t="s">
        <v>2078</v>
      </c>
      <c r="I1120" s="162"/>
      <c r="J1120" s="169" t="s">
        <v>949</v>
      </c>
      <c r="K1120" s="162" t="s">
        <v>348</v>
      </c>
      <c r="L1120" s="162">
        <v>100</v>
      </c>
      <c r="M1120" s="162"/>
      <c r="N1120" s="162"/>
      <c r="O1120" s="162"/>
      <c r="P1120" s="162"/>
      <c r="Q1120" s="162"/>
      <c r="R1120" s="162"/>
      <c r="S1120" s="162"/>
      <c r="T1120" s="162"/>
      <c r="U1120" s="162"/>
      <c r="V1120" s="162"/>
    </row>
    <row r="1121" spans="1:22" ht="15.75" customHeight="1" x14ac:dyDescent="0.25">
      <c r="A1121" s="167" t="s">
        <v>2220</v>
      </c>
      <c r="B1121" s="163" t="s">
        <v>13</v>
      </c>
      <c r="C1121" s="162" t="s">
        <v>1696</v>
      </c>
      <c r="D1121" s="172">
        <v>44879</v>
      </c>
      <c r="E1121" s="194" t="s">
        <v>23</v>
      </c>
      <c r="F1121" s="194"/>
      <c r="G1121" s="194"/>
      <c r="H1121" s="162" t="s">
        <v>2078</v>
      </c>
      <c r="I1121" s="162"/>
      <c r="J1121" s="169" t="s">
        <v>1918</v>
      </c>
      <c r="K1121" s="162" t="s">
        <v>348</v>
      </c>
      <c r="L1121" s="162">
        <v>100</v>
      </c>
      <c r="M1121" s="162"/>
      <c r="N1121" s="162"/>
      <c r="O1121" s="162"/>
      <c r="P1121" s="162"/>
      <c r="Q1121" s="162"/>
      <c r="R1121" s="162"/>
      <c r="S1121" s="162"/>
      <c r="T1121" s="162"/>
      <c r="U1121" s="162"/>
      <c r="V1121" s="162"/>
    </row>
    <row r="1122" spans="1:22" ht="15.75" customHeight="1" x14ac:dyDescent="0.25">
      <c r="A1122" s="167" t="s">
        <v>2220</v>
      </c>
      <c r="B1122" s="163" t="s">
        <v>13</v>
      </c>
      <c r="C1122" s="162" t="s">
        <v>1696</v>
      </c>
      <c r="D1122" s="172">
        <v>44879</v>
      </c>
      <c r="E1122" s="194" t="s">
        <v>23</v>
      </c>
      <c r="F1122" s="194"/>
      <c r="G1122" s="194"/>
      <c r="H1122" s="162" t="s">
        <v>2078</v>
      </c>
      <c r="I1122" s="162"/>
      <c r="J1122" s="169" t="s">
        <v>1637</v>
      </c>
      <c r="K1122" s="162" t="s">
        <v>2534</v>
      </c>
      <c r="L1122" s="162">
        <v>200</v>
      </c>
      <c r="M1122" s="162"/>
      <c r="N1122" s="162"/>
      <c r="O1122" s="162"/>
      <c r="P1122" s="162"/>
      <c r="Q1122" s="162"/>
      <c r="R1122" s="162"/>
      <c r="S1122" s="162"/>
      <c r="T1122" s="162"/>
      <c r="U1122" s="162"/>
      <c r="V1122" s="162"/>
    </row>
    <row r="1123" spans="1:22" ht="15.75" customHeight="1" x14ac:dyDescent="0.25">
      <c r="A1123" s="167" t="s">
        <v>2220</v>
      </c>
      <c r="B1123" s="163" t="s">
        <v>13</v>
      </c>
      <c r="C1123" s="162" t="s">
        <v>1696</v>
      </c>
      <c r="D1123" s="172">
        <v>44879</v>
      </c>
      <c r="E1123" s="194" t="s">
        <v>23</v>
      </c>
      <c r="F1123" s="194"/>
      <c r="G1123" s="194"/>
      <c r="H1123" s="162" t="s">
        <v>2078</v>
      </c>
      <c r="I1123" s="162"/>
      <c r="J1123" s="169" t="s">
        <v>2572</v>
      </c>
      <c r="K1123" s="162" t="s">
        <v>379</v>
      </c>
      <c r="L1123" s="162">
        <v>50</v>
      </c>
      <c r="M1123" s="162"/>
      <c r="N1123" s="162"/>
      <c r="O1123" s="162"/>
      <c r="P1123" s="162"/>
      <c r="Q1123" s="162"/>
      <c r="R1123" s="162"/>
      <c r="S1123" s="162"/>
      <c r="T1123" s="162"/>
      <c r="U1123" s="162"/>
      <c r="V1123" s="162"/>
    </row>
    <row r="1124" spans="1:22" ht="15.75" customHeight="1" x14ac:dyDescent="0.25">
      <c r="A1124" s="167" t="s">
        <v>2220</v>
      </c>
      <c r="B1124" s="163" t="s">
        <v>13</v>
      </c>
      <c r="C1124" s="162" t="s">
        <v>1696</v>
      </c>
      <c r="D1124" s="172">
        <v>44879</v>
      </c>
      <c r="E1124" s="194" t="s">
        <v>23</v>
      </c>
      <c r="F1124" s="194"/>
      <c r="G1124" s="194"/>
      <c r="H1124" s="162" t="s">
        <v>2078</v>
      </c>
      <c r="I1124" s="162"/>
      <c r="J1124" s="169" t="s">
        <v>1920</v>
      </c>
      <c r="K1124" s="162" t="s">
        <v>66</v>
      </c>
      <c r="L1124" s="162">
        <v>30</v>
      </c>
      <c r="M1124" s="162"/>
      <c r="N1124" s="162"/>
      <c r="O1124" s="162"/>
      <c r="P1124" s="162"/>
      <c r="Q1124" s="162"/>
      <c r="R1124" s="162"/>
      <c r="S1124" s="162"/>
      <c r="T1124" s="162"/>
      <c r="U1124" s="162"/>
      <c r="V1124" s="162"/>
    </row>
    <row r="1125" spans="1:22" ht="15.75" customHeight="1" x14ac:dyDescent="0.25">
      <c r="A1125" s="167" t="s">
        <v>2220</v>
      </c>
      <c r="B1125" s="163" t="s">
        <v>13</v>
      </c>
      <c r="C1125" s="162" t="s">
        <v>1696</v>
      </c>
      <c r="D1125" s="172">
        <v>44879</v>
      </c>
      <c r="E1125" s="194" t="s">
        <v>23</v>
      </c>
      <c r="F1125" s="194"/>
      <c r="G1125" s="194"/>
      <c r="H1125" s="162" t="s">
        <v>2078</v>
      </c>
      <c r="I1125" s="162"/>
      <c r="J1125" s="169" t="s">
        <v>2573</v>
      </c>
      <c r="K1125" s="162" t="s">
        <v>66</v>
      </c>
      <c r="L1125" s="162">
        <v>30</v>
      </c>
      <c r="M1125" s="162"/>
      <c r="N1125" s="162"/>
      <c r="O1125" s="162"/>
      <c r="P1125" s="162"/>
      <c r="Q1125" s="162"/>
      <c r="R1125" s="162"/>
      <c r="S1125" s="162"/>
      <c r="T1125" s="162"/>
      <c r="U1125" s="162"/>
      <c r="V1125" s="162"/>
    </row>
    <row r="1126" spans="1:22" ht="15.75" customHeight="1" x14ac:dyDescent="0.25">
      <c r="A1126" s="167" t="s">
        <v>2220</v>
      </c>
      <c r="B1126" s="163" t="s">
        <v>13</v>
      </c>
      <c r="C1126" s="162" t="s">
        <v>1696</v>
      </c>
      <c r="D1126" s="172">
        <v>44879</v>
      </c>
      <c r="E1126" s="194" t="s">
        <v>23</v>
      </c>
      <c r="F1126" s="194"/>
      <c r="G1126" s="194"/>
      <c r="H1126" s="162" t="s">
        <v>2078</v>
      </c>
      <c r="I1126" s="162"/>
      <c r="J1126" s="169" t="s">
        <v>952</v>
      </c>
      <c r="K1126" s="162" t="s">
        <v>66</v>
      </c>
      <c r="L1126" s="162">
        <v>30</v>
      </c>
      <c r="M1126" s="162"/>
      <c r="N1126" s="162"/>
      <c r="O1126" s="162"/>
      <c r="P1126" s="162"/>
      <c r="Q1126" s="162"/>
      <c r="R1126" s="162"/>
      <c r="S1126" s="162"/>
      <c r="T1126" s="162"/>
      <c r="U1126" s="162"/>
      <c r="V1126" s="162"/>
    </row>
    <row r="1127" spans="1:22" ht="15.75" customHeight="1" x14ac:dyDescent="0.25">
      <c r="A1127" s="167" t="s">
        <v>2220</v>
      </c>
      <c r="B1127" s="163" t="s">
        <v>13</v>
      </c>
      <c r="C1127" s="162" t="s">
        <v>1696</v>
      </c>
      <c r="D1127" s="172">
        <v>44879</v>
      </c>
      <c r="E1127" s="194" t="s">
        <v>23</v>
      </c>
      <c r="F1127" s="187"/>
      <c r="G1127" s="187"/>
      <c r="H1127" s="162" t="s">
        <v>2078</v>
      </c>
      <c r="I1127" s="162"/>
      <c r="J1127" s="169" t="s">
        <v>1916</v>
      </c>
      <c r="K1127" s="162">
        <v>600</v>
      </c>
      <c r="L1127" s="162">
        <v>100</v>
      </c>
      <c r="M1127" s="162"/>
      <c r="N1127" s="162"/>
      <c r="O1127" s="162"/>
      <c r="P1127" s="162"/>
      <c r="Q1127" s="162"/>
      <c r="R1127" s="162"/>
      <c r="S1127" s="162"/>
      <c r="T1127" s="162"/>
      <c r="U1127" s="162"/>
      <c r="V1127" s="162"/>
    </row>
    <row r="1128" spans="1:22" ht="15.75" customHeight="1" x14ac:dyDescent="0.25">
      <c r="A1128" s="167" t="s">
        <v>2220</v>
      </c>
      <c r="B1128" s="163" t="s">
        <v>13</v>
      </c>
      <c r="C1128" s="162" t="s">
        <v>1696</v>
      </c>
      <c r="D1128" s="172">
        <v>44879</v>
      </c>
      <c r="E1128" s="194" t="s">
        <v>23</v>
      </c>
      <c r="F1128" s="194"/>
      <c r="G1128" s="194"/>
      <c r="H1128" s="162" t="s">
        <v>2078</v>
      </c>
      <c r="I1128" s="163"/>
      <c r="J1128" s="164" t="s">
        <v>953</v>
      </c>
      <c r="K1128" s="163" t="s">
        <v>66</v>
      </c>
      <c r="L1128" s="163">
        <v>30</v>
      </c>
      <c r="M1128" s="163"/>
      <c r="N1128" s="163"/>
      <c r="O1128" s="163"/>
      <c r="P1128" s="163"/>
      <c r="Q1128" s="163"/>
      <c r="R1128" s="163"/>
      <c r="S1128" s="163"/>
      <c r="T1128" s="163"/>
      <c r="U1128" s="163"/>
      <c r="V1128" s="163"/>
    </row>
    <row r="1129" spans="1:22" ht="15.75" customHeight="1" x14ac:dyDescent="0.25">
      <c r="A1129" s="171">
        <v>477</v>
      </c>
      <c r="B1129" s="163" t="s">
        <v>13</v>
      </c>
      <c r="C1129" s="163" t="s">
        <v>595</v>
      </c>
      <c r="D1129" s="172">
        <v>44879</v>
      </c>
      <c r="E1129" s="187" t="s">
        <v>23</v>
      </c>
      <c r="F1129" s="187">
        <v>29</v>
      </c>
      <c r="G1129" s="187"/>
      <c r="H1129" s="163" t="s">
        <v>2787</v>
      </c>
      <c r="I1129" s="163"/>
      <c r="J1129" s="164" t="s">
        <v>3639</v>
      </c>
      <c r="K1129" s="145">
        <v>180</v>
      </c>
      <c r="L1129" s="163" t="s">
        <v>56</v>
      </c>
      <c r="M1129" s="163">
        <v>0.1479</v>
      </c>
      <c r="N1129" s="163">
        <v>0.40899999999999997</v>
      </c>
      <c r="O1129" s="163">
        <v>26.622</v>
      </c>
      <c r="P1129" s="163">
        <v>73.62</v>
      </c>
      <c r="Q1129" s="163">
        <v>3.46</v>
      </c>
      <c r="R1129" s="163">
        <v>50.73</v>
      </c>
      <c r="S1129" s="163">
        <v>343</v>
      </c>
      <c r="T1129" s="163">
        <v>9131.35</v>
      </c>
      <c r="U1129" s="163"/>
      <c r="V1129" s="163"/>
    </row>
    <row r="1130" spans="1:22" ht="15.75" customHeight="1" x14ac:dyDescent="0.25">
      <c r="A1130" s="171" t="s">
        <v>2227</v>
      </c>
      <c r="B1130" s="163" t="s">
        <v>13</v>
      </c>
      <c r="C1130" s="163" t="s">
        <v>37</v>
      </c>
      <c r="D1130" s="172">
        <v>44880</v>
      </c>
      <c r="E1130" s="187" t="s">
        <v>23</v>
      </c>
      <c r="F1130" s="187"/>
      <c r="G1130" s="187"/>
      <c r="H1130" s="163" t="s">
        <v>3408</v>
      </c>
      <c r="I1130" s="163"/>
      <c r="J1130" s="164" t="s">
        <v>3373</v>
      </c>
      <c r="K1130" s="163"/>
      <c r="L1130" s="163">
        <v>24</v>
      </c>
      <c r="M1130" s="163"/>
      <c r="N1130" s="163"/>
      <c r="O1130" s="163"/>
      <c r="P1130" s="163"/>
      <c r="Q1130" s="163"/>
      <c r="R1130" s="163"/>
      <c r="S1130" s="163"/>
      <c r="T1130" s="163">
        <v>44400</v>
      </c>
      <c r="U1130" s="163"/>
      <c r="V1130" s="163"/>
    </row>
    <row r="1131" spans="1:22" ht="15.75" customHeight="1" x14ac:dyDescent="0.25">
      <c r="A1131" s="167" t="s">
        <v>3640</v>
      </c>
      <c r="B1131" s="162" t="s">
        <v>13</v>
      </c>
      <c r="C1131" s="163" t="s">
        <v>548</v>
      </c>
      <c r="D1131" s="168">
        <v>44881</v>
      </c>
      <c r="E1131" s="194" t="s">
        <v>23</v>
      </c>
      <c r="F1131" s="194"/>
      <c r="G1131" s="194">
        <v>36</v>
      </c>
      <c r="H1131" s="162" t="s">
        <v>3655</v>
      </c>
      <c r="I1131" s="162"/>
      <c r="J1131" s="169" t="s">
        <v>3643</v>
      </c>
      <c r="K1131" s="162">
        <v>147.6</v>
      </c>
      <c r="L1131" s="162">
        <v>36</v>
      </c>
      <c r="M1131" s="162"/>
      <c r="N1131" s="162"/>
      <c r="O1131" s="162"/>
      <c r="P1131" s="162"/>
      <c r="Q1131" s="162"/>
      <c r="R1131" s="162"/>
      <c r="S1131" s="162"/>
      <c r="T1131" s="162" t="s">
        <v>2742</v>
      </c>
      <c r="U1131" s="162"/>
      <c r="V1131" s="162"/>
    </row>
    <row r="1132" spans="1:22" ht="15.75" customHeight="1" x14ac:dyDescent="0.25">
      <c r="A1132" s="167" t="s">
        <v>3640</v>
      </c>
      <c r="B1132" s="162" t="s">
        <v>13</v>
      </c>
      <c r="C1132" s="163" t="s">
        <v>548</v>
      </c>
      <c r="D1132" s="168">
        <v>44881</v>
      </c>
      <c r="E1132" s="194" t="s">
        <v>23</v>
      </c>
      <c r="F1132" s="194"/>
      <c r="G1132" s="194">
        <v>60</v>
      </c>
      <c r="H1132" s="162" t="s">
        <v>3656</v>
      </c>
      <c r="I1132" s="162"/>
      <c r="J1132" s="169" t="s">
        <v>3644</v>
      </c>
      <c r="K1132" s="162">
        <v>440</v>
      </c>
      <c r="L1132" s="162">
        <v>100</v>
      </c>
      <c r="M1132" s="162"/>
      <c r="N1132" s="162"/>
      <c r="O1132" s="162"/>
      <c r="P1132" s="162"/>
      <c r="Q1132" s="162"/>
      <c r="R1132" s="162"/>
      <c r="S1132" s="162"/>
      <c r="T1132" s="162" t="s">
        <v>3014</v>
      </c>
      <c r="U1132" s="162"/>
      <c r="V1132" s="162"/>
    </row>
    <row r="1133" spans="1:22" ht="15.75" customHeight="1" x14ac:dyDescent="0.25">
      <c r="A1133" s="167" t="s">
        <v>3640</v>
      </c>
      <c r="B1133" s="162" t="s">
        <v>13</v>
      </c>
      <c r="C1133" s="163" t="s">
        <v>548</v>
      </c>
      <c r="D1133" s="168">
        <v>44881</v>
      </c>
      <c r="E1133" s="194" t="s">
        <v>23</v>
      </c>
      <c r="F1133" s="194"/>
      <c r="G1133" s="194">
        <v>28</v>
      </c>
      <c r="H1133" s="163"/>
      <c r="I1133" s="163"/>
      <c r="J1133" s="164" t="s">
        <v>982</v>
      </c>
      <c r="K1133" s="163">
        <v>168</v>
      </c>
      <c r="L1133" s="163">
        <v>28</v>
      </c>
      <c r="M1133" s="163"/>
      <c r="N1133" s="163"/>
      <c r="O1133" s="163"/>
      <c r="P1133" s="163"/>
      <c r="Q1133" s="163"/>
      <c r="R1133" s="163"/>
      <c r="S1133" s="163"/>
      <c r="T1133" s="163" t="s">
        <v>3641</v>
      </c>
      <c r="U1133" s="163"/>
      <c r="V1133" s="163"/>
    </row>
    <row r="1134" spans="1:22" s="86" customFormat="1" ht="30.75" customHeight="1" x14ac:dyDescent="0.25">
      <c r="A1134" s="178">
        <v>478</v>
      </c>
      <c r="B1134" s="159" t="s">
        <v>13</v>
      </c>
      <c r="C1134" s="179" t="s">
        <v>1137</v>
      </c>
      <c r="D1134" s="160">
        <v>44881</v>
      </c>
      <c r="E1134" s="194" t="s">
        <v>23</v>
      </c>
      <c r="F1134" s="209"/>
      <c r="G1134" s="209">
        <v>283</v>
      </c>
      <c r="H1134" s="179" t="s">
        <v>3660</v>
      </c>
      <c r="I1134" s="179"/>
      <c r="J1134" s="181" t="s">
        <v>425</v>
      </c>
      <c r="K1134" s="179">
        <v>1728</v>
      </c>
      <c r="L1134" s="179">
        <v>288</v>
      </c>
      <c r="M1134" s="179">
        <v>7.4200000000000002E-2</v>
      </c>
      <c r="N1134" s="179">
        <v>0.11600000000000001</v>
      </c>
      <c r="O1134" s="179">
        <v>128.2176</v>
      </c>
      <c r="P1134" s="179">
        <v>200.44800000000001</v>
      </c>
      <c r="Q1134" s="179">
        <v>16.670000000000002</v>
      </c>
      <c r="R1134" s="179">
        <v>21.15</v>
      </c>
      <c r="S1134" s="179">
        <v>313</v>
      </c>
      <c r="T1134" s="179">
        <v>36542.019999999997</v>
      </c>
      <c r="U1134" s="179"/>
      <c r="V1134" s="179"/>
    </row>
    <row r="1135" spans="1:22" ht="15.75" customHeight="1" x14ac:dyDescent="0.25">
      <c r="A1135" s="167">
        <v>479</v>
      </c>
      <c r="B1135" s="162" t="s">
        <v>13</v>
      </c>
      <c r="C1135" s="162" t="s">
        <v>37</v>
      </c>
      <c r="D1135" s="168">
        <v>44881</v>
      </c>
      <c r="E1135" s="194" t="s">
        <v>23</v>
      </c>
      <c r="F1135" s="194">
        <v>16</v>
      </c>
      <c r="G1135" s="194"/>
      <c r="H1135" s="162"/>
      <c r="I1135" s="162"/>
      <c r="J1135" s="169" t="s">
        <v>3645</v>
      </c>
      <c r="K1135" s="162">
        <v>48</v>
      </c>
      <c r="L1135" s="162">
        <v>16</v>
      </c>
      <c r="M1135" s="162">
        <v>0.27829999999999999</v>
      </c>
      <c r="N1135" s="162">
        <v>0.98499999999999999</v>
      </c>
      <c r="O1135" s="162">
        <v>10.8537</v>
      </c>
      <c r="P1135" s="162">
        <v>38.414999999999999</v>
      </c>
      <c r="Q1135" s="162">
        <v>1.41</v>
      </c>
      <c r="R1135" s="162">
        <v>154.21</v>
      </c>
      <c r="S1135" s="162">
        <v>554.11</v>
      </c>
      <c r="T1135" s="162">
        <v>6014.14</v>
      </c>
      <c r="U1135" s="162"/>
      <c r="V1135" s="162"/>
    </row>
    <row r="1136" spans="1:22" s="28" customFormat="1" ht="15.75" customHeight="1" x14ac:dyDescent="0.25">
      <c r="A1136" s="254">
        <v>479</v>
      </c>
      <c r="B1136" s="149" t="s">
        <v>13</v>
      </c>
      <c r="C1136" s="149" t="s">
        <v>37</v>
      </c>
      <c r="D1136" s="275">
        <v>44881</v>
      </c>
      <c r="E1136" s="256" t="s">
        <v>23</v>
      </c>
      <c r="F1136" s="258">
        <v>16</v>
      </c>
      <c r="G1136" s="258">
        <v>16</v>
      </c>
      <c r="H1136" s="150"/>
      <c r="I1136" s="150"/>
      <c r="J1136" s="257" t="s">
        <v>3646</v>
      </c>
      <c r="K1136" s="150">
        <v>48</v>
      </c>
      <c r="L1136" s="150">
        <v>16</v>
      </c>
      <c r="M1136" s="150">
        <v>0.1988</v>
      </c>
      <c r="N1136" s="150">
        <v>0.63300000000000001</v>
      </c>
      <c r="O1136" s="150">
        <v>7.7531999999999996</v>
      </c>
      <c r="P1136" s="150">
        <v>24.687000000000001</v>
      </c>
      <c r="Q1136" s="150">
        <v>1.01</v>
      </c>
      <c r="R1136" s="150">
        <v>9.94</v>
      </c>
      <c r="S1136" s="150">
        <v>50</v>
      </c>
      <c r="T1136" s="150">
        <v>387.66</v>
      </c>
      <c r="U1136" s="150"/>
      <c r="V1136" s="150"/>
    </row>
    <row r="1137" spans="1:22" ht="15.75" customHeight="1" x14ac:dyDescent="0.25">
      <c r="A1137" s="167">
        <v>480</v>
      </c>
      <c r="B1137" s="162" t="s">
        <v>13</v>
      </c>
      <c r="C1137" s="162" t="s">
        <v>32</v>
      </c>
      <c r="D1137" s="168">
        <v>44881</v>
      </c>
      <c r="E1137" s="194" t="s">
        <v>23</v>
      </c>
      <c r="F1137" s="194"/>
      <c r="G1137" s="194"/>
      <c r="H1137" s="162"/>
      <c r="I1137" s="162"/>
      <c r="J1137" s="169" t="s">
        <v>2841</v>
      </c>
      <c r="K1137" s="162">
        <v>5301.05</v>
      </c>
      <c r="L1137" s="162">
        <v>1093</v>
      </c>
      <c r="M1137" s="162">
        <v>9.5600000000000004E-2</v>
      </c>
      <c r="N1137" s="162">
        <v>0.16</v>
      </c>
      <c r="O1137" s="162">
        <v>506.78039999999999</v>
      </c>
      <c r="P1137" s="162">
        <v>848.16800000000001</v>
      </c>
      <c r="Q1137" s="162">
        <v>65.88</v>
      </c>
      <c r="R1137" s="162">
        <v>29.54</v>
      </c>
      <c r="S1137" s="162">
        <v>309</v>
      </c>
      <c r="T1137" s="162">
        <v>156595.14000000001</v>
      </c>
      <c r="U1137" s="162"/>
      <c r="V1137" s="162"/>
    </row>
    <row r="1138" spans="1:22" ht="15.75" customHeight="1" x14ac:dyDescent="0.25">
      <c r="A1138" s="167">
        <v>480</v>
      </c>
      <c r="B1138" s="162" t="s">
        <v>13</v>
      </c>
      <c r="C1138" s="162" t="s">
        <v>32</v>
      </c>
      <c r="D1138" s="168">
        <v>44881</v>
      </c>
      <c r="E1138" s="194" t="s">
        <v>23</v>
      </c>
      <c r="F1138" s="194"/>
      <c r="G1138" s="194"/>
      <c r="H1138" s="162" t="s">
        <v>1592</v>
      </c>
      <c r="I1138" s="162"/>
      <c r="J1138" s="169" t="s">
        <v>3301</v>
      </c>
      <c r="K1138" s="162">
        <v>1455.15</v>
      </c>
      <c r="L1138" s="162">
        <v>327</v>
      </c>
      <c r="M1138" s="162">
        <v>0.2651</v>
      </c>
      <c r="N1138" s="162">
        <v>0.82099999999999995</v>
      </c>
      <c r="O1138" s="162">
        <v>385.76029999999997</v>
      </c>
      <c r="P1138" s="162">
        <v>1194.6782000000001</v>
      </c>
      <c r="Q1138" s="162">
        <v>50.15</v>
      </c>
      <c r="R1138" s="162">
        <v>81.92</v>
      </c>
      <c r="S1138" s="162">
        <v>309</v>
      </c>
      <c r="T1138" s="162">
        <v>119199.92</v>
      </c>
      <c r="U1138" s="162"/>
      <c r="V1138" s="162"/>
    </row>
    <row r="1139" spans="1:22" s="14" customFormat="1" ht="15.75" customHeight="1" x14ac:dyDescent="0.25">
      <c r="A1139" s="141">
        <v>480</v>
      </c>
      <c r="B1139" s="142" t="s">
        <v>13</v>
      </c>
      <c r="C1139" s="142" t="s">
        <v>32</v>
      </c>
      <c r="D1139" s="143">
        <v>44881</v>
      </c>
      <c r="E1139" s="241" t="s">
        <v>23</v>
      </c>
      <c r="F1139" s="242">
        <v>5</v>
      </c>
      <c r="G1139" s="242"/>
      <c r="H1139" s="145" t="s">
        <v>2976</v>
      </c>
      <c r="I1139" s="145"/>
      <c r="J1139" s="146" t="s">
        <v>3611</v>
      </c>
      <c r="K1139" s="145">
        <v>96.05</v>
      </c>
      <c r="L1139" s="145">
        <v>17</v>
      </c>
      <c r="M1139" s="145">
        <v>0.1469</v>
      </c>
      <c r="N1139" s="145">
        <v>1.427</v>
      </c>
      <c r="O1139" s="145">
        <v>14.1097</v>
      </c>
      <c r="P1139" s="145">
        <v>137.0634</v>
      </c>
      <c r="Q1139" s="145">
        <v>1.83</v>
      </c>
      <c r="R1139" s="145">
        <v>45.39</v>
      </c>
      <c r="S1139" s="145">
        <v>309</v>
      </c>
      <c r="T1139" s="145">
        <v>4359.91</v>
      </c>
      <c r="U1139" s="145"/>
      <c r="V1139" s="145"/>
    </row>
    <row r="1140" spans="1:22" ht="31.5" customHeight="1" x14ac:dyDescent="0.25">
      <c r="A1140" s="171">
        <v>481</v>
      </c>
      <c r="B1140" s="163" t="s">
        <v>34</v>
      </c>
      <c r="C1140" s="163" t="s">
        <v>328</v>
      </c>
      <c r="D1140" s="172">
        <v>44882</v>
      </c>
      <c r="E1140" s="187" t="s">
        <v>23</v>
      </c>
      <c r="F1140" s="187">
        <v>600</v>
      </c>
      <c r="G1140" s="187">
        <v>720</v>
      </c>
      <c r="H1140" s="222" t="s">
        <v>3723</v>
      </c>
      <c r="I1140" s="163"/>
      <c r="J1140" s="164" t="s">
        <v>650</v>
      </c>
      <c r="K1140" s="145">
        <v>1320</v>
      </c>
      <c r="L1140" s="163" t="s">
        <v>483</v>
      </c>
      <c r="M1140" s="163">
        <v>0.30919999999999997</v>
      </c>
      <c r="N1140" s="163">
        <v>1.1000000000000001</v>
      </c>
      <c r="O1140" s="163">
        <v>408.14400000000001</v>
      </c>
      <c r="P1140" s="163">
        <v>1452</v>
      </c>
      <c r="Q1140" s="163">
        <v>53.06</v>
      </c>
      <c r="R1140" s="163">
        <v>106.06</v>
      </c>
      <c r="S1140" s="163">
        <v>343</v>
      </c>
      <c r="T1140" s="163">
        <v>139993.39000000001</v>
      </c>
      <c r="U1140" s="163"/>
      <c r="V1140" s="163"/>
    </row>
    <row r="1141" spans="1:22" ht="15.75" customHeight="1" x14ac:dyDescent="0.25">
      <c r="A1141" s="167">
        <v>482</v>
      </c>
      <c r="B1141" s="162" t="s">
        <v>34</v>
      </c>
      <c r="C1141" s="162" t="s">
        <v>19</v>
      </c>
      <c r="D1141" s="168">
        <v>44882</v>
      </c>
      <c r="E1141" s="194" t="s">
        <v>23</v>
      </c>
      <c r="F1141" s="194"/>
      <c r="G1141" s="194"/>
      <c r="H1141" s="162"/>
      <c r="I1141" s="162"/>
      <c r="J1141" s="169" t="s">
        <v>3093</v>
      </c>
      <c r="K1141" s="142">
        <v>34.1</v>
      </c>
      <c r="L1141" s="162" t="s">
        <v>270</v>
      </c>
      <c r="M1141" s="162">
        <v>0.27160000000000001</v>
      </c>
      <c r="N1141" s="162">
        <v>0.72799999999999998</v>
      </c>
      <c r="O1141" s="162">
        <v>9.2615999999999996</v>
      </c>
      <c r="P1141" s="162">
        <v>24.8248</v>
      </c>
      <c r="Q1141" s="162">
        <v>1.2</v>
      </c>
      <c r="R1141" s="162">
        <v>93.16</v>
      </c>
      <c r="S1141" s="162">
        <v>343</v>
      </c>
      <c r="T1141" s="162">
        <v>3176.72</v>
      </c>
      <c r="U1141" s="162"/>
      <c r="V1141" s="162"/>
    </row>
    <row r="1142" spans="1:22" ht="15.75" customHeight="1" x14ac:dyDescent="0.25">
      <c r="A1142" s="167">
        <v>482</v>
      </c>
      <c r="B1142" s="162" t="s">
        <v>34</v>
      </c>
      <c r="C1142" s="162" t="s">
        <v>19</v>
      </c>
      <c r="D1142" s="168">
        <v>44882</v>
      </c>
      <c r="E1142" s="194" t="s">
        <v>23</v>
      </c>
      <c r="F1142" s="194"/>
      <c r="G1142" s="194"/>
      <c r="H1142" s="162"/>
      <c r="I1142" s="162"/>
      <c r="J1142" s="169" t="s">
        <v>3094</v>
      </c>
      <c r="K1142" s="142">
        <v>1058.2</v>
      </c>
      <c r="L1142" s="162" t="s">
        <v>1092</v>
      </c>
      <c r="M1142" s="162">
        <v>0.27160000000000001</v>
      </c>
      <c r="N1142" s="162">
        <v>0.72799999999999998</v>
      </c>
      <c r="O1142" s="162">
        <v>287.40710000000001</v>
      </c>
      <c r="P1142" s="162">
        <v>770.36959999999999</v>
      </c>
      <c r="Q1142" s="162">
        <v>37.36</v>
      </c>
      <c r="R1142" s="162">
        <v>93.16</v>
      </c>
      <c r="S1142" s="162">
        <v>343</v>
      </c>
      <c r="T1142" s="162">
        <v>98580.64</v>
      </c>
      <c r="U1142" s="162"/>
      <c r="V1142" s="162"/>
    </row>
    <row r="1143" spans="1:22" ht="15.75" customHeight="1" x14ac:dyDescent="0.25">
      <c r="A1143" s="167">
        <v>482</v>
      </c>
      <c r="B1143" s="162" t="s">
        <v>34</v>
      </c>
      <c r="C1143" s="162" t="s">
        <v>19</v>
      </c>
      <c r="D1143" s="168">
        <v>44882</v>
      </c>
      <c r="E1143" s="194" t="s">
        <v>23</v>
      </c>
      <c r="F1143" s="194"/>
      <c r="G1143" s="194"/>
      <c r="H1143" s="162"/>
      <c r="I1143" s="162"/>
      <c r="J1143" s="169" t="s">
        <v>3647</v>
      </c>
      <c r="K1143" s="142">
        <v>972.95</v>
      </c>
      <c r="L1143" s="162" t="s">
        <v>3648</v>
      </c>
      <c r="M1143" s="162">
        <v>0.1794</v>
      </c>
      <c r="N1143" s="162">
        <v>0.371</v>
      </c>
      <c r="O1143" s="162">
        <v>174.5472</v>
      </c>
      <c r="P1143" s="162">
        <v>360.96449999999999</v>
      </c>
      <c r="Q1143" s="162">
        <v>22.69</v>
      </c>
      <c r="R1143" s="162">
        <v>43.59</v>
      </c>
      <c r="S1143" s="162">
        <v>243</v>
      </c>
      <c r="T1143" s="162">
        <v>42414.98</v>
      </c>
      <c r="U1143" s="162"/>
      <c r="V1143" s="162"/>
    </row>
    <row r="1144" spans="1:22" ht="1.9" customHeight="1" x14ac:dyDescent="0.25">
      <c r="A1144" s="167">
        <v>482</v>
      </c>
      <c r="B1144" s="162" t="s">
        <v>34</v>
      </c>
      <c r="C1144" s="162" t="s">
        <v>19</v>
      </c>
      <c r="D1144" s="168">
        <v>44882</v>
      </c>
      <c r="E1144" s="194" t="s">
        <v>23</v>
      </c>
      <c r="F1144" s="194"/>
      <c r="G1144" s="194"/>
      <c r="H1144" s="163"/>
      <c r="I1144" s="163"/>
      <c r="J1144" s="164" t="s">
        <v>3651</v>
      </c>
      <c r="K1144" s="145">
        <v>388.5</v>
      </c>
      <c r="L1144" s="163" t="s">
        <v>274</v>
      </c>
      <c r="M1144" s="163">
        <v>0.1794</v>
      </c>
      <c r="N1144" s="163">
        <v>0.371</v>
      </c>
      <c r="O1144" s="163">
        <v>69.696899999999999</v>
      </c>
      <c r="P1144" s="163">
        <v>144.1335</v>
      </c>
      <c r="Q1144" s="163">
        <v>9.06</v>
      </c>
      <c r="R1144" s="163">
        <v>66</v>
      </c>
      <c r="S1144" s="163">
        <v>243</v>
      </c>
      <c r="T1144" s="163">
        <v>25640.53</v>
      </c>
      <c r="U1144" s="163"/>
      <c r="V1144" s="163"/>
    </row>
    <row r="1145" spans="1:22" ht="15.75" customHeight="1" x14ac:dyDescent="0.25">
      <c r="A1145" s="171">
        <v>483</v>
      </c>
      <c r="B1145" s="162" t="s">
        <v>13</v>
      </c>
      <c r="C1145" s="162" t="s">
        <v>32</v>
      </c>
      <c r="D1145" s="172">
        <v>44882</v>
      </c>
      <c r="E1145" s="187" t="s">
        <v>23</v>
      </c>
      <c r="F1145" s="187"/>
      <c r="G1145" s="187"/>
      <c r="H1145" s="163" t="s">
        <v>595</v>
      </c>
      <c r="I1145" s="163"/>
      <c r="J1145" s="164" t="s">
        <v>2773</v>
      </c>
      <c r="K1145" s="163">
        <v>227.9</v>
      </c>
      <c r="L1145" s="163">
        <v>43</v>
      </c>
      <c r="M1145" s="163">
        <v>0.2651</v>
      </c>
      <c r="N1145" s="163">
        <v>0.82099999999999995</v>
      </c>
      <c r="O1145" s="163">
        <v>60.4163</v>
      </c>
      <c r="P1145" s="163">
        <v>187.10589999999999</v>
      </c>
      <c r="Q1145" s="163">
        <v>7.85</v>
      </c>
      <c r="R1145" s="163">
        <v>81.92</v>
      </c>
      <c r="S1145" s="163">
        <v>309</v>
      </c>
      <c r="T1145" s="163">
        <v>18668.63</v>
      </c>
      <c r="U1145" s="163"/>
      <c r="V1145" s="163"/>
    </row>
    <row r="1146" spans="1:22" s="14" customFormat="1" ht="15.75" customHeight="1" x14ac:dyDescent="0.25">
      <c r="A1146" s="141">
        <v>484</v>
      </c>
      <c r="B1146" s="142" t="s">
        <v>13</v>
      </c>
      <c r="C1146" s="142" t="s">
        <v>663</v>
      </c>
      <c r="D1146" s="148">
        <v>44882</v>
      </c>
      <c r="E1146" s="242" t="s">
        <v>23</v>
      </c>
      <c r="F1146" s="241"/>
      <c r="G1146" s="241">
        <f>180+42</f>
        <v>222</v>
      </c>
      <c r="H1146" s="142" t="s">
        <v>3661</v>
      </c>
      <c r="I1146" s="142"/>
      <c r="J1146" s="144" t="s">
        <v>3649</v>
      </c>
      <c r="K1146" s="142">
        <v>739.2</v>
      </c>
      <c r="L1146" s="142">
        <v>231</v>
      </c>
      <c r="M1146" s="142">
        <v>0.31</v>
      </c>
      <c r="N1146" s="142">
        <v>1.2010000000000001</v>
      </c>
      <c r="O1146" s="142">
        <v>229.15199999999999</v>
      </c>
      <c r="P1146" s="142">
        <v>887.77919999999995</v>
      </c>
      <c r="Q1146" s="142">
        <v>29.79</v>
      </c>
      <c r="R1146" s="142">
        <v>91.45</v>
      </c>
      <c r="S1146" s="142">
        <v>295</v>
      </c>
      <c r="T1146" s="142">
        <v>67599.839999999997</v>
      </c>
      <c r="U1146" s="142"/>
      <c r="V1146" s="142"/>
    </row>
    <row r="1147" spans="1:22" s="14" customFormat="1" ht="15.75" customHeight="1" x14ac:dyDescent="0.25">
      <c r="A1147" s="141">
        <v>484</v>
      </c>
      <c r="B1147" s="142" t="s">
        <v>13</v>
      </c>
      <c r="C1147" s="142" t="s">
        <v>663</v>
      </c>
      <c r="D1147" s="148">
        <v>44882</v>
      </c>
      <c r="E1147" s="242" t="s">
        <v>23</v>
      </c>
      <c r="F1147" s="281"/>
      <c r="G1147" s="281">
        <f>180+60+60+51</f>
        <v>351</v>
      </c>
      <c r="H1147" s="145" t="s">
        <v>3662</v>
      </c>
      <c r="I1147" s="145"/>
      <c r="J1147" s="146" t="s">
        <v>3650</v>
      </c>
      <c r="K1147" s="145">
        <v>1424</v>
      </c>
      <c r="L1147" s="145">
        <v>356</v>
      </c>
      <c r="M1147" s="145">
        <v>0.31</v>
      </c>
      <c r="N1147" s="145">
        <v>1.2010000000000001</v>
      </c>
      <c r="O1147" s="145">
        <v>441.44</v>
      </c>
      <c r="P1147" s="145">
        <v>1710.2239999999999</v>
      </c>
      <c r="Q1147" s="145">
        <v>57.39</v>
      </c>
      <c r="R1147" s="145">
        <v>91.45</v>
      </c>
      <c r="S1147" s="145">
        <v>295</v>
      </c>
      <c r="T1147" s="145">
        <v>130224.8</v>
      </c>
      <c r="U1147" s="145"/>
      <c r="V1147" s="145"/>
    </row>
    <row r="1148" spans="1:22" s="14" customFormat="1" ht="15.75" customHeight="1" x14ac:dyDescent="0.25">
      <c r="A1148" s="141">
        <v>485</v>
      </c>
      <c r="B1148" s="142" t="s">
        <v>34</v>
      </c>
      <c r="C1148" s="142" t="s">
        <v>2205</v>
      </c>
      <c r="D1148" s="143">
        <v>44882</v>
      </c>
      <c r="E1148" s="242" t="s">
        <v>23</v>
      </c>
      <c r="F1148" s="241"/>
      <c r="G1148" s="241"/>
      <c r="H1148" s="142" t="s">
        <v>3653</v>
      </c>
      <c r="I1148" s="142"/>
      <c r="J1148" s="144" t="s">
        <v>1362</v>
      </c>
      <c r="K1148" s="142">
        <v>222.65</v>
      </c>
      <c r="L1148" s="142" t="s">
        <v>3075</v>
      </c>
      <c r="M1148" s="142">
        <v>0.91269999999999996</v>
      </c>
      <c r="N1148" s="142">
        <v>4.5439999999999996</v>
      </c>
      <c r="O1148" s="142">
        <v>203.21270000000001</v>
      </c>
      <c r="P1148" s="142">
        <v>1011.7216</v>
      </c>
      <c r="Q1148" s="142">
        <v>26.42</v>
      </c>
      <c r="R1148" s="142">
        <v>322.18</v>
      </c>
      <c r="S1148" s="142">
        <v>353</v>
      </c>
      <c r="T1148" s="142">
        <v>71734.070000000007</v>
      </c>
      <c r="U1148" s="142"/>
      <c r="V1148" s="142"/>
    </row>
    <row r="1149" spans="1:22" ht="15.75" customHeight="1" x14ac:dyDescent="0.25">
      <c r="A1149" s="171" t="s">
        <v>3652</v>
      </c>
      <c r="B1149" s="163" t="s">
        <v>13</v>
      </c>
      <c r="C1149" s="163" t="s">
        <v>43</v>
      </c>
      <c r="D1149" s="172">
        <v>44883</v>
      </c>
      <c r="E1149" s="187" t="s">
        <v>23</v>
      </c>
      <c r="F1149" s="187"/>
      <c r="G1149" s="187"/>
      <c r="H1149" s="163"/>
      <c r="I1149" s="163"/>
      <c r="J1149" s="164" t="s">
        <v>1514</v>
      </c>
      <c r="K1149" s="163">
        <v>768</v>
      </c>
      <c r="L1149" s="163">
        <f>Таблица1[[#This Row],[Коли-
чество м.п.]]/6</f>
        <v>128</v>
      </c>
      <c r="M1149" s="163"/>
      <c r="N1149" s="163"/>
      <c r="O1149" s="163"/>
      <c r="P1149" s="163"/>
      <c r="Q1149" s="163"/>
      <c r="R1149" s="163"/>
      <c r="S1149" s="163"/>
      <c r="T1149" s="163"/>
      <c r="U1149" s="163"/>
      <c r="V1149" s="163"/>
    </row>
    <row r="1150" spans="1:22" s="28" customFormat="1" ht="15.75" customHeight="1" x14ac:dyDescent="0.25">
      <c r="A1150" s="254" t="s">
        <v>3654</v>
      </c>
      <c r="B1150" s="150" t="s">
        <v>13</v>
      </c>
      <c r="C1150" s="150" t="s">
        <v>37</v>
      </c>
      <c r="D1150" s="255">
        <v>44886</v>
      </c>
      <c r="E1150" s="242" t="s">
        <v>23</v>
      </c>
      <c r="F1150" s="256"/>
      <c r="G1150" s="256"/>
      <c r="H1150" s="150" t="s">
        <v>2078</v>
      </c>
      <c r="I1150" s="150"/>
      <c r="J1150" s="257" t="s">
        <v>3291</v>
      </c>
      <c r="K1150" s="150"/>
      <c r="L1150" s="150">
        <v>24</v>
      </c>
      <c r="M1150" s="150"/>
      <c r="N1150" s="150"/>
      <c r="O1150" s="150"/>
      <c r="P1150" s="150"/>
      <c r="Q1150" s="150"/>
      <c r="R1150" s="150"/>
      <c r="S1150" s="150"/>
      <c r="T1150" s="150">
        <v>44400</v>
      </c>
      <c r="U1150" s="150"/>
      <c r="V1150" s="150"/>
    </row>
    <row r="1151" spans="1:22" s="14" customFormat="1" ht="15.75" customHeight="1" x14ac:dyDescent="0.25">
      <c r="A1151" s="147">
        <v>488</v>
      </c>
      <c r="B1151" s="145" t="s">
        <v>13</v>
      </c>
      <c r="C1151" s="145" t="s">
        <v>3544</v>
      </c>
      <c r="D1151" s="148">
        <v>44887</v>
      </c>
      <c r="E1151" s="242" t="s">
        <v>23</v>
      </c>
      <c r="F1151" s="241"/>
      <c r="G1151" s="241">
        <v>142</v>
      </c>
      <c r="H1151" s="145"/>
      <c r="I1151" s="145"/>
      <c r="J1151" s="146" t="s">
        <v>3493</v>
      </c>
      <c r="K1151" s="145">
        <v>852</v>
      </c>
      <c r="L1151" s="145" t="s">
        <v>3494</v>
      </c>
      <c r="M1151" s="145">
        <v>0.1938</v>
      </c>
      <c r="N1151" s="145">
        <v>0.63600000000000001</v>
      </c>
      <c r="O1151" s="145">
        <v>165.11760000000001</v>
      </c>
      <c r="P1151" s="145">
        <v>541.87199999999996</v>
      </c>
      <c r="Q1151" s="145">
        <v>21.47</v>
      </c>
      <c r="R1151" s="145">
        <v>66.47</v>
      </c>
      <c r="S1151" s="145">
        <v>343</v>
      </c>
      <c r="T1151" s="145">
        <v>56635.34</v>
      </c>
      <c r="U1151" s="145"/>
      <c r="V1151" s="145"/>
    </row>
    <row r="1152" spans="1:22" ht="15.75" customHeight="1" x14ac:dyDescent="0.25">
      <c r="A1152" s="171" t="s">
        <v>2270</v>
      </c>
      <c r="B1152" s="163" t="s">
        <v>13</v>
      </c>
      <c r="C1152" s="163" t="s">
        <v>799</v>
      </c>
      <c r="D1152" s="172">
        <v>44887</v>
      </c>
      <c r="E1152" s="187" t="s">
        <v>23</v>
      </c>
      <c r="F1152" s="187"/>
      <c r="G1152" s="187"/>
      <c r="H1152" s="163"/>
      <c r="I1152" s="163"/>
      <c r="J1152" s="164" t="s">
        <v>3658</v>
      </c>
      <c r="K1152" s="163">
        <f>5.1*Таблица1[[#This Row],[Количество]]</f>
        <v>1784.9999999999998</v>
      </c>
      <c r="L1152" s="163">
        <v>350</v>
      </c>
      <c r="M1152" s="163"/>
      <c r="N1152" s="163"/>
      <c r="O1152" s="163"/>
      <c r="P1152" s="163"/>
      <c r="Q1152" s="163"/>
      <c r="R1152" s="163"/>
      <c r="S1152" s="163"/>
      <c r="T1152" s="163"/>
      <c r="U1152" s="163"/>
      <c r="V1152" s="163"/>
    </row>
    <row r="1153" spans="1:22" ht="15.75" customHeight="1" x14ac:dyDescent="0.25">
      <c r="A1153" s="171" t="s">
        <v>3659</v>
      </c>
      <c r="B1153" s="163" t="s">
        <v>13</v>
      </c>
      <c r="C1153" s="163" t="s">
        <v>295</v>
      </c>
      <c r="D1153" s="172">
        <v>44888</v>
      </c>
      <c r="E1153" s="187" t="s">
        <v>23</v>
      </c>
      <c r="F1153" s="187"/>
      <c r="G1153" s="187"/>
      <c r="H1153" s="163"/>
      <c r="I1153" s="163"/>
      <c r="J1153" s="164" t="s">
        <v>2165</v>
      </c>
      <c r="K1153" s="163"/>
      <c r="L1153" s="163">
        <v>44</v>
      </c>
      <c r="M1153" s="163"/>
      <c r="N1153" s="163"/>
      <c r="O1153" s="163"/>
      <c r="P1153" s="163"/>
      <c r="Q1153" s="163"/>
      <c r="R1153" s="163"/>
      <c r="S1153" s="163"/>
      <c r="T1153" s="163">
        <v>37605</v>
      </c>
      <c r="U1153" s="163"/>
      <c r="V1153" s="163"/>
    </row>
    <row r="1154" spans="1:22" s="14" customFormat="1" ht="15.75" customHeight="1" x14ac:dyDescent="0.25">
      <c r="A1154" s="141">
        <v>493</v>
      </c>
      <c r="B1154" s="142" t="s">
        <v>13</v>
      </c>
      <c r="C1154" s="142" t="s">
        <v>892</v>
      </c>
      <c r="D1154" s="143">
        <v>44890</v>
      </c>
      <c r="E1154" s="242" t="s">
        <v>23</v>
      </c>
      <c r="F1154" s="242">
        <v>763</v>
      </c>
      <c r="G1154" s="242"/>
      <c r="H1154" s="142"/>
      <c r="I1154" s="142"/>
      <c r="J1154" s="144" t="s">
        <v>2841</v>
      </c>
      <c r="K1154" s="142">
        <v>4287.3999999999996</v>
      </c>
      <c r="L1154" s="142" t="s">
        <v>3665</v>
      </c>
      <c r="M1154" s="142">
        <v>9.5600000000000004E-2</v>
      </c>
      <c r="N1154" s="142">
        <v>0.16</v>
      </c>
      <c r="O1154" s="142">
        <v>409.87540000000001</v>
      </c>
      <c r="P1154" s="142">
        <v>685.98400000000004</v>
      </c>
      <c r="Q1154" s="142">
        <v>53.28</v>
      </c>
      <c r="R1154" s="142">
        <v>29.54</v>
      </c>
      <c r="S1154" s="142">
        <v>309</v>
      </c>
      <c r="T1154" s="142">
        <v>126649.8</v>
      </c>
      <c r="U1154" s="142"/>
      <c r="V1154" s="142"/>
    </row>
    <row r="1155" spans="1:22" ht="15.75" customHeight="1" x14ac:dyDescent="0.25">
      <c r="A1155" s="167">
        <v>493</v>
      </c>
      <c r="B1155" s="162" t="s">
        <v>13</v>
      </c>
      <c r="C1155" s="162" t="s">
        <v>892</v>
      </c>
      <c r="D1155" s="168">
        <v>44890</v>
      </c>
      <c r="E1155" s="194" t="s">
        <v>23</v>
      </c>
      <c r="F1155" s="194"/>
      <c r="G1155" s="194"/>
      <c r="H1155" s="162"/>
      <c r="I1155" s="162"/>
      <c r="J1155" s="169" t="s">
        <v>3301</v>
      </c>
      <c r="K1155" s="162">
        <v>133.5</v>
      </c>
      <c r="L1155" s="162" t="s">
        <v>56</v>
      </c>
      <c r="M1155" s="162">
        <v>0.2651</v>
      </c>
      <c r="N1155" s="162">
        <v>0.82099999999999995</v>
      </c>
      <c r="O1155" s="162">
        <v>35.390900000000002</v>
      </c>
      <c r="P1155" s="162">
        <v>109.6035</v>
      </c>
      <c r="Q1155" s="162">
        <v>4.5999999999999996</v>
      </c>
      <c r="R1155" s="162">
        <v>81.92</v>
      </c>
      <c r="S1155" s="162">
        <v>309</v>
      </c>
      <c r="T1155" s="162">
        <v>10935.77</v>
      </c>
      <c r="U1155" s="162"/>
      <c r="V1155" s="162"/>
    </row>
    <row r="1156" spans="1:22" ht="15.75" customHeight="1" x14ac:dyDescent="0.25">
      <c r="A1156" s="167">
        <v>493</v>
      </c>
      <c r="B1156" s="162" t="s">
        <v>13</v>
      </c>
      <c r="C1156" s="162" t="s">
        <v>892</v>
      </c>
      <c r="D1156" s="168">
        <v>44890</v>
      </c>
      <c r="E1156" s="187" t="s">
        <v>23</v>
      </c>
      <c r="F1156" s="194">
        <v>41</v>
      </c>
      <c r="G1156" s="194"/>
      <c r="H1156" s="163" t="s">
        <v>3800</v>
      </c>
      <c r="I1156" s="163"/>
      <c r="J1156" s="164" t="s">
        <v>3663</v>
      </c>
      <c r="K1156" s="163">
        <v>414.1</v>
      </c>
      <c r="L1156" s="163" t="s">
        <v>3664</v>
      </c>
      <c r="M1156" s="163">
        <v>0.1469</v>
      </c>
      <c r="N1156" s="163">
        <v>1.427</v>
      </c>
      <c r="O1156" s="163">
        <v>60.831299999999999</v>
      </c>
      <c r="P1156" s="163">
        <v>590.92070000000001</v>
      </c>
      <c r="Q1156" s="163">
        <v>7.91</v>
      </c>
      <c r="R1156" s="163">
        <v>45.39</v>
      </c>
      <c r="S1156" s="163">
        <v>309</v>
      </c>
      <c r="T1156" s="163">
        <v>18796.87</v>
      </c>
      <c r="U1156" s="163"/>
      <c r="V1156" s="163"/>
    </row>
    <row r="1157" spans="1:22" x14ac:dyDescent="0.25">
      <c r="A1157" s="167">
        <v>496</v>
      </c>
      <c r="B1157" s="162" t="s">
        <v>34</v>
      </c>
      <c r="C1157" s="162" t="s">
        <v>19</v>
      </c>
      <c r="D1157" s="168">
        <v>44893</v>
      </c>
      <c r="E1157" s="194" t="s">
        <v>23</v>
      </c>
      <c r="F1157" s="187"/>
      <c r="G1157" s="187"/>
      <c r="H1157" s="162"/>
      <c r="I1157" s="162"/>
      <c r="J1157" s="169" t="s">
        <v>3093</v>
      </c>
      <c r="K1157" s="142">
        <v>694.4</v>
      </c>
      <c r="L1157" s="162" t="s">
        <v>2151</v>
      </c>
      <c r="M1157" s="162">
        <v>0.27160000000000001</v>
      </c>
      <c r="N1157" s="162">
        <v>0.72799999999999998</v>
      </c>
      <c r="O1157" s="162">
        <v>188.59899999999999</v>
      </c>
      <c r="P1157" s="162">
        <v>505.52319999999997</v>
      </c>
      <c r="Q1157" s="162">
        <v>24.52</v>
      </c>
      <c r="R1157" s="162">
        <v>93.16</v>
      </c>
      <c r="S1157" s="162">
        <v>343</v>
      </c>
      <c r="T1157" s="162">
        <v>64689.47</v>
      </c>
      <c r="U1157" s="162"/>
      <c r="V1157" s="162"/>
    </row>
    <row r="1158" spans="1:22" x14ac:dyDescent="0.25">
      <c r="A1158" s="167">
        <v>496</v>
      </c>
      <c r="B1158" s="162" t="s">
        <v>34</v>
      </c>
      <c r="C1158" s="162" t="s">
        <v>19</v>
      </c>
      <c r="D1158" s="168">
        <v>44893</v>
      </c>
      <c r="E1158" s="194" t="s">
        <v>23</v>
      </c>
      <c r="F1158" s="218"/>
      <c r="G1158" s="218"/>
      <c r="H1158" s="163"/>
      <c r="I1158" s="163"/>
      <c r="J1158" s="164" t="s">
        <v>3094</v>
      </c>
      <c r="K1158" s="145">
        <v>425.5</v>
      </c>
      <c r="L1158" s="163" t="s">
        <v>352</v>
      </c>
      <c r="M1158" s="163">
        <v>0.27160000000000001</v>
      </c>
      <c r="N1158" s="163">
        <v>0.72799999999999998</v>
      </c>
      <c r="O1158" s="163">
        <v>115.5658</v>
      </c>
      <c r="P1158" s="163">
        <v>309.76400000000001</v>
      </c>
      <c r="Q1158" s="163">
        <v>15.02</v>
      </c>
      <c r="R1158" s="163">
        <v>93.16</v>
      </c>
      <c r="S1158" s="163">
        <v>343</v>
      </c>
      <c r="T1158" s="163">
        <v>39639.07</v>
      </c>
      <c r="U1158" s="163"/>
      <c r="V1158" s="163"/>
    </row>
    <row r="1159" spans="1:22" ht="15.75" customHeight="1" x14ac:dyDescent="0.25">
      <c r="A1159" s="171">
        <v>497</v>
      </c>
      <c r="B1159" s="163" t="s">
        <v>34</v>
      </c>
      <c r="C1159" s="163" t="s">
        <v>328</v>
      </c>
      <c r="D1159" s="168">
        <v>44893</v>
      </c>
      <c r="E1159" s="187" t="s">
        <v>23</v>
      </c>
      <c r="F1159" s="187"/>
      <c r="G1159" s="187">
        <v>60</v>
      </c>
      <c r="H1159" s="163"/>
      <c r="I1159" s="163"/>
      <c r="J1159" s="164" t="s">
        <v>650</v>
      </c>
      <c r="K1159" s="145">
        <v>60</v>
      </c>
      <c r="L1159" s="163" t="s">
        <v>283</v>
      </c>
      <c r="M1159" s="163">
        <v>0.30919999999999997</v>
      </c>
      <c r="N1159" s="163">
        <v>1.1000000000000001</v>
      </c>
      <c r="O1159" s="163">
        <v>18.552</v>
      </c>
      <c r="P1159" s="163">
        <v>66</v>
      </c>
      <c r="Q1159" s="163">
        <v>2.41</v>
      </c>
      <c r="R1159" s="163">
        <v>106.06</v>
      </c>
      <c r="S1159" s="163">
        <v>343</v>
      </c>
      <c r="T1159" s="163">
        <v>6363.34</v>
      </c>
      <c r="U1159" s="163"/>
      <c r="V1159" s="163"/>
    </row>
    <row r="1160" spans="1:22" ht="15.75" customHeight="1" x14ac:dyDescent="0.25">
      <c r="A1160" s="171" t="s">
        <v>3666</v>
      </c>
      <c r="B1160" s="162" t="s">
        <v>13</v>
      </c>
      <c r="C1160" s="163" t="s">
        <v>292</v>
      </c>
      <c r="D1160" s="172">
        <v>44893</v>
      </c>
      <c r="E1160" s="187" t="s">
        <v>23</v>
      </c>
      <c r="F1160" s="187"/>
      <c r="G1160" s="187"/>
      <c r="H1160" s="163" t="s">
        <v>2078</v>
      </c>
      <c r="I1160" s="163"/>
      <c r="J1160" s="164" t="s">
        <v>655</v>
      </c>
      <c r="K1160" s="145">
        <v>750</v>
      </c>
      <c r="L1160" s="163">
        <v>150</v>
      </c>
      <c r="M1160" s="163"/>
      <c r="N1160" s="163"/>
      <c r="O1160" s="163"/>
      <c r="P1160" s="163"/>
      <c r="Q1160" s="163"/>
      <c r="R1160" s="163"/>
      <c r="S1160" s="163"/>
      <c r="T1160" s="163">
        <v>26025</v>
      </c>
      <c r="U1160" s="163"/>
      <c r="V1160" s="163"/>
    </row>
    <row r="1161" spans="1:22" ht="30.75" customHeight="1" x14ac:dyDescent="0.25">
      <c r="A1161" s="171" t="s">
        <v>3667</v>
      </c>
      <c r="B1161" s="163" t="s">
        <v>34</v>
      </c>
      <c r="C1161" s="163" t="s">
        <v>2205</v>
      </c>
      <c r="D1161" s="172">
        <v>44893</v>
      </c>
      <c r="E1161" s="187" t="s">
        <v>23</v>
      </c>
      <c r="F1161" s="187"/>
      <c r="G1161" s="187"/>
      <c r="H1161" s="163"/>
      <c r="I1161" s="163"/>
      <c r="J1161" s="164" t="s">
        <v>3668</v>
      </c>
      <c r="K1161" s="145"/>
      <c r="L1161" s="163" t="s">
        <v>268</v>
      </c>
      <c r="M1161" s="163"/>
      <c r="N1161" s="162"/>
      <c r="O1161" s="163"/>
      <c r="P1161" s="163"/>
      <c r="Q1161" s="163"/>
      <c r="R1161" s="163" t="s">
        <v>3670</v>
      </c>
      <c r="S1161" s="163"/>
      <c r="T1161" s="163" t="s">
        <v>3671</v>
      </c>
      <c r="U1161" s="163"/>
      <c r="V1161" s="163"/>
    </row>
    <row r="1162" spans="1:22" ht="15.75" customHeight="1" x14ac:dyDescent="0.25">
      <c r="A1162" s="171" t="s">
        <v>3667</v>
      </c>
      <c r="B1162" s="163" t="s">
        <v>34</v>
      </c>
      <c r="C1162" s="163" t="s">
        <v>2205</v>
      </c>
      <c r="D1162" s="172">
        <v>44893</v>
      </c>
      <c r="E1162" s="187" t="s">
        <v>23</v>
      </c>
      <c r="F1162" s="187"/>
      <c r="G1162" s="187"/>
      <c r="H1162" s="163"/>
      <c r="I1162" s="163"/>
      <c r="J1162" s="164" t="s">
        <v>3669</v>
      </c>
      <c r="K1162" s="145"/>
      <c r="L1162" s="163" t="s">
        <v>3672</v>
      </c>
      <c r="M1162" s="163"/>
      <c r="N1162" s="163"/>
      <c r="O1162" s="163"/>
      <c r="P1162" s="163"/>
      <c r="Q1162" s="163"/>
      <c r="R1162" s="163" t="s">
        <v>3670</v>
      </c>
      <c r="S1162" s="163"/>
      <c r="T1162" s="163" t="s">
        <v>3673</v>
      </c>
      <c r="U1162" s="163"/>
      <c r="V1162" s="163"/>
    </row>
    <row r="1163" spans="1:22" ht="30.75" customHeight="1" x14ac:dyDescent="0.25">
      <c r="A1163" s="171" t="s">
        <v>2335</v>
      </c>
      <c r="B1163" s="163" t="s">
        <v>34</v>
      </c>
      <c r="C1163" s="163" t="s">
        <v>284</v>
      </c>
      <c r="D1163" s="172">
        <v>44894</v>
      </c>
      <c r="E1163" s="187" t="s">
        <v>23</v>
      </c>
      <c r="F1163" s="187"/>
      <c r="G1163" s="187"/>
      <c r="H1163" s="163"/>
      <c r="I1163" s="163"/>
      <c r="J1163" s="164" t="s">
        <v>3674</v>
      </c>
      <c r="K1163" s="145" t="s">
        <v>3675</v>
      </c>
      <c r="L1163" s="163"/>
      <c r="M1163" s="163"/>
      <c r="N1163" s="163"/>
      <c r="O1163" s="163"/>
      <c r="P1163" s="163"/>
      <c r="Q1163" s="163"/>
      <c r="R1163" s="163" t="s">
        <v>3676</v>
      </c>
      <c r="S1163" s="163"/>
      <c r="T1163" s="163" t="s">
        <v>3677</v>
      </c>
      <c r="U1163" s="163"/>
      <c r="V1163" s="163"/>
    </row>
    <row r="1164" spans="1:22" s="28" customFormat="1" ht="15.75" customHeight="1" x14ac:dyDescent="0.25">
      <c r="A1164" s="254">
        <v>498</v>
      </c>
      <c r="B1164" s="149" t="s">
        <v>13</v>
      </c>
      <c r="C1164" s="150" t="s">
        <v>156</v>
      </c>
      <c r="D1164" s="255">
        <v>44895</v>
      </c>
      <c r="E1164" s="256" t="s">
        <v>23</v>
      </c>
      <c r="F1164" s="256"/>
      <c r="G1164" s="256">
        <v>292</v>
      </c>
      <c r="H1164" s="150" t="s">
        <v>3116</v>
      </c>
      <c r="I1164" s="150"/>
      <c r="J1164" s="257" t="s">
        <v>3678</v>
      </c>
      <c r="K1164" s="150">
        <v>891</v>
      </c>
      <c r="L1164" s="150" t="s">
        <v>1945</v>
      </c>
      <c r="M1164" s="150">
        <v>0.81599999999999995</v>
      </c>
      <c r="N1164" s="150">
        <v>2.7610000000000001</v>
      </c>
      <c r="O1164" s="150">
        <v>727.05600000000004</v>
      </c>
      <c r="P1164" s="150">
        <v>2460.0509999999999</v>
      </c>
      <c r="Q1164" s="150">
        <v>94.52</v>
      </c>
      <c r="R1164" s="150">
        <v>279.89</v>
      </c>
      <c r="S1164" s="150">
        <v>343</v>
      </c>
      <c r="T1164" s="150">
        <v>249380.21</v>
      </c>
      <c r="U1164" s="150"/>
      <c r="V1164" s="150"/>
    </row>
    <row r="1165" spans="1:22" s="86" customFormat="1" ht="15.75" customHeight="1" x14ac:dyDescent="0.25">
      <c r="A1165" s="178">
        <v>499</v>
      </c>
      <c r="B1165" s="159" t="s">
        <v>13</v>
      </c>
      <c r="C1165" s="179" t="s">
        <v>657</v>
      </c>
      <c r="D1165" s="180">
        <v>44895</v>
      </c>
      <c r="E1165" s="195" t="s">
        <v>23</v>
      </c>
      <c r="F1165" s="195">
        <v>459</v>
      </c>
      <c r="G1165" s="195"/>
      <c r="H1165" s="179"/>
      <c r="I1165" s="179"/>
      <c r="J1165" s="181" t="s">
        <v>2963</v>
      </c>
      <c r="K1165" s="179">
        <v>2668</v>
      </c>
      <c r="L1165" s="179" t="s">
        <v>3679</v>
      </c>
      <c r="M1165" s="179">
        <v>0.1724</v>
      </c>
      <c r="N1165" s="179">
        <v>0.41499999999999998</v>
      </c>
      <c r="O1165" s="179">
        <v>459.96319999999997</v>
      </c>
      <c r="P1165" s="179">
        <v>1107.22</v>
      </c>
      <c r="Q1165" s="179">
        <v>59.8</v>
      </c>
      <c r="R1165" s="179">
        <v>54.31</v>
      </c>
      <c r="S1165" s="179">
        <v>329</v>
      </c>
      <c r="T1165" s="179">
        <v>144888.41</v>
      </c>
      <c r="U1165" s="179"/>
      <c r="V1165" s="179"/>
    </row>
    <row r="1166" spans="1:22" s="28" customFormat="1" ht="15.75" customHeight="1" x14ac:dyDescent="0.25">
      <c r="A1166" s="254">
        <v>500</v>
      </c>
      <c r="B1166" s="150" t="s">
        <v>13</v>
      </c>
      <c r="C1166" s="150" t="s">
        <v>595</v>
      </c>
      <c r="D1166" s="255">
        <v>44895</v>
      </c>
      <c r="E1166" s="256" t="s">
        <v>23</v>
      </c>
      <c r="F1166" s="256">
        <v>54</v>
      </c>
      <c r="G1166" s="256"/>
      <c r="H1166" s="150"/>
      <c r="I1166" s="150"/>
      <c r="J1166" s="257" t="s">
        <v>630</v>
      </c>
      <c r="K1166" s="150">
        <v>351</v>
      </c>
      <c r="L1166" s="150" t="s">
        <v>170</v>
      </c>
      <c r="M1166" s="150">
        <v>0.54049999999999998</v>
      </c>
      <c r="N1166" s="150">
        <v>2.0979999999999999</v>
      </c>
      <c r="O1166" s="150">
        <v>189.71549999999999</v>
      </c>
      <c r="P1166" s="150">
        <v>736.39800000000002</v>
      </c>
      <c r="Q1166" s="150">
        <v>24.66</v>
      </c>
      <c r="R1166" s="150">
        <v>159.44999999999999</v>
      </c>
      <c r="S1166" s="150">
        <v>295</v>
      </c>
      <c r="T1166" s="150">
        <v>55966.07</v>
      </c>
      <c r="U1166" s="150"/>
      <c r="V1166" s="150"/>
    </row>
    <row r="1167" spans="1:22" ht="15.75" customHeight="1" x14ac:dyDescent="0.25">
      <c r="A1167" s="167" t="s">
        <v>3680</v>
      </c>
      <c r="B1167" s="163" t="s">
        <v>13</v>
      </c>
      <c r="C1167" s="162" t="s">
        <v>458</v>
      </c>
      <c r="D1167" s="172">
        <v>44895</v>
      </c>
      <c r="E1167" s="194" t="s">
        <v>23</v>
      </c>
      <c r="F1167" s="187"/>
      <c r="G1167" s="187"/>
      <c r="H1167" s="162"/>
      <c r="I1167" s="162"/>
      <c r="J1167" s="169" t="s">
        <v>459</v>
      </c>
      <c r="K1167" s="162"/>
      <c r="L1167" s="162">
        <v>15</v>
      </c>
      <c r="M1167" s="162"/>
      <c r="N1167" s="162"/>
      <c r="O1167" s="162"/>
      <c r="P1167" s="162"/>
      <c r="Q1167" s="162"/>
      <c r="R1167" s="162"/>
      <c r="S1167" s="162"/>
      <c r="T1167" s="162" t="s">
        <v>726</v>
      </c>
      <c r="U1167" s="162"/>
      <c r="V1167" s="162"/>
    </row>
    <row r="1168" spans="1:22" ht="15.75" customHeight="1" x14ac:dyDescent="0.25">
      <c r="A1168" s="167" t="s">
        <v>3680</v>
      </c>
      <c r="B1168" s="163" t="s">
        <v>13</v>
      </c>
      <c r="C1168" s="162" t="s">
        <v>458</v>
      </c>
      <c r="D1168" s="172">
        <v>44895</v>
      </c>
      <c r="E1168" s="194" t="s">
        <v>23</v>
      </c>
      <c r="F1168" s="218"/>
      <c r="G1168" s="218"/>
      <c r="H1168" s="163"/>
      <c r="I1168" s="163"/>
      <c r="J1168" s="164" t="s">
        <v>460</v>
      </c>
      <c r="K1168" s="163"/>
      <c r="L1168" s="163">
        <v>15</v>
      </c>
      <c r="M1168" s="163"/>
      <c r="N1168" s="163"/>
      <c r="O1168" s="163"/>
      <c r="P1168" s="163"/>
      <c r="Q1168" s="163"/>
      <c r="R1168" s="163"/>
      <c r="S1168" s="163"/>
      <c r="T1168" s="163" t="s">
        <v>726</v>
      </c>
      <c r="U1168" s="163"/>
      <c r="V1168" s="163"/>
    </row>
    <row r="1169" spans="1:22" ht="15.75" customHeight="1" x14ac:dyDescent="0.25">
      <c r="A1169" s="171" t="s">
        <v>3681</v>
      </c>
      <c r="B1169" s="163" t="s">
        <v>13</v>
      </c>
      <c r="C1169" s="163" t="s">
        <v>295</v>
      </c>
      <c r="D1169" s="172">
        <v>44895</v>
      </c>
      <c r="E1169" s="187" t="s">
        <v>23</v>
      </c>
      <c r="F1169" s="187"/>
      <c r="G1169" s="187"/>
      <c r="H1169" s="163"/>
      <c r="I1169" s="163"/>
      <c r="J1169" s="164" t="s">
        <v>296</v>
      </c>
      <c r="K1169" s="163">
        <v>600</v>
      </c>
      <c r="L1169" s="163">
        <v>200</v>
      </c>
      <c r="M1169" s="163"/>
      <c r="N1169" s="163"/>
      <c r="O1169" s="163"/>
      <c r="P1169" s="163"/>
      <c r="Q1169" s="163"/>
      <c r="R1169" s="163"/>
      <c r="S1169" s="163"/>
      <c r="T1169" s="163">
        <v>14170</v>
      </c>
      <c r="U1169" s="163"/>
      <c r="V1169" s="163"/>
    </row>
    <row r="1170" spans="1:22" ht="15.75" customHeight="1" x14ac:dyDescent="0.25">
      <c r="A1170" s="171" t="s">
        <v>3683</v>
      </c>
      <c r="B1170" s="163" t="s">
        <v>13</v>
      </c>
      <c r="C1170" s="163" t="s">
        <v>37</v>
      </c>
      <c r="D1170" s="172">
        <v>44896</v>
      </c>
      <c r="E1170" s="187" t="s">
        <v>23</v>
      </c>
      <c r="F1170" s="187"/>
      <c r="G1170" s="187"/>
      <c r="H1170" s="163"/>
      <c r="I1170" s="163"/>
      <c r="J1170" s="164" t="s">
        <v>3682</v>
      </c>
      <c r="K1170" s="163"/>
      <c r="L1170" s="163">
        <v>12</v>
      </c>
      <c r="M1170" s="163"/>
      <c r="N1170" s="163"/>
      <c r="O1170" s="163"/>
      <c r="P1170" s="163"/>
      <c r="Q1170" s="163"/>
      <c r="R1170" s="163"/>
      <c r="S1170" s="163"/>
      <c r="T1170" s="163">
        <v>22200</v>
      </c>
      <c r="U1170" s="163"/>
      <c r="V1170" s="163"/>
    </row>
    <row r="1171" spans="1:22" s="14" customFormat="1" ht="30.75" customHeight="1" x14ac:dyDescent="0.25">
      <c r="A1171" s="147">
        <v>503</v>
      </c>
      <c r="B1171" s="145" t="s">
        <v>13</v>
      </c>
      <c r="C1171" s="145" t="s">
        <v>3510</v>
      </c>
      <c r="D1171" s="148">
        <v>44896</v>
      </c>
      <c r="E1171" s="241" t="s">
        <v>23</v>
      </c>
      <c r="F1171" s="241"/>
      <c r="G1171" s="241">
        <v>31</v>
      </c>
      <c r="H1171" s="145" t="s">
        <v>3189</v>
      </c>
      <c r="I1171" s="145"/>
      <c r="J1171" s="146" t="s">
        <v>3684</v>
      </c>
      <c r="K1171" s="145">
        <v>222</v>
      </c>
      <c r="L1171" s="145" t="s">
        <v>257</v>
      </c>
      <c r="M1171" s="145">
        <v>0.59919999999999995</v>
      </c>
      <c r="N1171" s="145">
        <v>2.5739999999999998</v>
      </c>
      <c r="O1171" s="145">
        <v>133.0224</v>
      </c>
      <c r="P1171" s="145">
        <v>571.428</v>
      </c>
      <c r="Q1171" s="145">
        <v>17.29</v>
      </c>
      <c r="R1171" s="145">
        <v>205.53</v>
      </c>
      <c r="S1171" s="145">
        <v>343</v>
      </c>
      <c r="T1171" s="145">
        <v>45626.68</v>
      </c>
      <c r="U1171" s="145"/>
      <c r="V1171" s="145"/>
    </row>
    <row r="1172" spans="1:22" s="14" customFormat="1" ht="15.75" customHeight="1" x14ac:dyDescent="0.25">
      <c r="A1172" s="141">
        <v>504</v>
      </c>
      <c r="B1172" s="145" t="s">
        <v>13</v>
      </c>
      <c r="C1172" s="142" t="s">
        <v>672</v>
      </c>
      <c r="D1172" s="148">
        <v>44896</v>
      </c>
      <c r="E1172" s="242" t="s">
        <v>23</v>
      </c>
      <c r="F1172" s="242"/>
      <c r="G1172" s="242">
        <v>156</v>
      </c>
      <c r="H1172" s="142"/>
      <c r="I1172" s="142"/>
      <c r="J1172" s="144" t="s">
        <v>3649</v>
      </c>
      <c r="K1172" s="142">
        <v>499.2</v>
      </c>
      <c r="L1172" s="142" t="s">
        <v>242</v>
      </c>
      <c r="M1172" s="142">
        <v>0.31</v>
      </c>
      <c r="N1172" s="142">
        <v>1.2010000000000001</v>
      </c>
      <c r="O1172" s="142">
        <v>154.75200000000001</v>
      </c>
      <c r="P1172" s="142">
        <v>599.53920000000005</v>
      </c>
      <c r="Q1172" s="142">
        <v>20.12</v>
      </c>
      <c r="R1172" s="142">
        <v>91.45</v>
      </c>
      <c r="S1172" s="142">
        <v>295</v>
      </c>
      <c r="T1172" s="142">
        <v>45651.839999999997</v>
      </c>
      <c r="U1172" s="142"/>
      <c r="V1172" s="142"/>
    </row>
    <row r="1173" spans="1:22" s="14" customFormat="1" ht="15.75" customHeight="1" x14ac:dyDescent="0.25">
      <c r="A1173" s="141">
        <v>504</v>
      </c>
      <c r="B1173" s="145" t="s">
        <v>13</v>
      </c>
      <c r="C1173" s="142" t="s">
        <v>672</v>
      </c>
      <c r="D1173" s="148">
        <v>44896</v>
      </c>
      <c r="E1173" s="242" t="s">
        <v>23</v>
      </c>
      <c r="F1173" s="242"/>
      <c r="G1173" s="242">
        <f>199+5</f>
        <v>204</v>
      </c>
      <c r="H1173" s="142"/>
      <c r="I1173" s="142"/>
      <c r="J1173" s="144" t="s">
        <v>3650</v>
      </c>
      <c r="K1173" s="142">
        <v>816</v>
      </c>
      <c r="L1173" s="142" t="s">
        <v>1110</v>
      </c>
      <c r="M1173" s="142">
        <v>0.31</v>
      </c>
      <c r="N1173" s="142">
        <v>1.2010000000000001</v>
      </c>
      <c r="O1173" s="142">
        <v>252.96</v>
      </c>
      <c r="P1173" s="142">
        <v>980.01599999999996</v>
      </c>
      <c r="Q1173" s="142">
        <v>32.880000000000003</v>
      </c>
      <c r="R1173" s="142">
        <v>91.45</v>
      </c>
      <c r="S1173" s="142">
        <v>295</v>
      </c>
      <c r="T1173" s="142">
        <v>74623.199999999997</v>
      </c>
      <c r="U1173" s="142"/>
      <c r="V1173" s="142"/>
    </row>
    <row r="1174" spans="1:22" ht="15.75" customHeight="1" x14ac:dyDescent="0.25">
      <c r="A1174" s="167">
        <v>504</v>
      </c>
      <c r="B1174" s="163" t="s">
        <v>13</v>
      </c>
      <c r="C1174" s="162" t="s">
        <v>672</v>
      </c>
      <c r="D1174" s="172">
        <v>44896</v>
      </c>
      <c r="E1174" s="242" t="s">
        <v>23</v>
      </c>
      <c r="F1174" s="194"/>
      <c r="G1174" s="194">
        <v>371</v>
      </c>
      <c r="H1174" s="163"/>
      <c r="I1174" s="163"/>
      <c r="J1174" s="164" t="s">
        <v>3685</v>
      </c>
      <c r="K1174" s="163">
        <v>2238</v>
      </c>
      <c r="L1174" s="163" t="s">
        <v>332</v>
      </c>
      <c r="M1174" s="163">
        <v>0.31</v>
      </c>
      <c r="N1174" s="163">
        <v>1.2010000000000001</v>
      </c>
      <c r="O1174" s="163">
        <v>693.78</v>
      </c>
      <c r="P1174" s="163">
        <v>2687.8380000000002</v>
      </c>
      <c r="Q1174" s="163">
        <v>90.19</v>
      </c>
      <c r="R1174" s="163">
        <v>91.45</v>
      </c>
      <c r="S1174" s="163">
        <v>295</v>
      </c>
      <c r="T1174" s="163">
        <v>204665.1</v>
      </c>
      <c r="U1174" s="163"/>
      <c r="V1174" s="163"/>
    </row>
    <row r="1175" spans="1:22" s="28" customFormat="1" ht="15.75" customHeight="1" x14ac:dyDescent="0.25">
      <c r="A1175" s="254" t="s">
        <v>2368</v>
      </c>
      <c r="B1175" s="150" t="s">
        <v>13</v>
      </c>
      <c r="C1175" s="150" t="s">
        <v>43</v>
      </c>
      <c r="D1175" s="255">
        <v>44897</v>
      </c>
      <c r="E1175" s="256" t="s">
        <v>23</v>
      </c>
      <c r="F1175" s="256"/>
      <c r="G1175" s="256"/>
      <c r="H1175" s="150" t="s">
        <v>2078</v>
      </c>
      <c r="I1175" s="150"/>
      <c r="J1175" s="257" t="s">
        <v>3686</v>
      </c>
      <c r="K1175" s="150">
        <v>120</v>
      </c>
      <c r="L1175" s="150">
        <v>20</v>
      </c>
      <c r="M1175" s="150"/>
      <c r="N1175" s="150"/>
      <c r="O1175" s="150"/>
      <c r="P1175" s="150"/>
      <c r="Q1175" s="150"/>
      <c r="R1175" s="150"/>
      <c r="S1175" s="150"/>
      <c r="T1175" s="150">
        <v>12535</v>
      </c>
      <c r="U1175" s="150"/>
      <c r="V1175" s="150"/>
    </row>
    <row r="1176" spans="1:22" ht="15.75" customHeight="1" x14ac:dyDescent="0.25">
      <c r="A1176" s="171" t="s">
        <v>3690</v>
      </c>
      <c r="B1176" s="163" t="s">
        <v>13</v>
      </c>
      <c r="C1176" s="163" t="s">
        <v>289</v>
      </c>
      <c r="D1176" s="172">
        <v>44900</v>
      </c>
      <c r="E1176" s="187" t="s">
        <v>23</v>
      </c>
      <c r="F1176" s="187"/>
      <c r="G1176" s="187"/>
      <c r="H1176" s="163" t="s">
        <v>2078</v>
      </c>
      <c r="I1176" s="163"/>
      <c r="J1176" s="164" t="s">
        <v>177</v>
      </c>
      <c r="K1176" s="145"/>
      <c r="L1176" s="163">
        <v>12</v>
      </c>
      <c r="M1176" s="163"/>
      <c r="N1176" s="163"/>
      <c r="O1176" s="163"/>
      <c r="P1176" s="163"/>
      <c r="Q1176" s="163"/>
      <c r="R1176" s="163"/>
      <c r="S1176" s="163"/>
      <c r="T1176" s="163"/>
      <c r="U1176" s="163"/>
      <c r="V1176" s="163"/>
    </row>
    <row r="1177" spans="1:22" ht="15.75" customHeight="1" x14ac:dyDescent="0.25">
      <c r="A1177" s="171" t="s">
        <v>3691</v>
      </c>
      <c r="B1177" s="163" t="s">
        <v>13</v>
      </c>
      <c r="C1177" s="163" t="s">
        <v>458</v>
      </c>
      <c r="D1177" s="172">
        <v>44900</v>
      </c>
      <c r="E1177" s="187" t="s">
        <v>23</v>
      </c>
      <c r="F1177" s="187">
        <v>750</v>
      </c>
      <c r="G1177" s="187"/>
      <c r="H1177" s="163" t="s">
        <v>2078</v>
      </c>
      <c r="I1177" s="163"/>
      <c r="J1177" s="164" t="s">
        <v>555</v>
      </c>
      <c r="K1177" s="163"/>
      <c r="L1177" s="163">
        <v>750</v>
      </c>
      <c r="M1177" s="163"/>
      <c r="N1177" s="163"/>
      <c r="O1177" s="163"/>
      <c r="P1177" s="163"/>
      <c r="Q1177" s="163"/>
      <c r="R1177" s="163"/>
      <c r="S1177" s="163"/>
      <c r="T1177" s="163" t="s">
        <v>3692</v>
      </c>
      <c r="U1177" s="163"/>
      <c r="V1177" s="163"/>
    </row>
    <row r="1178" spans="1:22" ht="15.75" customHeight="1" x14ac:dyDescent="0.25">
      <c r="A1178" s="171" t="s">
        <v>3694</v>
      </c>
      <c r="B1178" s="163" t="s">
        <v>13</v>
      </c>
      <c r="C1178" s="163" t="s">
        <v>2152</v>
      </c>
      <c r="D1178" s="172">
        <v>44900</v>
      </c>
      <c r="E1178" s="187" t="s">
        <v>677</v>
      </c>
      <c r="F1178" s="187"/>
      <c r="G1178" s="187"/>
      <c r="H1178" s="163" t="s">
        <v>2057</v>
      </c>
      <c r="I1178" s="163"/>
      <c r="J1178" s="164" t="s">
        <v>3693</v>
      </c>
      <c r="K1178" s="145">
        <v>600</v>
      </c>
      <c r="L1178" s="163">
        <v>100</v>
      </c>
      <c r="M1178" s="163"/>
      <c r="N1178" s="163"/>
      <c r="O1178" s="163"/>
      <c r="P1178" s="163"/>
      <c r="Q1178" s="163"/>
      <c r="R1178" s="163"/>
      <c r="S1178" s="163"/>
      <c r="T1178" s="163">
        <v>43600</v>
      </c>
      <c r="U1178" s="163"/>
      <c r="V1178" s="163"/>
    </row>
    <row r="1179" spans="1:22" s="14" customFormat="1" ht="15.75" customHeight="1" x14ac:dyDescent="0.25">
      <c r="A1179" s="147" t="s">
        <v>3695</v>
      </c>
      <c r="B1179" s="145" t="s">
        <v>13</v>
      </c>
      <c r="C1179" s="145" t="s">
        <v>37</v>
      </c>
      <c r="D1179" s="148">
        <v>44901</v>
      </c>
      <c r="E1179" s="241" t="s">
        <v>23</v>
      </c>
      <c r="F1179" s="241"/>
      <c r="G1179" s="241"/>
      <c r="H1179" s="145" t="s">
        <v>2078</v>
      </c>
      <c r="I1179" s="145"/>
      <c r="J1179" s="146" t="s">
        <v>3238</v>
      </c>
      <c r="K1179" s="145"/>
      <c r="L1179" s="145">
        <v>36</v>
      </c>
      <c r="M1179" s="145"/>
      <c r="N1179" s="145"/>
      <c r="O1179" s="145"/>
      <c r="P1179" s="145"/>
      <c r="Q1179" s="145"/>
      <c r="R1179" s="145"/>
      <c r="S1179" s="145"/>
      <c r="T1179" s="145">
        <v>28200</v>
      </c>
      <c r="U1179" s="145"/>
      <c r="V1179" s="145"/>
    </row>
    <row r="1180" spans="1:22" s="14" customFormat="1" ht="15.75" customHeight="1" x14ac:dyDescent="0.25">
      <c r="A1180" s="147" t="s">
        <v>3696</v>
      </c>
      <c r="B1180" s="145" t="s">
        <v>13</v>
      </c>
      <c r="C1180" s="145" t="s">
        <v>37</v>
      </c>
      <c r="D1180" s="148">
        <v>44903</v>
      </c>
      <c r="E1180" s="187" t="s">
        <v>23</v>
      </c>
      <c r="F1180" s="241"/>
      <c r="G1180" s="241"/>
      <c r="H1180" s="145" t="s">
        <v>3408</v>
      </c>
      <c r="I1180" s="145"/>
      <c r="J1180" s="146" t="s">
        <v>3512</v>
      </c>
      <c r="K1180" s="145"/>
      <c r="L1180" s="145">
        <v>12</v>
      </c>
      <c r="M1180" s="145"/>
      <c r="N1180" s="145"/>
      <c r="O1180" s="145"/>
      <c r="P1180" s="145"/>
      <c r="Q1180" s="145"/>
      <c r="R1180" s="145"/>
      <c r="S1180" s="145"/>
      <c r="T1180" s="145">
        <v>22200</v>
      </c>
      <c r="U1180" s="145"/>
      <c r="V1180" s="145"/>
    </row>
    <row r="1181" spans="1:22" ht="15.75" customHeight="1" x14ac:dyDescent="0.25">
      <c r="A1181" s="171">
        <v>510</v>
      </c>
      <c r="B1181" s="163" t="s">
        <v>13</v>
      </c>
      <c r="C1181" s="163" t="s">
        <v>1433</v>
      </c>
      <c r="D1181" s="172">
        <v>44903</v>
      </c>
      <c r="E1181" s="187" t="s">
        <v>23</v>
      </c>
      <c r="F1181" s="187"/>
      <c r="G1181" s="187">
        <v>14</v>
      </c>
      <c r="H1181" s="163"/>
      <c r="I1181" s="163"/>
      <c r="J1181" s="164" t="s">
        <v>3697</v>
      </c>
      <c r="K1181" s="163">
        <v>42</v>
      </c>
      <c r="L1181" s="163" t="s">
        <v>115</v>
      </c>
      <c r="M1181" s="163">
        <v>0.56830000000000003</v>
      </c>
      <c r="N1181" s="163">
        <v>4.883</v>
      </c>
      <c r="O1181" s="163">
        <v>23.868600000000001</v>
      </c>
      <c r="P1181" s="163">
        <v>205.08600000000001</v>
      </c>
      <c r="Q1181" s="163">
        <v>3.1</v>
      </c>
      <c r="R1181" s="163">
        <v>121.05</v>
      </c>
      <c r="S1181" s="163">
        <v>213</v>
      </c>
      <c r="T1181" s="163">
        <v>5084.01</v>
      </c>
      <c r="U1181" s="163"/>
      <c r="V1181" s="163"/>
    </row>
    <row r="1182" spans="1:22" s="315" customFormat="1" ht="15.75" customHeight="1" x14ac:dyDescent="0.25">
      <c r="A1182" s="259">
        <v>511</v>
      </c>
      <c r="B1182" s="249" t="s">
        <v>13</v>
      </c>
      <c r="C1182" s="260" t="s">
        <v>32</v>
      </c>
      <c r="D1182" s="299">
        <v>44903</v>
      </c>
      <c r="E1182" s="261" t="s">
        <v>23</v>
      </c>
      <c r="F1182" s="261"/>
      <c r="G1182" s="261"/>
      <c r="H1182" s="260" t="s">
        <v>3810</v>
      </c>
      <c r="I1182" s="260"/>
      <c r="J1182" s="263" t="s">
        <v>2841</v>
      </c>
      <c r="K1182" s="260">
        <v>3026.4</v>
      </c>
      <c r="L1182" s="260" t="s">
        <v>3698</v>
      </c>
      <c r="M1182" s="260">
        <v>9.5600000000000004E-2</v>
      </c>
      <c r="N1182" s="260">
        <v>0.16</v>
      </c>
      <c r="O1182" s="260">
        <v>289.32380000000001</v>
      </c>
      <c r="P1182" s="260">
        <v>484.22399999999999</v>
      </c>
      <c r="Q1182" s="260">
        <v>37.61</v>
      </c>
      <c r="R1182" s="260">
        <v>29.54</v>
      </c>
      <c r="S1182" s="260">
        <v>309</v>
      </c>
      <c r="T1182" s="260">
        <v>89401.07</v>
      </c>
      <c r="U1182" s="260"/>
      <c r="V1182" s="260"/>
    </row>
    <row r="1183" spans="1:22" s="36" customFormat="1" ht="15.75" customHeight="1" x14ac:dyDescent="0.25">
      <c r="A1183" s="292">
        <v>511</v>
      </c>
      <c r="B1183" s="293" t="s">
        <v>13</v>
      </c>
      <c r="C1183" s="294" t="s">
        <v>32</v>
      </c>
      <c r="D1183" s="295">
        <v>44903</v>
      </c>
      <c r="E1183" s="296" t="s">
        <v>23</v>
      </c>
      <c r="F1183" s="297">
        <v>68</v>
      </c>
      <c r="G1183" s="297"/>
      <c r="H1183" s="293" t="s">
        <v>3799</v>
      </c>
      <c r="I1183" s="293"/>
      <c r="J1183" s="298" t="s">
        <v>3663</v>
      </c>
      <c r="K1183" s="293">
        <v>373.7</v>
      </c>
      <c r="L1183" s="293" t="s">
        <v>118</v>
      </c>
      <c r="M1183" s="293">
        <v>0.1469</v>
      </c>
      <c r="N1183" s="293">
        <v>1.427</v>
      </c>
      <c r="O1183" s="293">
        <v>54.896500000000003</v>
      </c>
      <c r="P1183" s="293">
        <v>533.26990000000001</v>
      </c>
      <c r="Q1183" s="293">
        <v>7.14</v>
      </c>
      <c r="R1183" s="293">
        <v>45.39</v>
      </c>
      <c r="S1183" s="293">
        <v>309</v>
      </c>
      <c r="T1183" s="293">
        <v>16963.03</v>
      </c>
      <c r="U1183" s="293"/>
      <c r="V1183" s="293"/>
    </row>
    <row r="1184" spans="1:22" ht="15.75" customHeight="1" x14ac:dyDescent="0.25">
      <c r="A1184" s="171">
        <v>512</v>
      </c>
      <c r="B1184" s="163" t="s">
        <v>13</v>
      </c>
      <c r="C1184" s="163" t="s">
        <v>595</v>
      </c>
      <c r="D1184" s="172">
        <v>44903</v>
      </c>
      <c r="E1184" s="187" t="s">
        <v>23</v>
      </c>
      <c r="F1184" s="194">
        <v>30</v>
      </c>
      <c r="G1184" s="194"/>
      <c r="H1184" s="163"/>
      <c r="I1184" s="163"/>
      <c r="J1184" s="164" t="s">
        <v>630</v>
      </c>
      <c r="K1184" s="145">
        <v>195</v>
      </c>
      <c r="L1184" s="163" t="s">
        <v>56</v>
      </c>
      <c r="M1184" s="163">
        <v>0.54049999999999998</v>
      </c>
      <c r="N1184" s="163">
        <v>2.0979999999999999</v>
      </c>
      <c r="O1184" s="163">
        <v>105.39749999999999</v>
      </c>
      <c r="P1184" s="163">
        <v>409.11</v>
      </c>
      <c r="Q1184" s="163">
        <v>13.7</v>
      </c>
      <c r="R1184" s="163">
        <v>159.44999999999999</v>
      </c>
      <c r="S1184" s="163">
        <v>295</v>
      </c>
      <c r="T1184" s="163">
        <v>31092.75</v>
      </c>
      <c r="U1184" s="163"/>
      <c r="V1184" s="163"/>
    </row>
    <row r="1185" spans="1:22" s="28" customFormat="1" ht="15.75" customHeight="1" x14ac:dyDescent="0.25">
      <c r="A1185" s="283" t="s">
        <v>2384</v>
      </c>
      <c r="B1185" s="150" t="s">
        <v>13</v>
      </c>
      <c r="C1185" s="149" t="s">
        <v>30</v>
      </c>
      <c r="D1185" s="255">
        <v>44903</v>
      </c>
      <c r="E1185" s="258" t="s">
        <v>23</v>
      </c>
      <c r="F1185" s="258"/>
      <c r="G1185" s="258"/>
      <c r="H1185" s="149"/>
      <c r="I1185" s="149"/>
      <c r="J1185" s="284" t="s">
        <v>568</v>
      </c>
      <c r="K1185" s="149"/>
      <c r="L1185" s="149" t="s">
        <v>26</v>
      </c>
      <c r="M1185" s="149"/>
      <c r="N1185" s="149"/>
      <c r="O1185" s="149"/>
      <c r="P1185" s="149"/>
      <c r="Q1185" s="149"/>
      <c r="R1185" s="149"/>
      <c r="S1185" s="149"/>
      <c r="T1185" s="149"/>
      <c r="U1185" s="149"/>
      <c r="V1185" s="149"/>
    </row>
    <row r="1186" spans="1:22" s="28" customFormat="1" ht="15.75" customHeight="1" x14ac:dyDescent="0.25">
      <c r="A1186" s="283" t="s">
        <v>2384</v>
      </c>
      <c r="B1186" s="150" t="s">
        <v>13</v>
      </c>
      <c r="C1186" s="149" t="s">
        <v>30</v>
      </c>
      <c r="D1186" s="255">
        <v>44903</v>
      </c>
      <c r="E1186" s="258" t="s">
        <v>23</v>
      </c>
      <c r="F1186" s="258"/>
      <c r="G1186" s="258"/>
      <c r="H1186" s="149"/>
      <c r="I1186" s="149"/>
      <c r="J1186" s="284" t="s">
        <v>742</v>
      </c>
      <c r="K1186" s="149"/>
      <c r="L1186" s="149" t="s">
        <v>123</v>
      </c>
      <c r="M1186" s="149"/>
      <c r="N1186" s="149"/>
      <c r="O1186" s="149"/>
      <c r="P1186" s="149"/>
      <c r="Q1186" s="149"/>
      <c r="R1186" s="149"/>
      <c r="S1186" s="149"/>
      <c r="T1186" s="149"/>
      <c r="U1186" s="149"/>
      <c r="V1186" s="149"/>
    </row>
    <row r="1187" spans="1:22" s="28" customFormat="1" ht="15.75" customHeight="1" x14ac:dyDescent="0.25">
      <c r="A1187" s="283" t="s">
        <v>2384</v>
      </c>
      <c r="B1187" s="150" t="s">
        <v>13</v>
      </c>
      <c r="C1187" s="149" t="s">
        <v>30</v>
      </c>
      <c r="D1187" s="255">
        <v>44903</v>
      </c>
      <c r="E1187" s="258" t="s">
        <v>23</v>
      </c>
      <c r="F1187" s="258"/>
      <c r="G1187" s="258"/>
      <c r="H1187" s="149"/>
      <c r="I1187" s="149"/>
      <c r="J1187" s="284" t="s">
        <v>730</v>
      </c>
      <c r="K1187" s="149"/>
      <c r="L1187" s="149" t="s">
        <v>26</v>
      </c>
      <c r="M1187" s="149"/>
      <c r="N1187" s="149"/>
      <c r="O1187" s="149"/>
      <c r="P1187" s="149"/>
      <c r="Q1187" s="149"/>
      <c r="R1187" s="149"/>
      <c r="S1187" s="149"/>
      <c r="T1187" s="149"/>
      <c r="U1187" s="149"/>
      <c r="V1187" s="149"/>
    </row>
    <row r="1188" spans="1:22" s="28" customFormat="1" ht="15.75" customHeight="1" x14ac:dyDescent="0.25">
      <c r="A1188" s="283" t="s">
        <v>2384</v>
      </c>
      <c r="B1188" s="150" t="s">
        <v>13</v>
      </c>
      <c r="C1188" s="149" t="s">
        <v>30</v>
      </c>
      <c r="D1188" s="255">
        <v>44903</v>
      </c>
      <c r="E1188" s="258" t="s">
        <v>23</v>
      </c>
      <c r="F1188" s="258"/>
      <c r="G1188" s="258"/>
      <c r="H1188" s="149"/>
      <c r="I1188" s="149"/>
      <c r="J1188" s="284" t="s">
        <v>731</v>
      </c>
      <c r="K1188" s="149"/>
      <c r="L1188" s="149" t="s">
        <v>233</v>
      </c>
      <c r="M1188" s="149"/>
      <c r="N1188" s="149"/>
      <c r="O1188" s="149"/>
      <c r="P1188" s="149"/>
      <c r="Q1188" s="149"/>
      <c r="R1188" s="149"/>
      <c r="S1188" s="149"/>
      <c r="T1188" s="149"/>
      <c r="U1188" s="149"/>
      <c r="V1188" s="149"/>
    </row>
    <row r="1189" spans="1:22" s="28" customFormat="1" ht="15.75" customHeight="1" x14ac:dyDescent="0.25">
      <c r="A1189" s="283" t="s">
        <v>2384</v>
      </c>
      <c r="B1189" s="150" t="s">
        <v>13</v>
      </c>
      <c r="C1189" s="149" t="s">
        <v>30</v>
      </c>
      <c r="D1189" s="255">
        <v>44903</v>
      </c>
      <c r="E1189" s="258" t="s">
        <v>23</v>
      </c>
      <c r="F1189" s="258"/>
      <c r="G1189" s="258"/>
      <c r="H1189" s="149"/>
      <c r="I1189" s="149"/>
      <c r="J1189" s="284" t="s">
        <v>732</v>
      </c>
      <c r="K1189" s="149"/>
      <c r="L1189" s="149" t="s">
        <v>26</v>
      </c>
      <c r="M1189" s="149"/>
      <c r="N1189" s="149"/>
      <c r="O1189" s="149"/>
      <c r="P1189" s="149"/>
      <c r="Q1189" s="149"/>
      <c r="R1189" s="149"/>
      <c r="S1189" s="149"/>
      <c r="T1189" s="149"/>
      <c r="U1189" s="149"/>
      <c r="V1189" s="149"/>
    </row>
    <row r="1190" spans="1:22" s="28" customFormat="1" ht="15.75" customHeight="1" x14ac:dyDescent="0.25">
      <c r="A1190" s="283" t="s">
        <v>2384</v>
      </c>
      <c r="B1190" s="150" t="s">
        <v>13</v>
      </c>
      <c r="C1190" s="149" t="s">
        <v>30</v>
      </c>
      <c r="D1190" s="255">
        <v>44903</v>
      </c>
      <c r="E1190" s="258" t="s">
        <v>23</v>
      </c>
      <c r="F1190" s="258"/>
      <c r="G1190" s="258"/>
      <c r="H1190" s="149"/>
      <c r="I1190" s="149"/>
      <c r="J1190" s="284" t="s">
        <v>440</v>
      </c>
      <c r="K1190" s="149"/>
      <c r="L1190" s="149" t="s">
        <v>26</v>
      </c>
      <c r="M1190" s="149"/>
      <c r="N1190" s="149"/>
      <c r="O1190" s="149"/>
      <c r="P1190" s="149"/>
      <c r="Q1190" s="149"/>
      <c r="R1190" s="149"/>
      <c r="S1190" s="149"/>
      <c r="T1190" s="149"/>
      <c r="U1190" s="149"/>
      <c r="V1190" s="149"/>
    </row>
    <row r="1191" spans="1:22" s="28" customFormat="1" ht="15.75" customHeight="1" x14ac:dyDescent="0.25">
      <c r="A1191" s="283" t="s">
        <v>2384</v>
      </c>
      <c r="B1191" s="150" t="s">
        <v>13</v>
      </c>
      <c r="C1191" s="149" t="s">
        <v>30</v>
      </c>
      <c r="D1191" s="255">
        <v>44903</v>
      </c>
      <c r="E1191" s="258" t="s">
        <v>23</v>
      </c>
      <c r="F1191" s="258"/>
      <c r="G1191" s="258"/>
      <c r="H1191" s="149"/>
      <c r="I1191" s="149"/>
      <c r="J1191" s="284" t="s">
        <v>743</v>
      </c>
      <c r="K1191" s="149"/>
      <c r="L1191" s="149" t="s">
        <v>108</v>
      </c>
      <c r="M1191" s="149"/>
      <c r="N1191" s="149"/>
      <c r="O1191" s="149"/>
      <c r="P1191" s="149"/>
      <c r="Q1191" s="149"/>
      <c r="R1191" s="149"/>
      <c r="S1191" s="149"/>
      <c r="T1191" s="149"/>
      <c r="U1191" s="149"/>
      <c r="V1191" s="149"/>
    </row>
    <row r="1192" spans="1:22" s="28" customFormat="1" ht="15.75" customHeight="1" x14ac:dyDescent="0.25">
      <c r="A1192" s="283" t="s">
        <v>2384</v>
      </c>
      <c r="B1192" s="150" t="s">
        <v>13</v>
      </c>
      <c r="C1192" s="149" t="s">
        <v>30</v>
      </c>
      <c r="D1192" s="255">
        <v>44903</v>
      </c>
      <c r="E1192" s="258" t="s">
        <v>23</v>
      </c>
      <c r="F1192" s="258"/>
      <c r="G1192" s="258"/>
      <c r="H1192" s="149"/>
      <c r="I1192" s="149"/>
      <c r="J1192" s="284" t="s">
        <v>744</v>
      </c>
      <c r="K1192" s="149"/>
      <c r="L1192" s="149" t="s">
        <v>884</v>
      </c>
      <c r="M1192" s="149"/>
      <c r="N1192" s="149"/>
      <c r="O1192" s="149"/>
      <c r="P1192" s="149"/>
      <c r="Q1192" s="149"/>
      <c r="R1192" s="149"/>
      <c r="S1192" s="149"/>
      <c r="T1192" s="149"/>
      <c r="U1192" s="149"/>
      <c r="V1192" s="149"/>
    </row>
    <row r="1193" spans="1:22" s="28" customFormat="1" ht="15.75" customHeight="1" x14ac:dyDescent="0.25">
      <c r="A1193" s="283" t="s">
        <v>2384</v>
      </c>
      <c r="B1193" s="150" t="s">
        <v>13</v>
      </c>
      <c r="C1193" s="149" t="s">
        <v>30</v>
      </c>
      <c r="D1193" s="255">
        <v>44903</v>
      </c>
      <c r="E1193" s="258" t="s">
        <v>23</v>
      </c>
      <c r="F1193" s="258"/>
      <c r="G1193" s="258"/>
      <c r="H1193" s="149"/>
      <c r="I1193" s="149"/>
      <c r="J1193" s="284" t="s">
        <v>733</v>
      </c>
      <c r="K1193" s="149"/>
      <c r="L1193" s="149" t="s">
        <v>123</v>
      </c>
      <c r="M1193" s="149"/>
      <c r="N1193" s="149"/>
      <c r="O1193" s="149"/>
      <c r="P1193" s="149"/>
      <c r="Q1193" s="149"/>
      <c r="R1193" s="149"/>
      <c r="S1193" s="149"/>
      <c r="T1193" s="149"/>
      <c r="U1193" s="149"/>
      <c r="V1193" s="149"/>
    </row>
    <row r="1194" spans="1:22" s="28" customFormat="1" ht="15.75" customHeight="1" x14ac:dyDescent="0.25">
      <c r="A1194" s="283" t="s">
        <v>2384</v>
      </c>
      <c r="B1194" s="150" t="s">
        <v>13</v>
      </c>
      <c r="C1194" s="149" t="s">
        <v>30</v>
      </c>
      <c r="D1194" s="255">
        <v>44903</v>
      </c>
      <c r="E1194" s="258" t="s">
        <v>23</v>
      </c>
      <c r="F1194" s="258"/>
      <c r="G1194" s="258"/>
      <c r="H1194" s="149"/>
      <c r="I1194" s="149"/>
      <c r="J1194" s="284" t="s">
        <v>734</v>
      </c>
      <c r="K1194" s="149"/>
      <c r="L1194" s="149" t="s">
        <v>26</v>
      </c>
      <c r="M1194" s="149"/>
      <c r="N1194" s="149"/>
      <c r="O1194" s="149"/>
      <c r="P1194" s="149"/>
      <c r="Q1194" s="149"/>
      <c r="R1194" s="149"/>
      <c r="S1194" s="149"/>
      <c r="T1194" s="149"/>
      <c r="U1194" s="149"/>
      <c r="V1194" s="149"/>
    </row>
    <row r="1195" spans="1:22" s="28" customFormat="1" ht="15.75" customHeight="1" x14ac:dyDescent="0.25">
      <c r="A1195" s="283" t="s">
        <v>2384</v>
      </c>
      <c r="B1195" s="150" t="s">
        <v>13</v>
      </c>
      <c r="C1195" s="149" t="s">
        <v>30</v>
      </c>
      <c r="D1195" s="255">
        <v>44903</v>
      </c>
      <c r="E1195" s="258" t="s">
        <v>23</v>
      </c>
      <c r="F1195" s="258"/>
      <c r="G1195" s="258"/>
      <c r="H1195" s="149"/>
      <c r="I1195" s="149"/>
      <c r="J1195" s="284" t="s">
        <v>735</v>
      </c>
      <c r="K1195" s="149"/>
      <c r="L1195" s="149" t="s">
        <v>26</v>
      </c>
      <c r="M1195" s="149"/>
      <c r="N1195" s="149"/>
      <c r="O1195" s="149"/>
      <c r="P1195" s="149"/>
      <c r="Q1195" s="149"/>
      <c r="R1195" s="149"/>
      <c r="S1195" s="149"/>
      <c r="T1195" s="149"/>
      <c r="U1195" s="149"/>
      <c r="V1195" s="149"/>
    </row>
    <row r="1196" spans="1:22" s="28" customFormat="1" ht="15.75" customHeight="1" x14ac:dyDescent="0.25">
      <c r="A1196" s="283" t="s">
        <v>2384</v>
      </c>
      <c r="B1196" s="150" t="s">
        <v>13</v>
      </c>
      <c r="C1196" s="149" t="s">
        <v>30</v>
      </c>
      <c r="D1196" s="255">
        <v>44903</v>
      </c>
      <c r="E1196" s="258" t="s">
        <v>23</v>
      </c>
      <c r="F1196" s="258"/>
      <c r="G1196" s="258"/>
      <c r="H1196" s="149"/>
      <c r="I1196" s="149"/>
      <c r="J1196" s="284" t="s">
        <v>736</v>
      </c>
      <c r="K1196" s="149"/>
      <c r="L1196" s="149" t="s">
        <v>26</v>
      </c>
      <c r="M1196" s="149"/>
      <c r="N1196" s="149"/>
      <c r="O1196" s="149"/>
      <c r="P1196" s="149"/>
      <c r="Q1196" s="149"/>
      <c r="R1196" s="149"/>
      <c r="S1196" s="149"/>
      <c r="T1196" s="149"/>
      <c r="U1196" s="149"/>
      <c r="V1196" s="149"/>
    </row>
    <row r="1197" spans="1:22" s="28" customFormat="1" ht="15.75" customHeight="1" x14ac:dyDescent="0.25">
      <c r="A1197" s="283" t="s">
        <v>2384</v>
      </c>
      <c r="B1197" s="150" t="s">
        <v>13</v>
      </c>
      <c r="C1197" s="149" t="s">
        <v>30</v>
      </c>
      <c r="D1197" s="255">
        <v>44903</v>
      </c>
      <c r="E1197" s="258" t="s">
        <v>23</v>
      </c>
      <c r="F1197" s="258"/>
      <c r="G1197" s="258"/>
      <c r="H1197" s="149"/>
      <c r="I1197" s="149"/>
      <c r="J1197" s="284" t="s">
        <v>737</v>
      </c>
      <c r="K1197" s="149"/>
      <c r="L1197" s="149" t="s">
        <v>108</v>
      </c>
      <c r="M1197" s="149"/>
      <c r="N1197" s="149"/>
      <c r="O1197" s="149"/>
      <c r="P1197" s="149"/>
      <c r="Q1197" s="149"/>
      <c r="R1197" s="149"/>
      <c r="S1197" s="149"/>
      <c r="T1197" s="149"/>
      <c r="U1197" s="149"/>
      <c r="V1197" s="149"/>
    </row>
    <row r="1198" spans="1:22" s="28" customFormat="1" ht="15.75" customHeight="1" x14ac:dyDescent="0.25">
      <c r="A1198" s="283" t="s">
        <v>2384</v>
      </c>
      <c r="B1198" s="150" t="s">
        <v>13</v>
      </c>
      <c r="C1198" s="149" t="s">
        <v>30</v>
      </c>
      <c r="D1198" s="255">
        <v>44903</v>
      </c>
      <c r="E1198" s="258" t="s">
        <v>23</v>
      </c>
      <c r="F1198" s="258"/>
      <c r="G1198" s="258"/>
      <c r="H1198" s="149"/>
      <c r="I1198" s="149"/>
      <c r="J1198" s="284" t="s">
        <v>738</v>
      </c>
      <c r="K1198" s="149"/>
      <c r="L1198" s="149" t="s">
        <v>26</v>
      </c>
      <c r="M1198" s="149"/>
      <c r="N1198" s="149"/>
      <c r="O1198" s="149"/>
      <c r="P1198" s="149"/>
      <c r="Q1198" s="149"/>
      <c r="R1198" s="149"/>
      <c r="S1198" s="149"/>
      <c r="T1198" s="149"/>
      <c r="U1198" s="149"/>
      <c r="V1198" s="149"/>
    </row>
    <row r="1199" spans="1:22" s="28" customFormat="1" ht="15.75" customHeight="1" x14ac:dyDescent="0.25">
      <c r="A1199" s="283" t="s">
        <v>2384</v>
      </c>
      <c r="B1199" s="150" t="s">
        <v>13</v>
      </c>
      <c r="C1199" s="149" t="s">
        <v>30</v>
      </c>
      <c r="D1199" s="255">
        <v>44903</v>
      </c>
      <c r="E1199" s="258" t="s">
        <v>23</v>
      </c>
      <c r="F1199" s="258"/>
      <c r="G1199" s="258"/>
      <c r="H1199" s="149"/>
      <c r="I1199" s="149"/>
      <c r="J1199" s="284" t="s">
        <v>282</v>
      </c>
      <c r="K1199" s="149"/>
      <c r="L1199" s="149" t="s">
        <v>26</v>
      </c>
      <c r="M1199" s="149"/>
      <c r="N1199" s="149"/>
      <c r="O1199" s="149"/>
      <c r="P1199" s="149"/>
      <c r="Q1199" s="149"/>
      <c r="R1199" s="149"/>
      <c r="S1199" s="149"/>
      <c r="T1199" s="149"/>
      <c r="U1199" s="149"/>
      <c r="V1199" s="149"/>
    </row>
    <row r="1200" spans="1:22" s="28" customFormat="1" ht="15.75" customHeight="1" x14ac:dyDescent="0.25">
      <c r="A1200" s="283" t="s">
        <v>2384</v>
      </c>
      <c r="B1200" s="150" t="s">
        <v>13</v>
      </c>
      <c r="C1200" s="149" t="s">
        <v>30</v>
      </c>
      <c r="D1200" s="255">
        <v>44903</v>
      </c>
      <c r="E1200" s="258" t="s">
        <v>23</v>
      </c>
      <c r="F1200" s="258"/>
      <c r="G1200" s="258"/>
      <c r="H1200" s="149"/>
      <c r="I1200" s="149"/>
      <c r="J1200" s="284" t="s">
        <v>739</v>
      </c>
      <c r="K1200" s="149"/>
      <c r="L1200" s="149" t="s">
        <v>108</v>
      </c>
      <c r="M1200" s="149"/>
      <c r="N1200" s="149"/>
      <c r="O1200" s="149"/>
      <c r="P1200" s="149"/>
      <c r="Q1200" s="149"/>
      <c r="R1200" s="149"/>
      <c r="S1200" s="149"/>
      <c r="T1200" s="149"/>
      <c r="U1200" s="149"/>
      <c r="V1200" s="149"/>
    </row>
    <row r="1201" spans="1:22" s="28" customFormat="1" ht="15.75" customHeight="1" x14ac:dyDescent="0.25">
      <c r="A1201" s="283" t="s">
        <v>2384</v>
      </c>
      <c r="B1201" s="150" t="s">
        <v>13</v>
      </c>
      <c r="C1201" s="149" t="s">
        <v>30</v>
      </c>
      <c r="D1201" s="255">
        <v>44903</v>
      </c>
      <c r="E1201" s="258" t="s">
        <v>23</v>
      </c>
      <c r="F1201" s="258"/>
      <c r="G1201" s="258"/>
      <c r="H1201" s="149"/>
      <c r="I1201" s="149"/>
      <c r="J1201" s="284" t="s">
        <v>740</v>
      </c>
      <c r="K1201" s="149"/>
      <c r="L1201" s="149" t="s">
        <v>90</v>
      </c>
      <c r="M1201" s="149"/>
      <c r="N1201" s="149"/>
      <c r="O1201" s="149"/>
      <c r="P1201" s="149"/>
      <c r="Q1201" s="149"/>
      <c r="R1201" s="149"/>
      <c r="S1201" s="149"/>
      <c r="T1201" s="149"/>
      <c r="U1201" s="149"/>
      <c r="V1201" s="149"/>
    </row>
    <row r="1202" spans="1:22" s="28" customFormat="1" ht="15.75" customHeight="1" x14ac:dyDescent="0.25">
      <c r="A1202" s="283" t="s">
        <v>2384</v>
      </c>
      <c r="B1202" s="150" t="s">
        <v>13</v>
      </c>
      <c r="C1202" s="149" t="s">
        <v>30</v>
      </c>
      <c r="D1202" s="255">
        <v>44903</v>
      </c>
      <c r="E1202" s="258" t="s">
        <v>23</v>
      </c>
      <c r="F1202" s="258"/>
      <c r="G1202" s="258"/>
      <c r="H1202" s="149"/>
      <c r="I1202" s="149"/>
      <c r="J1202" s="284" t="s">
        <v>741</v>
      </c>
      <c r="K1202" s="149"/>
      <c r="L1202" s="149" t="s">
        <v>357</v>
      </c>
      <c r="M1202" s="149"/>
      <c r="N1202" s="149"/>
      <c r="O1202" s="149"/>
      <c r="P1202" s="149"/>
      <c r="Q1202" s="149"/>
      <c r="R1202" s="149"/>
      <c r="S1202" s="149"/>
      <c r="T1202" s="149"/>
      <c r="U1202" s="149"/>
      <c r="V1202" s="149"/>
    </row>
    <row r="1203" spans="1:22" s="28" customFormat="1" ht="15.75" customHeight="1" x14ac:dyDescent="0.25">
      <c r="A1203" s="283" t="s">
        <v>2384</v>
      </c>
      <c r="B1203" s="150" t="s">
        <v>13</v>
      </c>
      <c r="C1203" s="149" t="s">
        <v>30</v>
      </c>
      <c r="D1203" s="255">
        <v>44903</v>
      </c>
      <c r="E1203" s="258" t="s">
        <v>23</v>
      </c>
      <c r="F1203" s="258"/>
      <c r="G1203" s="258"/>
      <c r="H1203" s="150"/>
      <c r="I1203" s="150"/>
      <c r="J1203" s="257" t="s">
        <v>745</v>
      </c>
      <c r="K1203" s="150"/>
      <c r="L1203" s="150" t="s">
        <v>3133</v>
      </c>
      <c r="M1203" s="150"/>
      <c r="N1203" s="150"/>
      <c r="O1203" s="150"/>
      <c r="P1203" s="150"/>
      <c r="Q1203" s="150"/>
      <c r="R1203" s="150"/>
      <c r="S1203" s="150"/>
      <c r="T1203" s="150"/>
      <c r="U1203" s="150"/>
      <c r="V1203" s="150"/>
    </row>
    <row r="1204" spans="1:22" s="28" customFormat="1" ht="15.75" customHeight="1" x14ac:dyDescent="0.25">
      <c r="A1204" s="283" t="s">
        <v>2388</v>
      </c>
      <c r="B1204" s="150" t="s">
        <v>13</v>
      </c>
      <c r="C1204" s="149" t="s">
        <v>30</v>
      </c>
      <c r="D1204" s="255">
        <v>44903</v>
      </c>
      <c r="E1204" s="258" t="s">
        <v>23</v>
      </c>
      <c r="F1204" s="258"/>
      <c r="G1204" s="258"/>
      <c r="H1204" s="149"/>
      <c r="I1204" s="149"/>
      <c r="J1204" s="284" t="s">
        <v>214</v>
      </c>
      <c r="K1204" s="149"/>
      <c r="L1204" s="149" t="s">
        <v>123</v>
      </c>
      <c r="M1204" s="149"/>
      <c r="N1204" s="149"/>
      <c r="O1204" s="149"/>
      <c r="P1204" s="149"/>
      <c r="Q1204" s="149"/>
      <c r="R1204" s="149"/>
      <c r="S1204" s="149"/>
      <c r="T1204" s="149"/>
      <c r="U1204" s="149"/>
      <c r="V1204" s="149"/>
    </row>
    <row r="1205" spans="1:22" s="28" customFormat="1" ht="15.75" customHeight="1" x14ac:dyDescent="0.25">
      <c r="A1205" s="283" t="s">
        <v>2388</v>
      </c>
      <c r="B1205" s="150" t="s">
        <v>13</v>
      </c>
      <c r="C1205" s="149" t="s">
        <v>30</v>
      </c>
      <c r="D1205" s="255">
        <v>44903</v>
      </c>
      <c r="E1205" s="258" t="s">
        <v>23</v>
      </c>
      <c r="F1205" s="258"/>
      <c r="G1205" s="258"/>
      <c r="H1205" s="149"/>
      <c r="I1205" s="149"/>
      <c r="J1205" s="284" t="s">
        <v>215</v>
      </c>
      <c r="K1205" s="149"/>
      <c r="L1205" s="149" t="s">
        <v>123</v>
      </c>
      <c r="M1205" s="149"/>
      <c r="N1205" s="149"/>
      <c r="O1205" s="149"/>
      <c r="P1205" s="149"/>
      <c r="Q1205" s="149"/>
      <c r="R1205" s="149"/>
      <c r="S1205" s="149"/>
      <c r="T1205" s="149"/>
      <c r="U1205" s="149"/>
      <c r="V1205" s="149"/>
    </row>
    <row r="1206" spans="1:22" s="28" customFormat="1" ht="15.75" customHeight="1" x14ac:dyDescent="0.25">
      <c r="A1206" s="283" t="s">
        <v>2388</v>
      </c>
      <c r="B1206" s="150" t="s">
        <v>13</v>
      </c>
      <c r="C1206" s="149" t="s">
        <v>30</v>
      </c>
      <c r="D1206" s="255">
        <v>44903</v>
      </c>
      <c r="E1206" s="258" t="s">
        <v>23</v>
      </c>
      <c r="F1206" s="258"/>
      <c r="G1206" s="258"/>
      <c r="H1206" s="149"/>
      <c r="I1206" s="149"/>
      <c r="J1206" s="284" t="s">
        <v>216</v>
      </c>
      <c r="K1206" s="149"/>
      <c r="L1206" s="149" t="s">
        <v>123</v>
      </c>
      <c r="M1206" s="149"/>
      <c r="N1206" s="149"/>
      <c r="O1206" s="149"/>
      <c r="P1206" s="149"/>
      <c r="Q1206" s="149"/>
      <c r="R1206" s="149"/>
      <c r="S1206" s="149"/>
      <c r="T1206" s="149"/>
      <c r="U1206" s="149"/>
      <c r="V1206" s="149"/>
    </row>
    <row r="1207" spans="1:22" s="28" customFormat="1" ht="15.75" customHeight="1" x14ac:dyDescent="0.25">
      <c r="A1207" s="283" t="s">
        <v>2388</v>
      </c>
      <c r="B1207" s="150" t="s">
        <v>13</v>
      </c>
      <c r="C1207" s="149" t="s">
        <v>30</v>
      </c>
      <c r="D1207" s="255">
        <v>44903</v>
      </c>
      <c r="E1207" s="258" t="s">
        <v>23</v>
      </c>
      <c r="F1207" s="258"/>
      <c r="G1207" s="258"/>
      <c r="H1207" s="149"/>
      <c r="I1207" s="149"/>
      <c r="J1207" s="284" t="s">
        <v>219</v>
      </c>
      <c r="K1207" s="149"/>
      <c r="L1207" s="149" t="s">
        <v>123</v>
      </c>
      <c r="M1207" s="149"/>
      <c r="N1207" s="149"/>
      <c r="O1207" s="149"/>
      <c r="P1207" s="149"/>
      <c r="Q1207" s="149"/>
      <c r="R1207" s="149"/>
      <c r="S1207" s="149"/>
      <c r="T1207" s="149"/>
      <c r="U1207" s="149"/>
      <c r="V1207" s="149"/>
    </row>
    <row r="1208" spans="1:22" s="28" customFormat="1" ht="15.75" customHeight="1" x14ac:dyDescent="0.25">
      <c r="A1208" s="283" t="s">
        <v>2388</v>
      </c>
      <c r="B1208" s="150" t="s">
        <v>13</v>
      </c>
      <c r="C1208" s="149" t="s">
        <v>30</v>
      </c>
      <c r="D1208" s="255">
        <v>44903</v>
      </c>
      <c r="E1208" s="258" t="s">
        <v>23</v>
      </c>
      <c r="F1208" s="258"/>
      <c r="G1208" s="258"/>
      <c r="H1208" s="149"/>
      <c r="I1208" s="149"/>
      <c r="J1208" s="284" t="s">
        <v>220</v>
      </c>
      <c r="K1208" s="149"/>
      <c r="L1208" s="149" t="s">
        <v>123</v>
      </c>
      <c r="M1208" s="149"/>
      <c r="N1208" s="149"/>
      <c r="O1208" s="149"/>
      <c r="P1208" s="149"/>
      <c r="Q1208" s="149"/>
      <c r="R1208" s="149"/>
      <c r="S1208" s="149"/>
      <c r="T1208" s="149"/>
      <c r="U1208" s="149"/>
      <c r="V1208" s="149"/>
    </row>
    <row r="1209" spans="1:22" ht="15.75" customHeight="1" x14ac:dyDescent="0.25">
      <c r="A1209" s="167" t="s">
        <v>2388</v>
      </c>
      <c r="B1209" s="163" t="s">
        <v>13</v>
      </c>
      <c r="C1209" s="162" t="s">
        <v>30</v>
      </c>
      <c r="D1209" s="172">
        <v>44903</v>
      </c>
      <c r="E1209" s="187" t="s">
        <v>23</v>
      </c>
      <c r="F1209" s="218"/>
      <c r="G1209" s="218"/>
      <c r="H1209" s="163"/>
      <c r="I1209" s="163"/>
      <c r="J1209" s="164" t="s">
        <v>2728</v>
      </c>
      <c r="K1209" s="163"/>
      <c r="L1209" s="163" t="s">
        <v>3699</v>
      </c>
      <c r="M1209" s="163"/>
      <c r="N1209" s="163"/>
      <c r="O1209" s="163"/>
      <c r="P1209" s="163"/>
      <c r="Q1209" s="163"/>
      <c r="R1209" s="163"/>
      <c r="S1209" s="163"/>
      <c r="T1209" s="163"/>
      <c r="U1209" s="163"/>
      <c r="V1209" s="163"/>
    </row>
    <row r="1210" spans="1:22" s="28" customFormat="1" ht="15.75" customHeight="1" x14ac:dyDescent="0.25">
      <c r="A1210" s="283" t="s">
        <v>3700</v>
      </c>
      <c r="B1210" s="150" t="s">
        <v>13</v>
      </c>
      <c r="C1210" s="149" t="s">
        <v>30</v>
      </c>
      <c r="D1210" s="255">
        <v>44903</v>
      </c>
      <c r="E1210" s="258" t="s">
        <v>23</v>
      </c>
      <c r="F1210" s="258"/>
      <c r="G1210" s="258"/>
      <c r="H1210" s="149"/>
      <c r="I1210" s="149"/>
      <c r="J1210" s="284" t="s">
        <v>92</v>
      </c>
      <c r="K1210" s="149"/>
      <c r="L1210" s="149" t="s">
        <v>396</v>
      </c>
      <c r="M1210" s="149"/>
      <c r="N1210" s="149"/>
      <c r="O1210" s="149"/>
      <c r="P1210" s="149"/>
      <c r="Q1210" s="149"/>
      <c r="R1210" s="149"/>
      <c r="S1210" s="149"/>
      <c r="T1210" s="149"/>
      <c r="U1210" s="149"/>
      <c r="V1210" s="149"/>
    </row>
    <row r="1211" spans="1:22" s="28" customFormat="1" ht="15.75" customHeight="1" x14ac:dyDescent="0.25">
      <c r="A1211" s="283" t="s">
        <v>3700</v>
      </c>
      <c r="B1211" s="150" t="s">
        <v>13</v>
      </c>
      <c r="C1211" s="149" t="s">
        <v>30</v>
      </c>
      <c r="D1211" s="255">
        <v>44903</v>
      </c>
      <c r="E1211" s="258" t="s">
        <v>23</v>
      </c>
      <c r="F1211" s="258"/>
      <c r="G1211" s="258"/>
      <c r="H1211" s="149"/>
      <c r="I1211" s="149"/>
      <c r="J1211" s="284" t="s">
        <v>95</v>
      </c>
      <c r="K1211" s="149"/>
      <c r="L1211" s="149" t="s">
        <v>96</v>
      </c>
      <c r="M1211" s="149"/>
      <c r="N1211" s="149"/>
      <c r="O1211" s="149"/>
      <c r="P1211" s="149"/>
      <c r="Q1211" s="149"/>
      <c r="R1211" s="149"/>
      <c r="S1211" s="149"/>
      <c r="T1211" s="149"/>
      <c r="U1211" s="149"/>
      <c r="V1211" s="149"/>
    </row>
    <row r="1212" spans="1:22" s="28" customFormat="1" ht="15.75" customHeight="1" x14ac:dyDescent="0.25">
      <c r="A1212" s="283" t="s">
        <v>3700</v>
      </c>
      <c r="B1212" s="150" t="s">
        <v>13</v>
      </c>
      <c r="C1212" s="149" t="s">
        <v>30</v>
      </c>
      <c r="D1212" s="255">
        <v>44903</v>
      </c>
      <c r="E1212" s="258" t="s">
        <v>23</v>
      </c>
      <c r="F1212" s="258"/>
      <c r="G1212" s="258"/>
      <c r="H1212" s="149"/>
      <c r="I1212" s="149"/>
      <c r="J1212" s="284" t="s">
        <v>99</v>
      </c>
      <c r="K1212" s="149"/>
      <c r="L1212" s="149" t="s">
        <v>64</v>
      </c>
      <c r="M1212" s="149"/>
      <c r="N1212" s="149"/>
      <c r="O1212" s="149"/>
      <c r="P1212" s="149"/>
      <c r="Q1212" s="149"/>
      <c r="R1212" s="149"/>
      <c r="S1212" s="149"/>
      <c r="T1212" s="149"/>
      <c r="U1212" s="149"/>
      <c r="V1212" s="149"/>
    </row>
    <row r="1213" spans="1:22" s="28" customFormat="1" ht="15.75" customHeight="1" x14ac:dyDescent="0.25">
      <c r="A1213" s="283" t="s">
        <v>3700</v>
      </c>
      <c r="B1213" s="150" t="s">
        <v>13</v>
      </c>
      <c r="C1213" s="149" t="s">
        <v>30</v>
      </c>
      <c r="D1213" s="255">
        <v>44903</v>
      </c>
      <c r="E1213" s="258" t="s">
        <v>23</v>
      </c>
      <c r="F1213" s="258"/>
      <c r="G1213" s="258"/>
      <c r="H1213" s="149"/>
      <c r="I1213" s="149"/>
      <c r="J1213" s="284" t="s">
        <v>94</v>
      </c>
      <c r="K1213" s="149"/>
      <c r="L1213" s="149" t="s">
        <v>396</v>
      </c>
      <c r="M1213" s="149"/>
      <c r="N1213" s="149"/>
      <c r="O1213" s="149"/>
      <c r="P1213" s="149"/>
      <c r="Q1213" s="149"/>
      <c r="R1213" s="149"/>
      <c r="S1213" s="149"/>
      <c r="T1213" s="149"/>
      <c r="U1213" s="149"/>
      <c r="V1213" s="149"/>
    </row>
    <row r="1214" spans="1:22" s="28" customFormat="1" ht="15.75" customHeight="1" x14ac:dyDescent="0.25">
      <c r="A1214" s="283" t="s">
        <v>3700</v>
      </c>
      <c r="B1214" s="150" t="s">
        <v>13</v>
      </c>
      <c r="C1214" s="149" t="s">
        <v>30</v>
      </c>
      <c r="D1214" s="255">
        <v>44903</v>
      </c>
      <c r="E1214" s="258" t="s">
        <v>23</v>
      </c>
      <c r="F1214" s="258"/>
      <c r="G1214" s="258"/>
      <c r="H1214" s="149"/>
      <c r="I1214" s="149"/>
      <c r="J1214" s="284" t="s">
        <v>98</v>
      </c>
      <c r="K1214" s="149"/>
      <c r="L1214" s="149" t="s">
        <v>96</v>
      </c>
      <c r="M1214" s="149"/>
      <c r="N1214" s="149"/>
      <c r="O1214" s="149"/>
      <c r="P1214" s="149"/>
      <c r="Q1214" s="149"/>
      <c r="R1214" s="149"/>
      <c r="S1214" s="149"/>
      <c r="T1214" s="149"/>
      <c r="U1214" s="149"/>
      <c r="V1214" s="149"/>
    </row>
    <row r="1215" spans="1:22" s="28" customFormat="1" ht="15.75" customHeight="1" x14ac:dyDescent="0.25">
      <c r="A1215" s="283" t="s">
        <v>3700</v>
      </c>
      <c r="B1215" s="150" t="s">
        <v>13</v>
      </c>
      <c r="C1215" s="149" t="s">
        <v>30</v>
      </c>
      <c r="D1215" s="255">
        <v>44903</v>
      </c>
      <c r="E1215" s="258" t="s">
        <v>23</v>
      </c>
      <c r="F1215" s="258"/>
      <c r="G1215" s="258"/>
      <c r="H1215" s="150"/>
      <c r="I1215" s="150"/>
      <c r="J1215" s="257" t="s">
        <v>102</v>
      </c>
      <c r="K1215" s="150"/>
      <c r="L1215" s="150" t="s">
        <v>64</v>
      </c>
      <c r="M1215" s="150"/>
      <c r="N1215" s="150"/>
      <c r="O1215" s="150"/>
      <c r="P1215" s="150"/>
      <c r="Q1215" s="150"/>
      <c r="R1215" s="150"/>
      <c r="S1215" s="150"/>
      <c r="T1215" s="150"/>
      <c r="U1215" s="150"/>
      <c r="V1215" s="150"/>
    </row>
    <row r="1216" spans="1:22" s="14" customFormat="1" ht="15.75" customHeight="1" x14ac:dyDescent="0.25">
      <c r="A1216" s="147" t="s">
        <v>3701</v>
      </c>
      <c r="B1216" s="145" t="s">
        <v>13</v>
      </c>
      <c r="C1216" s="145" t="s">
        <v>2399</v>
      </c>
      <c r="D1216" s="148">
        <v>44903</v>
      </c>
      <c r="E1216" s="241" t="s">
        <v>23</v>
      </c>
      <c r="F1216" s="241"/>
      <c r="G1216" s="241"/>
      <c r="H1216" s="145" t="s">
        <v>2078</v>
      </c>
      <c r="I1216" s="145"/>
      <c r="J1216" s="146" t="s">
        <v>3569</v>
      </c>
      <c r="K1216" s="145"/>
      <c r="L1216" s="145">
        <v>410</v>
      </c>
      <c r="M1216" s="145"/>
      <c r="N1216" s="145"/>
      <c r="O1216" s="145"/>
      <c r="P1216" s="145"/>
      <c r="Q1216" s="145"/>
      <c r="R1216" s="145"/>
      <c r="S1216" s="145"/>
      <c r="T1216" s="145">
        <v>41055</v>
      </c>
      <c r="U1216" s="145"/>
      <c r="V1216" s="145"/>
    </row>
    <row r="1217" spans="1:22" ht="15.75" customHeight="1" x14ac:dyDescent="0.25">
      <c r="A1217" s="171" t="s">
        <v>3702</v>
      </c>
      <c r="B1217" s="163" t="s">
        <v>13</v>
      </c>
      <c r="C1217" s="163" t="s">
        <v>799</v>
      </c>
      <c r="D1217" s="172">
        <v>44903</v>
      </c>
      <c r="E1217" s="187" t="s">
        <v>23</v>
      </c>
      <c r="F1217" s="187"/>
      <c r="G1217" s="187"/>
      <c r="H1217" s="163" t="s">
        <v>2078</v>
      </c>
      <c r="I1217" s="163"/>
      <c r="J1217" s="164" t="s">
        <v>2165</v>
      </c>
      <c r="K1217" s="163"/>
      <c r="L1217" s="163">
        <v>338</v>
      </c>
      <c r="M1217" s="163"/>
      <c r="N1217" s="163"/>
      <c r="O1217" s="163"/>
      <c r="P1217" s="163"/>
      <c r="Q1217" s="163"/>
      <c r="R1217" s="163"/>
      <c r="S1217" s="163"/>
      <c r="T1217" s="163"/>
      <c r="U1217" s="163"/>
      <c r="V1217" s="163"/>
    </row>
    <row r="1218" spans="1:22" ht="15.75" customHeight="1" x14ac:dyDescent="0.25">
      <c r="A1218" s="171" t="s">
        <v>3703</v>
      </c>
      <c r="B1218" s="163" t="s">
        <v>13</v>
      </c>
      <c r="C1218" s="163" t="s">
        <v>799</v>
      </c>
      <c r="D1218" s="172">
        <v>44903</v>
      </c>
      <c r="E1218" s="187" t="s">
        <v>23</v>
      </c>
      <c r="F1218" s="187"/>
      <c r="G1218" s="187"/>
      <c r="H1218" s="163" t="s">
        <v>2078</v>
      </c>
      <c r="I1218" s="163"/>
      <c r="J1218" s="164" t="s">
        <v>2165</v>
      </c>
      <c r="K1218" s="163"/>
      <c r="L1218" s="163">
        <v>350</v>
      </c>
      <c r="M1218" s="163"/>
      <c r="N1218" s="163"/>
      <c r="O1218" s="163"/>
      <c r="P1218" s="163"/>
      <c r="Q1218" s="163"/>
      <c r="R1218" s="163"/>
      <c r="S1218" s="163"/>
      <c r="T1218" s="163"/>
      <c r="U1218" s="163"/>
      <c r="V1218" s="163"/>
    </row>
    <row r="1219" spans="1:22" s="86" customFormat="1" ht="15.75" customHeight="1" x14ac:dyDescent="0.25">
      <c r="A1219" s="178">
        <v>513</v>
      </c>
      <c r="B1219" s="179" t="s">
        <v>13</v>
      </c>
      <c r="C1219" s="179" t="s">
        <v>156</v>
      </c>
      <c r="D1219" s="180">
        <v>44907</v>
      </c>
      <c r="E1219" s="195" t="s">
        <v>23</v>
      </c>
      <c r="F1219" s="195"/>
      <c r="G1219" s="195">
        <v>129</v>
      </c>
      <c r="H1219" s="179" t="s">
        <v>3712</v>
      </c>
      <c r="I1219" s="179"/>
      <c r="J1219" s="181" t="s">
        <v>3704</v>
      </c>
      <c r="K1219" s="179">
        <v>393</v>
      </c>
      <c r="L1219" s="179" t="s">
        <v>1144</v>
      </c>
      <c r="M1219" s="179">
        <v>0.33050000000000002</v>
      </c>
      <c r="N1219" s="179">
        <v>1.278</v>
      </c>
      <c r="O1219" s="179">
        <v>129.88650000000001</v>
      </c>
      <c r="P1219" s="179">
        <v>502.25400000000002</v>
      </c>
      <c r="Q1219" s="179">
        <v>16.89</v>
      </c>
      <c r="R1219" s="179">
        <v>103.45</v>
      </c>
      <c r="S1219" s="179">
        <v>313</v>
      </c>
      <c r="T1219" s="179">
        <v>40654.47</v>
      </c>
      <c r="U1219" s="179"/>
      <c r="V1219" s="179"/>
    </row>
    <row r="1220" spans="1:22" s="28" customFormat="1" ht="15.75" customHeight="1" x14ac:dyDescent="0.25">
      <c r="A1220" s="254" t="s">
        <v>2420</v>
      </c>
      <c r="B1220" s="150" t="s">
        <v>13</v>
      </c>
      <c r="C1220" s="150" t="s">
        <v>37</v>
      </c>
      <c r="D1220" s="255">
        <v>44907</v>
      </c>
      <c r="E1220" s="256" t="s">
        <v>23</v>
      </c>
      <c r="F1220" s="256"/>
      <c r="G1220" s="256"/>
      <c r="H1220" s="150" t="s">
        <v>3408</v>
      </c>
      <c r="I1220" s="150"/>
      <c r="J1220" s="257" t="s">
        <v>3426</v>
      </c>
      <c r="K1220" s="150"/>
      <c r="L1220" s="150">
        <v>36</v>
      </c>
      <c r="M1220" s="150"/>
      <c r="N1220" s="150"/>
      <c r="O1220" s="150"/>
      <c r="P1220" s="150"/>
      <c r="Q1220" s="150"/>
      <c r="R1220" s="150"/>
      <c r="S1220" s="150"/>
      <c r="T1220" s="150">
        <v>66600</v>
      </c>
      <c r="U1220" s="150"/>
      <c r="V1220" s="150"/>
    </row>
    <row r="1221" spans="1:22" ht="15.75" customHeight="1" x14ac:dyDescent="0.25">
      <c r="A1221" s="171" t="s">
        <v>2421</v>
      </c>
      <c r="B1221" s="163" t="s">
        <v>13</v>
      </c>
      <c r="C1221" s="163" t="s">
        <v>3706</v>
      </c>
      <c r="D1221" s="172">
        <v>44908</v>
      </c>
      <c r="E1221" s="187" t="s">
        <v>23</v>
      </c>
      <c r="F1221" s="187"/>
      <c r="G1221" s="187"/>
      <c r="H1221" s="163" t="s">
        <v>3408</v>
      </c>
      <c r="I1221" s="163"/>
      <c r="J1221" s="164" t="s">
        <v>3705</v>
      </c>
      <c r="K1221" s="163">
        <v>120</v>
      </c>
      <c r="L1221" s="163">
        <v>20</v>
      </c>
      <c r="M1221" s="163"/>
      <c r="N1221" s="163"/>
      <c r="O1221" s="163"/>
      <c r="P1221" s="163"/>
      <c r="Q1221" s="163"/>
      <c r="R1221" s="163"/>
      <c r="S1221" s="163"/>
      <c r="T1221" s="163">
        <v>10900</v>
      </c>
      <c r="U1221" s="163"/>
      <c r="V1221" s="163"/>
    </row>
    <row r="1222" spans="1:22" ht="15.75" customHeight="1" x14ac:dyDescent="0.25">
      <c r="A1222" s="171" t="s">
        <v>3707</v>
      </c>
      <c r="B1222" s="163" t="s">
        <v>13</v>
      </c>
      <c r="C1222" s="163" t="s">
        <v>3708</v>
      </c>
      <c r="D1222" s="172">
        <v>44908</v>
      </c>
      <c r="E1222" s="187" t="s">
        <v>23</v>
      </c>
      <c r="F1222" s="187"/>
      <c r="G1222" s="187"/>
      <c r="H1222" s="163" t="s">
        <v>3408</v>
      </c>
      <c r="I1222" s="163"/>
      <c r="J1222" s="164" t="s">
        <v>1308</v>
      </c>
      <c r="K1222" s="163">
        <v>420</v>
      </c>
      <c r="L1222" s="163">
        <v>70</v>
      </c>
      <c r="M1222" s="163"/>
      <c r="N1222" s="163"/>
      <c r="O1222" s="163"/>
      <c r="P1222" s="163"/>
      <c r="Q1222" s="163"/>
      <c r="R1222" s="163"/>
      <c r="S1222" s="163"/>
      <c r="T1222" s="163">
        <v>21800</v>
      </c>
      <c r="U1222" s="163"/>
      <c r="V1222" s="163"/>
    </row>
    <row r="1223" spans="1:22" ht="15.75" customHeight="1" x14ac:dyDescent="0.25">
      <c r="A1223" s="171" t="s">
        <v>2438</v>
      </c>
      <c r="B1223" s="163" t="s">
        <v>13</v>
      </c>
      <c r="C1223" s="163" t="s">
        <v>3260</v>
      </c>
      <c r="D1223" s="172">
        <v>44909</v>
      </c>
      <c r="E1223" s="187" t="s">
        <v>677</v>
      </c>
      <c r="F1223" s="187"/>
      <c r="G1223" s="187"/>
      <c r="H1223" s="163" t="s">
        <v>677</v>
      </c>
      <c r="I1223" s="163"/>
      <c r="J1223" s="164" t="s">
        <v>3709</v>
      </c>
      <c r="K1223" s="145">
        <v>6</v>
      </c>
      <c r="L1223" s="163">
        <v>1</v>
      </c>
      <c r="M1223" s="163"/>
      <c r="N1223" s="163"/>
      <c r="O1223" s="163"/>
      <c r="P1223" s="163"/>
      <c r="Q1223" s="163"/>
      <c r="R1223" s="163"/>
      <c r="S1223" s="163"/>
      <c r="T1223" s="163">
        <v>4500</v>
      </c>
      <c r="U1223" s="163"/>
      <c r="V1223" s="163"/>
    </row>
    <row r="1224" spans="1:22" ht="15.75" customHeight="1" x14ac:dyDescent="0.25">
      <c r="A1224" s="167" t="s">
        <v>3710</v>
      </c>
      <c r="B1224" s="162" t="s">
        <v>13</v>
      </c>
      <c r="C1224" s="162" t="s">
        <v>3361</v>
      </c>
      <c r="D1224" s="168">
        <v>44910</v>
      </c>
      <c r="E1224" s="194" t="s">
        <v>23</v>
      </c>
      <c r="F1224" s="194"/>
      <c r="G1224" s="194"/>
      <c r="H1224" s="162" t="s">
        <v>3408</v>
      </c>
      <c r="I1224" s="162"/>
      <c r="J1224" s="169" t="s">
        <v>2007</v>
      </c>
      <c r="K1224" s="142" t="s">
        <v>36</v>
      </c>
      <c r="L1224" s="162">
        <v>4</v>
      </c>
      <c r="M1224" s="162"/>
      <c r="N1224" s="162"/>
      <c r="O1224" s="162"/>
      <c r="P1224" s="162"/>
      <c r="Q1224" s="162"/>
      <c r="R1224" s="162"/>
      <c r="S1224" s="162"/>
      <c r="T1224" s="162" t="s">
        <v>269</v>
      </c>
      <c r="U1224" s="162"/>
      <c r="V1224" s="162"/>
    </row>
    <row r="1225" spans="1:22" ht="15.75" customHeight="1" x14ac:dyDescent="0.25">
      <c r="A1225" s="167" t="s">
        <v>3710</v>
      </c>
      <c r="B1225" s="162" t="s">
        <v>13</v>
      </c>
      <c r="C1225" s="162" t="s">
        <v>3361</v>
      </c>
      <c r="D1225" s="168">
        <v>44910</v>
      </c>
      <c r="E1225" s="194" t="s">
        <v>23</v>
      </c>
      <c r="F1225" s="194"/>
      <c r="G1225" s="194"/>
      <c r="H1225" s="162" t="s">
        <v>3408</v>
      </c>
      <c r="I1225" s="162"/>
      <c r="J1225" s="169" t="s">
        <v>752</v>
      </c>
      <c r="K1225" s="142" t="s">
        <v>96</v>
      </c>
      <c r="L1225" s="162">
        <v>2</v>
      </c>
      <c r="M1225" s="162"/>
      <c r="N1225" s="162"/>
      <c r="O1225" s="162"/>
      <c r="P1225" s="162"/>
      <c r="Q1225" s="162"/>
      <c r="R1225" s="162"/>
      <c r="S1225" s="162"/>
      <c r="T1225" s="162" t="s">
        <v>1106</v>
      </c>
      <c r="U1225" s="162"/>
      <c r="V1225" s="162"/>
    </row>
    <row r="1226" spans="1:22" ht="15.75" customHeight="1" x14ac:dyDescent="0.25">
      <c r="A1226" s="167" t="s">
        <v>3710</v>
      </c>
      <c r="B1226" s="162" t="s">
        <v>13</v>
      </c>
      <c r="C1226" s="162" t="s">
        <v>3361</v>
      </c>
      <c r="D1226" s="168">
        <v>44910</v>
      </c>
      <c r="E1226" s="194" t="s">
        <v>23</v>
      </c>
      <c r="F1226" s="194"/>
      <c r="G1226" s="194"/>
      <c r="H1226" s="162" t="s">
        <v>3408</v>
      </c>
      <c r="I1226" s="163"/>
      <c r="J1226" s="164" t="s">
        <v>3284</v>
      </c>
      <c r="K1226" s="145" t="s">
        <v>54</v>
      </c>
      <c r="L1226" s="163">
        <v>1</v>
      </c>
      <c r="M1226" s="163"/>
      <c r="N1226" s="163"/>
      <c r="O1226" s="163"/>
      <c r="P1226" s="163"/>
      <c r="Q1226" s="163"/>
      <c r="R1226" s="163"/>
      <c r="S1226" s="163"/>
      <c r="T1226" s="163" t="s">
        <v>335</v>
      </c>
      <c r="U1226" s="163"/>
      <c r="V1226" s="163"/>
    </row>
    <row r="1227" spans="1:22" ht="15.75" customHeight="1" x14ac:dyDescent="0.25">
      <c r="A1227" s="171" t="s">
        <v>2426</v>
      </c>
      <c r="B1227" s="162" t="s">
        <v>13</v>
      </c>
      <c r="C1227" s="163" t="s">
        <v>3283</v>
      </c>
      <c r="D1227" s="168">
        <v>44910</v>
      </c>
      <c r="E1227" s="187" t="s">
        <v>677</v>
      </c>
      <c r="F1227" s="187"/>
      <c r="G1227" s="187"/>
      <c r="H1227" s="162" t="s">
        <v>2057</v>
      </c>
      <c r="I1227" s="163"/>
      <c r="J1227" s="164" t="s">
        <v>3711</v>
      </c>
      <c r="K1227" s="163">
        <v>100</v>
      </c>
      <c r="L1227" s="163">
        <v>25</v>
      </c>
      <c r="M1227" s="163"/>
      <c r="N1227" s="163"/>
      <c r="O1227" s="163"/>
      <c r="P1227" s="163"/>
      <c r="Q1227" s="163"/>
      <c r="R1227" s="163"/>
      <c r="S1227" s="163"/>
      <c r="T1227" s="163">
        <v>12535</v>
      </c>
      <c r="U1227" s="163"/>
      <c r="V1227" s="163"/>
    </row>
    <row r="1228" spans="1:22" ht="15.75" customHeight="1" x14ac:dyDescent="0.25">
      <c r="A1228" s="167" t="s">
        <v>2446</v>
      </c>
      <c r="B1228" s="162" t="s">
        <v>13</v>
      </c>
      <c r="C1228" s="162" t="s">
        <v>30</v>
      </c>
      <c r="D1228" s="168">
        <v>44911</v>
      </c>
      <c r="E1228" s="194" t="s">
        <v>23</v>
      </c>
      <c r="F1228" s="194"/>
      <c r="G1228" s="194"/>
      <c r="H1228" s="162" t="s">
        <v>2078</v>
      </c>
      <c r="I1228" s="162"/>
      <c r="J1228" s="169" t="s">
        <v>710</v>
      </c>
      <c r="K1228" s="142"/>
      <c r="L1228" s="162" t="s">
        <v>108</v>
      </c>
      <c r="M1228" s="162"/>
      <c r="N1228" s="162"/>
      <c r="O1228" s="162"/>
      <c r="P1228" s="162"/>
      <c r="Q1228" s="162"/>
      <c r="R1228" s="162"/>
      <c r="S1228" s="162"/>
      <c r="T1228" s="162"/>
      <c r="U1228" s="162"/>
      <c r="V1228" s="162"/>
    </row>
    <row r="1229" spans="1:22" ht="15.75" customHeight="1" x14ac:dyDescent="0.25">
      <c r="A1229" s="167" t="s">
        <v>2446</v>
      </c>
      <c r="B1229" s="162" t="s">
        <v>13</v>
      </c>
      <c r="C1229" s="162" t="s">
        <v>30</v>
      </c>
      <c r="D1229" s="168">
        <v>44911</v>
      </c>
      <c r="E1229" s="194" t="s">
        <v>23</v>
      </c>
      <c r="F1229" s="194"/>
      <c r="G1229" s="194"/>
      <c r="H1229" s="162" t="s">
        <v>2078</v>
      </c>
      <c r="I1229" s="162"/>
      <c r="J1229" s="169" t="s">
        <v>711</v>
      </c>
      <c r="K1229" s="142"/>
      <c r="L1229" s="162" t="s">
        <v>108</v>
      </c>
      <c r="M1229" s="162"/>
      <c r="N1229" s="162"/>
      <c r="O1229" s="162"/>
      <c r="P1229" s="162"/>
      <c r="Q1229" s="162"/>
      <c r="R1229" s="162"/>
      <c r="S1229" s="162"/>
      <c r="T1229" s="162"/>
      <c r="U1229" s="162"/>
      <c r="V1229" s="162"/>
    </row>
    <row r="1230" spans="1:22" ht="15.75" customHeight="1" x14ac:dyDescent="0.25">
      <c r="A1230" s="167" t="s">
        <v>2446</v>
      </c>
      <c r="B1230" s="162" t="s">
        <v>13</v>
      </c>
      <c r="C1230" s="162" t="s">
        <v>30</v>
      </c>
      <c r="D1230" s="168">
        <v>44911</v>
      </c>
      <c r="E1230" s="194" t="s">
        <v>23</v>
      </c>
      <c r="F1230" s="194"/>
      <c r="G1230" s="194"/>
      <c r="H1230" s="162" t="s">
        <v>2078</v>
      </c>
      <c r="I1230" s="162"/>
      <c r="J1230" s="169" t="s">
        <v>712</v>
      </c>
      <c r="K1230" s="142"/>
      <c r="L1230" s="162" t="s">
        <v>26</v>
      </c>
      <c r="M1230" s="162"/>
      <c r="N1230" s="162"/>
      <c r="O1230" s="162"/>
      <c r="P1230" s="162"/>
      <c r="Q1230" s="162"/>
      <c r="R1230" s="162"/>
      <c r="S1230" s="162"/>
      <c r="T1230" s="162"/>
      <c r="U1230" s="162"/>
      <c r="V1230" s="162"/>
    </row>
    <row r="1231" spans="1:22" ht="15.75" customHeight="1" x14ac:dyDescent="0.25">
      <c r="A1231" s="167" t="s">
        <v>2446</v>
      </c>
      <c r="B1231" s="162" t="s">
        <v>13</v>
      </c>
      <c r="C1231" s="162" t="s">
        <v>30</v>
      </c>
      <c r="D1231" s="168">
        <v>44911</v>
      </c>
      <c r="E1231" s="194" t="s">
        <v>23</v>
      </c>
      <c r="F1231" s="194"/>
      <c r="G1231" s="194"/>
      <c r="H1231" s="162" t="s">
        <v>2078</v>
      </c>
      <c r="I1231" s="162"/>
      <c r="J1231" s="169" t="s">
        <v>713</v>
      </c>
      <c r="K1231" s="142"/>
      <c r="L1231" s="162" t="s">
        <v>233</v>
      </c>
      <c r="M1231" s="162"/>
      <c r="N1231" s="162"/>
      <c r="O1231" s="162"/>
      <c r="P1231" s="162"/>
      <c r="Q1231" s="162"/>
      <c r="R1231" s="162"/>
      <c r="S1231" s="162"/>
      <c r="T1231" s="162"/>
      <c r="U1231" s="162"/>
      <c r="V1231" s="162"/>
    </row>
    <row r="1232" spans="1:22" ht="15.75" customHeight="1" x14ac:dyDescent="0.25">
      <c r="A1232" s="167" t="s">
        <v>2446</v>
      </c>
      <c r="B1232" s="162" t="s">
        <v>13</v>
      </c>
      <c r="C1232" s="162" t="s">
        <v>30</v>
      </c>
      <c r="D1232" s="168">
        <v>44911</v>
      </c>
      <c r="E1232" s="194" t="s">
        <v>23</v>
      </c>
      <c r="F1232" s="194"/>
      <c r="G1232" s="194"/>
      <c r="H1232" s="162" t="s">
        <v>2078</v>
      </c>
      <c r="I1232" s="162"/>
      <c r="J1232" s="169" t="s">
        <v>714</v>
      </c>
      <c r="K1232" s="142"/>
      <c r="L1232" s="162" t="s">
        <v>233</v>
      </c>
      <c r="M1232" s="162"/>
      <c r="N1232" s="162"/>
      <c r="O1232" s="162"/>
      <c r="P1232" s="162"/>
      <c r="Q1232" s="162"/>
      <c r="R1232" s="162"/>
      <c r="S1232" s="162"/>
      <c r="T1232" s="162"/>
      <c r="U1232" s="162"/>
      <c r="V1232" s="162"/>
    </row>
    <row r="1233" spans="1:22" ht="15.75" customHeight="1" x14ac:dyDescent="0.25">
      <c r="A1233" s="167" t="s">
        <v>2446</v>
      </c>
      <c r="B1233" s="162" t="s">
        <v>13</v>
      </c>
      <c r="C1233" s="162" t="s">
        <v>30</v>
      </c>
      <c r="D1233" s="168">
        <v>44911</v>
      </c>
      <c r="E1233" s="194" t="s">
        <v>23</v>
      </c>
      <c r="F1233" s="194"/>
      <c r="G1233" s="194"/>
      <c r="H1233" s="162" t="s">
        <v>2078</v>
      </c>
      <c r="I1233" s="162"/>
      <c r="J1233" s="169" t="s">
        <v>718</v>
      </c>
      <c r="K1233" s="142"/>
      <c r="L1233" s="162" t="s">
        <v>26</v>
      </c>
      <c r="M1233" s="162"/>
      <c r="N1233" s="162"/>
      <c r="O1233" s="162"/>
      <c r="P1233" s="162"/>
      <c r="Q1233" s="162"/>
      <c r="R1233" s="162"/>
      <c r="S1233" s="162"/>
      <c r="T1233" s="162"/>
      <c r="U1233" s="162"/>
      <c r="V1233" s="162"/>
    </row>
    <row r="1234" spans="1:22" ht="15.75" customHeight="1" x14ac:dyDescent="0.25">
      <c r="A1234" s="167" t="s">
        <v>2446</v>
      </c>
      <c r="B1234" s="162" t="s">
        <v>13</v>
      </c>
      <c r="C1234" s="162" t="s">
        <v>30</v>
      </c>
      <c r="D1234" s="168">
        <v>44911</v>
      </c>
      <c r="E1234" s="194" t="s">
        <v>23</v>
      </c>
      <c r="F1234" s="194"/>
      <c r="G1234" s="194"/>
      <c r="H1234" s="162" t="s">
        <v>2078</v>
      </c>
      <c r="I1234" s="163"/>
      <c r="J1234" s="164" t="s">
        <v>2728</v>
      </c>
      <c r="K1234" s="145"/>
      <c r="L1234" s="163" t="s">
        <v>248</v>
      </c>
      <c r="M1234" s="163"/>
      <c r="N1234" s="163"/>
      <c r="O1234" s="163"/>
      <c r="P1234" s="163"/>
      <c r="Q1234" s="163"/>
      <c r="R1234" s="163"/>
      <c r="S1234" s="163"/>
      <c r="T1234" s="163"/>
      <c r="U1234" s="163"/>
      <c r="V1234" s="163"/>
    </row>
    <row r="1235" spans="1:22" ht="30.75" customHeight="1" x14ac:dyDescent="0.25">
      <c r="A1235" s="171" t="s">
        <v>3713</v>
      </c>
      <c r="B1235" s="163" t="s">
        <v>34</v>
      </c>
      <c r="C1235" s="163" t="s">
        <v>16</v>
      </c>
      <c r="D1235" s="172">
        <v>44914</v>
      </c>
      <c r="E1235" s="187" t="s">
        <v>23</v>
      </c>
      <c r="F1235" s="187"/>
      <c r="G1235" s="187"/>
      <c r="H1235" s="222" t="s">
        <v>3720</v>
      </c>
      <c r="I1235" s="163"/>
      <c r="J1235" s="164" t="s">
        <v>2423</v>
      </c>
      <c r="K1235" s="145">
        <v>414</v>
      </c>
      <c r="L1235" s="163" t="s">
        <v>3714</v>
      </c>
      <c r="M1235" s="163">
        <v>0.29970000000000002</v>
      </c>
      <c r="N1235" s="163">
        <v>1.6739999999999999</v>
      </c>
      <c r="O1235" s="163">
        <v>124.0758</v>
      </c>
      <c r="P1235" s="163">
        <v>693.03599999999994</v>
      </c>
      <c r="Q1235" s="163">
        <v>16.13</v>
      </c>
      <c r="R1235" s="163">
        <v>102.8</v>
      </c>
      <c r="S1235" s="163">
        <v>343</v>
      </c>
      <c r="T1235" s="163">
        <v>42558</v>
      </c>
      <c r="U1235" s="163"/>
      <c r="V1235" s="163"/>
    </row>
    <row r="1236" spans="1:22" ht="30.75" customHeight="1" x14ac:dyDescent="0.25">
      <c r="A1236" s="171" t="s">
        <v>2412</v>
      </c>
      <c r="B1236" s="163" t="s">
        <v>34</v>
      </c>
      <c r="C1236" s="163" t="s">
        <v>3469</v>
      </c>
      <c r="D1236" s="172">
        <v>44914</v>
      </c>
      <c r="E1236" s="187" t="s">
        <v>23</v>
      </c>
      <c r="F1236" s="187"/>
      <c r="G1236" s="187"/>
      <c r="H1236" s="222" t="s">
        <v>3720</v>
      </c>
      <c r="I1236" s="163"/>
      <c r="J1236" s="164" t="s">
        <v>3464</v>
      </c>
      <c r="K1236" s="145" t="s">
        <v>160</v>
      </c>
      <c r="L1236" s="163"/>
      <c r="M1236" s="163"/>
      <c r="N1236" s="163"/>
      <c r="O1236" s="163"/>
      <c r="P1236" s="163"/>
      <c r="Q1236" s="163"/>
      <c r="R1236" s="163"/>
      <c r="S1236" s="163"/>
      <c r="T1236" s="163" t="s">
        <v>1186</v>
      </c>
      <c r="U1236" s="163"/>
      <c r="V1236" s="163"/>
    </row>
    <row r="1237" spans="1:22" ht="30.75" customHeight="1" x14ac:dyDescent="0.25">
      <c r="A1237" s="171" t="s">
        <v>2412</v>
      </c>
      <c r="B1237" s="163" t="s">
        <v>34</v>
      </c>
      <c r="C1237" s="163" t="s">
        <v>3469</v>
      </c>
      <c r="D1237" s="172">
        <v>44914</v>
      </c>
      <c r="E1237" s="187" t="s">
        <v>23</v>
      </c>
      <c r="F1237" s="187"/>
      <c r="G1237" s="187"/>
      <c r="H1237" s="222" t="s">
        <v>3720</v>
      </c>
      <c r="I1237" s="162"/>
      <c r="J1237" s="169" t="s">
        <v>3465</v>
      </c>
      <c r="K1237" s="142" t="s">
        <v>3715</v>
      </c>
      <c r="L1237" s="162"/>
      <c r="M1237" s="162"/>
      <c r="N1237" s="162"/>
      <c r="O1237" s="162"/>
      <c r="P1237" s="162"/>
      <c r="Q1237" s="162"/>
      <c r="R1237" s="162"/>
      <c r="S1237" s="162"/>
      <c r="T1237" s="162" t="s">
        <v>3718</v>
      </c>
      <c r="U1237" s="162"/>
      <c r="V1237" s="162"/>
    </row>
    <row r="1238" spans="1:22" ht="30.75" customHeight="1" x14ac:dyDescent="0.25">
      <c r="A1238" s="171" t="s">
        <v>2412</v>
      </c>
      <c r="B1238" s="163" t="s">
        <v>34</v>
      </c>
      <c r="C1238" s="163" t="s">
        <v>3469</v>
      </c>
      <c r="D1238" s="172">
        <v>44914</v>
      </c>
      <c r="E1238" s="187" t="s">
        <v>23</v>
      </c>
      <c r="F1238" s="218"/>
      <c r="G1238" s="218"/>
      <c r="H1238" s="222" t="s">
        <v>3720</v>
      </c>
      <c r="I1238" s="162"/>
      <c r="J1238" s="169" t="s">
        <v>3466</v>
      </c>
      <c r="K1238" s="142" t="s">
        <v>3716</v>
      </c>
      <c r="L1238" s="162"/>
      <c r="M1238" s="162"/>
      <c r="N1238" s="162"/>
      <c r="O1238" s="162"/>
      <c r="P1238" s="162"/>
      <c r="Q1238" s="162"/>
      <c r="R1238" s="162"/>
      <c r="S1238" s="162"/>
      <c r="T1238" s="162" t="s">
        <v>3719</v>
      </c>
      <c r="U1238" s="162"/>
      <c r="V1238" s="162"/>
    </row>
    <row r="1239" spans="1:22" ht="30.75" customHeight="1" x14ac:dyDescent="0.25">
      <c r="A1239" s="171" t="s">
        <v>2412</v>
      </c>
      <c r="B1239" s="163" t="s">
        <v>34</v>
      </c>
      <c r="C1239" s="163" t="s">
        <v>3469</v>
      </c>
      <c r="D1239" s="172">
        <v>44914</v>
      </c>
      <c r="E1239" s="187" t="s">
        <v>23</v>
      </c>
      <c r="F1239" s="218"/>
      <c r="G1239" s="218"/>
      <c r="H1239" s="222" t="s">
        <v>3720</v>
      </c>
      <c r="I1239" s="162"/>
      <c r="J1239" s="169" t="s">
        <v>3467</v>
      </c>
      <c r="K1239" s="142" t="s">
        <v>3717</v>
      </c>
      <c r="L1239" s="162"/>
      <c r="M1239" s="162"/>
      <c r="N1239" s="162"/>
      <c r="O1239" s="162"/>
      <c r="P1239" s="162"/>
      <c r="Q1239" s="162"/>
      <c r="R1239" s="162"/>
      <c r="S1239" s="162"/>
      <c r="T1239" s="162" t="s">
        <v>484</v>
      </c>
      <c r="U1239" s="162"/>
      <c r="V1239" s="162"/>
    </row>
    <row r="1240" spans="1:22" ht="15.75" customHeight="1" x14ac:dyDescent="0.25">
      <c r="A1240" s="171" t="s">
        <v>2448</v>
      </c>
      <c r="B1240" s="162" t="s">
        <v>13</v>
      </c>
      <c r="C1240" s="163" t="s">
        <v>37</v>
      </c>
      <c r="D1240" s="172">
        <v>44915</v>
      </c>
      <c r="E1240" s="187" t="s">
        <v>23</v>
      </c>
      <c r="F1240" s="187">
        <v>60</v>
      </c>
      <c r="G1240" s="187">
        <v>48</v>
      </c>
      <c r="H1240" s="163"/>
      <c r="I1240" s="163"/>
      <c r="J1240" s="164" t="s">
        <v>3373</v>
      </c>
      <c r="K1240" s="145"/>
      <c r="L1240" s="163">
        <v>108</v>
      </c>
      <c r="M1240" s="163"/>
      <c r="N1240" s="163"/>
      <c r="O1240" s="163"/>
      <c r="P1240" s="163"/>
      <c r="Q1240" s="163"/>
      <c r="R1240" s="163"/>
      <c r="S1240" s="163"/>
      <c r="T1240" s="163"/>
      <c r="U1240" s="163"/>
      <c r="V1240" s="163"/>
    </row>
    <row r="1241" spans="1:22" s="28" customFormat="1" ht="15.75" customHeight="1" x14ac:dyDescent="0.25">
      <c r="A1241" s="254" t="s">
        <v>2452</v>
      </c>
      <c r="B1241" s="150" t="s">
        <v>13</v>
      </c>
      <c r="C1241" s="150" t="s">
        <v>37</v>
      </c>
      <c r="D1241" s="255">
        <v>44915</v>
      </c>
      <c r="E1241" s="256" t="s">
        <v>23</v>
      </c>
      <c r="F1241" s="256"/>
      <c r="G1241" s="256"/>
      <c r="H1241" s="150" t="s">
        <v>3408</v>
      </c>
      <c r="I1241" s="150"/>
      <c r="J1241" s="257" t="s">
        <v>3426</v>
      </c>
      <c r="K1241" s="150"/>
      <c r="L1241" s="150">
        <v>48</v>
      </c>
      <c r="M1241" s="150"/>
      <c r="N1241" s="150"/>
      <c r="O1241" s="150"/>
      <c r="P1241" s="150"/>
      <c r="Q1241" s="150"/>
      <c r="R1241" s="150"/>
      <c r="S1241" s="150"/>
      <c r="T1241" s="150"/>
      <c r="U1241" s="150"/>
      <c r="V1241" s="150"/>
    </row>
    <row r="1242" spans="1:22" s="28" customFormat="1" ht="15.75" customHeight="1" x14ac:dyDescent="0.25">
      <c r="A1242" s="254">
        <v>515</v>
      </c>
      <c r="B1242" s="150" t="s">
        <v>13</v>
      </c>
      <c r="C1242" s="150" t="s">
        <v>28</v>
      </c>
      <c r="D1242" s="255">
        <v>44915</v>
      </c>
      <c r="E1242" s="256" t="s">
        <v>23</v>
      </c>
      <c r="F1242" s="256"/>
      <c r="G1242" s="256">
        <f>55+113</f>
        <v>168</v>
      </c>
      <c r="H1242" s="150"/>
      <c r="I1242" s="150"/>
      <c r="J1242" s="257" t="s">
        <v>3231</v>
      </c>
      <c r="K1242" s="150">
        <v>1008</v>
      </c>
      <c r="L1242" s="150" t="s">
        <v>341</v>
      </c>
      <c r="M1242" s="150">
        <v>0.43969999999999998</v>
      </c>
      <c r="N1242" s="150">
        <v>1.1279999999999999</v>
      </c>
      <c r="O1242" s="150">
        <v>443.2176</v>
      </c>
      <c r="P1242" s="150">
        <v>1137.0239999999999</v>
      </c>
      <c r="Q1242" s="150">
        <v>57.62</v>
      </c>
      <c r="R1242" s="150">
        <v>150.82</v>
      </c>
      <c r="S1242" s="150">
        <v>343</v>
      </c>
      <c r="T1242" s="150">
        <v>152023.64000000001</v>
      </c>
      <c r="U1242" s="150"/>
      <c r="V1242" s="150"/>
    </row>
    <row r="1243" spans="1:22" s="14" customFormat="1" ht="15.75" customHeight="1" x14ac:dyDescent="0.25">
      <c r="A1243" s="147">
        <v>517</v>
      </c>
      <c r="B1243" s="145" t="s">
        <v>13</v>
      </c>
      <c r="C1243" s="145" t="s">
        <v>625</v>
      </c>
      <c r="D1243" s="148">
        <v>44915</v>
      </c>
      <c r="E1243" s="241" t="s">
        <v>23</v>
      </c>
      <c r="F1243" s="241"/>
      <c r="G1243" s="241">
        <f>512+39</f>
        <v>551</v>
      </c>
      <c r="H1243" s="145" t="s">
        <v>3731</v>
      </c>
      <c r="I1243" s="145"/>
      <c r="J1243" s="146" t="s">
        <v>2161</v>
      </c>
      <c r="K1243" s="145">
        <v>2669.6</v>
      </c>
      <c r="L1243" s="145" t="s">
        <v>3721</v>
      </c>
      <c r="M1243" s="145">
        <v>0.34810000000000002</v>
      </c>
      <c r="N1243" s="145">
        <v>1.4930000000000001</v>
      </c>
      <c r="O1243" s="145">
        <v>929.28779999999995</v>
      </c>
      <c r="P1243" s="145">
        <v>3985.7127999999998</v>
      </c>
      <c r="Q1243" s="145">
        <v>120.81</v>
      </c>
      <c r="R1243" s="145">
        <v>108.96</v>
      </c>
      <c r="S1243" s="145">
        <v>313</v>
      </c>
      <c r="T1243" s="145">
        <v>290867.07</v>
      </c>
      <c r="U1243" s="145"/>
      <c r="V1243" s="145"/>
    </row>
    <row r="1244" spans="1:22" s="14" customFormat="1" ht="15.75" customHeight="1" x14ac:dyDescent="0.25">
      <c r="A1244" s="147">
        <v>518</v>
      </c>
      <c r="B1244" s="145" t="s">
        <v>13</v>
      </c>
      <c r="C1244" s="145" t="s">
        <v>1433</v>
      </c>
      <c r="D1244" s="148">
        <v>44915</v>
      </c>
      <c r="E1244" s="241" t="s">
        <v>23</v>
      </c>
      <c r="F1244" s="241"/>
      <c r="G1244" s="241">
        <f>42+40</f>
        <v>82</v>
      </c>
      <c r="H1244" s="145"/>
      <c r="I1244" s="145"/>
      <c r="J1244" s="146" t="s">
        <v>1472</v>
      </c>
      <c r="K1244" s="145">
        <v>492</v>
      </c>
      <c r="L1244" s="145" t="s">
        <v>3664</v>
      </c>
      <c r="M1244" s="145">
        <v>0.41239999999999999</v>
      </c>
      <c r="N1244" s="145">
        <v>1.1619999999999999</v>
      </c>
      <c r="O1244" s="145">
        <v>202.9008</v>
      </c>
      <c r="P1244" s="145">
        <v>571.70399999999995</v>
      </c>
      <c r="Q1244" s="145">
        <v>26.38</v>
      </c>
      <c r="R1244" s="145">
        <v>141.44999999999999</v>
      </c>
      <c r="S1244" s="145">
        <v>343</v>
      </c>
      <c r="T1244" s="145">
        <v>69594.97</v>
      </c>
      <c r="U1244" s="145"/>
      <c r="V1244" s="145"/>
    </row>
    <row r="1245" spans="1:22" s="315" customFormat="1" ht="30.75" customHeight="1" x14ac:dyDescent="0.25">
      <c r="A1245" s="248">
        <v>519</v>
      </c>
      <c r="B1245" s="249" t="s">
        <v>13</v>
      </c>
      <c r="C1245" s="249" t="s">
        <v>3544</v>
      </c>
      <c r="D1245" s="299">
        <v>44915</v>
      </c>
      <c r="E1245" s="251" t="s">
        <v>23</v>
      </c>
      <c r="F1245" s="251">
        <v>58</v>
      </c>
      <c r="G1245" s="251"/>
      <c r="H1245" s="249"/>
      <c r="I1245" s="249"/>
      <c r="J1245" s="252" t="s">
        <v>3684</v>
      </c>
      <c r="K1245" s="249">
        <v>348</v>
      </c>
      <c r="L1245" s="249" t="s">
        <v>2367</v>
      </c>
      <c r="M1245" s="249">
        <v>0.59919999999999995</v>
      </c>
      <c r="N1245" s="249">
        <v>2.5739999999999998</v>
      </c>
      <c r="O1245" s="249">
        <v>208.52160000000001</v>
      </c>
      <c r="P1245" s="249">
        <v>895.75199999999995</v>
      </c>
      <c r="Q1245" s="249">
        <v>27.11</v>
      </c>
      <c r="R1245" s="249">
        <v>205.53</v>
      </c>
      <c r="S1245" s="249">
        <v>343</v>
      </c>
      <c r="T1245" s="249">
        <v>71522.91</v>
      </c>
      <c r="U1245" s="249"/>
      <c r="V1245" s="249"/>
    </row>
    <row r="1246" spans="1:22" ht="15.75" customHeight="1" x14ac:dyDescent="0.25">
      <c r="A1246" s="167">
        <v>520</v>
      </c>
      <c r="B1246" s="162" t="s">
        <v>13</v>
      </c>
      <c r="C1246" s="162" t="s">
        <v>2466</v>
      </c>
      <c r="D1246" s="168">
        <v>44916</v>
      </c>
      <c r="E1246" s="194" t="s">
        <v>23</v>
      </c>
      <c r="F1246" s="187"/>
      <c r="G1246" s="187"/>
      <c r="H1246" s="162"/>
      <c r="I1246" s="162"/>
      <c r="J1246" s="169" t="s">
        <v>119</v>
      </c>
      <c r="K1246" s="162">
        <v>925</v>
      </c>
      <c r="L1246" s="162" t="s">
        <v>424</v>
      </c>
      <c r="M1246" s="162">
        <v>0.1827</v>
      </c>
      <c r="N1246" s="162">
        <v>0.36899999999999999</v>
      </c>
      <c r="O1246" s="162">
        <v>168.9975</v>
      </c>
      <c r="P1246" s="162">
        <v>341.32499999999999</v>
      </c>
      <c r="Q1246" s="162">
        <v>21.97</v>
      </c>
      <c r="R1246" s="162">
        <v>62.67</v>
      </c>
      <c r="S1246" s="162">
        <v>343</v>
      </c>
      <c r="T1246" s="162">
        <v>57966.14</v>
      </c>
      <c r="U1246" s="162"/>
      <c r="V1246" s="162"/>
    </row>
    <row r="1247" spans="1:22" ht="15.75" customHeight="1" x14ac:dyDescent="0.25">
      <c r="A1247" s="167">
        <v>520</v>
      </c>
      <c r="B1247" s="163" t="s">
        <v>13</v>
      </c>
      <c r="C1247" s="162" t="s">
        <v>2466</v>
      </c>
      <c r="D1247" s="168">
        <v>44916</v>
      </c>
      <c r="E1247" s="187" t="s">
        <v>23</v>
      </c>
      <c r="F1247" s="218"/>
      <c r="G1247" s="218"/>
      <c r="H1247" s="163"/>
      <c r="I1247" s="163"/>
      <c r="J1247" s="164" t="s">
        <v>3722</v>
      </c>
      <c r="K1247" s="163">
        <v>515</v>
      </c>
      <c r="L1247" s="163" t="s">
        <v>1880</v>
      </c>
      <c r="M1247" s="163">
        <v>0.19420000000000001</v>
      </c>
      <c r="N1247" s="163">
        <v>0.41799999999999998</v>
      </c>
      <c r="O1247" s="163">
        <v>100.01300000000001</v>
      </c>
      <c r="P1247" s="163">
        <v>215.27</v>
      </c>
      <c r="Q1247" s="163">
        <v>13</v>
      </c>
      <c r="R1247" s="163">
        <v>66.61</v>
      </c>
      <c r="S1247" s="163">
        <v>343</v>
      </c>
      <c r="T1247" s="163">
        <v>34304.46</v>
      </c>
      <c r="U1247" s="163"/>
      <c r="V1247" s="163"/>
    </row>
    <row r="1248" spans="1:22" ht="15.75" customHeight="1" x14ac:dyDescent="0.25">
      <c r="A1248" s="171">
        <v>521</v>
      </c>
      <c r="B1248" s="163" t="s">
        <v>13</v>
      </c>
      <c r="C1248" s="163" t="s">
        <v>3726</v>
      </c>
      <c r="D1248" s="172">
        <v>44916</v>
      </c>
      <c r="E1248" s="187" t="s">
        <v>23</v>
      </c>
      <c r="F1248" s="187"/>
      <c r="G1248" s="187"/>
      <c r="H1248" s="163"/>
      <c r="I1248" s="163"/>
      <c r="J1248" s="164" t="s">
        <v>3724</v>
      </c>
      <c r="K1248" s="163">
        <v>153</v>
      </c>
      <c r="L1248" s="163" t="s">
        <v>3725</v>
      </c>
      <c r="M1248" s="163">
        <v>4.1000000000000002E-2</v>
      </c>
      <c r="N1248" s="163">
        <v>0.19500000000000001</v>
      </c>
      <c r="O1248" s="163">
        <v>6.2729999999999997</v>
      </c>
      <c r="P1248" s="163">
        <v>29.835000000000001</v>
      </c>
      <c r="Q1248" s="163">
        <v>0.82</v>
      </c>
      <c r="R1248" s="163">
        <v>11.69</v>
      </c>
      <c r="S1248" s="163">
        <v>285</v>
      </c>
      <c r="T1248" s="163">
        <v>1787.81</v>
      </c>
      <c r="U1248" s="163"/>
      <c r="V1248" s="163"/>
    </row>
    <row r="1249" spans="1:22" s="14" customFormat="1" ht="15.75" customHeight="1" x14ac:dyDescent="0.25">
      <c r="A1249" s="141" t="s">
        <v>3728</v>
      </c>
      <c r="B1249" s="142" t="s">
        <v>13</v>
      </c>
      <c r="C1249" s="142" t="s">
        <v>30</v>
      </c>
      <c r="D1249" s="143">
        <v>44916</v>
      </c>
      <c r="E1249" s="242" t="s">
        <v>23</v>
      </c>
      <c r="F1249" s="242"/>
      <c r="G1249" s="242"/>
      <c r="H1249" s="142"/>
      <c r="I1249" s="142"/>
      <c r="J1249" s="144" t="s">
        <v>742</v>
      </c>
      <c r="K1249" s="142"/>
      <c r="L1249" s="142" t="s">
        <v>193</v>
      </c>
      <c r="M1249" s="142"/>
      <c r="N1249" s="142"/>
      <c r="O1249" s="142"/>
      <c r="P1249" s="142"/>
      <c r="Q1249" s="142"/>
      <c r="R1249" s="142"/>
      <c r="S1249" s="142"/>
      <c r="T1249" s="142"/>
      <c r="U1249" s="142"/>
      <c r="V1249" s="142"/>
    </row>
    <row r="1250" spans="1:22" s="14" customFormat="1" ht="15.75" customHeight="1" x14ac:dyDescent="0.25">
      <c r="A1250" s="141" t="s">
        <v>3728</v>
      </c>
      <c r="B1250" s="142" t="s">
        <v>13</v>
      </c>
      <c r="C1250" s="142" t="s">
        <v>30</v>
      </c>
      <c r="D1250" s="143">
        <v>44916</v>
      </c>
      <c r="E1250" s="242" t="s">
        <v>23</v>
      </c>
      <c r="F1250" s="242"/>
      <c r="G1250" s="242"/>
      <c r="H1250" s="142"/>
      <c r="I1250" s="142"/>
      <c r="J1250" s="144" t="s">
        <v>737</v>
      </c>
      <c r="K1250" s="142"/>
      <c r="L1250" s="142" t="s">
        <v>123</v>
      </c>
      <c r="M1250" s="142"/>
      <c r="N1250" s="142"/>
      <c r="O1250" s="142"/>
      <c r="P1250" s="142"/>
      <c r="Q1250" s="142"/>
      <c r="R1250" s="142"/>
      <c r="S1250" s="142"/>
      <c r="T1250" s="142"/>
      <c r="U1250" s="142"/>
      <c r="V1250" s="142"/>
    </row>
    <row r="1251" spans="1:22" s="14" customFormat="1" ht="15.75" customHeight="1" x14ac:dyDescent="0.25">
      <c r="A1251" s="141" t="s">
        <v>3728</v>
      </c>
      <c r="B1251" s="142" t="s">
        <v>13</v>
      </c>
      <c r="C1251" s="142" t="s">
        <v>30</v>
      </c>
      <c r="D1251" s="143">
        <v>44916</v>
      </c>
      <c r="E1251" s="242" t="s">
        <v>23</v>
      </c>
      <c r="F1251" s="242"/>
      <c r="G1251" s="242"/>
      <c r="H1251" s="142"/>
      <c r="I1251" s="142"/>
      <c r="J1251" s="144" t="s">
        <v>733</v>
      </c>
      <c r="K1251" s="142"/>
      <c r="L1251" s="142" t="s">
        <v>125</v>
      </c>
      <c r="M1251" s="142"/>
      <c r="N1251" s="142"/>
      <c r="O1251" s="142"/>
      <c r="P1251" s="142"/>
      <c r="Q1251" s="142"/>
      <c r="R1251" s="142"/>
      <c r="S1251" s="142"/>
      <c r="T1251" s="142"/>
      <c r="U1251" s="142"/>
      <c r="V1251" s="142"/>
    </row>
    <row r="1252" spans="1:22" s="14" customFormat="1" ht="15.75" customHeight="1" x14ac:dyDescent="0.25">
      <c r="A1252" s="141" t="s">
        <v>3728</v>
      </c>
      <c r="B1252" s="142" t="s">
        <v>13</v>
      </c>
      <c r="C1252" s="142" t="s">
        <v>30</v>
      </c>
      <c r="D1252" s="143">
        <v>44916</v>
      </c>
      <c r="E1252" s="242" t="s">
        <v>23</v>
      </c>
      <c r="F1252" s="242"/>
      <c r="G1252" s="242"/>
      <c r="H1252" s="142"/>
      <c r="I1252" s="142"/>
      <c r="J1252" s="144" t="s">
        <v>3727</v>
      </c>
      <c r="K1252" s="142"/>
      <c r="L1252" s="142" t="s">
        <v>123</v>
      </c>
      <c r="M1252" s="142"/>
      <c r="N1252" s="142"/>
      <c r="O1252" s="142"/>
      <c r="P1252" s="142"/>
      <c r="Q1252" s="142"/>
      <c r="R1252" s="142"/>
      <c r="S1252" s="142"/>
      <c r="T1252" s="142"/>
      <c r="U1252" s="142"/>
      <c r="V1252" s="142"/>
    </row>
    <row r="1253" spans="1:22" s="14" customFormat="1" ht="15.75" customHeight="1" x14ac:dyDescent="0.25">
      <c r="A1253" s="141" t="s">
        <v>3728</v>
      </c>
      <c r="B1253" s="142" t="s">
        <v>13</v>
      </c>
      <c r="C1253" s="142" t="s">
        <v>30</v>
      </c>
      <c r="D1253" s="143">
        <v>44916</v>
      </c>
      <c r="E1253" s="242" t="s">
        <v>23</v>
      </c>
      <c r="F1253" s="242"/>
      <c r="G1253" s="242"/>
      <c r="H1253" s="142"/>
      <c r="I1253" s="142"/>
      <c r="J1253" s="144" t="s">
        <v>730</v>
      </c>
      <c r="K1253" s="142"/>
      <c r="L1253" s="142" t="s">
        <v>123</v>
      </c>
      <c r="M1253" s="142"/>
      <c r="N1253" s="142"/>
      <c r="O1253" s="142"/>
      <c r="P1253" s="142"/>
      <c r="Q1253" s="142"/>
      <c r="R1253" s="142"/>
      <c r="S1253" s="142"/>
      <c r="T1253" s="142"/>
      <c r="U1253" s="142"/>
      <c r="V1253" s="142"/>
    </row>
    <row r="1254" spans="1:22" s="14" customFormat="1" ht="15.75" customHeight="1" x14ac:dyDescent="0.25">
      <c r="A1254" s="141" t="s">
        <v>3728</v>
      </c>
      <c r="B1254" s="142" t="s">
        <v>13</v>
      </c>
      <c r="C1254" s="142" t="s">
        <v>30</v>
      </c>
      <c r="D1254" s="143">
        <v>44916</v>
      </c>
      <c r="E1254" s="242" t="s">
        <v>23</v>
      </c>
      <c r="F1254" s="242"/>
      <c r="G1254" s="242"/>
      <c r="H1254" s="142"/>
      <c r="I1254" s="142"/>
      <c r="J1254" s="144" t="s">
        <v>731</v>
      </c>
      <c r="K1254" s="142"/>
      <c r="L1254" s="142" t="s">
        <v>76</v>
      </c>
      <c r="M1254" s="142"/>
      <c r="N1254" s="142"/>
      <c r="O1254" s="142"/>
      <c r="P1254" s="142"/>
      <c r="Q1254" s="142"/>
      <c r="R1254" s="142"/>
      <c r="S1254" s="142"/>
      <c r="T1254" s="142"/>
      <c r="U1254" s="142"/>
      <c r="V1254" s="142"/>
    </row>
    <row r="1255" spans="1:22" s="14" customFormat="1" ht="15.75" customHeight="1" x14ac:dyDescent="0.25">
      <c r="A1255" s="141" t="s">
        <v>3728</v>
      </c>
      <c r="B1255" s="142" t="s">
        <v>13</v>
      </c>
      <c r="C1255" s="142" t="s">
        <v>30</v>
      </c>
      <c r="D1255" s="143">
        <v>44916</v>
      </c>
      <c r="E1255" s="242" t="s">
        <v>23</v>
      </c>
      <c r="F1255" s="242"/>
      <c r="G1255" s="242"/>
      <c r="H1255" s="142"/>
      <c r="I1255" s="142"/>
      <c r="J1255" s="144" t="s">
        <v>744</v>
      </c>
      <c r="K1255" s="142"/>
      <c r="L1255" s="142" t="s">
        <v>1703</v>
      </c>
      <c r="M1255" s="142"/>
      <c r="N1255" s="142"/>
      <c r="O1255" s="142"/>
      <c r="P1255" s="142"/>
      <c r="Q1255" s="142"/>
      <c r="R1255" s="142"/>
      <c r="S1255" s="142"/>
      <c r="T1255" s="142"/>
      <c r="U1255" s="142"/>
      <c r="V1255" s="142"/>
    </row>
    <row r="1256" spans="1:22" s="14" customFormat="1" ht="15.75" customHeight="1" x14ac:dyDescent="0.25">
      <c r="A1256" s="141" t="s">
        <v>3728</v>
      </c>
      <c r="B1256" s="142" t="s">
        <v>13</v>
      </c>
      <c r="C1256" s="142" t="s">
        <v>30</v>
      </c>
      <c r="D1256" s="143">
        <v>44916</v>
      </c>
      <c r="E1256" s="242" t="s">
        <v>23</v>
      </c>
      <c r="F1256" s="242"/>
      <c r="G1256" s="242"/>
      <c r="H1256" s="142"/>
      <c r="I1256" s="142"/>
      <c r="J1256" s="144" t="s">
        <v>1255</v>
      </c>
      <c r="K1256" s="142"/>
      <c r="L1256" s="142" t="s">
        <v>75</v>
      </c>
      <c r="M1256" s="142"/>
      <c r="N1256" s="142"/>
      <c r="O1256" s="142"/>
      <c r="P1256" s="142"/>
      <c r="Q1256" s="142"/>
      <c r="R1256" s="142"/>
      <c r="S1256" s="142"/>
      <c r="T1256" s="142"/>
      <c r="U1256" s="142"/>
      <c r="V1256" s="142"/>
    </row>
    <row r="1257" spans="1:22" s="14" customFormat="1" ht="15.75" customHeight="1" x14ac:dyDescent="0.25">
      <c r="A1257" s="141" t="s">
        <v>3728</v>
      </c>
      <c r="B1257" s="142" t="s">
        <v>13</v>
      </c>
      <c r="C1257" s="142" t="s">
        <v>30</v>
      </c>
      <c r="D1257" s="143">
        <v>44916</v>
      </c>
      <c r="E1257" s="242" t="s">
        <v>23</v>
      </c>
      <c r="F1257" s="242"/>
      <c r="G1257" s="242"/>
      <c r="H1257" s="142"/>
      <c r="I1257" s="142"/>
      <c r="J1257" s="144" t="s">
        <v>739</v>
      </c>
      <c r="K1257" s="142"/>
      <c r="L1257" s="142" t="s">
        <v>123</v>
      </c>
      <c r="M1257" s="142"/>
      <c r="N1257" s="142"/>
      <c r="O1257" s="142"/>
      <c r="P1257" s="142"/>
      <c r="Q1257" s="142"/>
      <c r="R1257" s="142"/>
      <c r="S1257" s="142"/>
      <c r="T1257" s="142"/>
      <c r="U1257" s="142"/>
      <c r="V1257" s="142"/>
    </row>
    <row r="1258" spans="1:22" s="14" customFormat="1" ht="15.75" customHeight="1" x14ac:dyDescent="0.25">
      <c r="A1258" s="141" t="s">
        <v>3728</v>
      </c>
      <c r="B1258" s="142" t="s">
        <v>13</v>
      </c>
      <c r="C1258" s="142" t="s">
        <v>30</v>
      </c>
      <c r="D1258" s="143">
        <v>44916</v>
      </c>
      <c r="E1258" s="242" t="s">
        <v>23</v>
      </c>
      <c r="F1258" s="242"/>
      <c r="G1258" s="242"/>
      <c r="H1258" s="142"/>
      <c r="I1258" s="142"/>
      <c r="J1258" s="144" t="s">
        <v>740</v>
      </c>
      <c r="K1258" s="142"/>
      <c r="L1258" s="142" t="s">
        <v>226</v>
      </c>
      <c r="M1258" s="142"/>
      <c r="N1258" s="142"/>
      <c r="O1258" s="142"/>
      <c r="P1258" s="142"/>
      <c r="Q1258" s="142"/>
      <c r="R1258" s="142"/>
      <c r="S1258" s="142"/>
      <c r="T1258" s="142"/>
      <c r="U1258" s="142"/>
      <c r="V1258" s="142"/>
    </row>
    <row r="1259" spans="1:22" s="14" customFormat="1" ht="15.75" customHeight="1" x14ac:dyDescent="0.25">
      <c r="A1259" s="141" t="s">
        <v>3728</v>
      </c>
      <c r="B1259" s="142" t="s">
        <v>13</v>
      </c>
      <c r="C1259" s="142" t="s">
        <v>30</v>
      </c>
      <c r="D1259" s="143">
        <v>44916</v>
      </c>
      <c r="E1259" s="242" t="s">
        <v>23</v>
      </c>
      <c r="F1259" s="242"/>
      <c r="G1259" s="242"/>
      <c r="H1259" s="142"/>
      <c r="I1259" s="142"/>
      <c r="J1259" s="144" t="s">
        <v>1243</v>
      </c>
      <c r="K1259" s="142"/>
      <c r="L1259" s="142" t="s">
        <v>123</v>
      </c>
      <c r="M1259" s="142"/>
      <c r="N1259" s="142"/>
      <c r="O1259" s="142"/>
      <c r="P1259" s="142"/>
      <c r="Q1259" s="142"/>
      <c r="R1259" s="142"/>
      <c r="S1259" s="142"/>
      <c r="T1259" s="142"/>
      <c r="U1259" s="142"/>
      <c r="V1259" s="142"/>
    </row>
    <row r="1260" spans="1:22" s="14" customFormat="1" ht="15.75" customHeight="1" x14ac:dyDescent="0.25">
      <c r="A1260" s="141" t="s">
        <v>3728</v>
      </c>
      <c r="B1260" s="142" t="s">
        <v>13</v>
      </c>
      <c r="C1260" s="142" t="s">
        <v>30</v>
      </c>
      <c r="D1260" s="143">
        <v>44916</v>
      </c>
      <c r="E1260" s="242" t="s">
        <v>23</v>
      </c>
      <c r="F1260" s="242"/>
      <c r="G1260" s="242"/>
      <c r="H1260" s="142"/>
      <c r="I1260" s="142"/>
      <c r="J1260" s="144" t="s">
        <v>741</v>
      </c>
      <c r="K1260" s="142"/>
      <c r="L1260" s="142" t="s">
        <v>76</v>
      </c>
      <c r="M1260" s="142"/>
      <c r="N1260" s="142"/>
      <c r="O1260" s="142"/>
      <c r="P1260" s="142"/>
      <c r="Q1260" s="142"/>
      <c r="R1260" s="142"/>
      <c r="S1260" s="142"/>
      <c r="T1260" s="142"/>
      <c r="U1260" s="142"/>
      <c r="V1260" s="142"/>
    </row>
    <row r="1261" spans="1:22" s="14" customFormat="1" ht="15.75" customHeight="1" x14ac:dyDescent="0.25">
      <c r="A1261" s="141" t="s">
        <v>3728</v>
      </c>
      <c r="B1261" s="142" t="s">
        <v>13</v>
      </c>
      <c r="C1261" s="142" t="s">
        <v>30</v>
      </c>
      <c r="D1261" s="143">
        <v>44916</v>
      </c>
      <c r="E1261" s="242" t="s">
        <v>23</v>
      </c>
      <c r="F1261" s="242"/>
      <c r="G1261" s="242"/>
      <c r="H1261" s="142"/>
      <c r="I1261" s="142"/>
      <c r="J1261" s="144" t="s">
        <v>745</v>
      </c>
      <c r="K1261" s="142"/>
      <c r="L1261" s="142" t="s">
        <v>193</v>
      </c>
      <c r="M1261" s="142"/>
      <c r="N1261" s="142"/>
      <c r="O1261" s="142"/>
      <c r="P1261" s="142"/>
      <c r="Q1261" s="142"/>
      <c r="R1261" s="142"/>
      <c r="S1261" s="142"/>
      <c r="T1261" s="142"/>
      <c r="U1261" s="142"/>
      <c r="V1261" s="142"/>
    </row>
    <row r="1262" spans="1:22" s="14" customFormat="1" ht="15.75" customHeight="1" x14ac:dyDescent="0.25">
      <c r="A1262" s="141" t="s">
        <v>3729</v>
      </c>
      <c r="B1262" s="142" t="s">
        <v>13</v>
      </c>
      <c r="C1262" s="142" t="s">
        <v>30</v>
      </c>
      <c r="D1262" s="143">
        <v>44917</v>
      </c>
      <c r="E1262" s="242" t="s">
        <v>23</v>
      </c>
      <c r="F1262" s="242"/>
      <c r="G1262" s="242"/>
      <c r="H1262" s="142"/>
      <c r="I1262" s="142"/>
      <c r="J1262" s="144" t="s">
        <v>2728</v>
      </c>
      <c r="K1262" s="142"/>
      <c r="L1262" s="142">
        <v>256</v>
      </c>
      <c r="M1262" s="142"/>
      <c r="N1262" s="142"/>
      <c r="O1262" s="142"/>
      <c r="P1262" s="142"/>
      <c r="Q1262" s="142"/>
      <c r="R1262" s="142"/>
      <c r="S1262" s="142"/>
      <c r="T1262" s="142"/>
      <c r="U1262" s="142"/>
      <c r="V1262" s="142"/>
    </row>
    <row r="1263" spans="1:22" s="14" customFormat="1" ht="15.75" customHeight="1" x14ac:dyDescent="0.25">
      <c r="A1263" s="141" t="s">
        <v>3729</v>
      </c>
      <c r="B1263" s="142" t="s">
        <v>13</v>
      </c>
      <c r="C1263" s="142" t="s">
        <v>30</v>
      </c>
      <c r="D1263" s="143">
        <v>44917</v>
      </c>
      <c r="E1263" s="242" t="s">
        <v>23</v>
      </c>
      <c r="F1263" s="242"/>
      <c r="G1263" s="242"/>
      <c r="H1263" s="142"/>
      <c r="I1263" s="142"/>
      <c r="J1263" s="144" t="s">
        <v>214</v>
      </c>
      <c r="K1263" s="142"/>
      <c r="L1263" s="142" t="s">
        <v>181</v>
      </c>
      <c r="M1263" s="142"/>
      <c r="N1263" s="142"/>
      <c r="O1263" s="142"/>
      <c r="P1263" s="142"/>
      <c r="Q1263" s="142"/>
      <c r="R1263" s="142"/>
      <c r="S1263" s="142"/>
      <c r="T1263" s="142"/>
      <c r="U1263" s="142"/>
      <c r="V1263" s="142"/>
    </row>
    <row r="1264" spans="1:22" s="14" customFormat="1" ht="15.75" customHeight="1" x14ac:dyDescent="0.25">
      <c r="A1264" s="141" t="s">
        <v>3729</v>
      </c>
      <c r="B1264" s="142" t="s">
        <v>13</v>
      </c>
      <c r="C1264" s="142" t="s">
        <v>30</v>
      </c>
      <c r="D1264" s="143">
        <v>44917</v>
      </c>
      <c r="E1264" s="242" t="s">
        <v>23</v>
      </c>
      <c r="F1264" s="242"/>
      <c r="G1264" s="242"/>
      <c r="H1264" s="142"/>
      <c r="I1264" s="142"/>
      <c r="J1264" s="144" t="s">
        <v>215</v>
      </c>
      <c r="K1264" s="142"/>
      <c r="L1264" s="142" t="s">
        <v>181</v>
      </c>
      <c r="M1264" s="142"/>
      <c r="N1264" s="142"/>
      <c r="O1264" s="142"/>
      <c r="P1264" s="142"/>
      <c r="Q1264" s="142"/>
      <c r="R1264" s="142"/>
      <c r="S1264" s="142"/>
      <c r="T1264" s="142"/>
      <c r="U1264" s="142"/>
      <c r="V1264" s="142"/>
    </row>
    <row r="1265" spans="1:22" s="14" customFormat="1" ht="15.75" customHeight="1" x14ac:dyDescent="0.25">
      <c r="A1265" s="141" t="s">
        <v>3729</v>
      </c>
      <c r="B1265" s="142" t="s">
        <v>13</v>
      </c>
      <c r="C1265" s="142" t="s">
        <v>30</v>
      </c>
      <c r="D1265" s="143">
        <v>44917</v>
      </c>
      <c r="E1265" s="242" t="s">
        <v>23</v>
      </c>
      <c r="F1265" s="242"/>
      <c r="G1265" s="242"/>
      <c r="H1265" s="142"/>
      <c r="I1265" s="142"/>
      <c r="J1265" s="144" t="s">
        <v>216</v>
      </c>
      <c r="K1265" s="142"/>
      <c r="L1265" s="142" t="s">
        <v>181</v>
      </c>
      <c r="M1265" s="142"/>
      <c r="N1265" s="142"/>
      <c r="O1265" s="142"/>
      <c r="P1265" s="142"/>
      <c r="Q1265" s="142"/>
      <c r="R1265" s="142"/>
      <c r="S1265" s="142"/>
      <c r="T1265" s="142"/>
      <c r="U1265" s="142"/>
      <c r="V1265" s="142"/>
    </row>
    <row r="1266" spans="1:22" s="14" customFormat="1" ht="15.75" customHeight="1" x14ac:dyDescent="0.25">
      <c r="A1266" s="141" t="s">
        <v>3729</v>
      </c>
      <c r="B1266" s="142" t="s">
        <v>13</v>
      </c>
      <c r="C1266" s="142" t="s">
        <v>30</v>
      </c>
      <c r="D1266" s="143">
        <v>44917</v>
      </c>
      <c r="E1266" s="242" t="s">
        <v>23</v>
      </c>
      <c r="F1266" s="242"/>
      <c r="G1266" s="242"/>
      <c r="H1266" s="142"/>
      <c r="I1266" s="142"/>
      <c r="J1266" s="144" t="s">
        <v>219</v>
      </c>
      <c r="K1266" s="142"/>
      <c r="L1266" s="142" t="s">
        <v>181</v>
      </c>
      <c r="M1266" s="142"/>
      <c r="N1266" s="142"/>
      <c r="O1266" s="142"/>
      <c r="P1266" s="142"/>
      <c r="Q1266" s="142"/>
      <c r="R1266" s="142"/>
      <c r="S1266" s="142"/>
      <c r="T1266" s="142"/>
      <c r="U1266" s="142"/>
      <c r="V1266" s="142"/>
    </row>
    <row r="1267" spans="1:22" s="14" customFormat="1" ht="15.75" customHeight="1" x14ac:dyDescent="0.25">
      <c r="A1267" s="141" t="s">
        <v>3729</v>
      </c>
      <c r="B1267" s="142" t="s">
        <v>13</v>
      </c>
      <c r="C1267" s="142" t="s">
        <v>30</v>
      </c>
      <c r="D1267" s="143">
        <v>44917</v>
      </c>
      <c r="E1267" s="242" t="s">
        <v>23</v>
      </c>
      <c r="F1267" s="242"/>
      <c r="G1267" s="242"/>
      <c r="H1267" s="142"/>
      <c r="I1267" s="142"/>
      <c r="J1267" s="144" t="s">
        <v>220</v>
      </c>
      <c r="K1267" s="142"/>
      <c r="L1267" s="142" t="s">
        <v>181</v>
      </c>
      <c r="M1267" s="142"/>
      <c r="N1267" s="142"/>
      <c r="O1267" s="142"/>
      <c r="P1267" s="142"/>
      <c r="Q1267" s="142"/>
      <c r="R1267" s="142"/>
      <c r="S1267" s="142"/>
      <c r="T1267" s="142"/>
      <c r="U1267" s="142"/>
      <c r="V1267" s="142"/>
    </row>
    <row r="1268" spans="1:22" s="14" customFormat="1" ht="15.75" customHeight="1" x14ac:dyDescent="0.25">
      <c r="A1268" s="141" t="s">
        <v>3730</v>
      </c>
      <c r="B1268" s="142" t="s">
        <v>13</v>
      </c>
      <c r="C1268" s="142" t="s">
        <v>30</v>
      </c>
      <c r="D1268" s="143">
        <v>44917</v>
      </c>
      <c r="E1268" s="242" t="s">
        <v>23</v>
      </c>
      <c r="F1268" s="242"/>
      <c r="G1268" s="242"/>
      <c r="H1268" s="142"/>
      <c r="I1268" s="142"/>
      <c r="J1268" s="144" t="s">
        <v>99</v>
      </c>
      <c r="K1268" s="142"/>
      <c r="L1268" s="142" t="s">
        <v>53</v>
      </c>
      <c r="M1268" s="142"/>
      <c r="N1268" s="142"/>
      <c r="O1268" s="142"/>
      <c r="P1268" s="142"/>
      <c r="Q1268" s="142"/>
      <c r="R1268" s="142"/>
      <c r="S1268" s="142"/>
      <c r="T1268" s="142"/>
      <c r="U1268" s="142"/>
      <c r="V1268" s="142"/>
    </row>
    <row r="1269" spans="1:22" s="14" customFormat="1" ht="15.75" customHeight="1" x14ac:dyDescent="0.25">
      <c r="A1269" s="141" t="s">
        <v>3730</v>
      </c>
      <c r="B1269" s="142" t="s">
        <v>13</v>
      </c>
      <c r="C1269" s="142" t="s">
        <v>30</v>
      </c>
      <c r="D1269" s="143">
        <v>44917</v>
      </c>
      <c r="E1269" s="242" t="s">
        <v>23</v>
      </c>
      <c r="F1269" s="242"/>
      <c r="G1269" s="242"/>
      <c r="H1269" s="142"/>
      <c r="I1269" s="142"/>
      <c r="J1269" s="144" t="s">
        <v>102</v>
      </c>
      <c r="K1269" s="142"/>
      <c r="L1269" s="142" t="s">
        <v>53</v>
      </c>
      <c r="M1269" s="142"/>
      <c r="N1269" s="142"/>
      <c r="O1269" s="142"/>
      <c r="P1269" s="142"/>
      <c r="Q1269" s="142"/>
      <c r="R1269" s="142"/>
      <c r="S1269" s="142"/>
      <c r="T1269" s="142"/>
      <c r="U1269" s="142"/>
      <c r="V1269" s="142"/>
    </row>
    <row r="1270" spans="1:22" s="14" customFormat="1" ht="15.75" customHeight="1" x14ac:dyDescent="0.25">
      <c r="A1270" s="141" t="s">
        <v>3730</v>
      </c>
      <c r="B1270" s="142" t="s">
        <v>13</v>
      </c>
      <c r="C1270" s="142" t="s">
        <v>30</v>
      </c>
      <c r="D1270" s="143">
        <v>44917</v>
      </c>
      <c r="E1270" s="242" t="s">
        <v>23</v>
      </c>
      <c r="F1270" s="242"/>
      <c r="G1270" s="242"/>
      <c r="H1270" s="142"/>
      <c r="I1270" s="142"/>
      <c r="J1270" s="144" t="s">
        <v>95</v>
      </c>
      <c r="K1270" s="142"/>
      <c r="L1270" s="142" t="s">
        <v>54</v>
      </c>
      <c r="M1270" s="142"/>
      <c r="N1270" s="142"/>
      <c r="O1270" s="142"/>
      <c r="P1270" s="142"/>
      <c r="Q1270" s="142"/>
      <c r="R1270" s="142"/>
      <c r="S1270" s="142"/>
      <c r="T1270" s="142"/>
      <c r="U1270" s="142"/>
      <c r="V1270" s="142"/>
    </row>
    <row r="1271" spans="1:22" s="14" customFormat="1" ht="15.75" customHeight="1" x14ac:dyDescent="0.25">
      <c r="A1271" s="141" t="s">
        <v>3730</v>
      </c>
      <c r="B1271" s="142" t="s">
        <v>13</v>
      </c>
      <c r="C1271" s="142" t="s">
        <v>30</v>
      </c>
      <c r="D1271" s="143">
        <v>44917</v>
      </c>
      <c r="E1271" s="242" t="s">
        <v>23</v>
      </c>
      <c r="F1271" s="242"/>
      <c r="G1271" s="242"/>
      <c r="H1271" s="142"/>
      <c r="I1271" s="142"/>
      <c r="J1271" s="144" t="s">
        <v>98</v>
      </c>
      <c r="K1271" s="142"/>
      <c r="L1271" s="142" t="s">
        <v>54</v>
      </c>
      <c r="M1271" s="142"/>
      <c r="N1271" s="142"/>
      <c r="O1271" s="142"/>
      <c r="P1271" s="142"/>
      <c r="Q1271" s="142"/>
      <c r="R1271" s="142"/>
      <c r="S1271" s="142"/>
      <c r="T1271" s="142"/>
      <c r="U1271" s="142"/>
      <c r="V1271" s="142"/>
    </row>
    <row r="1272" spans="1:22" s="14" customFormat="1" ht="15.75" customHeight="1" x14ac:dyDescent="0.25">
      <c r="A1272" s="141" t="s">
        <v>3730</v>
      </c>
      <c r="B1272" s="142" t="s">
        <v>13</v>
      </c>
      <c r="C1272" s="142" t="s">
        <v>30</v>
      </c>
      <c r="D1272" s="143">
        <v>44917</v>
      </c>
      <c r="E1272" s="242" t="s">
        <v>23</v>
      </c>
      <c r="F1272" s="242"/>
      <c r="G1272" s="242"/>
      <c r="H1272" s="142"/>
      <c r="I1272" s="142"/>
      <c r="J1272" s="144" t="s">
        <v>92</v>
      </c>
      <c r="K1272" s="142"/>
      <c r="L1272" s="142" t="s">
        <v>36</v>
      </c>
      <c r="M1272" s="142"/>
      <c r="N1272" s="142"/>
      <c r="O1272" s="142"/>
      <c r="P1272" s="142"/>
      <c r="Q1272" s="142"/>
      <c r="R1272" s="142"/>
      <c r="S1272" s="142"/>
      <c r="T1272" s="142"/>
      <c r="U1272" s="142"/>
      <c r="V1272" s="142"/>
    </row>
    <row r="1273" spans="1:22" s="14" customFormat="1" ht="15.75" customHeight="1" x14ac:dyDescent="0.25">
      <c r="A1273" s="147" t="s">
        <v>3730</v>
      </c>
      <c r="B1273" s="145" t="s">
        <v>13</v>
      </c>
      <c r="C1273" s="145" t="s">
        <v>30</v>
      </c>
      <c r="D1273" s="148">
        <v>44917</v>
      </c>
      <c r="E1273" s="242" t="s">
        <v>23</v>
      </c>
      <c r="F1273" s="241"/>
      <c r="G1273" s="241"/>
      <c r="H1273" s="145"/>
      <c r="I1273" s="145"/>
      <c r="J1273" s="146" t="s">
        <v>94</v>
      </c>
      <c r="K1273" s="145"/>
      <c r="L1273" s="145" t="s">
        <v>36</v>
      </c>
      <c r="M1273" s="145"/>
      <c r="N1273" s="145"/>
      <c r="O1273" s="145"/>
      <c r="P1273" s="145"/>
      <c r="Q1273" s="145"/>
      <c r="R1273" s="145"/>
      <c r="S1273" s="145"/>
      <c r="T1273" s="145"/>
      <c r="U1273" s="145"/>
      <c r="V1273" s="145"/>
    </row>
    <row r="1274" spans="1:22" ht="15.75" customHeight="1" x14ac:dyDescent="0.25">
      <c r="A1274" s="171">
        <v>525</v>
      </c>
      <c r="B1274" s="163" t="s">
        <v>13</v>
      </c>
      <c r="C1274" s="163" t="s">
        <v>28</v>
      </c>
      <c r="D1274" s="172">
        <v>44921</v>
      </c>
      <c r="E1274" s="187" t="s">
        <v>22</v>
      </c>
      <c r="F1274" s="187"/>
      <c r="G1274" s="187"/>
      <c r="H1274" s="163"/>
      <c r="I1274" s="163"/>
      <c r="J1274" s="164" t="s">
        <v>3231</v>
      </c>
      <c r="K1274" s="163">
        <v>1362</v>
      </c>
      <c r="L1274" s="163" t="s">
        <v>3385</v>
      </c>
      <c r="M1274" s="163">
        <v>0.43969999999999998</v>
      </c>
      <c r="N1274" s="163">
        <v>1.1279999999999999</v>
      </c>
      <c r="O1274" s="163">
        <v>598.87139999999999</v>
      </c>
      <c r="P1274" s="163">
        <v>1536.336</v>
      </c>
      <c r="Q1274" s="163">
        <v>77.849999999999994</v>
      </c>
      <c r="R1274" s="163">
        <v>150.82</v>
      </c>
      <c r="S1274" s="163">
        <v>343</v>
      </c>
      <c r="T1274" s="163">
        <v>205416.84</v>
      </c>
      <c r="U1274" s="163"/>
      <c r="V1274" s="163"/>
    </row>
    <row r="1275" spans="1:22" ht="15.75" customHeight="1" x14ac:dyDescent="0.25">
      <c r="A1275" s="171">
        <v>526</v>
      </c>
      <c r="B1275" s="163" t="s">
        <v>34</v>
      </c>
      <c r="C1275" s="163" t="s">
        <v>553</v>
      </c>
      <c r="D1275" s="172">
        <v>44922</v>
      </c>
      <c r="E1275" s="187" t="s">
        <v>23</v>
      </c>
      <c r="F1275" s="187"/>
      <c r="G1275" s="187"/>
      <c r="H1275" s="163" t="s">
        <v>3753</v>
      </c>
      <c r="I1275" s="163"/>
      <c r="J1275" s="164" t="s">
        <v>3243</v>
      </c>
      <c r="K1275" s="145">
        <v>1620</v>
      </c>
      <c r="L1275" s="163" t="s">
        <v>3302</v>
      </c>
      <c r="M1275" s="163">
        <v>0.47389999999999999</v>
      </c>
      <c r="N1275" s="163">
        <v>1.355</v>
      </c>
      <c r="O1275" s="163">
        <v>767.71799999999996</v>
      </c>
      <c r="P1275" s="163">
        <v>2195.1</v>
      </c>
      <c r="Q1275" s="163">
        <v>99.8</v>
      </c>
      <c r="R1275" s="163">
        <v>149.28</v>
      </c>
      <c r="S1275" s="163">
        <v>315</v>
      </c>
      <c r="T1275" s="163">
        <v>241831.17</v>
      </c>
      <c r="U1275" s="163"/>
      <c r="V1275" s="163"/>
    </row>
    <row r="1276" spans="1:22" ht="30.75" customHeight="1" x14ac:dyDescent="0.25">
      <c r="A1276" s="171" t="s">
        <v>3733</v>
      </c>
      <c r="B1276" s="163" t="s">
        <v>13</v>
      </c>
      <c r="C1276" s="301" t="s">
        <v>3732</v>
      </c>
      <c r="D1276" s="172">
        <v>44922</v>
      </c>
      <c r="E1276" s="187" t="s">
        <v>23</v>
      </c>
      <c r="F1276" s="187"/>
      <c r="G1276" s="187"/>
      <c r="H1276" s="301" t="s">
        <v>3798</v>
      </c>
      <c r="I1276" s="163"/>
      <c r="J1276" s="164" t="s">
        <v>676</v>
      </c>
      <c r="K1276" s="163">
        <v>2052</v>
      </c>
      <c r="L1276" s="163">
        <v>684</v>
      </c>
      <c r="M1276" s="163"/>
      <c r="N1276" s="163"/>
      <c r="O1276" s="163"/>
      <c r="P1276" s="163"/>
      <c r="Q1276" s="163"/>
      <c r="R1276" s="163"/>
      <c r="S1276" s="163"/>
      <c r="T1276" s="163">
        <v>64636</v>
      </c>
      <c r="U1276" s="163"/>
      <c r="V1276" s="163"/>
    </row>
    <row r="1277" spans="1:22" ht="15.75" customHeight="1" x14ac:dyDescent="0.25">
      <c r="A1277" s="167" t="s">
        <v>3741</v>
      </c>
      <c r="B1277" s="162" t="s">
        <v>34</v>
      </c>
      <c r="C1277" s="162" t="s">
        <v>284</v>
      </c>
      <c r="D1277" s="168">
        <v>44921</v>
      </c>
      <c r="E1277" s="194" t="s">
        <v>23</v>
      </c>
      <c r="F1277" s="187"/>
      <c r="G1277" s="187"/>
      <c r="H1277" s="162"/>
      <c r="I1277" s="162"/>
      <c r="J1277" s="169" t="s">
        <v>2919</v>
      </c>
      <c r="K1277" s="142" t="s">
        <v>2921</v>
      </c>
      <c r="L1277" s="162"/>
      <c r="M1277" s="162"/>
      <c r="N1277" s="162"/>
      <c r="O1277" s="162"/>
      <c r="P1277" s="162"/>
      <c r="Q1277" s="162"/>
      <c r="R1277" s="162"/>
      <c r="S1277" s="162"/>
      <c r="T1277" s="162" t="s">
        <v>3737</v>
      </c>
      <c r="U1277" s="162"/>
      <c r="V1277" s="162"/>
    </row>
    <row r="1278" spans="1:22" ht="15.75" customHeight="1" x14ac:dyDescent="0.25">
      <c r="A1278" s="167" t="s">
        <v>3741</v>
      </c>
      <c r="B1278" s="162" t="s">
        <v>34</v>
      </c>
      <c r="C1278" s="162" t="s">
        <v>284</v>
      </c>
      <c r="D1278" s="168">
        <v>44921</v>
      </c>
      <c r="E1278" s="194" t="s">
        <v>23</v>
      </c>
      <c r="F1278" s="218"/>
      <c r="G1278" s="218"/>
      <c r="H1278" s="162"/>
      <c r="I1278" s="162"/>
      <c r="J1278" s="169" t="s">
        <v>3325</v>
      </c>
      <c r="K1278" s="142" t="s">
        <v>3389</v>
      </c>
      <c r="L1278" s="162"/>
      <c r="M1278" s="162"/>
      <c r="N1278" s="162"/>
      <c r="O1278" s="162"/>
      <c r="P1278" s="162"/>
      <c r="Q1278" s="162"/>
      <c r="R1278" s="162"/>
      <c r="S1278" s="162"/>
      <c r="T1278" s="162" t="s">
        <v>3738</v>
      </c>
      <c r="U1278" s="162"/>
      <c r="V1278" s="162"/>
    </row>
    <row r="1279" spans="1:22" ht="15.75" customHeight="1" x14ac:dyDescent="0.25">
      <c r="A1279" s="167" t="s">
        <v>3741</v>
      </c>
      <c r="B1279" s="162" t="s">
        <v>34</v>
      </c>
      <c r="C1279" s="162" t="s">
        <v>284</v>
      </c>
      <c r="D1279" s="168">
        <v>44921</v>
      </c>
      <c r="E1279" s="194" t="s">
        <v>23</v>
      </c>
      <c r="F1279" s="218"/>
      <c r="G1279" s="218"/>
      <c r="H1279" s="162"/>
      <c r="I1279" s="162"/>
      <c r="J1279" s="169" t="s">
        <v>3734</v>
      </c>
      <c r="K1279" s="142" t="s">
        <v>3736</v>
      </c>
      <c r="L1279" s="162"/>
      <c r="M1279" s="162"/>
      <c r="N1279" s="162"/>
      <c r="O1279" s="162"/>
      <c r="P1279" s="162"/>
      <c r="Q1279" s="162"/>
      <c r="R1279" s="162"/>
      <c r="S1279" s="162"/>
      <c r="T1279" s="162" t="s">
        <v>3739</v>
      </c>
      <c r="U1279" s="162"/>
      <c r="V1279" s="162"/>
    </row>
    <row r="1280" spans="1:22" ht="15.75" customHeight="1" x14ac:dyDescent="0.25">
      <c r="A1280" s="167" t="s">
        <v>3741</v>
      </c>
      <c r="B1280" s="162" t="s">
        <v>34</v>
      </c>
      <c r="C1280" s="162" t="s">
        <v>284</v>
      </c>
      <c r="D1280" s="168">
        <v>44921</v>
      </c>
      <c r="E1280" s="194" t="s">
        <v>23</v>
      </c>
      <c r="F1280" s="218"/>
      <c r="G1280" s="218"/>
      <c r="H1280" s="163"/>
      <c r="I1280" s="163"/>
      <c r="J1280" s="164" t="s">
        <v>3735</v>
      </c>
      <c r="K1280" s="145" t="s">
        <v>3552</v>
      </c>
      <c r="L1280" s="163"/>
      <c r="M1280" s="163"/>
      <c r="N1280" s="163"/>
      <c r="O1280" s="163"/>
      <c r="P1280" s="163"/>
      <c r="Q1280" s="163"/>
      <c r="R1280" s="163"/>
      <c r="S1280" s="163"/>
      <c r="T1280" s="163" t="s">
        <v>3740</v>
      </c>
      <c r="U1280" s="163"/>
      <c r="V1280" s="163"/>
    </row>
    <row r="1281" spans="1:22" ht="15.75" customHeight="1" x14ac:dyDescent="0.25">
      <c r="A1281" s="171">
        <v>530</v>
      </c>
      <c r="B1281" s="163" t="s">
        <v>34</v>
      </c>
      <c r="C1281" s="163" t="s">
        <v>3743</v>
      </c>
      <c r="D1281" s="172">
        <v>44924</v>
      </c>
      <c r="E1281" s="187" t="s">
        <v>23</v>
      </c>
      <c r="F1281" s="187"/>
      <c r="G1281" s="187"/>
      <c r="H1281" s="163"/>
      <c r="I1281" s="163"/>
      <c r="J1281" s="164" t="s">
        <v>3742</v>
      </c>
      <c r="K1281" s="145">
        <v>474.3</v>
      </c>
      <c r="L1281" s="163" t="s">
        <v>2278</v>
      </c>
      <c r="M1281" s="163">
        <v>0.2762</v>
      </c>
      <c r="N1281" s="163">
        <v>0.98399999999999999</v>
      </c>
      <c r="O1281" s="163">
        <v>131.0017</v>
      </c>
      <c r="P1281" s="163">
        <v>466.71120000000002</v>
      </c>
      <c r="Q1281" s="163">
        <v>17.03</v>
      </c>
      <c r="R1281" s="163">
        <v>99.93</v>
      </c>
      <c r="S1281" s="163">
        <v>361.8</v>
      </c>
      <c r="T1281" s="163">
        <v>47396.4</v>
      </c>
      <c r="U1281" s="163"/>
      <c r="V1281" s="163"/>
    </row>
    <row r="1282" spans="1:22" ht="15.75" customHeight="1" x14ac:dyDescent="0.25">
      <c r="A1282" s="171">
        <v>532</v>
      </c>
      <c r="B1282" s="163" t="s">
        <v>13</v>
      </c>
      <c r="C1282" s="163" t="s">
        <v>1433</v>
      </c>
      <c r="D1282" s="172">
        <v>44924</v>
      </c>
      <c r="E1282" s="187" t="s">
        <v>23</v>
      </c>
      <c r="F1282" s="187"/>
      <c r="G1282" s="187"/>
      <c r="H1282" s="163"/>
      <c r="I1282" s="163"/>
      <c r="J1282" s="164" t="s">
        <v>3744</v>
      </c>
      <c r="K1282" s="145">
        <v>212</v>
      </c>
      <c r="L1282" s="163"/>
      <c r="M1282" s="163"/>
      <c r="N1282" s="163"/>
      <c r="O1282" s="163"/>
      <c r="P1282" s="163"/>
      <c r="Q1282" s="163"/>
      <c r="R1282" s="163">
        <v>23137.68</v>
      </c>
      <c r="S1282" s="163"/>
      <c r="T1282" s="163"/>
      <c r="U1282" s="163"/>
      <c r="V1282" s="163"/>
    </row>
    <row r="1283" spans="1:22" ht="15.75" customHeight="1" x14ac:dyDescent="0.25">
      <c r="A1283" s="171">
        <v>533</v>
      </c>
      <c r="B1283" s="163" t="s">
        <v>13</v>
      </c>
      <c r="C1283" s="163" t="s">
        <v>2466</v>
      </c>
      <c r="D1283" s="172">
        <v>44925</v>
      </c>
      <c r="E1283" s="187" t="s">
        <v>23</v>
      </c>
      <c r="F1283" s="187"/>
      <c r="G1283" s="187"/>
      <c r="H1283" s="163"/>
      <c r="I1283" s="163"/>
      <c r="J1283" s="164" t="s">
        <v>3745</v>
      </c>
      <c r="K1283" s="145">
        <v>135</v>
      </c>
      <c r="L1283" s="163" t="s">
        <v>208</v>
      </c>
      <c r="M1283" s="163">
        <v>0.2079</v>
      </c>
      <c r="N1283" s="163">
        <v>0.55600000000000005</v>
      </c>
      <c r="O1283" s="163">
        <v>28.066500000000001</v>
      </c>
      <c r="P1283" s="163">
        <v>75.06</v>
      </c>
      <c r="Q1283" s="163">
        <v>3.65</v>
      </c>
      <c r="R1283" s="163">
        <v>90.02</v>
      </c>
      <c r="S1283" s="163">
        <v>433</v>
      </c>
      <c r="T1283" s="163">
        <v>12152.79</v>
      </c>
      <c r="U1283" s="163"/>
      <c r="V1283" s="163"/>
    </row>
  </sheetData>
  <conditionalFormatting sqref="E151">
    <cfRule type="cellIs" dxfId="79" priority="124" operator="equal">
      <formula>"готова"</formula>
    </cfRule>
    <cfRule type="cellIs" dxfId="78" priority="125" operator="equal">
      <formula>"отмена"</formula>
    </cfRule>
    <cfRule type="cellIs" dxfId="77" priority="126" operator="equal">
      <formula>"готов"</formula>
    </cfRule>
    <cfRule type="cellIs" dxfId="76" priority="127" operator="equal">
      <formula>"в работе"</formula>
    </cfRule>
    <cfRule type="cellIs" dxfId="75" priority="128" operator="equal">
      <formula>"вывезено"</formula>
    </cfRule>
  </conditionalFormatting>
  <conditionalFormatting sqref="E240:E241">
    <cfRule type="cellIs" dxfId="74" priority="21" operator="equal">
      <formula>"готова"</formula>
    </cfRule>
    <cfRule type="cellIs" dxfId="73" priority="22" operator="equal">
      <formula>"отмена"</formula>
    </cfRule>
    <cfRule type="cellIs" dxfId="72" priority="23" operator="equal">
      <formula>"готов"</formula>
    </cfRule>
    <cfRule type="cellIs" dxfId="71" priority="24" operator="equal">
      <formula>"в работе"</formula>
    </cfRule>
    <cfRule type="cellIs" dxfId="70" priority="25" operator="equal">
      <formula>"вывезено"</formula>
    </cfRule>
  </conditionalFormatting>
  <conditionalFormatting sqref="E378:F380 E381:G501 E502:E504 E503:G604 E605:E611 G605:G611 E1274:G1048576">
    <cfRule type="cellIs" dxfId="69" priority="129" operator="equal">
      <formula>"готова"</formula>
    </cfRule>
    <cfRule type="cellIs" dxfId="68" priority="130" operator="equal">
      <formula>"отмена"</formula>
    </cfRule>
    <cfRule type="cellIs" dxfId="67" priority="131" operator="equal">
      <formula>"готов"</formula>
    </cfRule>
    <cfRule type="cellIs" dxfId="66" priority="132" operator="equal">
      <formula>"в работе"</formula>
    </cfRule>
    <cfRule type="cellIs" dxfId="65" priority="133" operator="equal">
      <formula>"вывезено"</formula>
    </cfRule>
  </conditionalFormatting>
  <conditionalFormatting sqref="E1:G377">
    <cfRule type="cellIs" dxfId="64" priority="6" operator="equal">
      <formula>"готова"</formula>
    </cfRule>
    <cfRule type="cellIs" dxfId="63" priority="7" operator="equal">
      <formula>"отмена"</formula>
    </cfRule>
    <cfRule type="cellIs" dxfId="62" priority="8" operator="equal">
      <formula>"готов"</formula>
    </cfRule>
    <cfRule type="cellIs" dxfId="61" priority="9" operator="equal">
      <formula>"в работе"</formula>
    </cfRule>
    <cfRule type="cellIs" dxfId="60" priority="10" operator="equal">
      <formula>"вывезено"</formula>
    </cfRule>
  </conditionalFormatting>
  <conditionalFormatting sqref="E612:G1273">
    <cfRule type="cellIs" dxfId="59" priority="1" operator="equal">
      <formula>"готова"</formula>
    </cfRule>
    <cfRule type="cellIs" dxfId="58" priority="2" operator="equal">
      <formula>"отмена"</formula>
    </cfRule>
    <cfRule type="cellIs" dxfId="57" priority="3" operator="equal">
      <formula>"готов"</formula>
    </cfRule>
    <cfRule type="cellIs" dxfId="56" priority="4" operator="equal">
      <formula>"в работе"</formula>
    </cfRule>
    <cfRule type="cellIs" dxfId="55" priority="5" operator="equal">
      <formula>"вывезено"</formula>
    </cfRule>
  </conditionalFormatting>
  <conditionalFormatting sqref="H1">
    <cfRule type="cellIs" dxfId="54" priority="114" operator="equal">
      <formula>"не завезли"</formula>
    </cfRule>
    <cfRule type="cellIs" dxfId="53" priority="115" operator="equal">
      <formula>"отменена"</formula>
    </cfRule>
    <cfRule type="cellIs" dxfId="52" priority="116" operator="equal">
      <formula>"в работе"</formula>
    </cfRule>
    <cfRule type="cellIs" dxfId="51" priority="117" operator="equal">
      <formula>"готова"</formula>
    </cfRule>
    <cfRule type="cellIs" dxfId="50" priority="118" operator="equal">
      <formula>"вывезено"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landscape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Лист2">
    <pageSetUpPr fitToPage="1"/>
  </sheetPr>
  <dimension ref="A1:X1694"/>
  <sheetViews>
    <sheetView zoomScale="70" zoomScaleNormal="70" zoomScaleSheetLayoutView="70" workbookViewId="0">
      <pane ySplit="1" topLeftCell="A275" activePane="bottomLeft" state="frozen"/>
      <selection pane="bottomLeft" activeCell="F43" sqref="F43"/>
    </sheetView>
  </sheetViews>
  <sheetFormatPr defaultColWidth="8.85546875" defaultRowHeight="15.75" x14ac:dyDescent="0.25"/>
  <cols>
    <col min="1" max="1" width="18.85546875" style="32" customWidth="1"/>
    <col min="2" max="2" width="14.5703125" style="14" customWidth="1"/>
    <col min="3" max="3" width="22.140625" style="121" customWidth="1"/>
    <col min="4" max="4" width="12.7109375" style="14" customWidth="1"/>
    <col min="5" max="5" width="17.42578125" style="33" customWidth="1"/>
    <col min="6" max="6" width="14" style="33" customWidth="1"/>
    <col min="7" max="7" width="43.28515625" style="14" customWidth="1"/>
    <col min="8" max="8" width="15.85546875" style="34" customWidth="1"/>
    <col min="9" max="9" width="84" style="14" customWidth="1"/>
    <col min="10" max="10" width="14.28515625" style="14" customWidth="1"/>
    <col min="11" max="11" width="10.7109375" style="14" customWidth="1"/>
    <col min="12" max="12" width="9.140625" style="14" bestFit="1" customWidth="1"/>
    <col min="13" max="13" width="9" style="14" bestFit="1" customWidth="1"/>
    <col min="14" max="14" width="9.140625" style="14" bestFit="1" customWidth="1"/>
    <col min="15" max="15" width="12.85546875" style="14" bestFit="1" customWidth="1"/>
    <col min="16" max="16" width="9.28515625" style="14" bestFit="1" customWidth="1"/>
    <col min="17" max="18" width="9.140625" style="14" bestFit="1" customWidth="1"/>
    <col min="19" max="20" width="12.5703125" style="14" customWidth="1"/>
    <col min="21" max="16384" width="8.85546875" style="14"/>
  </cols>
  <sheetData>
    <row r="1" spans="1:23" ht="87" x14ac:dyDescent="0.2">
      <c r="A1" s="2" t="s">
        <v>0</v>
      </c>
      <c r="B1" s="3" t="s">
        <v>1</v>
      </c>
      <c r="C1" s="120" t="s">
        <v>2</v>
      </c>
      <c r="D1" s="4" t="s">
        <v>3</v>
      </c>
      <c r="E1" s="5" t="s">
        <v>4</v>
      </c>
      <c r="F1" s="311" t="s">
        <v>4777</v>
      </c>
      <c r="G1" s="6" t="s">
        <v>5</v>
      </c>
      <c r="H1" s="1" t="s">
        <v>35</v>
      </c>
      <c r="I1" s="7" t="s">
        <v>1591</v>
      </c>
      <c r="J1" s="8" t="s">
        <v>1397</v>
      </c>
      <c r="K1" s="8" t="s">
        <v>1398</v>
      </c>
      <c r="L1" s="9" t="s">
        <v>6</v>
      </c>
      <c r="M1" s="10" t="s">
        <v>7</v>
      </c>
      <c r="N1" s="10" t="s">
        <v>8</v>
      </c>
      <c r="O1" s="10" t="s">
        <v>9</v>
      </c>
      <c r="P1" s="10" t="s">
        <v>10</v>
      </c>
      <c r="Q1" s="10" t="s">
        <v>1399</v>
      </c>
      <c r="R1" s="10" t="s">
        <v>11</v>
      </c>
      <c r="S1" s="11" t="s">
        <v>12</v>
      </c>
      <c r="T1" s="10" t="s">
        <v>20</v>
      </c>
      <c r="U1" s="12" t="s">
        <v>21</v>
      </c>
      <c r="V1" s="13"/>
      <c r="W1" s="13"/>
    </row>
    <row r="2" spans="1:23" x14ac:dyDescent="0.25">
      <c r="A2" s="37">
        <v>21</v>
      </c>
      <c r="B2" s="38" t="s">
        <v>13</v>
      </c>
      <c r="C2" s="39" t="s">
        <v>557</v>
      </c>
      <c r="D2" s="40">
        <v>44207</v>
      </c>
      <c r="E2" s="18" t="s">
        <v>23</v>
      </c>
      <c r="F2" s="18"/>
      <c r="G2" s="41"/>
      <c r="H2" s="40">
        <v>44211</v>
      </c>
      <c r="I2" s="42" t="s">
        <v>658</v>
      </c>
      <c r="J2" s="43">
        <v>1146.8</v>
      </c>
      <c r="K2" s="44" t="s">
        <v>670</v>
      </c>
      <c r="L2" s="44">
        <v>0.34810000000000002</v>
      </c>
      <c r="M2" s="44">
        <v>1.4930000000000001</v>
      </c>
      <c r="N2" s="45">
        <v>399.2011</v>
      </c>
      <c r="O2" s="46">
        <v>1712.1723999999999</v>
      </c>
      <c r="P2" s="46">
        <v>51.9</v>
      </c>
      <c r="Q2" s="47">
        <v>60.57</v>
      </c>
      <c r="R2" s="44">
        <v>174</v>
      </c>
      <c r="S2" s="44">
        <v>69460.990000000005</v>
      </c>
      <c r="T2" s="44"/>
      <c r="U2" s="48"/>
    </row>
    <row r="3" spans="1:23" x14ac:dyDescent="0.25">
      <c r="A3" s="37">
        <v>22</v>
      </c>
      <c r="B3" s="38" t="s">
        <v>13</v>
      </c>
      <c r="C3" s="39" t="s">
        <v>548</v>
      </c>
      <c r="D3" s="40">
        <v>44207</v>
      </c>
      <c r="E3" s="18" t="s">
        <v>23</v>
      </c>
      <c r="F3" s="18"/>
      <c r="G3" s="41"/>
      <c r="H3" s="40">
        <v>44211</v>
      </c>
      <c r="I3" s="42" t="s">
        <v>669</v>
      </c>
      <c r="J3" s="43">
        <v>792</v>
      </c>
      <c r="K3" s="44" t="s">
        <v>82</v>
      </c>
      <c r="L3" s="44">
        <v>0.29759999999999998</v>
      </c>
      <c r="M3" s="44">
        <v>0.67600000000000005</v>
      </c>
      <c r="N3" s="45">
        <v>235.69919999999999</v>
      </c>
      <c r="O3" s="46">
        <v>535.39200000000005</v>
      </c>
      <c r="P3" s="46">
        <v>30.64</v>
      </c>
      <c r="Q3" s="47">
        <v>56.25</v>
      </c>
      <c r="R3" s="44">
        <v>189</v>
      </c>
      <c r="S3" s="44">
        <v>44547.15</v>
      </c>
      <c r="T3" s="44"/>
      <c r="U3" s="48"/>
    </row>
    <row r="4" spans="1:23" x14ac:dyDescent="0.25">
      <c r="A4" s="37">
        <v>23</v>
      </c>
      <c r="B4" s="38" t="s">
        <v>13</v>
      </c>
      <c r="C4" s="49" t="s">
        <v>672</v>
      </c>
      <c r="D4" s="40">
        <v>44207</v>
      </c>
      <c r="E4" s="18" t="s">
        <v>23</v>
      </c>
      <c r="F4" s="18"/>
      <c r="G4" s="41"/>
      <c r="H4" s="40">
        <v>44217</v>
      </c>
      <c r="I4" s="42" t="s">
        <v>669</v>
      </c>
      <c r="J4" s="43">
        <v>720</v>
      </c>
      <c r="K4" s="44" t="s">
        <v>673</v>
      </c>
      <c r="L4" s="44">
        <v>0.29759999999999998</v>
      </c>
      <c r="M4" s="44">
        <v>0.67600000000000005</v>
      </c>
      <c r="N4" s="45">
        <v>214.27199999999999</v>
      </c>
      <c r="O4" s="46">
        <v>486.72</v>
      </c>
      <c r="P4" s="46">
        <v>27.86</v>
      </c>
      <c r="Q4" s="47">
        <v>56.25</v>
      </c>
      <c r="R4" s="44">
        <v>189</v>
      </c>
      <c r="S4" s="44">
        <v>40500</v>
      </c>
      <c r="T4" s="44"/>
      <c r="U4" s="48"/>
    </row>
    <row r="5" spans="1:23" x14ac:dyDescent="0.25">
      <c r="A5" s="37">
        <v>24</v>
      </c>
      <c r="B5" s="38" t="s">
        <v>13</v>
      </c>
      <c r="C5" s="39" t="s">
        <v>671</v>
      </c>
      <c r="D5" s="40">
        <v>44207</v>
      </c>
      <c r="E5" s="18" t="s">
        <v>23</v>
      </c>
      <c r="F5" s="18"/>
      <c r="G5" s="41"/>
      <c r="H5" s="40">
        <v>44211</v>
      </c>
      <c r="I5" s="42" t="s">
        <v>669</v>
      </c>
      <c r="J5" s="43">
        <v>300</v>
      </c>
      <c r="K5" s="44" t="s">
        <v>305</v>
      </c>
      <c r="L5" s="44">
        <v>0.29759999999999998</v>
      </c>
      <c r="M5" s="44">
        <v>0.67600000000000005</v>
      </c>
      <c r="N5" s="45">
        <v>89.28</v>
      </c>
      <c r="O5" s="46">
        <v>202.8</v>
      </c>
      <c r="P5" s="46">
        <v>11.61</v>
      </c>
      <c r="Q5" s="47">
        <v>56.25</v>
      </c>
      <c r="R5" s="44">
        <v>189</v>
      </c>
      <c r="S5" s="44">
        <v>16873.919999999998</v>
      </c>
      <c r="T5" s="44"/>
      <c r="U5" s="48"/>
    </row>
    <row r="6" spans="1:23" x14ac:dyDescent="0.25">
      <c r="A6" s="37">
        <v>1</v>
      </c>
      <c r="B6" s="38" t="s">
        <v>13</v>
      </c>
      <c r="C6" s="39" t="s">
        <v>15</v>
      </c>
      <c r="D6" s="40">
        <v>44207</v>
      </c>
      <c r="E6" s="18" t="s">
        <v>23</v>
      </c>
      <c r="F6" s="18"/>
      <c r="G6" s="41"/>
      <c r="H6" s="40">
        <v>44513</v>
      </c>
      <c r="I6" s="42" t="s">
        <v>89</v>
      </c>
      <c r="J6" s="43"/>
      <c r="K6" s="44">
        <v>48</v>
      </c>
      <c r="L6" s="44"/>
      <c r="M6" s="44"/>
      <c r="N6" s="45"/>
      <c r="O6" s="46"/>
      <c r="P6" s="46"/>
      <c r="Q6" s="47"/>
      <c r="R6" s="44"/>
      <c r="S6" s="44">
        <v>34992</v>
      </c>
      <c r="T6" s="44"/>
      <c r="U6" s="48"/>
    </row>
    <row r="7" spans="1:23" x14ac:dyDescent="0.25">
      <c r="A7" s="37">
        <v>29</v>
      </c>
      <c r="B7" s="38" t="s">
        <v>13</v>
      </c>
      <c r="C7" s="39" t="s">
        <v>674</v>
      </c>
      <c r="D7" s="40">
        <v>44208</v>
      </c>
      <c r="E7" s="18" t="s">
        <v>23</v>
      </c>
      <c r="F7" s="18"/>
      <c r="G7" s="41" t="s">
        <v>1102</v>
      </c>
      <c r="H7" s="40">
        <v>44216</v>
      </c>
      <c r="I7" s="42" t="s">
        <v>600</v>
      </c>
      <c r="J7" s="43">
        <v>1668</v>
      </c>
      <c r="K7" s="44" t="s">
        <v>675</v>
      </c>
      <c r="L7" s="44">
        <v>0.30719999999999997</v>
      </c>
      <c r="M7" s="44">
        <v>0.69199999999999995</v>
      </c>
      <c r="N7" s="45">
        <v>512.40959999999995</v>
      </c>
      <c r="O7" s="46">
        <v>1154.2560000000001</v>
      </c>
      <c r="P7" s="46">
        <v>66.61</v>
      </c>
      <c r="Q7" s="47">
        <v>88.47</v>
      </c>
      <c r="R7" s="44">
        <v>288</v>
      </c>
      <c r="S7" s="44">
        <v>147573.96</v>
      </c>
      <c r="T7" s="44"/>
      <c r="U7" s="48"/>
    </row>
    <row r="8" spans="1:23" x14ac:dyDescent="0.25">
      <c r="A8" s="37">
        <v>3</v>
      </c>
      <c r="B8" s="38" t="s">
        <v>13</v>
      </c>
      <c r="C8" s="39" t="s">
        <v>589</v>
      </c>
      <c r="D8" s="40">
        <v>44208</v>
      </c>
      <c r="E8" s="18" t="s">
        <v>23</v>
      </c>
      <c r="F8" s="18"/>
      <c r="G8" s="41"/>
      <c r="H8" s="40">
        <v>44224</v>
      </c>
      <c r="I8" s="42" t="s">
        <v>676</v>
      </c>
      <c r="J8" s="43">
        <v>7299</v>
      </c>
      <c r="K8" s="44"/>
      <c r="L8" s="44"/>
      <c r="M8" s="44"/>
      <c r="N8" s="45"/>
      <c r="O8" s="46"/>
      <c r="P8" s="46"/>
      <c r="Q8" s="47"/>
      <c r="R8" s="44"/>
      <c r="S8" s="44">
        <v>127732.5</v>
      </c>
      <c r="T8" s="44"/>
      <c r="U8" s="48"/>
    </row>
    <row r="9" spans="1:23" x14ac:dyDescent="0.25">
      <c r="A9" s="37">
        <v>5</v>
      </c>
      <c r="B9" s="38" t="s">
        <v>13</v>
      </c>
      <c r="C9" s="39" t="s">
        <v>15</v>
      </c>
      <c r="D9" s="40">
        <v>44209</v>
      </c>
      <c r="E9" s="18" t="s">
        <v>23</v>
      </c>
      <c r="F9" s="18"/>
      <c r="G9" s="41"/>
      <c r="H9" s="40">
        <v>44515</v>
      </c>
      <c r="I9" s="42" t="s">
        <v>89</v>
      </c>
      <c r="J9" s="43"/>
      <c r="K9" s="44">
        <v>48</v>
      </c>
      <c r="L9" s="44"/>
      <c r="M9" s="44"/>
      <c r="N9" s="45"/>
      <c r="O9" s="46"/>
      <c r="P9" s="46"/>
      <c r="Q9" s="47"/>
      <c r="R9" s="44"/>
      <c r="S9" s="44">
        <v>34992</v>
      </c>
      <c r="T9" s="44"/>
      <c r="U9" s="48"/>
    </row>
    <row r="10" spans="1:23" x14ac:dyDescent="0.25">
      <c r="A10" s="37">
        <v>30</v>
      </c>
      <c r="B10" s="38" t="s">
        <v>34</v>
      </c>
      <c r="C10" s="39" t="s">
        <v>861</v>
      </c>
      <c r="D10" s="40">
        <v>44210</v>
      </c>
      <c r="E10" s="18" t="s">
        <v>23</v>
      </c>
      <c r="F10" s="18"/>
      <c r="G10" s="41" t="s">
        <v>680</v>
      </c>
      <c r="H10" s="40">
        <v>44211</v>
      </c>
      <c r="I10" s="42" t="s">
        <v>678</v>
      </c>
      <c r="J10" s="43">
        <v>5</v>
      </c>
      <c r="K10" s="44" t="s">
        <v>679</v>
      </c>
      <c r="L10" s="44">
        <v>0.45200000000000001</v>
      </c>
      <c r="M10" s="44">
        <v>1.5049999999999999</v>
      </c>
      <c r="N10" s="45">
        <v>2.2599999999999998</v>
      </c>
      <c r="O10" s="46">
        <v>7.5250000000000004</v>
      </c>
      <c r="P10" s="46">
        <v>0.28999999999999998</v>
      </c>
      <c r="Q10" s="47">
        <v>118.88</v>
      </c>
      <c r="R10" s="44">
        <v>263.01</v>
      </c>
      <c r="S10" s="44">
        <v>594.4</v>
      </c>
      <c r="T10" s="44"/>
      <c r="U10" s="48"/>
    </row>
    <row r="11" spans="1:23" x14ac:dyDescent="0.25">
      <c r="A11" s="37">
        <v>31</v>
      </c>
      <c r="B11" s="38" t="s">
        <v>13</v>
      </c>
      <c r="C11" s="39" t="s">
        <v>625</v>
      </c>
      <c r="D11" s="40">
        <v>44210</v>
      </c>
      <c r="E11" s="18" t="s">
        <v>23</v>
      </c>
      <c r="F11" s="18"/>
      <c r="G11" s="41"/>
      <c r="H11" s="40">
        <v>44211</v>
      </c>
      <c r="I11" s="42" t="s">
        <v>681</v>
      </c>
      <c r="J11" s="50">
        <v>4.7</v>
      </c>
      <c r="K11" s="44">
        <v>1</v>
      </c>
      <c r="L11" s="44">
        <v>0.34789999999999999</v>
      </c>
      <c r="M11" s="44">
        <v>1.643</v>
      </c>
      <c r="N11" s="45">
        <v>1.6351</v>
      </c>
      <c r="O11" s="46">
        <v>7.7221000000000002</v>
      </c>
      <c r="P11" s="46">
        <v>0.21</v>
      </c>
      <c r="Q11" s="47">
        <v>65.75</v>
      </c>
      <c r="R11" s="44">
        <v>189</v>
      </c>
      <c r="S11" s="44">
        <v>309.04000000000002</v>
      </c>
      <c r="T11" s="44"/>
      <c r="U11" s="48"/>
    </row>
    <row r="12" spans="1:23" x14ac:dyDescent="0.25">
      <c r="A12" s="37">
        <v>32</v>
      </c>
      <c r="B12" s="38" t="s">
        <v>13</v>
      </c>
      <c r="C12" s="39" t="s">
        <v>682</v>
      </c>
      <c r="D12" s="40">
        <v>44210</v>
      </c>
      <c r="E12" s="18" t="s">
        <v>23</v>
      </c>
      <c r="F12" s="18"/>
      <c r="G12" s="41"/>
      <c r="H12" s="40">
        <v>44217</v>
      </c>
      <c r="I12" s="42" t="s">
        <v>58</v>
      </c>
      <c r="J12" s="50">
        <v>49.6</v>
      </c>
      <c r="K12" s="44" t="s">
        <v>520</v>
      </c>
      <c r="L12" s="44">
        <v>0.9929</v>
      </c>
      <c r="M12" s="44">
        <v>4.5880000000000001</v>
      </c>
      <c r="N12" s="45">
        <v>49.247799999999998</v>
      </c>
      <c r="O12" s="46">
        <v>227.56479999999999</v>
      </c>
      <c r="P12" s="46">
        <v>6.4</v>
      </c>
      <c r="Q12" s="47">
        <v>261.13</v>
      </c>
      <c r="R12" s="44">
        <v>263</v>
      </c>
      <c r="S12" s="44">
        <v>12952.18</v>
      </c>
      <c r="T12" s="44"/>
      <c r="U12" s="48"/>
    </row>
    <row r="13" spans="1:23" x14ac:dyDescent="0.25">
      <c r="A13" s="37">
        <v>33</v>
      </c>
      <c r="B13" s="38" t="s">
        <v>34</v>
      </c>
      <c r="C13" s="39" t="s">
        <v>328</v>
      </c>
      <c r="D13" s="40">
        <v>44211</v>
      </c>
      <c r="E13" s="18" t="s">
        <v>23</v>
      </c>
      <c r="F13" s="18"/>
      <c r="G13" s="41"/>
      <c r="H13" s="40">
        <v>44218</v>
      </c>
      <c r="I13" s="42" t="s">
        <v>650</v>
      </c>
      <c r="J13" s="43">
        <v>630</v>
      </c>
      <c r="K13" s="44" t="s">
        <v>274</v>
      </c>
      <c r="L13" s="44">
        <v>0.30919999999999997</v>
      </c>
      <c r="M13" s="44">
        <v>1.1000000000000001</v>
      </c>
      <c r="N13" s="45">
        <v>194.79599999999999</v>
      </c>
      <c r="O13" s="46">
        <v>693</v>
      </c>
      <c r="P13" s="46">
        <v>25.32</v>
      </c>
      <c r="Q13" s="47">
        <v>97.49</v>
      </c>
      <c r="R13" s="44">
        <v>315.3</v>
      </c>
      <c r="S13" s="44">
        <v>61419.18</v>
      </c>
      <c r="T13" s="44"/>
      <c r="U13" s="48"/>
    </row>
    <row r="14" spans="1:23" x14ac:dyDescent="0.25">
      <c r="A14" s="37">
        <v>34</v>
      </c>
      <c r="B14" s="38" t="s">
        <v>34</v>
      </c>
      <c r="C14" s="39" t="s">
        <v>46</v>
      </c>
      <c r="D14" s="40">
        <v>44211</v>
      </c>
      <c r="E14" s="18" t="s">
        <v>23</v>
      </c>
      <c r="F14" s="18"/>
      <c r="G14" s="41"/>
      <c r="H14" s="40">
        <v>44218</v>
      </c>
      <c r="I14" s="42" t="s">
        <v>639</v>
      </c>
      <c r="J14" s="43">
        <v>294</v>
      </c>
      <c r="K14" s="44" t="s">
        <v>683</v>
      </c>
      <c r="L14" s="44">
        <v>0.35859999999999997</v>
      </c>
      <c r="M14" s="44">
        <v>1.518</v>
      </c>
      <c r="N14" s="45">
        <v>105.4284</v>
      </c>
      <c r="O14" s="46">
        <v>446.29199999999997</v>
      </c>
      <c r="P14" s="46">
        <v>13.71</v>
      </c>
      <c r="Q14" s="47">
        <v>94.31</v>
      </c>
      <c r="R14" s="44">
        <v>263</v>
      </c>
      <c r="S14" s="44">
        <v>27727.67</v>
      </c>
      <c r="T14" s="44"/>
      <c r="U14" s="48"/>
    </row>
    <row r="15" spans="1:23" x14ac:dyDescent="0.25">
      <c r="A15" s="37">
        <v>37</v>
      </c>
      <c r="B15" s="38" t="s">
        <v>34</v>
      </c>
      <c r="C15" s="39" t="s">
        <v>633</v>
      </c>
      <c r="D15" s="40">
        <v>44211</v>
      </c>
      <c r="E15" s="18" t="s">
        <v>23</v>
      </c>
      <c r="F15" s="18"/>
      <c r="G15" s="41"/>
      <c r="H15" s="40">
        <v>44218</v>
      </c>
      <c r="I15" s="42" t="s">
        <v>632</v>
      </c>
      <c r="J15" s="43">
        <v>231.8</v>
      </c>
      <c r="K15" s="44" t="s">
        <v>684</v>
      </c>
      <c r="L15" s="44">
        <v>0.1593</v>
      </c>
      <c r="M15" s="44">
        <v>0.748</v>
      </c>
      <c r="N15" s="45">
        <v>36.925699999999999</v>
      </c>
      <c r="O15" s="46">
        <v>173.38640000000001</v>
      </c>
      <c r="P15" s="46">
        <v>4.8</v>
      </c>
      <c r="Q15" s="47">
        <v>45.88</v>
      </c>
      <c r="R15" s="44">
        <v>288</v>
      </c>
      <c r="S15" s="44">
        <v>10634.61</v>
      </c>
      <c r="T15" s="44"/>
      <c r="U15" s="48"/>
    </row>
    <row r="16" spans="1:23" x14ac:dyDescent="0.25">
      <c r="A16" s="37">
        <v>55</v>
      </c>
      <c r="B16" s="38" t="s">
        <v>13</v>
      </c>
      <c r="C16" s="39" t="s">
        <v>656</v>
      </c>
      <c r="D16" s="40">
        <v>44211</v>
      </c>
      <c r="E16" s="18" t="s">
        <v>23</v>
      </c>
      <c r="F16" s="18"/>
      <c r="G16" s="41"/>
      <c r="H16" s="40">
        <v>44218</v>
      </c>
      <c r="I16" s="42" t="s">
        <v>642</v>
      </c>
      <c r="J16" s="43">
        <v>104</v>
      </c>
      <c r="K16" s="44" t="s">
        <v>520</v>
      </c>
      <c r="L16" s="44">
        <v>0.626</v>
      </c>
      <c r="M16" s="44">
        <v>2.1960000000000002</v>
      </c>
      <c r="N16" s="45">
        <v>65.103999999999999</v>
      </c>
      <c r="O16" s="46">
        <v>228.38399999999999</v>
      </c>
      <c r="P16" s="46">
        <v>8.4600000000000009</v>
      </c>
      <c r="Q16" s="47">
        <v>118.31</v>
      </c>
      <c r="R16" s="44">
        <v>189</v>
      </c>
      <c r="S16" s="44">
        <v>12304.24</v>
      </c>
      <c r="T16" s="44"/>
      <c r="U16" s="48"/>
    </row>
    <row r="17" spans="1:21" x14ac:dyDescent="0.25">
      <c r="A17" s="37" t="s">
        <v>39</v>
      </c>
      <c r="B17" s="38" t="s">
        <v>13</v>
      </c>
      <c r="C17" s="39" t="s">
        <v>548</v>
      </c>
      <c r="D17" s="40">
        <v>44211</v>
      </c>
      <c r="E17" s="18" t="s">
        <v>23</v>
      </c>
      <c r="F17" s="18"/>
      <c r="G17" s="41"/>
      <c r="H17" s="40">
        <v>44221</v>
      </c>
      <c r="I17" s="42" t="s">
        <v>685</v>
      </c>
      <c r="J17" s="43" t="s">
        <v>691</v>
      </c>
      <c r="K17" s="44"/>
      <c r="L17" s="44"/>
      <c r="M17" s="44"/>
      <c r="N17" s="45"/>
      <c r="O17" s="46"/>
      <c r="P17" s="46"/>
      <c r="Q17" s="47" t="s">
        <v>696</v>
      </c>
      <c r="R17" s="13"/>
      <c r="S17" s="44" t="s">
        <v>697</v>
      </c>
      <c r="T17" s="44"/>
      <c r="U17" s="48"/>
    </row>
    <row r="18" spans="1:21" x14ac:dyDescent="0.25">
      <c r="A18" s="37" t="s">
        <v>39</v>
      </c>
      <c r="B18" s="38" t="s">
        <v>13</v>
      </c>
      <c r="C18" s="39" t="s">
        <v>548</v>
      </c>
      <c r="D18" s="40">
        <v>44211</v>
      </c>
      <c r="E18" s="18" t="s">
        <v>23</v>
      </c>
      <c r="F18" s="18"/>
      <c r="G18" s="41"/>
      <c r="H18" s="40">
        <v>44221</v>
      </c>
      <c r="I18" s="42" t="s">
        <v>686</v>
      </c>
      <c r="J18" s="43" t="s">
        <v>692</v>
      </c>
      <c r="K18" s="44"/>
      <c r="L18" s="44"/>
      <c r="M18" s="44"/>
      <c r="N18" s="45"/>
      <c r="O18" s="46"/>
      <c r="P18" s="46"/>
      <c r="Q18" s="47" t="s">
        <v>698</v>
      </c>
      <c r="R18" s="13"/>
      <c r="S18" s="44" t="s">
        <v>699</v>
      </c>
      <c r="T18" s="44"/>
      <c r="U18" s="48"/>
    </row>
    <row r="19" spans="1:21" x14ac:dyDescent="0.25">
      <c r="A19" s="37" t="s">
        <v>39</v>
      </c>
      <c r="B19" s="38" t="s">
        <v>13</v>
      </c>
      <c r="C19" s="49" t="s">
        <v>548</v>
      </c>
      <c r="D19" s="40">
        <v>44211</v>
      </c>
      <c r="E19" s="18" t="s">
        <v>23</v>
      </c>
      <c r="F19" s="18"/>
      <c r="G19" s="41" t="s">
        <v>769</v>
      </c>
      <c r="H19" s="40">
        <v>44221</v>
      </c>
      <c r="I19" s="42" t="s">
        <v>687</v>
      </c>
      <c r="J19" s="43" t="s">
        <v>693</v>
      </c>
      <c r="K19" s="44"/>
      <c r="L19" s="44"/>
      <c r="M19" s="44"/>
      <c r="N19" s="45"/>
      <c r="O19" s="46"/>
      <c r="P19" s="46"/>
      <c r="Q19" s="47" t="s">
        <v>700</v>
      </c>
      <c r="R19" s="13"/>
      <c r="S19" s="44" t="s">
        <v>701</v>
      </c>
      <c r="T19" s="44"/>
      <c r="U19" s="48"/>
    </row>
    <row r="20" spans="1:21" x14ac:dyDescent="0.25">
      <c r="A20" s="37" t="s">
        <v>39</v>
      </c>
      <c r="B20" s="38" t="s">
        <v>13</v>
      </c>
      <c r="C20" s="49" t="s">
        <v>548</v>
      </c>
      <c r="D20" s="40">
        <v>44211</v>
      </c>
      <c r="E20" s="18" t="s">
        <v>23</v>
      </c>
      <c r="F20" s="18"/>
      <c r="G20" s="41"/>
      <c r="H20" s="40">
        <v>44221</v>
      </c>
      <c r="I20" s="42" t="s">
        <v>688</v>
      </c>
      <c r="J20" s="43" t="s">
        <v>694</v>
      </c>
      <c r="K20" s="44"/>
      <c r="L20" s="44"/>
      <c r="M20" s="44"/>
      <c r="N20" s="45"/>
      <c r="O20" s="46"/>
      <c r="P20" s="46"/>
      <c r="Q20" s="47" t="s">
        <v>702</v>
      </c>
      <c r="R20" s="13"/>
      <c r="S20" s="44" t="s">
        <v>703</v>
      </c>
      <c r="T20" s="44"/>
      <c r="U20" s="48"/>
    </row>
    <row r="21" spans="1:21" x14ac:dyDescent="0.25">
      <c r="A21" s="37" t="s">
        <v>39</v>
      </c>
      <c r="B21" s="38" t="s">
        <v>13</v>
      </c>
      <c r="C21" s="39" t="s">
        <v>548</v>
      </c>
      <c r="D21" s="40">
        <v>44211</v>
      </c>
      <c r="E21" s="18" t="s">
        <v>23</v>
      </c>
      <c r="F21" s="18"/>
      <c r="G21" s="41"/>
      <c r="H21" s="40">
        <v>44221</v>
      </c>
      <c r="I21" s="42" t="s">
        <v>689</v>
      </c>
      <c r="J21" s="43" t="s">
        <v>427</v>
      </c>
      <c r="K21" s="44"/>
      <c r="L21" s="44"/>
      <c r="M21" s="44"/>
      <c r="N21" s="45"/>
      <c r="O21" s="46"/>
      <c r="P21" s="46"/>
      <c r="Q21" s="47" t="s">
        <v>704</v>
      </c>
      <c r="R21" s="13"/>
      <c r="S21" s="44" t="s">
        <v>705</v>
      </c>
      <c r="T21" s="44"/>
      <c r="U21" s="48"/>
    </row>
    <row r="22" spans="1:21" x14ac:dyDescent="0.25">
      <c r="A22" s="37" t="s">
        <v>39</v>
      </c>
      <c r="B22" s="38" t="s">
        <v>13</v>
      </c>
      <c r="C22" s="39" t="s">
        <v>548</v>
      </c>
      <c r="D22" s="40">
        <v>44211</v>
      </c>
      <c r="E22" s="18" t="s">
        <v>23</v>
      </c>
      <c r="F22" s="18"/>
      <c r="G22" s="41"/>
      <c r="H22" s="40">
        <v>44221</v>
      </c>
      <c r="I22" s="42" t="s">
        <v>690</v>
      </c>
      <c r="J22" s="43" t="s">
        <v>695</v>
      </c>
      <c r="K22" s="44"/>
      <c r="L22" s="44"/>
      <c r="M22" s="44"/>
      <c r="N22" s="47"/>
      <c r="O22" s="46"/>
      <c r="P22" s="46"/>
      <c r="Q22" s="47" t="s">
        <v>706</v>
      </c>
      <c r="R22" s="13"/>
      <c r="S22" s="44" t="s">
        <v>707</v>
      </c>
      <c r="T22" s="44"/>
      <c r="U22" s="48"/>
    </row>
    <row r="23" spans="1:21" x14ac:dyDescent="0.25">
      <c r="A23" s="37" t="s">
        <v>121</v>
      </c>
      <c r="B23" s="38" t="s">
        <v>13</v>
      </c>
      <c r="C23" s="39" t="s">
        <v>708</v>
      </c>
      <c r="D23" s="40">
        <v>44211</v>
      </c>
      <c r="E23" s="18" t="s">
        <v>23</v>
      </c>
      <c r="F23" s="18"/>
      <c r="G23" s="13"/>
      <c r="H23" s="40">
        <v>44218</v>
      </c>
      <c r="I23" s="13" t="s">
        <v>709</v>
      </c>
      <c r="J23" s="13">
        <v>48</v>
      </c>
      <c r="K23" s="13">
        <v>8</v>
      </c>
      <c r="L23" s="13"/>
      <c r="M23" s="13"/>
      <c r="N23" s="13"/>
      <c r="O23" s="13"/>
      <c r="P23" s="13"/>
      <c r="Q23" s="13"/>
      <c r="R23" s="13"/>
      <c r="S23" s="13">
        <v>8798</v>
      </c>
      <c r="T23" s="13"/>
      <c r="U23" s="13"/>
    </row>
    <row r="24" spans="1:21" x14ac:dyDescent="0.25">
      <c r="A24" s="37" t="s">
        <v>137</v>
      </c>
      <c r="B24" s="38" t="s">
        <v>13</v>
      </c>
      <c r="C24" s="39" t="s">
        <v>30</v>
      </c>
      <c r="D24" s="40">
        <v>44211</v>
      </c>
      <c r="E24" s="18" t="s">
        <v>23</v>
      </c>
      <c r="F24" s="18"/>
      <c r="G24" s="13"/>
      <c r="H24" s="40">
        <v>44221</v>
      </c>
      <c r="I24" s="13" t="s">
        <v>220</v>
      </c>
      <c r="J24" s="13" t="s">
        <v>361</v>
      </c>
      <c r="K24" s="13"/>
      <c r="L24" s="13"/>
      <c r="M24" s="13"/>
      <c r="N24" s="13"/>
      <c r="O24" s="13"/>
      <c r="P24" s="13"/>
      <c r="Q24" s="13" t="s">
        <v>722</v>
      </c>
      <c r="R24" s="13" t="s">
        <v>723</v>
      </c>
      <c r="S24" s="13" t="s">
        <v>723</v>
      </c>
      <c r="T24" s="13"/>
      <c r="U24" s="13"/>
    </row>
    <row r="25" spans="1:21" x14ac:dyDescent="0.25">
      <c r="A25" s="37" t="s">
        <v>137</v>
      </c>
      <c r="B25" s="38" t="s">
        <v>13</v>
      </c>
      <c r="C25" s="39" t="s">
        <v>30</v>
      </c>
      <c r="D25" s="40">
        <v>44211</v>
      </c>
      <c r="E25" s="18" t="s">
        <v>23</v>
      </c>
      <c r="F25" s="18"/>
      <c r="G25" s="13"/>
      <c r="H25" s="40">
        <v>44221</v>
      </c>
      <c r="I25" s="13" t="s">
        <v>710</v>
      </c>
      <c r="J25" s="13" t="s">
        <v>369</v>
      </c>
      <c r="K25" s="13"/>
      <c r="L25" s="13"/>
      <c r="M25" s="13"/>
      <c r="N25" s="13"/>
      <c r="O25" s="13"/>
      <c r="P25" s="13"/>
      <c r="Q25" s="13" t="s">
        <v>135</v>
      </c>
      <c r="R25" s="13" t="s">
        <v>724</v>
      </c>
      <c r="S25" s="13" t="s">
        <v>724</v>
      </c>
      <c r="T25" s="13"/>
      <c r="U25" s="13"/>
    </row>
    <row r="26" spans="1:21" x14ac:dyDescent="0.25">
      <c r="A26" s="37" t="s">
        <v>137</v>
      </c>
      <c r="B26" s="38" t="s">
        <v>13</v>
      </c>
      <c r="C26" s="39" t="s">
        <v>30</v>
      </c>
      <c r="D26" s="40">
        <v>44211</v>
      </c>
      <c r="E26" s="18" t="s">
        <v>23</v>
      </c>
      <c r="F26" s="18"/>
      <c r="G26" s="13"/>
      <c r="H26" s="40">
        <v>44221</v>
      </c>
      <c r="I26" s="13" t="s">
        <v>711</v>
      </c>
      <c r="J26" s="13" t="s">
        <v>369</v>
      </c>
      <c r="K26" s="13"/>
      <c r="L26" s="13"/>
      <c r="M26" s="13"/>
      <c r="N26" s="13"/>
      <c r="O26" s="13"/>
      <c r="P26" s="13"/>
      <c r="Q26" s="13" t="s">
        <v>135</v>
      </c>
      <c r="R26" s="13" t="s">
        <v>724</v>
      </c>
      <c r="S26" s="13" t="s">
        <v>724</v>
      </c>
      <c r="T26" s="13"/>
      <c r="U26" s="13"/>
    </row>
    <row r="27" spans="1:21" x14ac:dyDescent="0.25">
      <c r="A27" s="37" t="s">
        <v>137</v>
      </c>
      <c r="B27" s="38" t="s">
        <v>13</v>
      </c>
      <c r="C27" s="39" t="s">
        <v>30</v>
      </c>
      <c r="D27" s="40">
        <v>44211</v>
      </c>
      <c r="E27" s="18" t="s">
        <v>23</v>
      </c>
      <c r="F27" s="18"/>
      <c r="G27" s="13"/>
      <c r="H27" s="40">
        <v>44221</v>
      </c>
      <c r="I27" s="13" t="s">
        <v>712</v>
      </c>
      <c r="J27" s="13" t="s">
        <v>318</v>
      </c>
      <c r="K27" s="13"/>
      <c r="L27" s="13"/>
      <c r="M27" s="13"/>
      <c r="N27" s="13"/>
      <c r="O27" s="13"/>
      <c r="P27" s="13"/>
      <c r="Q27" s="13" t="s">
        <v>194</v>
      </c>
      <c r="R27" s="13" t="s">
        <v>319</v>
      </c>
      <c r="S27" s="13" t="s">
        <v>319</v>
      </c>
      <c r="T27" s="13"/>
      <c r="U27" s="13"/>
    </row>
    <row r="28" spans="1:21" x14ac:dyDescent="0.25">
      <c r="A28" s="37" t="s">
        <v>137</v>
      </c>
      <c r="B28" s="38" t="s">
        <v>13</v>
      </c>
      <c r="C28" s="39" t="s">
        <v>30</v>
      </c>
      <c r="D28" s="40">
        <v>44211</v>
      </c>
      <c r="E28" s="18" t="s">
        <v>23</v>
      </c>
      <c r="F28" s="18"/>
      <c r="G28" s="13"/>
      <c r="H28" s="40">
        <v>44221</v>
      </c>
      <c r="I28" s="13" t="s">
        <v>713</v>
      </c>
      <c r="J28" s="13" t="s">
        <v>125</v>
      </c>
      <c r="K28" s="13"/>
      <c r="L28" s="13"/>
      <c r="M28" s="13"/>
      <c r="N28" s="13"/>
      <c r="O28" s="13"/>
      <c r="P28" s="13"/>
      <c r="Q28" s="13" t="s">
        <v>725</v>
      </c>
      <c r="R28" s="13" t="s">
        <v>726</v>
      </c>
      <c r="S28" s="13" t="s">
        <v>726</v>
      </c>
      <c r="T28" s="13"/>
      <c r="U28" s="13"/>
    </row>
    <row r="29" spans="1:21" x14ac:dyDescent="0.25">
      <c r="A29" s="37" t="s">
        <v>137</v>
      </c>
      <c r="B29" s="38" t="s">
        <v>13</v>
      </c>
      <c r="C29" s="39" t="s">
        <v>30</v>
      </c>
      <c r="D29" s="40">
        <v>44211</v>
      </c>
      <c r="E29" s="18" t="s">
        <v>23</v>
      </c>
      <c r="F29" s="18"/>
      <c r="G29" s="13"/>
      <c r="H29" s="40">
        <v>44221</v>
      </c>
      <c r="I29" s="13" t="s">
        <v>714</v>
      </c>
      <c r="J29" s="13" t="s">
        <v>318</v>
      </c>
      <c r="K29" s="13"/>
      <c r="L29" s="13"/>
      <c r="M29" s="13"/>
      <c r="N29" s="13"/>
      <c r="O29" s="13"/>
      <c r="P29" s="13"/>
      <c r="Q29" s="13" t="s">
        <v>320</v>
      </c>
      <c r="R29" s="13" t="s">
        <v>598</v>
      </c>
      <c r="S29" s="13" t="s">
        <v>598</v>
      </c>
      <c r="T29" s="13"/>
      <c r="U29" s="13"/>
    </row>
    <row r="30" spans="1:21" x14ac:dyDescent="0.25">
      <c r="A30" s="37" t="s">
        <v>137</v>
      </c>
      <c r="B30" s="38" t="s">
        <v>13</v>
      </c>
      <c r="C30" s="39" t="s">
        <v>30</v>
      </c>
      <c r="D30" s="40">
        <v>44211</v>
      </c>
      <c r="E30" s="18" t="s">
        <v>23</v>
      </c>
      <c r="F30" s="18"/>
      <c r="G30" s="13"/>
      <c r="H30" s="40">
        <v>44221</v>
      </c>
      <c r="I30" s="13" t="s">
        <v>715</v>
      </c>
      <c r="J30" s="13" t="s">
        <v>318</v>
      </c>
      <c r="K30" s="13"/>
      <c r="L30" s="13"/>
      <c r="M30" s="13"/>
      <c r="N30" s="13"/>
      <c r="O30" s="13"/>
      <c r="P30" s="13"/>
      <c r="Q30" s="13" t="s">
        <v>320</v>
      </c>
      <c r="R30" s="13" t="s">
        <v>598</v>
      </c>
      <c r="S30" s="13">
        <v>8000</v>
      </c>
      <c r="T30" s="13"/>
      <c r="U30" s="13"/>
    </row>
    <row r="31" spans="1:21" x14ac:dyDescent="0.25">
      <c r="A31" s="37" t="s">
        <v>137</v>
      </c>
      <c r="B31" s="38" t="s">
        <v>13</v>
      </c>
      <c r="C31" s="39" t="s">
        <v>30</v>
      </c>
      <c r="D31" s="40">
        <v>44211</v>
      </c>
      <c r="E31" s="18" t="s">
        <v>23</v>
      </c>
      <c r="F31" s="18"/>
      <c r="G31" s="13"/>
      <c r="H31" s="40">
        <v>44221</v>
      </c>
      <c r="I31" s="13" t="s">
        <v>716</v>
      </c>
      <c r="J31" s="13" t="s">
        <v>369</v>
      </c>
      <c r="K31" s="13"/>
      <c r="L31" s="13"/>
      <c r="M31" s="13"/>
      <c r="N31" s="13"/>
      <c r="O31" s="13"/>
      <c r="P31" s="13"/>
      <c r="Q31" s="13" t="s">
        <v>135</v>
      </c>
      <c r="R31" s="13" t="s">
        <v>724</v>
      </c>
      <c r="S31" s="13">
        <v>5000</v>
      </c>
      <c r="T31" s="13"/>
      <c r="U31" s="13"/>
    </row>
    <row r="32" spans="1:21" x14ac:dyDescent="0.25">
      <c r="A32" s="37" t="s">
        <v>137</v>
      </c>
      <c r="B32" s="38" t="s">
        <v>13</v>
      </c>
      <c r="C32" s="39" t="s">
        <v>30</v>
      </c>
      <c r="D32" s="40">
        <v>44211</v>
      </c>
      <c r="E32" s="18" t="s">
        <v>23</v>
      </c>
      <c r="F32" s="18"/>
      <c r="G32" s="13"/>
      <c r="H32" s="40">
        <v>44221</v>
      </c>
      <c r="I32" s="13" t="s">
        <v>717</v>
      </c>
      <c r="J32" s="13" t="s">
        <v>369</v>
      </c>
      <c r="K32" s="13"/>
      <c r="L32" s="13"/>
      <c r="M32" s="13"/>
      <c r="N32" s="13"/>
      <c r="O32" s="13"/>
      <c r="P32" s="13"/>
      <c r="Q32" s="13" t="s">
        <v>135</v>
      </c>
      <c r="R32" s="13" t="s">
        <v>724</v>
      </c>
      <c r="S32" s="13">
        <v>5000</v>
      </c>
      <c r="T32" s="13"/>
      <c r="U32" s="13"/>
    </row>
    <row r="33" spans="1:23" x14ac:dyDescent="0.25">
      <c r="A33" s="37" t="s">
        <v>137</v>
      </c>
      <c r="B33" s="38" t="s">
        <v>13</v>
      </c>
      <c r="C33" s="39" t="s">
        <v>30</v>
      </c>
      <c r="D33" s="40">
        <v>44211</v>
      </c>
      <c r="E33" s="18" t="s">
        <v>23</v>
      </c>
      <c r="F33" s="18"/>
      <c r="G33" s="13"/>
      <c r="H33" s="40">
        <v>44221</v>
      </c>
      <c r="I33" s="13" t="s">
        <v>718</v>
      </c>
      <c r="J33" s="13" t="s">
        <v>369</v>
      </c>
      <c r="K33" s="13"/>
      <c r="L33" s="13"/>
      <c r="M33" s="13"/>
      <c r="N33" s="13"/>
      <c r="O33" s="13"/>
      <c r="P33" s="13"/>
      <c r="Q33" s="13" t="s">
        <v>194</v>
      </c>
      <c r="R33" s="13" t="s">
        <v>720</v>
      </c>
      <c r="S33" s="13">
        <v>5500</v>
      </c>
      <c r="T33" s="13"/>
      <c r="U33" s="13"/>
    </row>
    <row r="34" spans="1:23" x14ac:dyDescent="0.25">
      <c r="A34" s="37" t="s">
        <v>137</v>
      </c>
      <c r="B34" s="38" t="s">
        <v>13</v>
      </c>
      <c r="C34" s="39" t="s">
        <v>30</v>
      </c>
      <c r="D34" s="40">
        <v>44211</v>
      </c>
      <c r="E34" s="18" t="s">
        <v>23</v>
      </c>
      <c r="F34" s="18"/>
      <c r="G34" s="13"/>
      <c r="H34" s="40">
        <v>44221</v>
      </c>
      <c r="I34" s="13" t="s">
        <v>719</v>
      </c>
      <c r="J34" s="13" t="s">
        <v>369</v>
      </c>
      <c r="K34" s="13"/>
      <c r="L34" s="13"/>
      <c r="M34" s="13"/>
      <c r="N34" s="13"/>
      <c r="O34" s="13"/>
      <c r="P34" s="13"/>
      <c r="Q34" s="13" t="s">
        <v>194</v>
      </c>
      <c r="R34" s="13" t="s">
        <v>720</v>
      </c>
      <c r="S34" s="13">
        <v>5500</v>
      </c>
      <c r="T34" s="13"/>
      <c r="U34" s="13"/>
    </row>
    <row r="35" spans="1:23" x14ac:dyDescent="0.25">
      <c r="A35" s="37" t="s">
        <v>137</v>
      </c>
      <c r="B35" s="38" t="s">
        <v>13</v>
      </c>
      <c r="C35" s="39" t="s">
        <v>30</v>
      </c>
      <c r="D35" s="40">
        <v>44211</v>
      </c>
      <c r="E35" s="18" t="s">
        <v>23</v>
      </c>
      <c r="F35" s="18"/>
      <c r="G35" s="13"/>
      <c r="H35" s="40">
        <v>44221</v>
      </c>
      <c r="I35" s="13" t="s">
        <v>219</v>
      </c>
      <c r="J35" s="13" t="s">
        <v>96</v>
      </c>
      <c r="K35" s="13"/>
      <c r="L35" s="13"/>
      <c r="M35" s="13"/>
      <c r="N35" s="13"/>
      <c r="O35" s="13"/>
      <c r="P35" s="13"/>
      <c r="Q35" s="13" t="s">
        <v>136</v>
      </c>
      <c r="R35" s="13" t="s">
        <v>40</v>
      </c>
      <c r="S35" s="13">
        <v>24000</v>
      </c>
      <c r="T35" s="13"/>
      <c r="U35" s="13"/>
    </row>
    <row r="36" spans="1:23" x14ac:dyDescent="0.25">
      <c r="A36" s="37">
        <v>11</v>
      </c>
      <c r="B36" s="38" t="s">
        <v>13</v>
      </c>
      <c r="C36" s="39" t="s">
        <v>15</v>
      </c>
      <c r="D36" s="40">
        <v>44214</v>
      </c>
      <c r="E36" s="18" t="s">
        <v>23</v>
      </c>
      <c r="F36" s="18"/>
      <c r="G36" s="13"/>
      <c r="H36" s="40">
        <v>44221</v>
      </c>
      <c r="I36" s="42" t="s">
        <v>89</v>
      </c>
      <c r="J36" s="43"/>
      <c r="K36" s="44">
        <v>48</v>
      </c>
      <c r="L36" s="44"/>
      <c r="M36" s="44"/>
      <c r="N36" s="45"/>
      <c r="O36" s="46"/>
      <c r="P36" s="46"/>
      <c r="Q36" s="47"/>
      <c r="R36" s="44"/>
      <c r="S36" s="44">
        <v>34992</v>
      </c>
      <c r="T36" s="44"/>
      <c r="U36" s="48"/>
    </row>
    <row r="37" spans="1:23" x14ac:dyDescent="0.25">
      <c r="A37" s="37" t="s">
        <v>792</v>
      </c>
      <c r="B37" s="38" t="s">
        <v>34</v>
      </c>
      <c r="C37" s="39" t="s">
        <v>16</v>
      </c>
      <c r="D37" s="40">
        <v>44214</v>
      </c>
      <c r="E37" s="18" t="s">
        <v>23</v>
      </c>
      <c r="F37" s="18"/>
      <c r="G37" s="13"/>
      <c r="H37" s="40"/>
      <c r="I37" s="42" t="s">
        <v>791</v>
      </c>
      <c r="J37" s="43">
        <v>990</v>
      </c>
      <c r="K37" s="44" t="s">
        <v>87</v>
      </c>
      <c r="L37" s="44">
        <v>0.3498</v>
      </c>
      <c r="M37" s="44">
        <v>1.425</v>
      </c>
      <c r="N37" s="45">
        <v>346.30200000000002</v>
      </c>
      <c r="O37" s="46">
        <v>1410.75</v>
      </c>
      <c r="P37" s="46">
        <v>45.02</v>
      </c>
      <c r="Q37" s="47">
        <v>100.74</v>
      </c>
      <c r="R37" s="44">
        <v>288</v>
      </c>
      <c r="S37" s="44">
        <v>99734.98</v>
      </c>
      <c r="T37" s="44"/>
      <c r="U37" s="51"/>
      <c r="V37" s="13"/>
      <c r="W37" s="13"/>
    </row>
    <row r="38" spans="1:23" x14ac:dyDescent="0.25">
      <c r="A38" s="16">
        <v>56</v>
      </c>
      <c r="B38" s="38" t="s">
        <v>13</v>
      </c>
      <c r="C38" s="39" t="s">
        <v>682</v>
      </c>
      <c r="D38" s="40">
        <v>44214</v>
      </c>
      <c r="E38" s="18" t="s">
        <v>23</v>
      </c>
      <c r="F38" s="18"/>
      <c r="G38" s="13"/>
      <c r="H38" s="40">
        <v>44221</v>
      </c>
      <c r="I38" s="13" t="s">
        <v>58</v>
      </c>
      <c r="J38" s="13">
        <v>37.200000000000003</v>
      </c>
      <c r="K38" s="13" t="s">
        <v>171</v>
      </c>
      <c r="L38" s="13">
        <v>0.9929</v>
      </c>
      <c r="M38" s="13">
        <v>4.5880000000000001</v>
      </c>
      <c r="N38" s="13">
        <v>36.935899999999997</v>
      </c>
      <c r="O38" s="13">
        <v>170.67359999999999</v>
      </c>
      <c r="P38" s="13">
        <v>4.8</v>
      </c>
      <c r="Q38" s="13">
        <v>261.13</v>
      </c>
      <c r="R38" s="13">
        <v>263</v>
      </c>
      <c r="S38" s="13">
        <v>9714.14</v>
      </c>
      <c r="T38" s="13"/>
      <c r="U38" s="13"/>
    </row>
    <row r="39" spans="1:23" s="25" customFormat="1" x14ac:dyDescent="0.25">
      <c r="A39" s="22">
        <v>57</v>
      </c>
      <c r="B39" s="52" t="s">
        <v>13</v>
      </c>
      <c r="C39" s="49" t="s">
        <v>672</v>
      </c>
      <c r="D39" s="53">
        <v>44214</v>
      </c>
      <c r="E39" s="23" t="s">
        <v>23</v>
      </c>
      <c r="F39" s="23"/>
      <c r="G39" s="21"/>
      <c r="H39" s="53">
        <v>44221</v>
      </c>
      <c r="I39" s="21" t="s">
        <v>669</v>
      </c>
      <c r="J39" s="21">
        <v>1542</v>
      </c>
      <c r="K39" s="21">
        <v>257</v>
      </c>
      <c r="L39" s="21">
        <v>0.29759999999999998</v>
      </c>
      <c r="M39" s="21">
        <v>0.67600000000000005</v>
      </c>
      <c r="N39" s="21">
        <v>548.17920000000004</v>
      </c>
      <c r="O39" s="21">
        <v>1245.192</v>
      </c>
      <c r="P39" s="21">
        <v>71.260000000000005</v>
      </c>
      <c r="Q39" s="21">
        <v>56.25</v>
      </c>
      <c r="R39" s="21">
        <v>189</v>
      </c>
      <c r="S39" s="21">
        <v>103605.87</v>
      </c>
      <c r="T39" s="21"/>
      <c r="U39" s="21"/>
    </row>
    <row r="40" spans="1:23" x14ac:dyDescent="0.25">
      <c r="A40" s="16">
        <v>58</v>
      </c>
      <c r="B40" s="38" t="s">
        <v>13</v>
      </c>
      <c r="C40" s="16" t="s">
        <v>625</v>
      </c>
      <c r="D40" s="40">
        <v>44214</v>
      </c>
      <c r="E40" s="18" t="s">
        <v>23</v>
      </c>
      <c r="F40" s="18"/>
      <c r="G40" s="13"/>
      <c r="H40" s="40">
        <v>44221</v>
      </c>
      <c r="I40" s="13" t="s">
        <v>658</v>
      </c>
      <c r="J40" s="13">
        <v>1099.8</v>
      </c>
      <c r="K40" s="13" t="s">
        <v>727</v>
      </c>
      <c r="L40" s="13">
        <v>0.34810000000000002</v>
      </c>
      <c r="M40" s="13">
        <v>1.4930000000000001</v>
      </c>
      <c r="N40" s="13">
        <v>382.84039999999999</v>
      </c>
      <c r="O40" s="13">
        <v>1642.0014000000001</v>
      </c>
      <c r="P40" s="13">
        <v>49.77</v>
      </c>
      <c r="Q40" s="13">
        <v>65.790000000000006</v>
      </c>
      <c r="R40" s="13">
        <v>189</v>
      </c>
      <c r="S40" s="13">
        <v>72356.83</v>
      </c>
      <c r="T40" s="13"/>
      <c r="U40" s="13"/>
    </row>
    <row r="41" spans="1:23" x14ac:dyDescent="0.25">
      <c r="A41" s="16">
        <v>59</v>
      </c>
      <c r="B41" s="38" t="s">
        <v>13</v>
      </c>
      <c r="C41" s="39" t="s">
        <v>682</v>
      </c>
      <c r="D41" s="40">
        <v>44215</v>
      </c>
      <c r="E41" s="18" t="s">
        <v>23</v>
      </c>
      <c r="F41" s="18"/>
      <c r="G41" s="13"/>
      <c r="H41" s="40">
        <v>44222</v>
      </c>
      <c r="I41" s="13" t="s">
        <v>58</v>
      </c>
      <c r="J41" s="13">
        <v>37.200000000000003</v>
      </c>
      <c r="K41" s="13" t="s">
        <v>171</v>
      </c>
      <c r="L41" s="13">
        <v>0.9929</v>
      </c>
      <c r="M41" s="13">
        <v>4.5880000000000001</v>
      </c>
      <c r="N41" s="13">
        <v>36.935899999999997</v>
      </c>
      <c r="O41" s="13">
        <v>170.67359999999999</v>
      </c>
      <c r="P41" s="13">
        <v>4.8</v>
      </c>
      <c r="Q41" s="13">
        <v>261.13</v>
      </c>
      <c r="R41" s="13">
        <v>263</v>
      </c>
      <c r="S41" s="13">
        <v>9714.14</v>
      </c>
      <c r="T41" s="13"/>
      <c r="U41" s="13"/>
    </row>
    <row r="42" spans="1:23" x14ac:dyDescent="0.25">
      <c r="A42" s="16">
        <v>60</v>
      </c>
      <c r="B42" s="13" t="s">
        <v>34</v>
      </c>
      <c r="C42" s="16" t="s">
        <v>14</v>
      </c>
      <c r="D42" s="40">
        <v>44215</v>
      </c>
      <c r="E42" s="18" t="s">
        <v>23</v>
      </c>
      <c r="F42" s="18"/>
      <c r="G42" s="13"/>
      <c r="H42" s="40">
        <v>44222</v>
      </c>
      <c r="I42" s="13" t="s">
        <v>728</v>
      </c>
      <c r="J42" s="13">
        <v>275.39999999999998</v>
      </c>
      <c r="K42" s="13" t="s">
        <v>170</v>
      </c>
      <c r="L42" s="13">
        <v>0.2492</v>
      </c>
      <c r="M42" s="13">
        <v>1.0620000000000001</v>
      </c>
      <c r="N42" s="13">
        <v>68.6297</v>
      </c>
      <c r="O42" s="13">
        <v>292.47480000000002</v>
      </c>
      <c r="P42" s="13">
        <v>8.92</v>
      </c>
      <c r="Q42" s="13">
        <v>61.8</v>
      </c>
      <c r="R42" s="13">
        <v>248</v>
      </c>
      <c r="S42" s="13">
        <v>17020.16</v>
      </c>
      <c r="T42" s="13"/>
      <c r="U42" s="13"/>
    </row>
    <row r="43" spans="1:23" x14ac:dyDescent="0.25">
      <c r="A43" s="16">
        <v>61</v>
      </c>
      <c r="B43" s="38" t="s">
        <v>13</v>
      </c>
      <c r="C43" s="22" t="s">
        <v>292</v>
      </c>
      <c r="D43" s="40">
        <v>44215</v>
      </c>
      <c r="E43" s="18" t="s">
        <v>23</v>
      </c>
      <c r="F43" s="18"/>
      <c r="G43" s="13"/>
      <c r="H43" s="40">
        <v>44222</v>
      </c>
      <c r="I43" s="13" t="s">
        <v>291</v>
      </c>
      <c r="J43" s="13">
        <v>1713.6</v>
      </c>
      <c r="K43" s="13" t="s">
        <v>729</v>
      </c>
      <c r="L43" s="13">
        <v>0.3266</v>
      </c>
      <c r="M43" s="13">
        <v>0.84099999999999997</v>
      </c>
      <c r="N43" s="13">
        <v>559.66179999999997</v>
      </c>
      <c r="O43" s="13">
        <v>1441.1376</v>
      </c>
      <c r="P43" s="13">
        <v>72.760000000000005</v>
      </c>
      <c r="Q43" s="13">
        <v>89.16</v>
      </c>
      <c r="R43" s="13">
        <v>273</v>
      </c>
      <c r="S43" s="13">
        <v>152787.66</v>
      </c>
      <c r="T43" s="13"/>
      <c r="U43" s="13"/>
    </row>
    <row r="44" spans="1:23" x14ac:dyDescent="0.25">
      <c r="A44" s="16">
        <v>62</v>
      </c>
      <c r="B44" s="38" t="s">
        <v>13</v>
      </c>
      <c r="C44" s="39" t="s">
        <v>674</v>
      </c>
      <c r="D44" s="40">
        <v>44215</v>
      </c>
      <c r="E44" s="18" t="s">
        <v>23</v>
      </c>
      <c r="F44" s="18"/>
      <c r="G44" s="13"/>
      <c r="H44" s="40">
        <v>44222</v>
      </c>
      <c r="I44" s="13" t="s">
        <v>600</v>
      </c>
      <c r="J44" s="13">
        <v>114</v>
      </c>
      <c r="K44" s="13" t="s">
        <v>304</v>
      </c>
      <c r="L44" s="13">
        <v>0.30719999999999997</v>
      </c>
      <c r="M44" s="13">
        <v>0.69199999999999995</v>
      </c>
      <c r="N44" s="13">
        <v>35.020800000000001</v>
      </c>
      <c r="O44" s="13">
        <v>78.888000000000005</v>
      </c>
      <c r="P44" s="13">
        <v>4.55</v>
      </c>
      <c r="Q44" s="13">
        <v>88.47</v>
      </c>
      <c r="R44" s="13">
        <v>288</v>
      </c>
      <c r="S44" s="13">
        <v>10085.99</v>
      </c>
      <c r="T44" s="13"/>
      <c r="U44" s="13"/>
    </row>
    <row r="45" spans="1:23" x14ac:dyDescent="0.25">
      <c r="A45" s="54" t="s">
        <v>154</v>
      </c>
      <c r="B45" s="55" t="s">
        <v>13</v>
      </c>
      <c r="C45" s="56" t="s">
        <v>15</v>
      </c>
      <c r="D45" s="40">
        <v>44216</v>
      </c>
      <c r="E45" s="57" t="s">
        <v>23</v>
      </c>
      <c r="F45" s="57"/>
      <c r="G45" s="58"/>
      <c r="H45" s="40">
        <v>44223</v>
      </c>
      <c r="I45" s="59" t="s">
        <v>89</v>
      </c>
      <c r="J45" s="60"/>
      <c r="K45" s="61">
        <v>48</v>
      </c>
      <c r="L45" s="61"/>
      <c r="M45" s="61"/>
      <c r="N45" s="45"/>
      <c r="O45" s="62"/>
      <c r="P45" s="62"/>
      <c r="Q45" s="45"/>
      <c r="R45" s="61"/>
      <c r="S45" s="61">
        <v>34992</v>
      </c>
    </row>
    <row r="46" spans="1:23" x14ac:dyDescent="0.25">
      <c r="A46" s="16" t="s">
        <v>142</v>
      </c>
      <c r="B46" s="38" t="s">
        <v>13</v>
      </c>
      <c r="C46" s="39" t="s">
        <v>30</v>
      </c>
      <c r="D46" s="40">
        <v>44216</v>
      </c>
      <c r="E46" s="18" t="s">
        <v>23</v>
      </c>
      <c r="F46" s="18"/>
      <c r="G46" s="13"/>
      <c r="H46" s="40">
        <v>44223</v>
      </c>
      <c r="I46" s="13" t="s">
        <v>568</v>
      </c>
      <c r="J46" s="13" t="s">
        <v>26</v>
      </c>
      <c r="K46" s="13"/>
      <c r="L46" s="13"/>
      <c r="M46" s="13"/>
      <c r="N46" s="13"/>
      <c r="O46" s="13"/>
      <c r="P46" s="13"/>
      <c r="Q46" s="13" t="s">
        <v>569</v>
      </c>
      <c r="R46" s="13"/>
      <c r="S46" s="13" t="s">
        <v>569</v>
      </c>
      <c r="T46" s="13"/>
      <c r="U46" s="13"/>
    </row>
    <row r="47" spans="1:23" x14ac:dyDescent="0.25">
      <c r="A47" s="16" t="s">
        <v>142</v>
      </c>
      <c r="B47" s="38" t="s">
        <v>13</v>
      </c>
      <c r="C47" s="39" t="s">
        <v>30</v>
      </c>
      <c r="D47" s="40">
        <v>44216</v>
      </c>
      <c r="E47" s="18" t="s">
        <v>23</v>
      </c>
      <c r="F47" s="18"/>
      <c r="G47" s="13"/>
      <c r="H47" s="40">
        <v>44223</v>
      </c>
      <c r="I47" s="13" t="s">
        <v>730</v>
      </c>
      <c r="J47" s="13" t="s">
        <v>123</v>
      </c>
      <c r="K47" s="13"/>
      <c r="L47" s="13"/>
      <c r="M47" s="13"/>
      <c r="N47" s="13"/>
      <c r="O47" s="13"/>
      <c r="P47" s="13"/>
      <c r="Q47" s="13" t="s">
        <v>438</v>
      </c>
      <c r="R47" s="13"/>
      <c r="S47" s="13" t="s">
        <v>158</v>
      </c>
      <c r="T47" s="13"/>
      <c r="U47" s="13"/>
    </row>
    <row r="48" spans="1:23" x14ac:dyDescent="0.25">
      <c r="A48" s="16" t="s">
        <v>142</v>
      </c>
      <c r="B48" s="38" t="s">
        <v>13</v>
      </c>
      <c r="C48" s="39" t="s">
        <v>30</v>
      </c>
      <c r="D48" s="40">
        <v>44216</v>
      </c>
      <c r="E48" s="18" t="s">
        <v>23</v>
      </c>
      <c r="F48" s="18"/>
      <c r="G48" s="13"/>
      <c r="H48" s="40">
        <v>44223</v>
      </c>
      <c r="I48" s="13" t="s">
        <v>731</v>
      </c>
      <c r="J48" s="13" t="s">
        <v>529</v>
      </c>
      <c r="K48" s="13"/>
      <c r="L48" s="13"/>
      <c r="M48" s="13"/>
      <c r="N48" s="13"/>
      <c r="O48" s="13"/>
      <c r="P48" s="13"/>
      <c r="Q48" s="13" t="s">
        <v>439</v>
      </c>
      <c r="R48" s="13"/>
      <c r="S48" s="13" t="s">
        <v>748</v>
      </c>
      <c r="T48" s="13"/>
      <c r="U48" s="13"/>
    </row>
    <row r="49" spans="1:21" x14ac:dyDescent="0.25">
      <c r="A49" s="16" t="s">
        <v>142</v>
      </c>
      <c r="B49" s="38" t="s">
        <v>13</v>
      </c>
      <c r="C49" s="39" t="s">
        <v>30</v>
      </c>
      <c r="D49" s="40">
        <v>44216</v>
      </c>
      <c r="E49" s="18" t="s">
        <v>23</v>
      </c>
      <c r="F49" s="18"/>
      <c r="G49" s="13"/>
      <c r="H49" s="40">
        <v>44223</v>
      </c>
      <c r="I49" s="13" t="s">
        <v>732</v>
      </c>
      <c r="J49" s="13" t="s">
        <v>123</v>
      </c>
      <c r="K49" s="13"/>
      <c r="L49" s="13"/>
      <c r="M49" s="13"/>
      <c r="N49" s="13"/>
      <c r="O49" s="13"/>
      <c r="P49" s="13"/>
      <c r="Q49" s="13" t="s">
        <v>130</v>
      </c>
      <c r="R49" s="13"/>
      <c r="S49" s="13" t="s">
        <v>586</v>
      </c>
      <c r="T49" s="13"/>
      <c r="U49" s="13"/>
    </row>
    <row r="50" spans="1:21" x14ac:dyDescent="0.25">
      <c r="A50" s="16" t="s">
        <v>142</v>
      </c>
      <c r="B50" s="38" t="s">
        <v>13</v>
      </c>
      <c r="C50" s="39" t="s">
        <v>30</v>
      </c>
      <c r="D50" s="40">
        <v>44216</v>
      </c>
      <c r="E50" s="18" t="s">
        <v>23</v>
      </c>
      <c r="F50" s="18"/>
      <c r="G50" s="13"/>
      <c r="H50" s="40">
        <v>44223</v>
      </c>
      <c r="I50" s="13" t="s">
        <v>440</v>
      </c>
      <c r="J50" s="13" t="s">
        <v>123</v>
      </c>
      <c r="K50" s="13"/>
      <c r="L50" s="13"/>
      <c r="M50" s="13"/>
      <c r="N50" s="13"/>
      <c r="O50" s="13"/>
      <c r="P50" s="13"/>
      <c r="Q50" s="13" t="s">
        <v>441</v>
      </c>
      <c r="R50" s="13"/>
      <c r="S50" s="13" t="s">
        <v>97</v>
      </c>
      <c r="T50" s="13"/>
      <c r="U50" s="13"/>
    </row>
    <row r="51" spans="1:21" x14ac:dyDescent="0.25">
      <c r="A51" s="16" t="s">
        <v>142</v>
      </c>
      <c r="B51" s="38" t="s">
        <v>13</v>
      </c>
      <c r="C51" s="39" t="s">
        <v>30</v>
      </c>
      <c r="D51" s="40">
        <v>44216</v>
      </c>
      <c r="E51" s="18" t="s">
        <v>23</v>
      </c>
      <c r="F51" s="18"/>
      <c r="G51" s="13"/>
      <c r="H51" s="40">
        <v>44223</v>
      </c>
      <c r="I51" s="13" t="s">
        <v>733</v>
      </c>
      <c r="J51" s="13" t="s">
        <v>446</v>
      </c>
      <c r="K51" s="13"/>
      <c r="L51" s="13"/>
      <c r="M51" s="13"/>
      <c r="N51" s="13"/>
      <c r="O51" s="13"/>
      <c r="P51" s="13"/>
      <c r="Q51" s="13" t="s">
        <v>443</v>
      </c>
      <c r="R51" s="13"/>
      <c r="S51" s="13" t="s">
        <v>749</v>
      </c>
      <c r="T51" s="13"/>
      <c r="U51" s="13"/>
    </row>
    <row r="52" spans="1:21" x14ac:dyDescent="0.25">
      <c r="A52" s="16" t="s">
        <v>142</v>
      </c>
      <c r="B52" s="38" t="s">
        <v>13</v>
      </c>
      <c r="C52" s="39" t="s">
        <v>30</v>
      </c>
      <c r="D52" s="40">
        <v>44216</v>
      </c>
      <c r="E52" s="18" t="s">
        <v>23</v>
      </c>
      <c r="F52" s="18"/>
      <c r="G52" s="13"/>
      <c r="H52" s="40">
        <v>44223</v>
      </c>
      <c r="I52" s="13" t="s">
        <v>734</v>
      </c>
      <c r="J52" s="13" t="s">
        <v>26</v>
      </c>
      <c r="K52" s="13"/>
      <c r="L52" s="13"/>
      <c r="M52" s="13"/>
      <c r="N52" s="13"/>
      <c r="O52" s="13"/>
      <c r="P52" s="13"/>
      <c r="Q52" s="13" t="s">
        <v>572</v>
      </c>
      <c r="R52" s="13"/>
      <c r="S52" s="13" t="s">
        <v>572</v>
      </c>
      <c r="T52" s="13"/>
      <c r="U52" s="13"/>
    </row>
    <row r="53" spans="1:21" x14ac:dyDescent="0.25">
      <c r="A53" s="16" t="s">
        <v>142</v>
      </c>
      <c r="B53" s="38" t="s">
        <v>13</v>
      </c>
      <c r="C53" s="39" t="s">
        <v>30</v>
      </c>
      <c r="D53" s="40">
        <v>44216</v>
      </c>
      <c r="E53" s="18" t="s">
        <v>23</v>
      </c>
      <c r="F53" s="18"/>
      <c r="G53" s="13"/>
      <c r="H53" s="40">
        <v>44223</v>
      </c>
      <c r="I53" s="13" t="s">
        <v>735</v>
      </c>
      <c r="J53" s="13" t="s">
        <v>26</v>
      </c>
      <c r="K53" s="13"/>
      <c r="L53" s="13"/>
      <c r="M53" s="13"/>
      <c r="N53" s="13"/>
      <c r="O53" s="13"/>
      <c r="P53" s="13"/>
      <c r="Q53" s="13" t="s">
        <v>573</v>
      </c>
      <c r="R53" s="13"/>
      <c r="S53" s="13" t="s">
        <v>573</v>
      </c>
      <c r="T53" s="13"/>
      <c r="U53" s="13"/>
    </row>
    <row r="54" spans="1:21" x14ac:dyDescent="0.25">
      <c r="A54" s="16" t="s">
        <v>142</v>
      </c>
      <c r="B54" s="38" t="s">
        <v>13</v>
      </c>
      <c r="C54" s="39" t="s">
        <v>30</v>
      </c>
      <c r="D54" s="40">
        <v>44216</v>
      </c>
      <c r="E54" s="18" t="s">
        <v>23</v>
      </c>
      <c r="F54" s="18"/>
      <c r="G54" s="13"/>
      <c r="H54" s="40">
        <v>44223</v>
      </c>
      <c r="I54" s="13" t="s">
        <v>736</v>
      </c>
      <c r="J54" s="13" t="s">
        <v>123</v>
      </c>
      <c r="K54" s="13"/>
      <c r="L54" s="13"/>
      <c r="M54" s="13"/>
      <c r="N54" s="13"/>
      <c r="O54" s="13"/>
      <c r="P54" s="13"/>
      <c r="Q54" s="13" t="s">
        <v>184</v>
      </c>
      <c r="R54" s="13"/>
      <c r="S54" s="13" t="s">
        <v>185</v>
      </c>
      <c r="T54" s="13"/>
      <c r="U54" s="13"/>
    </row>
    <row r="55" spans="1:21" x14ac:dyDescent="0.25">
      <c r="A55" s="16" t="s">
        <v>142</v>
      </c>
      <c r="B55" s="38" t="s">
        <v>13</v>
      </c>
      <c r="C55" s="39" t="s">
        <v>30</v>
      </c>
      <c r="D55" s="40">
        <v>44216</v>
      </c>
      <c r="E55" s="18" t="s">
        <v>23</v>
      </c>
      <c r="F55" s="18"/>
      <c r="G55" s="13"/>
      <c r="H55" s="40">
        <v>44223</v>
      </c>
      <c r="I55" s="13" t="s">
        <v>737</v>
      </c>
      <c r="J55" s="13" t="s">
        <v>26</v>
      </c>
      <c r="K55" s="13"/>
      <c r="L55" s="13"/>
      <c r="M55" s="13"/>
      <c r="N55" s="13"/>
      <c r="O55" s="13"/>
      <c r="P55" s="13"/>
      <c r="Q55" s="13" t="s">
        <v>146</v>
      </c>
      <c r="R55" s="13"/>
      <c r="S55" s="13" t="s">
        <v>146</v>
      </c>
      <c r="T55" s="13"/>
      <c r="U55" s="13"/>
    </row>
    <row r="56" spans="1:21" x14ac:dyDescent="0.25">
      <c r="A56" s="16" t="s">
        <v>142</v>
      </c>
      <c r="B56" s="38" t="s">
        <v>13</v>
      </c>
      <c r="C56" s="39" t="s">
        <v>30</v>
      </c>
      <c r="D56" s="40">
        <v>44216</v>
      </c>
      <c r="E56" s="18" t="s">
        <v>23</v>
      </c>
      <c r="F56" s="18"/>
      <c r="G56" s="13"/>
      <c r="H56" s="40">
        <v>44223</v>
      </c>
      <c r="I56" s="13" t="s">
        <v>738</v>
      </c>
      <c r="J56" s="13" t="s">
        <v>123</v>
      </c>
      <c r="K56" s="13"/>
      <c r="L56" s="13"/>
      <c r="M56" s="13"/>
      <c r="N56" s="13"/>
      <c r="O56" s="13"/>
      <c r="P56" s="13"/>
      <c r="Q56" s="13" t="s">
        <v>447</v>
      </c>
      <c r="R56" s="13"/>
      <c r="S56" s="13" t="s">
        <v>750</v>
      </c>
      <c r="T56" s="13"/>
      <c r="U56" s="13"/>
    </row>
    <row r="57" spans="1:21" x14ac:dyDescent="0.25">
      <c r="A57" s="16" t="s">
        <v>142</v>
      </c>
      <c r="B57" s="38" t="s">
        <v>13</v>
      </c>
      <c r="C57" s="39" t="s">
        <v>30</v>
      </c>
      <c r="D57" s="40">
        <v>44216</v>
      </c>
      <c r="E57" s="18" t="s">
        <v>23</v>
      </c>
      <c r="F57" s="18"/>
      <c r="G57" s="13"/>
      <c r="H57" s="40">
        <v>44223</v>
      </c>
      <c r="I57" s="13" t="s">
        <v>282</v>
      </c>
      <c r="J57" s="13" t="s">
        <v>123</v>
      </c>
      <c r="K57" s="13"/>
      <c r="L57" s="13"/>
      <c r="M57" s="13"/>
      <c r="N57" s="13"/>
      <c r="O57" s="13"/>
      <c r="P57" s="13"/>
      <c r="Q57" s="13" t="s">
        <v>132</v>
      </c>
      <c r="R57" s="13"/>
      <c r="S57" s="13" t="s">
        <v>751</v>
      </c>
      <c r="T57" s="13"/>
      <c r="U57" s="13"/>
    </row>
    <row r="58" spans="1:21" x14ac:dyDescent="0.25">
      <c r="A58" s="16" t="s">
        <v>142</v>
      </c>
      <c r="B58" s="38" t="s">
        <v>13</v>
      </c>
      <c r="C58" s="39" t="s">
        <v>30</v>
      </c>
      <c r="D58" s="40">
        <v>44216</v>
      </c>
      <c r="E58" s="18" t="s">
        <v>23</v>
      </c>
      <c r="F58" s="18"/>
      <c r="G58" s="13"/>
      <c r="H58" s="40">
        <v>44223</v>
      </c>
      <c r="I58" s="13" t="s">
        <v>739</v>
      </c>
      <c r="J58" s="13" t="s">
        <v>108</v>
      </c>
      <c r="K58" s="13"/>
      <c r="L58" s="13"/>
      <c r="M58" s="13"/>
      <c r="N58" s="13"/>
      <c r="O58" s="13"/>
      <c r="P58" s="13"/>
      <c r="Q58" s="13" t="s">
        <v>449</v>
      </c>
      <c r="R58" s="13"/>
      <c r="S58" s="13" t="s">
        <v>574</v>
      </c>
      <c r="T58" s="13"/>
      <c r="U58" s="13"/>
    </row>
    <row r="59" spans="1:21" x14ac:dyDescent="0.25">
      <c r="A59" s="16" t="s">
        <v>142</v>
      </c>
      <c r="B59" s="38" t="s">
        <v>13</v>
      </c>
      <c r="C59" s="39" t="s">
        <v>30</v>
      </c>
      <c r="D59" s="40">
        <v>44216</v>
      </c>
      <c r="E59" s="18" t="s">
        <v>23</v>
      </c>
      <c r="F59" s="18"/>
      <c r="G59" s="13"/>
      <c r="H59" s="40">
        <v>44223</v>
      </c>
      <c r="I59" s="13" t="s">
        <v>740</v>
      </c>
      <c r="J59" s="13" t="s">
        <v>103</v>
      </c>
      <c r="K59" s="13"/>
      <c r="L59" s="13"/>
      <c r="M59" s="13"/>
      <c r="N59" s="13"/>
      <c r="O59" s="13"/>
      <c r="P59" s="13"/>
      <c r="Q59" s="13" t="s">
        <v>186</v>
      </c>
      <c r="R59" s="13"/>
      <c r="S59" s="13" t="s">
        <v>218</v>
      </c>
      <c r="T59" s="13"/>
      <c r="U59" s="13"/>
    </row>
    <row r="60" spans="1:21" x14ac:dyDescent="0.25">
      <c r="A60" s="16" t="s">
        <v>142</v>
      </c>
      <c r="B60" s="38" t="s">
        <v>13</v>
      </c>
      <c r="C60" s="39" t="s">
        <v>30</v>
      </c>
      <c r="D60" s="40">
        <v>44216</v>
      </c>
      <c r="E60" s="18" t="s">
        <v>23</v>
      </c>
      <c r="F60" s="18"/>
      <c r="G60" s="13"/>
      <c r="H60" s="40">
        <v>44223</v>
      </c>
      <c r="I60" s="13" t="s">
        <v>741</v>
      </c>
      <c r="J60" s="13" t="s">
        <v>193</v>
      </c>
      <c r="K60" s="13"/>
      <c r="L60" s="13"/>
      <c r="M60" s="13"/>
      <c r="N60" s="13"/>
      <c r="O60" s="13"/>
      <c r="P60" s="13"/>
      <c r="Q60" s="13" t="s">
        <v>450</v>
      </c>
      <c r="R60" s="13"/>
      <c r="S60" s="13">
        <v>19712</v>
      </c>
      <c r="T60" s="13"/>
      <c r="U60" s="13"/>
    </row>
    <row r="61" spans="1:21" x14ac:dyDescent="0.25">
      <c r="A61" s="16" t="s">
        <v>142</v>
      </c>
      <c r="B61" s="38" t="s">
        <v>13</v>
      </c>
      <c r="C61" s="39" t="s">
        <v>30</v>
      </c>
      <c r="D61" s="40">
        <v>44216</v>
      </c>
      <c r="E61" s="18" t="s">
        <v>23</v>
      </c>
      <c r="F61" s="18"/>
      <c r="G61" s="13"/>
      <c r="H61" s="40">
        <v>44223</v>
      </c>
      <c r="I61" s="13" t="s">
        <v>742</v>
      </c>
      <c r="J61" s="13" t="s">
        <v>369</v>
      </c>
      <c r="K61" s="13"/>
      <c r="L61" s="13"/>
      <c r="M61" s="13"/>
      <c r="N61" s="13"/>
      <c r="O61" s="13"/>
      <c r="P61" s="13"/>
      <c r="Q61" s="13" t="s">
        <v>436</v>
      </c>
      <c r="R61" s="13"/>
      <c r="S61" s="13">
        <v>1300</v>
      </c>
      <c r="T61" s="13"/>
      <c r="U61" s="13"/>
    </row>
    <row r="62" spans="1:21" x14ac:dyDescent="0.25">
      <c r="A62" s="16" t="s">
        <v>142</v>
      </c>
      <c r="B62" s="38" t="s">
        <v>13</v>
      </c>
      <c r="C62" s="39" t="s">
        <v>30</v>
      </c>
      <c r="D62" s="40">
        <v>44216</v>
      </c>
      <c r="E62" s="18" t="s">
        <v>23</v>
      </c>
      <c r="F62" s="18"/>
      <c r="G62" s="13"/>
      <c r="H62" s="40">
        <v>44223</v>
      </c>
      <c r="I62" s="13" t="s">
        <v>743</v>
      </c>
      <c r="J62" s="13" t="s">
        <v>446</v>
      </c>
      <c r="K62" s="13"/>
      <c r="L62" s="13"/>
      <c r="M62" s="13"/>
      <c r="N62" s="13"/>
      <c r="O62" s="13"/>
      <c r="P62" s="13"/>
      <c r="Q62" s="13" t="s">
        <v>570</v>
      </c>
      <c r="R62" s="13"/>
      <c r="S62" s="13">
        <v>1926</v>
      </c>
      <c r="T62" s="13"/>
      <c r="U62" s="13"/>
    </row>
    <row r="63" spans="1:21" x14ac:dyDescent="0.25">
      <c r="A63" s="16" t="s">
        <v>142</v>
      </c>
      <c r="B63" s="38" t="s">
        <v>13</v>
      </c>
      <c r="C63" s="39" t="s">
        <v>30</v>
      </c>
      <c r="D63" s="40">
        <v>44216</v>
      </c>
      <c r="E63" s="18" t="s">
        <v>23</v>
      </c>
      <c r="F63" s="18"/>
      <c r="G63" s="13"/>
      <c r="H63" s="40">
        <v>44223</v>
      </c>
      <c r="I63" s="13" t="s">
        <v>744</v>
      </c>
      <c r="J63" s="13" t="s">
        <v>746</v>
      </c>
      <c r="K63" s="13"/>
      <c r="L63" s="13"/>
      <c r="M63" s="13"/>
      <c r="N63" s="13"/>
      <c r="O63" s="13"/>
      <c r="P63" s="13"/>
      <c r="Q63" s="13" t="s">
        <v>618</v>
      </c>
      <c r="R63" s="13"/>
      <c r="S63" s="13">
        <v>6150</v>
      </c>
      <c r="T63" s="13"/>
      <c r="U63" s="13"/>
    </row>
    <row r="64" spans="1:21" x14ac:dyDescent="0.25">
      <c r="A64" s="16" t="s">
        <v>142</v>
      </c>
      <c r="B64" s="38" t="s">
        <v>13</v>
      </c>
      <c r="C64" s="39" t="s">
        <v>30</v>
      </c>
      <c r="D64" s="40">
        <v>44216</v>
      </c>
      <c r="E64" s="18" t="s">
        <v>23</v>
      </c>
      <c r="F64" s="18"/>
      <c r="G64" s="13"/>
      <c r="H64" s="40">
        <v>44223</v>
      </c>
      <c r="I64" s="13" t="s">
        <v>745</v>
      </c>
      <c r="J64" s="13" t="s">
        <v>318</v>
      </c>
      <c r="K64" s="13"/>
      <c r="L64" s="13"/>
      <c r="M64" s="13"/>
      <c r="N64" s="13"/>
      <c r="O64" s="13"/>
      <c r="P64" s="13"/>
      <c r="Q64" s="13" t="s">
        <v>587</v>
      </c>
      <c r="R64" s="13"/>
      <c r="S64" s="13">
        <v>1700</v>
      </c>
      <c r="T64" s="13"/>
      <c r="U64" s="13"/>
    </row>
    <row r="65" spans="1:23" x14ac:dyDescent="0.25">
      <c r="A65" s="16" t="s">
        <v>142</v>
      </c>
      <c r="B65" s="38" t="s">
        <v>13</v>
      </c>
      <c r="C65" s="39" t="s">
        <v>30</v>
      </c>
      <c r="D65" s="40">
        <v>44216</v>
      </c>
      <c r="E65" s="18" t="s">
        <v>23</v>
      </c>
      <c r="F65" s="18"/>
      <c r="G65" s="13"/>
      <c r="H65" s="40">
        <v>44223</v>
      </c>
      <c r="I65" s="13" t="s">
        <v>92</v>
      </c>
      <c r="J65" s="13" t="s">
        <v>75</v>
      </c>
      <c r="K65" s="13"/>
      <c r="L65" s="13"/>
      <c r="M65" s="13"/>
      <c r="N65" s="13"/>
      <c r="O65" s="13"/>
      <c r="P65" s="13"/>
      <c r="Q65" s="13" t="s">
        <v>747</v>
      </c>
      <c r="R65" s="13"/>
      <c r="S65" s="13">
        <v>5000</v>
      </c>
      <c r="T65" s="13"/>
      <c r="U65" s="13"/>
    </row>
    <row r="66" spans="1:23" x14ac:dyDescent="0.25">
      <c r="A66" s="16" t="s">
        <v>176</v>
      </c>
      <c r="B66" s="38" t="s">
        <v>13</v>
      </c>
      <c r="C66" s="16" t="s">
        <v>767</v>
      </c>
      <c r="D66" s="40">
        <v>44216</v>
      </c>
      <c r="E66" s="18" t="s">
        <v>23</v>
      </c>
      <c r="F66" s="18"/>
      <c r="G66" s="13"/>
      <c r="H66" s="40">
        <v>44223</v>
      </c>
      <c r="I66" s="13" t="s">
        <v>752</v>
      </c>
      <c r="J66" s="13" t="s">
        <v>70</v>
      </c>
      <c r="K66" s="13"/>
      <c r="L66" s="13"/>
      <c r="M66" s="13"/>
      <c r="N66" s="13"/>
      <c r="O66" s="13"/>
      <c r="P66" s="13"/>
      <c r="Q66" s="13" t="s">
        <v>755</v>
      </c>
      <c r="R66" s="13"/>
      <c r="S66" s="13">
        <v>6120</v>
      </c>
      <c r="T66" s="13"/>
      <c r="U66" s="13"/>
    </row>
    <row r="67" spans="1:23" x14ac:dyDescent="0.25">
      <c r="A67" s="16" t="s">
        <v>176</v>
      </c>
      <c r="B67" s="38" t="s">
        <v>13</v>
      </c>
      <c r="C67" s="16" t="s">
        <v>767</v>
      </c>
      <c r="D67" s="40">
        <v>44216</v>
      </c>
      <c r="E67" s="18" t="s">
        <v>23</v>
      </c>
      <c r="F67" s="18"/>
      <c r="G67" s="13"/>
      <c r="H67" s="40">
        <v>44223</v>
      </c>
      <c r="I67" s="13" t="s">
        <v>753</v>
      </c>
      <c r="J67" s="13" t="s">
        <v>53</v>
      </c>
      <c r="K67" s="13"/>
      <c r="L67" s="13"/>
      <c r="M67" s="13"/>
      <c r="N67" s="13"/>
      <c r="O67" s="13"/>
      <c r="P67" s="13"/>
      <c r="Q67" s="13" t="s">
        <v>756</v>
      </c>
      <c r="R67" s="13"/>
      <c r="S67" s="13">
        <v>3600</v>
      </c>
      <c r="T67" s="13"/>
      <c r="U67" s="13"/>
    </row>
    <row r="68" spans="1:23" x14ac:dyDescent="0.25">
      <c r="A68" s="16" t="s">
        <v>176</v>
      </c>
      <c r="B68" s="38" t="s">
        <v>13</v>
      </c>
      <c r="C68" s="16" t="s">
        <v>767</v>
      </c>
      <c r="D68" s="40">
        <v>44216</v>
      </c>
      <c r="E68" s="18" t="s">
        <v>23</v>
      </c>
      <c r="F68" s="18"/>
      <c r="G68" s="13"/>
      <c r="H68" s="40">
        <v>44223</v>
      </c>
      <c r="I68" s="13" t="s">
        <v>754</v>
      </c>
      <c r="J68" s="13" t="s">
        <v>100</v>
      </c>
      <c r="K68" s="13"/>
      <c r="L68" s="13"/>
      <c r="M68" s="13"/>
      <c r="N68" s="13"/>
      <c r="O68" s="13"/>
      <c r="P68" s="13"/>
      <c r="Q68" s="13" t="s">
        <v>757</v>
      </c>
      <c r="R68" s="13"/>
      <c r="S68" s="13">
        <v>9680</v>
      </c>
      <c r="T68" s="13"/>
      <c r="U68" s="13"/>
    </row>
    <row r="69" spans="1:23" x14ac:dyDescent="0.25">
      <c r="A69" s="16" t="s">
        <v>153</v>
      </c>
      <c r="B69" s="38" t="s">
        <v>13</v>
      </c>
      <c r="C69" s="16" t="s">
        <v>43</v>
      </c>
      <c r="D69" s="40">
        <v>44217</v>
      </c>
      <c r="E69" s="18" t="s">
        <v>23</v>
      </c>
      <c r="F69" s="18"/>
      <c r="G69" s="13"/>
      <c r="H69" s="40">
        <v>44224</v>
      </c>
      <c r="I69" s="13" t="s">
        <v>758</v>
      </c>
      <c r="J69" s="13" t="s">
        <v>524</v>
      </c>
      <c r="K69" s="13"/>
      <c r="L69" s="13"/>
      <c r="M69" s="13"/>
      <c r="N69" s="13"/>
      <c r="O69" s="13"/>
      <c r="P69" s="13"/>
      <c r="Q69" s="13" t="s">
        <v>763</v>
      </c>
      <c r="R69" s="13"/>
      <c r="S69" s="13">
        <v>22440</v>
      </c>
      <c r="T69" s="13"/>
      <c r="U69" s="13"/>
    </row>
    <row r="70" spans="1:23" x14ac:dyDescent="0.25">
      <c r="A70" s="16" t="s">
        <v>153</v>
      </c>
      <c r="B70" s="38" t="s">
        <v>13</v>
      </c>
      <c r="C70" s="16" t="s">
        <v>43</v>
      </c>
      <c r="D70" s="40">
        <v>44217</v>
      </c>
      <c r="E70" s="18" t="s">
        <v>23</v>
      </c>
      <c r="F70" s="18"/>
      <c r="G70" s="13"/>
      <c r="H70" s="40">
        <v>44224</v>
      </c>
      <c r="I70" s="13" t="s">
        <v>759</v>
      </c>
      <c r="J70" s="13" t="s">
        <v>761</v>
      </c>
      <c r="K70" s="13"/>
      <c r="L70" s="13"/>
      <c r="M70" s="13"/>
      <c r="N70" s="13"/>
      <c r="O70" s="13"/>
      <c r="P70" s="13"/>
      <c r="Q70" s="13" t="s">
        <v>764</v>
      </c>
      <c r="R70" s="13"/>
      <c r="S70" s="13">
        <v>14535</v>
      </c>
      <c r="T70" s="13"/>
      <c r="U70" s="13"/>
    </row>
    <row r="71" spans="1:23" x14ac:dyDescent="0.25">
      <c r="A71" s="16" t="s">
        <v>153</v>
      </c>
      <c r="B71" s="38" t="s">
        <v>13</v>
      </c>
      <c r="C71" s="16" t="s">
        <v>43</v>
      </c>
      <c r="D71" s="40">
        <v>44217</v>
      </c>
      <c r="E71" s="18" t="s">
        <v>23</v>
      </c>
      <c r="F71" s="18"/>
      <c r="G71" s="13"/>
      <c r="H71" s="40">
        <v>44224</v>
      </c>
      <c r="I71" s="13" t="s">
        <v>545</v>
      </c>
      <c r="J71" s="13" t="s">
        <v>762</v>
      </c>
      <c r="K71" s="13"/>
      <c r="L71" s="13"/>
      <c r="M71" s="13"/>
      <c r="N71" s="13"/>
      <c r="O71" s="13"/>
      <c r="P71" s="13"/>
      <c r="Q71" s="13" t="s">
        <v>765</v>
      </c>
      <c r="R71" s="13"/>
      <c r="S71" s="13">
        <v>100650</v>
      </c>
      <c r="T71" s="13"/>
      <c r="U71" s="13"/>
    </row>
    <row r="72" spans="1:23" x14ac:dyDescent="0.25">
      <c r="A72" s="16" t="s">
        <v>153</v>
      </c>
      <c r="B72" s="38" t="s">
        <v>13</v>
      </c>
      <c r="C72" s="16" t="s">
        <v>43</v>
      </c>
      <c r="D72" s="40">
        <v>44217</v>
      </c>
      <c r="E72" s="18" t="s">
        <v>23</v>
      </c>
      <c r="F72" s="18"/>
      <c r="G72" s="13"/>
      <c r="H72" s="40">
        <v>44224</v>
      </c>
      <c r="I72" s="13" t="s">
        <v>760</v>
      </c>
      <c r="J72" s="13" t="s">
        <v>250</v>
      </c>
      <c r="K72" s="13"/>
      <c r="L72" s="13"/>
      <c r="M72" s="13"/>
      <c r="N72" s="13"/>
      <c r="O72" s="13"/>
      <c r="P72" s="13"/>
      <c r="Q72" s="13" t="s">
        <v>766</v>
      </c>
      <c r="R72" s="13"/>
      <c r="S72" s="13">
        <v>2268</v>
      </c>
      <c r="T72" s="13"/>
      <c r="U72" s="13"/>
    </row>
    <row r="73" spans="1:23" x14ac:dyDescent="0.25">
      <c r="A73" s="16" t="s">
        <v>768</v>
      </c>
      <c r="B73" s="13" t="s">
        <v>34</v>
      </c>
      <c r="C73" s="16" t="s">
        <v>16</v>
      </c>
      <c r="D73" s="40">
        <v>44217</v>
      </c>
      <c r="E73" s="18" t="s">
        <v>23</v>
      </c>
      <c r="F73" s="18"/>
      <c r="G73" s="13"/>
      <c r="H73" s="40"/>
      <c r="I73" s="13" t="s">
        <v>631</v>
      </c>
      <c r="J73" s="13">
        <v>126</v>
      </c>
      <c r="K73" s="13" t="s">
        <v>659</v>
      </c>
      <c r="L73" s="13">
        <v>0.70820000000000005</v>
      </c>
      <c r="M73" s="13">
        <v>3.4609999999999999</v>
      </c>
      <c r="N73" s="13">
        <v>89.233199999999997</v>
      </c>
      <c r="O73" s="13">
        <v>436.08600000000001</v>
      </c>
      <c r="P73" s="13">
        <v>11.6</v>
      </c>
      <c r="Q73" s="13">
        <v>203.96</v>
      </c>
      <c r="R73" s="13">
        <v>288</v>
      </c>
      <c r="S73" s="13">
        <v>25699.16</v>
      </c>
      <c r="T73" s="13"/>
      <c r="U73" s="63"/>
      <c r="V73" s="13"/>
      <c r="W73" s="13"/>
    </row>
    <row r="74" spans="1:23" x14ac:dyDescent="0.25">
      <c r="A74" s="16">
        <v>65</v>
      </c>
      <c r="B74" s="38" t="s">
        <v>13</v>
      </c>
      <c r="C74" s="16" t="s">
        <v>672</v>
      </c>
      <c r="D74" s="40">
        <v>44217</v>
      </c>
      <c r="E74" s="18" t="s">
        <v>23</v>
      </c>
      <c r="F74" s="18"/>
      <c r="G74" s="13"/>
      <c r="H74" s="40">
        <v>44224</v>
      </c>
      <c r="I74" s="13" t="s">
        <v>642</v>
      </c>
      <c r="J74" s="13">
        <v>728</v>
      </c>
      <c r="K74" s="13" t="s">
        <v>164</v>
      </c>
      <c r="L74" s="13">
        <v>0.626</v>
      </c>
      <c r="M74" s="13">
        <v>2.1960000000000002</v>
      </c>
      <c r="N74" s="13">
        <v>455.72800000000001</v>
      </c>
      <c r="O74" s="13">
        <v>1598.6880000000001</v>
      </c>
      <c r="P74" s="13">
        <v>59.24</v>
      </c>
      <c r="Q74" s="13">
        <v>118.31</v>
      </c>
      <c r="R74" s="13">
        <v>189</v>
      </c>
      <c r="S74" s="13">
        <v>86132.59</v>
      </c>
      <c r="T74" s="13"/>
      <c r="U74" s="13"/>
    </row>
    <row r="75" spans="1:23" x14ac:dyDescent="0.25">
      <c r="A75" s="16">
        <v>66</v>
      </c>
      <c r="B75" s="13" t="s">
        <v>34</v>
      </c>
      <c r="C75" s="16" t="s">
        <v>46</v>
      </c>
      <c r="D75" s="40">
        <v>44217</v>
      </c>
      <c r="E75" s="18" t="s">
        <v>23</v>
      </c>
      <c r="F75" s="18"/>
      <c r="G75" s="13"/>
      <c r="H75" s="40">
        <v>44224</v>
      </c>
      <c r="I75" s="13" t="s">
        <v>639</v>
      </c>
      <c r="J75" s="13">
        <v>174</v>
      </c>
      <c r="K75" s="13" t="s">
        <v>360</v>
      </c>
      <c r="L75" s="13">
        <v>0.35859999999999997</v>
      </c>
      <c r="M75" s="13">
        <v>1.518</v>
      </c>
      <c r="N75" s="13">
        <v>62.3964</v>
      </c>
      <c r="O75" s="13">
        <v>264.13200000000001</v>
      </c>
      <c r="P75" s="13">
        <v>8.11</v>
      </c>
      <c r="Q75" s="13">
        <v>94.31</v>
      </c>
      <c r="R75" s="13">
        <v>263</v>
      </c>
      <c r="S75" s="13">
        <v>16410.25</v>
      </c>
      <c r="T75" s="13"/>
      <c r="U75" s="13"/>
    </row>
    <row r="76" spans="1:23" x14ac:dyDescent="0.25">
      <c r="A76" s="16">
        <v>67</v>
      </c>
      <c r="B76" s="13" t="s">
        <v>34</v>
      </c>
      <c r="C76" s="16" t="s">
        <v>14</v>
      </c>
      <c r="D76" s="40">
        <v>44217</v>
      </c>
      <c r="E76" s="18" t="s">
        <v>23</v>
      </c>
      <c r="F76" s="18"/>
      <c r="G76" s="13"/>
      <c r="H76" s="40">
        <v>44224</v>
      </c>
      <c r="I76" s="13" t="s">
        <v>728</v>
      </c>
      <c r="J76" s="13">
        <v>443.7</v>
      </c>
      <c r="K76" s="13" t="s">
        <v>629</v>
      </c>
      <c r="L76" s="13">
        <v>0.2492</v>
      </c>
      <c r="M76" s="13">
        <v>1.0620000000000001</v>
      </c>
      <c r="N76" s="13">
        <v>110.57</v>
      </c>
      <c r="O76" s="13">
        <v>471.20940000000002</v>
      </c>
      <c r="P76" s="13">
        <v>14.37</v>
      </c>
      <c r="Q76" s="13">
        <v>61.8</v>
      </c>
      <c r="R76" s="13">
        <v>248</v>
      </c>
      <c r="S76" s="13">
        <v>27421.37</v>
      </c>
      <c r="T76" s="13"/>
      <c r="U76" s="13"/>
    </row>
    <row r="77" spans="1:23" x14ac:dyDescent="0.25">
      <c r="A77" s="16">
        <v>19</v>
      </c>
      <c r="B77" s="38" t="s">
        <v>13</v>
      </c>
      <c r="C77" s="16" t="s">
        <v>548</v>
      </c>
      <c r="D77" s="40">
        <v>44217</v>
      </c>
      <c r="E77" s="18" t="s">
        <v>23</v>
      </c>
      <c r="F77" s="18"/>
      <c r="G77" s="13" t="s">
        <v>1138</v>
      </c>
      <c r="H77" s="40">
        <v>44224</v>
      </c>
      <c r="I77" s="13" t="s">
        <v>770</v>
      </c>
      <c r="J77" s="13" t="s">
        <v>774</v>
      </c>
      <c r="K77" s="13"/>
      <c r="L77" s="13"/>
      <c r="M77" s="13"/>
      <c r="N77" s="13"/>
      <c r="O77" s="13"/>
      <c r="P77" s="13" t="s">
        <v>777</v>
      </c>
      <c r="Q77" s="13"/>
      <c r="R77" s="13"/>
      <c r="S77" s="13" t="s">
        <v>780</v>
      </c>
      <c r="T77" s="13"/>
      <c r="U77" s="13"/>
    </row>
    <row r="78" spans="1:23" x14ac:dyDescent="0.25">
      <c r="A78" s="16">
        <v>19</v>
      </c>
      <c r="B78" s="38" t="s">
        <v>13</v>
      </c>
      <c r="C78" s="16" t="s">
        <v>548</v>
      </c>
      <c r="D78" s="40">
        <v>44217</v>
      </c>
      <c r="E78" s="18" t="s">
        <v>23</v>
      </c>
      <c r="F78" s="18"/>
      <c r="G78" s="13" t="s">
        <v>1006</v>
      </c>
      <c r="H78" s="40">
        <v>44224</v>
      </c>
      <c r="I78" s="13" t="s">
        <v>771</v>
      </c>
      <c r="J78" s="13" t="s">
        <v>775</v>
      </c>
      <c r="K78" s="13"/>
      <c r="L78" s="13"/>
      <c r="M78" s="13"/>
      <c r="N78" s="13"/>
      <c r="O78" s="13"/>
      <c r="P78" s="13" t="s">
        <v>597</v>
      </c>
      <c r="Q78" s="13"/>
      <c r="R78" s="13"/>
      <c r="S78" s="13" t="s">
        <v>781</v>
      </c>
      <c r="T78" s="13"/>
      <c r="U78" s="13"/>
    </row>
    <row r="79" spans="1:23" x14ac:dyDescent="0.25">
      <c r="A79" s="15">
        <v>19</v>
      </c>
      <c r="B79" s="38" t="s">
        <v>13</v>
      </c>
      <c r="C79" s="16" t="s">
        <v>548</v>
      </c>
      <c r="D79" s="40">
        <v>44217</v>
      </c>
      <c r="E79" s="18" t="s">
        <v>23</v>
      </c>
      <c r="F79" s="18"/>
      <c r="G79" s="13" t="s">
        <v>1500</v>
      </c>
      <c r="H79" s="64">
        <v>44354</v>
      </c>
      <c r="I79" s="13" t="s">
        <v>772</v>
      </c>
      <c r="J79" s="13">
        <v>1417</v>
      </c>
      <c r="K79" s="13"/>
      <c r="L79" s="13"/>
      <c r="M79" s="13"/>
      <c r="N79" s="13"/>
      <c r="O79" s="13"/>
      <c r="P79" s="13" t="s">
        <v>778</v>
      </c>
      <c r="Q79" s="13"/>
      <c r="R79" s="13"/>
      <c r="S79" s="13">
        <v>171513.68</v>
      </c>
      <c r="T79" s="13"/>
      <c r="U79" s="13"/>
    </row>
    <row r="80" spans="1:23" x14ac:dyDescent="0.25">
      <c r="A80" s="16">
        <v>19</v>
      </c>
      <c r="B80" s="38" t="s">
        <v>13</v>
      </c>
      <c r="C80" s="16" t="s">
        <v>548</v>
      </c>
      <c r="D80" s="40">
        <v>44217</v>
      </c>
      <c r="E80" s="18" t="s">
        <v>23</v>
      </c>
      <c r="F80" s="18"/>
      <c r="G80" s="13"/>
      <c r="H80" s="40">
        <v>44224</v>
      </c>
      <c r="I80" s="13" t="s">
        <v>773</v>
      </c>
      <c r="J80" s="13" t="s">
        <v>776</v>
      </c>
      <c r="K80" s="13"/>
      <c r="L80" s="13"/>
      <c r="M80" s="13"/>
      <c r="N80" s="13"/>
      <c r="O80" s="13"/>
      <c r="P80" s="13" t="s">
        <v>779</v>
      </c>
      <c r="Q80" s="13"/>
      <c r="R80" s="13"/>
      <c r="S80" s="13">
        <v>102403.75</v>
      </c>
      <c r="T80" s="13"/>
      <c r="U80" s="13"/>
    </row>
    <row r="81" spans="1:21" x14ac:dyDescent="0.25">
      <c r="A81" s="16">
        <v>21</v>
      </c>
      <c r="B81" s="38" t="s">
        <v>13</v>
      </c>
      <c r="C81" s="16" t="s">
        <v>15</v>
      </c>
      <c r="D81" s="40">
        <v>44218</v>
      </c>
      <c r="E81" s="18" t="s">
        <v>23</v>
      </c>
      <c r="F81" s="18"/>
      <c r="G81" s="13"/>
      <c r="H81" s="40">
        <v>44225</v>
      </c>
      <c r="I81" s="13" t="s">
        <v>230</v>
      </c>
      <c r="J81" s="13">
        <v>48</v>
      </c>
      <c r="K81" s="13"/>
      <c r="L81" s="13"/>
      <c r="M81" s="13"/>
      <c r="N81" s="13"/>
      <c r="O81" s="13"/>
      <c r="P81" s="13"/>
      <c r="Q81" s="13"/>
      <c r="R81" s="13"/>
      <c r="S81" s="13">
        <v>28320</v>
      </c>
      <c r="T81" s="13"/>
      <c r="U81" s="13"/>
    </row>
    <row r="82" spans="1:21" x14ac:dyDescent="0.25">
      <c r="A82" s="16">
        <v>22</v>
      </c>
      <c r="B82" s="13" t="s">
        <v>13</v>
      </c>
      <c r="C82" s="16" t="s">
        <v>653</v>
      </c>
      <c r="D82" s="40">
        <v>44218</v>
      </c>
      <c r="E82" s="18" t="s">
        <v>23</v>
      </c>
      <c r="F82" s="18"/>
      <c r="G82" s="13"/>
      <c r="H82" s="40">
        <v>44225</v>
      </c>
      <c r="I82" s="13" t="s">
        <v>782</v>
      </c>
      <c r="J82" s="13">
        <v>41</v>
      </c>
      <c r="K82" s="13"/>
      <c r="L82" s="13"/>
      <c r="M82" s="13"/>
      <c r="N82" s="13"/>
      <c r="O82" s="13"/>
      <c r="P82" s="13"/>
      <c r="Q82" s="13"/>
      <c r="R82" s="13"/>
      <c r="S82" s="13">
        <v>7257</v>
      </c>
      <c r="T82" s="13"/>
      <c r="U82" s="13"/>
    </row>
    <row r="83" spans="1:21" x14ac:dyDescent="0.25">
      <c r="A83" s="16" t="s">
        <v>159</v>
      </c>
      <c r="B83" s="13" t="s">
        <v>13</v>
      </c>
      <c r="C83" s="39" t="s">
        <v>15</v>
      </c>
      <c r="D83" s="40">
        <v>44221</v>
      </c>
      <c r="E83" s="18" t="s">
        <v>23</v>
      </c>
      <c r="F83" s="18"/>
      <c r="G83" s="13"/>
      <c r="H83" s="40">
        <v>44225</v>
      </c>
      <c r="I83" s="42" t="s">
        <v>89</v>
      </c>
      <c r="J83" s="43"/>
      <c r="K83" s="44">
        <v>48</v>
      </c>
      <c r="L83" s="44"/>
      <c r="M83" s="44"/>
      <c r="N83" s="47"/>
      <c r="O83" s="46"/>
      <c r="P83" s="46"/>
      <c r="Q83" s="47"/>
      <c r="R83" s="44"/>
      <c r="S83" s="44">
        <v>34992</v>
      </c>
      <c r="T83" s="13"/>
      <c r="U83" s="13"/>
    </row>
    <row r="84" spans="1:21" x14ac:dyDescent="0.25">
      <c r="A84" s="16">
        <v>68</v>
      </c>
      <c r="B84" s="38" t="s">
        <v>13</v>
      </c>
      <c r="C84" s="16" t="s">
        <v>292</v>
      </c>
      <c r="D84" s="40">
        <v>44221</v>
      </c>
      <c r="E84" s="18" t="s">
        <v>23</v>
      </c>
      <c r="F84" s="18"/>
      <c r="G84" s="13"/>
      <c r="H84" s="40">
        <v>44225</v>
      </c>
      <c r="I84" s="13" t="s">
        <v>291</v>
      </c>
      <c r="J84" s="13">
        <v>302.39999999999998</v>
      </c>
      <c r="K84" s="13" t="s">
        <v>57</v>
      </c>
      <c r="L84" s="13">
        <v>0.3266</v>
      </c>
      <c r="M84" s="13">
        <v>0.84099999999999997</v>
      </c>
      <c r="N84" s="13">
        <v>98.763800000000003</v>
      </c>
      <c r="O84" s="13">
        <v>254.3184</v>
      </c>
      <c r="P84" s="13">
        <v>12.84</v>
      </c>
      <c r="Q84" s="13">
        <v>89.16</v>
      </c>
      <c r="R84" s="13">
        <v>273</v>
      </c>
      <c r="S84" s="13">
        <v>26962.53</v>
      </c>
      <c r="T84" s="13"/>
      <c r="U84" s="13"/>
    </row>
    <row r="85" spans="1:21" x14ac:dyDescent="0.25">
      <c r="A85" s="16">
        <v>69</v>
      </c>
      <c r="B85" s="38" t="s">
        <v>13</v>
      </c>
      <c r="C85" s="16" t="s">
        <v>489</v>
      </c>
      <c r="D85" s="40">
        <v>44221</v>
      </c>
      <c r="E85" s="18" t="s">
        <v>23</v>
      </c>
      <c r="F85" s="18"/>
      <c r="G85" s="13"/>
      <c r="H85" s="40">
        <v>44225</v>
      </c>
      <c r="I85" s="13" t="s">
        <v>783</v>
      </c>
      <c r="J85" s="13">
        <v>468</v>
      </c>
      <c r="K85" s="13" t="s">
        <v>242</v>
      </c>
      <c r="L85" s="13">
        <v>0.15310000000000001</v>
      </c>
      <c r="M85" s="13">
        <v>1.1000000000000001</v>
      </c>
      <c r="N85" s="13">
        <v>71.650800000000004</v>
      </c>
      <c r="O85" s="13">
        <v>514.79999999999995</v>
      </c>
      <c r="P85" s="13">
        <v>9.31</v>
      </c>
      <c r="Q85" s="13">
        <v>41.8</v>
      </c>
      <c r="R85" s="13">
        <v>273</v>
      </c>
      <c r="S85" s="13">
        <v>19560.669999999998</v>
      </c>
      <c r="T85" s="13"/>
      <c r="U85" s="13"/>
    </row>
    <row r="86" spans="1:21" x14ac:dyDescent="0.25">
      <c r="A86" s="16" t="s">
        <v>784</v>
      </c>
      <c r="B86" s="13" t="s">
        <v>13</v>
      </c>
      <c r="C86" s="39" t="s">
        <v>15</v>
      </c>
      <c r="D86" s="40">
        <v>44223</v>
      </c>
      <c r="E86" s="18" t="s">
        <v>23</v>
      </c>
      <c r="F86" s="18"/>
      <c r="G86" s="13"/>
      <c r="H86" s="40">
        <v>44230</v>
      </c>
      <c r="I86" s="42" t="s">
        <v>89</v>
      </c>
      <c r="J86" s="43"/>
      <c r="K86" s="44">
        <v>48</v>
      </c>
      <c r="L86" s="44"/>
      <c r="M86" s="44"/>
      <c r="N86" s="47"/>
      <c r="O86" s="46"/>
      <c r="P86" s="46"/>
      <c r="Q86" s="47"/>
      <c r="R86" s="44"/>
      <c r="S86" s="44">
        <v>34992</v>
      </c>
      <c r="T86" s="13"/>
      <c r="U86" s="13"/>
    </row>
    <row r="87" spans="1:21" s="25" customFormat="1" x14ac:dyDescent="0.25">
      <c r="A87" s="20">
        <v>73</v>
      </c>
      <c r="B87" s="21" t="s">
        <v>13</v>
      </c>
      <c r="C87" s="22" t="s">
        <v>367</v>
      </c>
      <c r="D87" s="17">
        <v>44224</v>
      </c>
      <c r="E87" s="23" t="s">
        <v>23</v>
      </c>
      <c r="F87" s="23"/>
      <c r="G87" s="21"/>
      <c r="H87" s="24">
        <v>44362</v>
      </c>
      <c r="I87" s="21" t="s">
        <v>375</v>
      </c>
      <c r="J87" s="21">
        <v>240</v>
      </c>
      <c r="K87" s="21" t="s">
        <v>272</v>
      </c>
      <c r="L87" s="21">
        <v>0.60040000000000004</v>
      </c>
      <c r="M87" s="21">
        <v>2.5739999999999998</v>
      </c>
      <c r="N87" s="21">
        <v>144.096</v>
      </c>
      <c r="O87" s="21">
        <v>617.76</v>
      </c>
      <c r="P87" s="21">
        <v>18.73</v>
      </c>
      <c r="Q87" s="21">
        <v>172.92</v>
      </c>
      <c r="R87" s="21">
        <v>288</v>
      </c>
      <c r="S87" s="21">
        <v>41499.65</v>
      </c>
      <c r="T87" s="21"/>
      <c r="U87" s="21"/>
    </row>
    <row r="88" spans="1:21" x14ac:dyDescent="0.25">
      <c r="A88" s="16" t="s">
        <v>2475</v>
      </c>
      <c r="B88" s="13" t="s">
        <v>34</v>
      </c>
      <c r="C88" s="16" t="s">
        <v>541</v>
      </c>
      <c r="D88" s="29">
        <v>44211</v>
      </c>
      <c r="E88" s="18" t="s">
        <v>23</v>
      </c>
      <c r="F88" s="18"/>
      <c r="G88" s="29">
        <v>44237</v>
      </c>
      <c r="H88" s="29">
        <v>44232</v>
      </c>
      <c r="I88" s="13" t="s">
        <v>785</v>
      </c>
      <c r="J88" s="13">
        <v>1200</v>
      </c>
      <c r="K88" s="13"/>
      <c r="L88" s="13"/>
      <c r="M88" s="13"/>
      <c r="N88" s="13"/>
      <c r="O88" s="13"/>
      <c r="P88" s="13"/>
      <c r="Q88" s="13"/>
      <c r="R88" s="13"/>
      <c r="S88" s="13">
        <v>27276</v>
      </c>
      <c r="T88" s="13"/>
      <c r="U88" s="13"/>
    </row>
    <row r="89" spans="1:21" x14ac:dyDescent="0.25">
      <c r="A89" s="16" t="s">
        <v>2475</v>
      </c>
      <c r="B89" s="13" t="s">
        <v>34</v>
      </c>
      <c r="C89" s="16" t="s">
        <v>541</v>
      </c>
      <c r="D89" s="29">
        <v>44211</v>
      </c>
      <c r="E89" s="18" t="s">
        <v>23</v>
      </c>
      <c r="F89" s="18"/>
      <c r="G89" s="29">
        <v>44237</v>
      </c>
      <c r="H89" s="29">
        <v>44232</v>
      </c>
      <c r="I89" s="13" t="s">
        <v>786</v>
      </c>
      <c r="J89" s="13">
        <v>3000</v>
      </c>
      <c r="K89" s="13"/>
      <c r="L89" s="13"/>
      <c r="M89" s="13"/>
      <c r="N89" s="13"/>
      <c r="O89" s="13"/>
      <c r="P89" s="13"/>
      <c r="Q89" s="13"/>
      <c r="R89" s="13"/>
      <c r="S89" s="13">
        <v>40170</v>
      </c>
      <c r="T89" s="13"/>
      <c r="U89" s="13"/>
    </row>
    <row r="90" spans="1:21" x14ac:dyDescent="0.25">
      <c r="A90" s="16" t="s">
        <v>2475</v>
      </c>
      <c r="B90" s="13" t="s">
        <v>34</v>
      </c>
      <c r="C90" s="16" t="s">
        <v>541</v>
      </c>
      <c r="D90" s="29">
        <v>44211</v>
      </c>
      <c r="E90" s="18" t="s">
        <v>23</v>
      </c>
      <c r="F90" s="18"/>
      <c r="G90" s="29">
        <v>44237</v>
      </c>
      <c r="H90" s="29">
        <v>44232</v>
      </c>
      <c r="I90" s="13" t="s">
        <v>787</v>
      </c>
      <c r="J90" s="13">
        <v>1236</v>
      </c>
      <c r="K90" s="13"/>
      <c r="L90" s="13"/>
      <c r="M90" s="13"/>
      <c r="N90" s="13"/>
      <c r="O90" s="13"/>
      <c r="P90" s="13"/>
      <c r="Q90" s="13"/>
      <c r="R90" s="13"/>
      <c r="S90" s="13">
        <v>28094.28</v>
      </c>
      <c r="T90" s="13"/>
      <c r="U90" s="13"/>
    </row>
    <row r="91" spans="1:21" x14ac:dyDescent="0.25">
      <c r="A91" s="16" t="s">
        <v>2475</v>
      </c>
      <c r="B91" s="13" t="s">
        <v>34</v>
      </c>
      <c r="C91" s="16" t="s">
        <v>541</v>
      </c>
      <c r="D91" s="29">
        <v>44211</v>
      </c>
      <c r="E91" s="18" t="s">
        <v>23</v>
      </c>
      <c r="F91" s="18"/>
      <c r="G91" s="29">
        <v>44237</v>
      </c>
      <c r="H91" s="29">
        <v>44232</v>
      </c>
      <c r="I91" s="13" t="s">
        <v>788</v>
      </c>
      <c r="J91" s="13">
        <v>600</v>
      </c>
      <c r="K91" s="13"/>
      <c r="L91" s="13"/>
      <c r="M91" s="13"/>
      <c r="N91" s="13"/>
      <c r="O91" s="13"/>
      <c r="P91" s="13"/>
      <c r="Q91" s="13"/>
      <c r="R91" s="13"/>
      <c r="S91" s="13">
        <v>13638</v>
      </c>
      <c r="T91" s="13"/>
      <c r="U91" s="13"/>
    </row>
    <row r="92" spans="1:21" x14ac:dyDescent="0.25">
      <c r="A92" s="16" t="s">
        <v>2475</v>
      </c>
      <c r="B92" s="13" t="s">
        <v>34</v>
      </c>
      <c r="C92" s="16" t="s">
        <v>541</v>
      </c>
      <c r="D92" s="29">
        <v>44211</v>
      </c>
      <c r="E92" s="18" t="s">
        <v>23</v>
      </c>
      <c r="F92" s="18"/>
      <c r="G92" s="29">
        <v>44237</v>
      </c>
      <c r="H92" s="29">
        <v>44232</v>
      </c>
      <c r="I92" s="13" t="s">
        <v>789</v>
      </c>
      <c r="J92" s="13">
        <v>1200</v>
      </c>
      <c r="K92" s="13"/>
      <c r="L92" s="13"/>
      <c r="M92" s="13"/>
      <c r="N92" s="13"/>
      <c r="O92" s="13"/>
      <c r="P92" s="13"/>
      <c r="Q92" s="13"/>
      <c r="R92" s="13"/>
      <c r="S92" s="13">
        <v>16068</v>
      </c>
      <c r="T92" s="13"/>
      <c r="U92" s="13"/>
    </row>
    <row r="93" spans="1:21" x14ac:dyDescent="0.25">
      <c r="A93" s="16" t="s">
        <v>2481</v>
      </c>
      <c r="B93" s="13" t="s">
        <v>34</v>
      </c>
      <c r="C93" s="16" t="s">
        <v>541</v>
      </c>
      <c r="D93" s="29">
        <v>44214</v>
      </c>
      <c r="E93" s="18" t="s">
        <v>23</v>
      </c>
      <c r="F93" s="18"/>
      <c r="G93" s="13"/>
      <c r="H93" s="29">
        <v>44232</v>
      </c>
      <c r="I93" s="13" t="s">
        <v>790</v>
      </c>
      <c r="J93" s="13">
        <v>19995</v>
      </c>
      <c r="K93" s="13"/>
      <c r="L93" s="13"/>
      <c r="M93" s="13"/>
      <c r="N93" s="13"/>
      <c r="O93" s="13"/>
      <c r="P93" s="13"/>
      <c r="Q93" s="13"/>
      <c r="R93" s="13"/>
      <c r="S93" s="13">
        <v>299925</v>
      </c>
      <c r="T93" s="13"/>
      <c r="U93" s="13"/>
    </row>
    <row r="94" spans="1:21" x14ac:dyDescent="0.25">
      <c r="A94" s="16" t="s">
        <v>162</v>
      </c>
      <c r="B94" s="13" t="s">
        <v>13</v>
      </c>
      <c r="C94" s="39" t="s">
        <v>15</v>
      </c>
      <c r="D94" s="40">
        <v>44225</v>
      </c>
      <c r="E94" s="18" t="s">
        <v>23</v>
      </c>
      <c r="F94" s="18"/>
      <c r="G94" s="13"/>
      <c r="H94" s="40">
        <v>44231</v>
      </c>
      <c r="I94" s="42" t="s">
        <v>89</v>
      </c>
      <c r="J94" s="43"/>
      <c r="K94" s="44">
        <v>48</v>
      </c>
      <c r="L94" s="44"/>
      <c r="M94" s="44"/>
      <c r="N94" s="47"/>
      <c r="O94" s="46"/>
      <c r="P94" s="46"/>
      <c r="Q94" s="47"/>
      <c r="R94" s="44"/>
      <c r="S94" s="44">
        <v>34992</v>
      </c>
      <c r="T94" s="13"/>
      <c r="U94" s="13"/>
    </row>
    <row r="95" spans="1:21" x14ac:dyDescent="0.25">
      <c r="A95" s="16">
        <v>71</v>
      </c>
      <c r="B95" s="13" t="s">
        <v>13</v>
      </c>
      <c r="C95" s="16" t="s">
        <v>672</v>
      </c>
      <c r="D95" s="40">
        <v>44225</v>
      </c>
      <c r="E95" s="18" t="s">
        <v>23</v>
      </c>
      <c r="F95" s="18"/>
      <c r="G95" s="13"/>
      <c r="H95" s="29">
        <v>44236</v>
      </c>
      <c r="I95" s="13" t="s">
        <v>630</v>
      </c>
      <c r="J95" s="13">
        <v>767</v>
      </c>
      <c r="K95" s="13" t="s">
        <v>654</v>
      </c>
      <c r="L95" s="13">
        <v>0.54049999999999998</v>
      </c>
      <c r="M95" s="13">
        <v>2.0990000000000002</v>
      </c>
      <c r="N95" s="13">
        <v>414.56349999999998</v>
      </c>
      <c r="O95" s="13">
        <v>1609.933</v>
      </c>
      <c r="P95" s="13">
        <v>53.89</v>
      </c>
      <c r="Q95" s="13">
        <v>102.15</v>
      </c>
      <c r="R95" s="13">
        <v>189</v>
      </c>
      <c r="S95" s="13">
        <v>78352.5</v>
      </c>
      <c r="T95" s="13"/>
      <c r="U95" s="13"/>
    </row>
    <row r="96" spans="1:21" x14ac:dyDescent="0.25">
      <c r="A96" s="16">
        <v>71</v>
      </c>
      <c r="B96" s="13" t="s">
        <v>13</v>
      </c>
      <c r="C96" s="16" t="s">
        <v>672</v>
      </c>
      <c r="D96" s="40">
        <v>44225</v>
      </c>
      <c r="E96" s="18" t="s">
        <v>23</v>
      </c>
      <c r="F96" s="18"/>
      <c r="G96" s="13"/>
      <c r="H96" s="29">
        <v>44236</v>
      </c>
      <c r="I96" s="13" t="s">
        <v>642</v>
      </c>
      <c r="J96" s="13">
        <v>598</v>
      </c>
      <c r="K96" s="13" t="s">
        <v>209</v>
      </c>
      <c r="L96" s="13">
        <v>0.626</v>
      </c>
      <c r="M96" s="13">
        <v>2.1960000000000002</v>
      </c>
      <c r="N96" s="13">
        <v>374.34800000000001</v>
      </c>
      <c r="O96" s="13">
        <v>1313.2080000000001</v>
      </c>
      <c r="P96" s="13">
        <v>48.67</v>
      </c>
      <c r="Q96" s="13">
        <v>118.31</v>
      </c>
      <c r="R96" s="13">
        <v>189</v>
      </c>
      <c r="S96" s="13">
        <v>70751.77</v>
      </c>
      <c r="T96" s="13"/>
      <c r="U96" s="13"/>
    </row>
    <row r="97" spans="1:21" x14ac:dyDescent="0.25">
      <c r="A97" s="16" t="s">
        <v>52</v>
      </c>
      <c r="B97" s="13" t="s">
        <v>13</v>
      </c>
      <c r="C97" s="39" t="s">
        <v>15</v>
      </c>
      <c r="D97" s="40">
        <v>44228</v>
      </c>
      <c r="E97" s="18" t="s">
        <v>23</v>
      </c>
      <c r="F97" s="18"/>
      <c r="G97" s="13"/>
      <c r="H97" s="40">
        <v>44232</v>
      </c>
      <c r="I97" s="42" t="s">
        <v>89</v>
      </c>
      <c r="J97" s="43"/>
      <c r="K97" s="44">
        <v>48</v>
      </c>
      <c r="L97" s="44"/>
      <c r="M97" s="44"/>
      <c r="N97" s="47"/>
      <c r="O97" s="46"/>
      <c r="P97" s="46"/>
      <c r="Q97" s="47"/>
      <c r="R97" s="44"/>
      <c r="S97" s="44">
        <v>34992</v>
      </c>
      <c r="T97" s="13"/>
      <c r="U97" s="13"/>
    </row>
    <row r="98" spans="1:21" x14ac:dyDescent="0.25">
      <c r="A98" s="16" t="s">
        <v>168</v>
      </c>
      <c r="B98" s="13" t="s">
        <v>13</v>
      </c>
      <c r="C98" s="16" t="s">
        <v>284</v>
      </c>
      <c r="D98" s="40">
        <v>44228</v>
      </c>
      <c r="E98" s="18" t="s">
        <v>23</v>
      </c>
      <c r="F98" s="18"/>
      <c r="G98" s="13"/>
      <c r="H98" s="29">
        <v>44236</v>
      </c>
      <c r="I98" s="13" t="s">
        <v>63</v>
      </c>
      <c r="J98" s="13" t="s">
        <v>112</v>
      </c>
      <c r="K98" s="13"/>
      <c r="L98" s="13"/>
      <c r="M98" s="13"/>
      <c r="N98" s="13"/>
      <c r="O98" s="13"/>
      <c r="P98" s="13"/>
      <c r="Q98" s="13" t="s">
        <v>793</v>
      </c>
      <c r="R98" s="13"/>
      <c r="S98" s="13" t="s">
        <v>796</v>
      </c>
      <c r="T98" s="13"/>
      <c r="U98" s="13"/>
    </row>
    <row r="99" spans="1:21" x14ac:dyDescent="0.25">
      <c r="A99" s="16" t="s">
        <v>168</v>
      </c>
      <c r="B99" s="13" t="s">
        <v>13</v>
      </c>
      <c r="C99" s="16" t="s">
        <v>284</v>
      </c>
      <c r="D99" s="40">
        <v>44228</v>
      </c>
      <c r="E99" s="18" t="s">
        <v>23</v>
      </c>
      <c r="F99" s="18"/>
      <c r="G99" s="13"/>
      <c r="H99" s="29">
        <v>44236</v>
      </c>
      <c r="I99" s="13" t="s">
        <v>69</v>
      </c>
      <c r="J99" s="13" t="s">
        <v>100</v>
      </c>
      <c r="K99" s="13"/>
      <c r="L99" s="13"/>
      <c r="M99" s="13"/>
      <c r="N99" s="13"/>
      <c r="O99" s="13"/>
      <c r="P99" s="13"/>
      <c r="Q99" s="13" t="s">
        <v>794</v>
      </c>
      <c r="R99" s="13"/>
      <c r="S99" s="13" t="s">
        <v>797</v>
      </c>
      <c r="T99" s="13"/>
      <c r="U99" s="13"/>
    </row>
    <row r="100" spans="1:21" x14ac:dyDescent="0.25">
      <c r="A100" s="16" t="s">
        <v>168</v>
      </c>
      <c r="B100" s="13" t="s">
        <v>13</v>
      </c>
      <c r="C100" s="16" t="s">
        <v>284</v>
      </c>
      <c r="D100" s="40">
        <v>44228</v>
      </c>
      <c r="E100" s="18" t="s">
        <v>23</v>
      </c>
      <c r="F100" s="18"/>
      <c r="G100" s="13"/>
      <c r="H100" s="29">
        <v>44236</v>
      </c>
      <c r="I100" s="13" t="s">
        <v>433</v>
      </c>
      <c r="J100" s="13" t="s">
        <v>396</v>
      </c>
      <c r="K100" s="13"/>
      <c r="L100" s="13"/>
      <c r="M100" s="13"/>
      <c r="N100" s="13"/>
      <c r="O100" s="13"/>
      <c r="P100" s="13"/>
      <c r="Q100" s="13" t="s">
        <v>795</v>
      </c>
      <c r="R100" s="13"/>
      <c r="S100" s="13" t="s">
        <v>798</v>
      </c>
      <c r="T100" s="13"/>
      <c r="U100" s="13"/>
    </row>
    <row r="101" spans="1:21" x14ac:dyDescent="0.25">
      <c r="A101" s="16" t="s">
        <v>172</v>
      </c>
      <c r="B101" s="13" t="s">
        <v>13</v>
      </c>
      <c r="C101" s="16" t="s">
        <v>799</v>
      </c>
      <c r="D101" s="29">
        <v>44229</v>
      </c>
      <c r="E101" s="18" t="s">
        <v>23</v>
      </c>
      <c r="F101" s="18"/>
      <c r="G101" s="13"/>
      <c r="H101" s="29">
        <v>44236</v>
      </c>
      <c r="I101" s="13" t="s">
        <v>800</v>
      </c>
      <c r="J101" s="13">
        <v>330</v>
      </c>
      <c r="K101" s="13">
        <v>110</v>
      </c>
      <c r="L101" s="13"/>
      <c r="M101" s="13"/>
      <c r="N101" s="13"/>
      <c r="O101" s="13"/>
      <c r="P101" s="13"/>
      <c r="Q101" s="13">
        <v>30.3</v>
      </c>
      <c r="R101" s="13"/>
      <c r="S101" s="13">
        <v>10000</v>
      </c>
      <c r="T101" s="13"/>
      <c r="U101" s="13"/>
    </row>
    <row r="102" spans="1:21" x14ac:dyDescent="0.25">
      <c r="A102" s="16">
        <v>73</v>
      </c>
      <c r="B102" s="13" t="s">
        <v>34</v>
      </c>
      <c r="C102" s="16" t="s">
        <v>802</v>
      </c>
      <c r="D102" s="29">
        <v>44229</v>
      </c>
      <c r="E102" s="18" t="s">
        <v>23</v>
      </c>
      <c r="F102" s="18"/>
      <c r="G102" s="13"/>
      <c r="H102" s="29">
        <v>44232</v>
      </c>
      <c r="I102" s="13" t="s">
        <v>801</v>
      </c>
      <c r="J102" s="13">
        <v>13</v>
      </c>
      <c r="K102" s="13" t="s">
        <v>41</v>
      </c>
      <c r="L102" s="13">
        <v>0.19389999999999999</v>
      </c>
      <c r="M102" s="13">
        <v>1.6719999999999999</v>
      </c>
      <c r="N102" s="13">
        <v>2.5207000000000002</v>
      </c>
      <c r="O102" s="13">
        <v>21.736000000000001</v>
      </c>
      <c r="P102" s="13">
        <v>0.33</v>
      </c>
      <c r="Q102" s="13">
        <v>55.84</v>
      </c>
      <c r="R102" s="13">
        <v>288</v>
      </c>
      <c r="S102" s="13">
        <v>725.96</v>
      </c>
      <c r="T102" s="13"/>
      <c r="U102" s="13"/>
    </row>
    <row r="103" spans="1:21" x14ac:dyDescent="0.25">
      <c r="A103" s="16" t="s">
        <v>72</v>
      </c>
      <c r="B103" s="13" t="s">
        <v>13</v>
      </c>
      <c r="C103" s="16" t="s">
        <v>883</v>
      </c>
      <c r="D103" s="29">
        <v>44230</v>
      </c>
      <c r="E103" s="18" t="s">
        <v>23</v>
      </c>
      <c r="F103" s="18"/>
      <c r="G103" s="13"/>
      <c r="H103" s="29">
        <v>44237</v>
      </c>
      <c r="I103" s="13" t="s">
        <v>803</v>
      </c>
      <c r="J103" s="13">
        <v>60</v>
      </c>
      <c r="K103" s="13"/>
      <c r="L103" s="13"/>
      <c r="M103" s="13"/>
      <c r="N103" s="13"/>
      <c r="O103" s="13"/>
      <c r="P103" s="13"/>
      <c r="Q103" s="13">
        <v>145</v>
      </c>
      <c r="R103" s="13"/>
      <c r="S103" s="13">
        <v>8700</v>
      </c>
      <c r="T103" s="13"/>
      <c r="U103" s="13"/>
    </row>
    <row r="104" spans="1:21" x14ac:dyDescent="0.25">
      <c r="A104" s="16" t="s">
        <v>189</v>
      </c>
      <c r="B104" s="13" t="s">
        <v>13</v>
      </c>
      <c r="C104" s="13" t="s">
        <v>30</v>
      </c>
      <c r="D104" s="29">
        <v>44230</v>
      </c>
      <c r="E104" s="18" t="s">
        <v>23</v>
      </c>
      <c r="F104" s="18"/>
      <c r="G104" s="13"/>
      <c r="H104" s="29">
        <v>44237</v>
      </c>
      <c r="I104" s="13" t="s">
        <v>568</v>
      </c>
      <c r="J104" s="13"/>
      <c r="K104" s="13" t="s">
        <v>26</v>
      </c>
      <c r="L104" s="13"/>
      <c r="M104" s="13"/>
      <c r="N104" s="13"/>
      <c r="O104" s="13"/>
      <c r="P104" s="13"/>
      <c r="Q104" s="13" t="s">
        <v>569</v>
      </c>
      <c r="R104" s="13"/>
      <c r="S104" s="13" t="s">
        <v>569</v>
      </c>
      <c r="T104" s="13"/>
      <c r="U104" s="13"/>
    </row>
    <row r="105" spans="1:21" x14ac:dyDescent="0.25">
      <c r="A105" s="16" t="s">
        <v>189</v>
      </c>
      <c r="B105" s="13" t="s">
        <v>13</v>
      </c>
      <c r="C105" s="13" t="s">
        <v>30</v>
      </c>
      <c r="D105" s="29">
        <v>44230</v>
      </c>
      <c r="E105" s="18" t="s">
        <v>23</v>
      </c>
      <c r="F105" s="18"/>
      <c r="G105" s="13"/>
      <c r="H105" s="29">
        <v>44237</v>
      </c>
      <c r="I105" s="13" t="s">
        <v>742</v>
      </c>
      <c r="J105" s="13"/>
      <c r="K105" s="13" t="s">
        <v>123</v>
      </c>
      <c r="L105" s="13"/>
      <c r="M105" s="13"/>
      <c r="N105" s="13"/>
      <c r="O105" s="13"/>
      <c r="P105" s="13"/>
      <c r="Q105" s="13" t="s">
        <v>436</v>
      </c>
      <c r="R105" s="13"/>
      <c r="S105" s="13" t="s">
        <v>437</v>
      </c>
      <c r="T105" s="13"/>
      <c r="U105" s="13"/>
    </row>
    <row r="106" spans="1:21" x14ac:dyDescent="0.25">
      <c r="A106" s="16" t="s">
        <v>189</v>
      </c>
      <c r="B106" s="13" t="s">
        <v>13</v>
      </c>
      <c r="C106" s="13" t="s">
        <v>30</v>
      </c>
      <c r="D106" s="29">
        <v>44230</v>
      </c>
      <c r="E106" s="18" t="s">
        <v>23</v>
      </c>
      <c r="F106" s="18"/>
      <c r="G106" s="13"/>
      <c r="H106" s="29">
        <v>44237</v>
      </c>
      <c r="I106" s="13" t="s">
        <v>730</v>
      </c>
      <c r="J106" s="13"/>
      <c r="K106" s="13" t="s">
        <v>26</v>
      </c>
      <c r="L106" s="13"/>
      <c r="M106" s="13"/>
      <c r="N106" s="13"/>
      <c r="O106" s="13"/>
      <c r="P106" s="13"/>
      <c r="Q106" s="13" t="s">
        <v>438</v>
      </c>
      <c r="R106" s="13"/>
      <c r="S106" s="13" t="s">
        <v>438</v>
      </c>
      <c r="T106" s="13"/>
      <c r="U106" s="13"/>
    </row>
    <row r="107" spans="1:21" x14ac:dyDescent="0.25">
      <c r="A107" s="16" t="s">
        <v>189</v>
      </c>
      <c r="B107" s="13" t="s">
        <v>13</v>
      </c>
      <c r="C107" s="13" t="s">
        <v>30</v>
      </c>
      <c r="D107" s="29">
        <v>44230</v>
      </c>
      <c r="E107" s="18" t="s">
        <v>23</v>
      </c>
      <c r="F107" s="18"/>
      <c r="G107" s="13"/>
      <c r="H107" s="29">
        <v>44237</v>
      </c>
      <c r="I107" s="13" t="s">
        <v>731</v>
      </c>
      <c r="J107" s="13"/>
      <c r="K107" s="13" t="s">
        <v>268</v>
      </c>
      <c r="L107" s="13"/>
      <c r="M107" s="13"/>
      <c r="N107" s="13"/>
      <c r="O107" s="13"/>
      <c r="P107" s="13"/>
      <c r="Q107" s="13" t="s">
        <v>439</v>
      </c>
      <c r="R107" s="13"/>
      <c r="S107" s="13" t="s">
        <v>567</v>
      </c>
      <c r="T107" s="13"/>
      <c r="U107" s="13"/>
    </row>
    <row r="108" spans="1:21" x14ac:dyDescent="0.25">
      <c r="A108" s="16" t="s">
        <v>189</v>
      </c>
      <c r="B108" s="13" t="s">
        <v>13</v>
      </c>
      <c r="C108" s="13" t="s">
        <v>30</v>
      </c>
      <c r="D108" s="29">
        <v>44230</v>
      </c>
      <c r="E108" s="18" t="s">
        <v>23</v>
      </c>
      <c r="F108" s="18"/>
      <c r="G108" s="13"/>
      <c r="H108" s="29">
        <v>44237</v>
      </c>
      <c r="I108" s="13" t="s">
        <v>732</v>
      </c>
      <c r="J108" s="13"/>
      <c r="K108" s="13" t="s">
        <v>26</v>
      </c>
      <c r="L108" s="13"/>
      <c r="M108" s="13"/>
      <c r="N108" s="13"/>
      <c r="O108" s="13"/>
      <c r="P108" s="13"/>
      <c r="Q108" s="13" t="s">
        <v>130</v>
      </c>
      <c r="R108" s="13"/>
      <c r="S108" s="13" t="s">
        <v>130</v>
      </c>
      <c r="T108" s="13"/>
      <c r="U108" s="13"/>
    </row>
    <row r="109" spans="1:21" x14ac:dyDescent="0.25">
      <c r="A109" s="16" t="s">
        <v>189</v>
      </c>
      <c r="B109" s="13" t="s">
        <v>13</v>
      </c>
      <c r="C109" s="13" t="s">
        <v>30</v>
      </c>
      <c r="D109" s="29">
        <v>44230</v>
      </c>
      <c r="E109" s="18" t="s">
        <v>23</v>
      </c>
      <c r="F109" s="18"/>
      <c r="G109" s="13"/>
      <c r="H109" s="29">
        <v>44237</v>
      </c>
      <c r="I109" s="13" t="s">
        <v>440</v>
      </c>
      <c r="J109" s="13"/>
      <c r="K109" s="13" t="s">
        <v>26</v>
      </c>
      <c r="L109" s="13"/>
      <c r="M109" s="13"/>
      <c r="N109" s="13"/>
      <c r="O109" s="13"/>
      <c r="P109" s="13"/>
      <c r="Q109" s="13" t="s">
        <v>441</v>
      </c>
      <c r="R109" s="13"/>
      <c r="S109" s="13" t="s">
        <v>441</v>
      </c>
      <c r="T109" s="13"/>
      <c r="U109" s="13"/>
    </row>
    <row r="110" spans="1:21" x14ac:dyDescent="0.25">
      <c r="A110" s="16" t="s">
        <v>189</v>
      </c>
      <c r="B110" s="13" t="s">
        <v>13</v>
      </c>
      <c r="C110" s="13" t="s">
        <v>30</v>
      </c>
      <c r="D110" s="29">
        <v>44230</v>
      </c>
      <c r="E110" s="18" t="s">
        <v>23</v>
      </c>
      <c r="F110" s="18"/>
      <c r="G110" s="13"/>
      <c r="H110" s="29">
        <v>44237</v>
      </c>
      <c r="I110" s="13" t="s">
        <v>743</v>
      </c>
      <c r="J110" s="13"/>
      <c r="K110" s="13" t="s">
        <v>108</v>
      </c>
      <c r="L110" s="13"/>
      <c r="M110" s="13"/>
      <c r="N110" s="13"/>
      <c r="O110" s="13"/>
      <c r="P110" s="13"/>
      <c r="Q110" s="13" t="s">
        <v>570</v>
      </c>
      <c r="R110" s="13"/>
      <c r="S110" s="13" t="s">
        <v>571</v>
      </c>
      <c r="T110" s="13"/>
      <c r="U110" s="13"/>
    </row>
    <row r="111" spans="1:21" x14ac:dyDescent="0.25">
      <c r="A111" s="16" t="s">
        <v>189</v>
      </c>
      <c r="B111" s="13" t="s">
        <v>13</v>
      </c>
      <c r="C111" s="13" t="s">
        <v>30</v>
      </c>
      <c r="D111" s="29">
        <v>44230</v>
      </c>
      <c r="E111" s="18" t="s">
        <v>23</v>
      </c>
      <c r="F111" s="18"/>
      <c r="G111" s="13"/>
      <c r="H111" s="29">
        <v>44237</v>
      </c>
      <c r="I111" s="13" t="s">
        <v>744</v>
      </c>
      <c r="J111" s="13"/>
      <c r="K111" s="13" t="s">
        <v>226</v>
      </c>
      <c r="L111" s="13"/>
      <c r="M111" s="13"/>
      <c r="N111" s="13"/>
      <c r="O111" s="13"/>
      <c r="P111" s="13"/>
      <c r="Q111" s="13" t="s">
        <v>618</v>
      </c>
      <c r="R111" s="13"/>
      <c r="S111" s="13" t="s">
        <v>805</v>
      </c>
      <c r="T111" s="13"/>
      <c r="U111" s="13"/>
    </row>
    <row r="112" spans="1:21" x14ac:dyDescent="0.25">
      <c r="A112" s="16" t="s">
        <v>189</v>
      </c>
      <c r="B112" s="13" t="s">
        <v>13</v>
      </c>
      <c r="C112" s="13" t="s">
        <v>30</v>
      </c>
      <c r="D112" s="29">
        <v>44230</v>
      </c>
      <c r="E112" s="18" t="s">
        <v>23</v>
      </c>
      <c r="F112" s="18"/>
      <c r="G112" s="13"/>
      <c r="H112" s="29">
        <v>44237</v>
      </c>
      <c r="I112" s="13" t="s">
        <v>733</v>
      </c>
      <c r="J112" s="13"/>
      <c r="K112" s="13" t="s">
        <v>123</v>
      </c>
      <c r="L112" s="13"/>
      <c r="M112" s="13"/>
      <c r="N112" s="13"/>
      <c r="O112" s="13"/>
      <c r="P112" s="13"/>
      <c r="Q112" s="13" t="s">
        <v>443</v>
      </c>
      <c r="R112" s="13"/>
      <c r="S112" s="13" t="s">
        <v>444</v>
      </c>
      <c r="T112" s="13"/>
      <c r="U112" s="13"/>
    </row>
    <row r="113" spans="1:21" x14ac:dyDescent="0.25">
      <c r="A113" s="16" t="s">
        <v>189</v>
      </c>
      <c r="B113" s="13" t="s">
        <v>13</v>
      </c>
      <c r="C113" s="13" t="s">
        <v>30</v>
      </c>
      <c r="D113" s="29">
        <v>44230</v>
      </c>
      <c r="E113" s="18" t="s">
        <v>23</v>
      </c>
      <c r="F113" s="18"/>
      <c r="G113" s="13"/>
      <c r="H113" s="29">
        <v>44237</v>
      </c>
      <c r="I113" s="13" t="s">
        <v>734</v>
      </c>
      <c r="J113" s="13"/>
      <c r="K113" s="13" t="s">
        <v>26</v>
      </c>
      <c r="L113" s="13"/>
      <c r="M113" s="13"/>
      <c r="N113" s="13"/>
      <c r="O113" s="13"/>
      <c r="P113" s="13"/>
      <c r="Q113" s="13" t="s">
        <v>572</v>
      </c>
      <c r="R113" s="13"/>
      <c r="S113" s="13" t="s">
        <v>572</v>
      </c>
      <c r="T113" s="13"/>
      <c r="U113" s="13"/>
    </row>
    <row r="114" spans="1:21" x14ac:dyDescent="0.25">
      <c r="A114" s="16" t="s">
        <v>189</v>
      </c>
      <c r="B114" s="13" t="s">
        <v>13</v>
      </c>
      <c r="C114" s="13" t="s">
        <v>30</v>
      </c>
      <c r="D114" s="29">
        <v>44230</v>
      </c>
      <c r="E114" s="18" t="s">
        <v>23</v>
      </c>
      <c r="F114" s="18"/>
      <c r="G114" s="13"/>
      <c r="H114" s="29">
        <v>44237</v>
      </c>
      <c r="I114" s="13" t="s">
        <v>735</v>
      </c>
      <c r="J114" s="13"/>
      <c r="K114" s="13" t="s">
        <v>26</v>
      </c>
      <c r="L114" s="13"/>
      <c r="M114" s="13"/>
      <c r="N114" s="13"/>
      <c r="O114" s="13"/>
      <c r="P114" s="13"/>
      <c r="Q114" s="13" t="s">
        <v>573</v>
      </c>
      <c r="R114" s="13"/>
      <c r="S114" s="13" t="s">
        <v>573</v>
      </c>
      <c r="T114" s="13"/>
      <c r="U114" s="13"/>
    </row>
    <row r="115" spans="1:21" x14ac:dyDescent="0.25">
      <c r="A115" s="16" t="s">
        <v>189</v>
      </c>
      <c r="B115" s="13" t="s">
        <v>13</v>
      </c>
      <c r="C115" s="13" t="s">
        <v>30</v>
      </c>
      <c r="D115" s="29">
        <v>44230</v>
      </c>
      <c r="E115" s="18" t="s">
        <v>23</v>
      </c>
      <c r="F115" s="18"/>
      <c r="G115" s="13"/>
      <c r="H115" s="29">
        <v>44237</v>
      </c>
      <c r="I115" s="13" t="s">
        <v>736</v>
      </c>
      <c r="J115" s="13"/>
      <c r="K115" s="13" t="s">
        <v>26</v>
      </c>
      <c r="L115" s="13"/>
      <c r="M115" s="13"/>
      <c r="N115" s="13"/>
      <c r="O115" s="13"/>
      <c r="P115" s="13"/>
      <c r="Q115" s="13" t="s">
        <v>184</v>
      </c>
      <c r="R115" s="13"/>
      <c r="S115" s="13" t="s">
        <v>184</v>
      </c>
      <c r="T115" s="13"/>
      <c r="U115" s="13"/>
    </row>
    <row r="116" spans="1:21" x14ac:dyDescent="0.25">
      <c r="A116" s="16" t="s">
        <v>189</v>
      </c>
      <c r="B116" s="13" t="s">
        <v>13</v>
      </c>
      <c r="C116" s="13" t="s">
        <v>30</v>
      </c>
      <c r="D116" s="29">
        <v>44230</v>
      </c>
      <c r="E116" s="18" t="s">
        <v>23</v>
      </c>
      <c r="F116" s="18"/>
      <c r="G116" s="13"/>
      <c r="H116" s="29">
        <v>44237</v>
      </c>
      <c r="I116" s="13" t="s">
        <v>737</v>
      </c>
      <c r="J116" s="13"/>
      <c r="K116" s="13" t="s">
        <v>446</v>
      </c>
      <c r="L116" s="13"/>
      <c r="M116" s="13"/>
      <c r="N116" s="13"/>
      <c r="O116" s="13"/>
      <c r="P116" s="13"/>
      <c r="Q116" s="13" t="s">
        <v>146</v>
      </c>
      <c r="R116" s="13"/>
      <c r="S116" s="13" t="s">
        <v>806</v>
      </c>
      <c r="T116" s="13"/>
      <c r="U116" s="13"/>
    </row>
    <row r="117" spans="1:21" x14ac:dyDescent="0.25">
      <c r="A117" s="16" t="s">
        <v>189</v>
      </c>
      <c r="B117" s="13" t="s">
        <v>13</v>
      </c>
      <c r="C117" s="13" t="s">
        <v>30</v>
      </c>
      <c r="D117" s="29">
        <v>44230</v>
      </c>
      <c r="E117" s="18" t="s">
        <v>23</v>
      </c>
      <c r="F117" s="18"/>
      <c r="G117" s="13"/>
      <c r="H117" s="29">
        <v>44237</v>
      </c>
      <c r="I117" s="13" t="s">
        <v>738</v>
      </c>
      <c r="J117" s="13"/>
      <c r="K117" s="13" t="s">
        <v>26</v>
      </c>
      <c r="L117" s="13"/>
      <c r="M117" s="13"/>
      <c r="N117" s="13"/>
      <c r="O117" s="13"/>
      <c r="P117" s="13"/>
      <c r="Q117" s="13" t="s">
        <v>447</v>
      </c>
      <c r="R117" s="13"/>
      <c r="S117" s="13" t="s">
        <v>447</v>
      </c>
      <c r="T117" s="13"/>
      <c r="U117" s="13"/>
    </row>
    <row r="118" spans="1:21" x14ac:dyDescent="0.25">
      <c r="A118" s="16" t="s">
        <v>189</v>
      </c>
      <c r="B118" s="13" t="s">
        <v>13</v>
      </c>
      <c r="C118" s="13" t="s">
        <v>30</v>
      </c>
      <c r="D118" s="29">
        <v>44230</v>
      </c>
      <c r="E118" s="18" t="s">
        <v>23</v>
      </c>
      <c r="F118" s="18"/>
      <c r="G118" s="13"/>
      <c r="H118" s="29">
        <v>44237</v>
      </c>
      <c r="I118" s="13" t="s">
        <v>282</v>
      </c>
      <c r="J118" s="13"/>
      <c r="K118" s="13" t="s">
        <v>26</v>
      </c>
      <c r="L118" s="13"/>
      <c r="M118" s="13"/>
      <c r="N118" s="13"/>
      <c r="O118" s="13"/>
      <c r="P118" s="13"/>
      <c r="Q118" s="13" t="s">
        <v>132</v>
      </c>
      <c r="R118" s="13"/>
      <c r="S118" s="13" t="s">
        <v>132</v>
      </c>
      <c r="T118" s="13"/>
      <c r="U118" s="13"/>
    </row>
    <row r="119" spans="1:21" x14ac:dyDescent="0.25">
      <c r="A119" s="16" t="s">
        <v>189</v>
      </c>
      <c r="B119" s="13" t="s">
        <v>13</v>
      </c>
      <c r="C119" s="13" t="s">
        <v>30</v>
      </c>
      <c r="D119" s="29">
        <v>44230</v>
      </c>
      <c r="E119" s="18" t="s">
        <v>23</v>
      </c>
      <c r="F119" s="18"/>
      <c r="G119" s="13"/>
      <c r="H119" s="29">
        <v>44237</v>
      </c>
      <c r="I119" s="13" t="s">
        <v>739</v>
      </c>
      <c r="J119" s="13"/>
      <c r="K119" s="13" t="s">
        <v>108</v>
      </c>
      <c r="L119" s="13"/>
      <c r="M119" s="13"/>
      <c r="N119" s="13"/>
      <c r="O119" s="13"/>
      <c r="P119" s="13"/>
      <c r="Q119" s="13" t="s">
        <v>449</v>
      </c>
      <c r="R119" s="13"/>
      <c r="S119" s="13" t="s">
        <v>574</v>
      </c>
      <c r="T119" s="13"/>
      <c r="U119" s="13"/>
    </row>
    <row r="120" spans="1:21" x14ac:dyDescent="0.25">
      <c r="A120" s="16" t="s">
        <v>189</v>
      </c>
      <c r="B120" s="13" t="s">
        <v>13</v>
      </c>
      <c r="C120" s="13" t="s">
        <v>30</v>
      </c>
      <c r="D120" s="29">
        <v>44230</v>
      </c>
      <c r="E120" s="18" t="s">
        <v>23</v>
      </c>
      <c r="F120" s="18"/>
      <c r="G120" s="13"/>
      <c r="H120" s="29">
        <v>44237</v>
      </c>
      <c r="I120" s="13" t="s">
        <v>740</v>
      </c>
      <c r="J120" s="13"/>
      <c r="K120" s="13" t="s">
        <v>193</v>
      </c>
      <c r="L120" s="13"/>
      <c r="M120" s="13"/>
      <c r="N120" s="13"/>
      <c r="O120" s="13"/>
      <c r="P120" s="13"/>
      <c r="Q120" s="13" t="s">
        <v>126</v>
      </c>
      <c r="R120" s="13"/>
      <c r="S120" s="13" t="s">
        <v>807</v>
      </c>
      <c r="T120" s="13"/>
      <c r="U120" s="13"/>
    </row>
    <row r="121" spans="1:21" x14ac:dyDescent="0.25">
      <c r="A121" s="16" t="s">
        <v>189</v>
      </c>
      <c r="B121" s="13" t="s">
        <v>13</v>
      </c>
      <c r="C121" s="13" t="s">
        <v>30</v>
      </c>
      <c r="D121" s="29">
        <v>44230</v>
      </c>
      <c r="E121" s="18" t="s">
        <v>23</v>
      </c>
      <c r="F121" s="18"/>
      <c r="G121" s="13"/>
      <c r="H121" s="29">
        <v>44237</v>
      </c>
      <c r="I121" s="13" t="s">
        <v>741</v>
      </c>
      <c r="J121" s="13"/>
      <c r="K121" s="13" t="s">
        <v>75</v>
      </c>
      <c r="L121" s="13"/>
      <c r="M121" s="13"/>
      <c r="N121" s="13"/>
      <c r="O121" s="13"/>
      <c r="P121" s="13"/>
      <c r="Q121" s="13" t="s">
        <v>804</v>
      </c>
      <c r="R121" s="13"/>
      <c r="S121" s="13" t="s">
        <v>808</v>
      </c>
      <c r="T121" s="13"/>
      <c r="U121" s="13"/>
    </row>
    <row r="122" spans="1:21" x14ac:dyDescent="0.25">
      <c r="A122" s="16" t="s">
        <v>189</v>
      </c>
      <c r="B122" s="13" t="s">
        <v>13</v>
      </c>
      <c r="C122" s="13" t="s">
        <v>30</v>
      </c>
      <c r="D122" s="29">
        <v>44230</v>
      </c>
      <c r="E122" s="18" t="s">
        <v>23</v>
      </c>
      <c r="F122" s="18"/>
      <c r="G122" s="13"/>
      <c r="H122" s="29">
        <v>44237</v>
      </c>
      <c r="I122" s="13" t="s">
        <v>745</v>
      </c>
      <c r="J122" s="13"/>
      <c r="K122" s="13" t="s">
        <v>446</v>
      </c>
      <c r="L122" s="13"/>
      <c r="M122" s="13"/>
      <c r="N122" s="13"/>
      <c r="O122" s="13"/>
      <c r="P122" s="13"/>
      <c r="Q122" s="13" t="s">
        <v>587</v>
      </c>
      <c r="R122" s="13"/>
      <c r="S122" s="13" t="s">
        <v>809</v>
      </c>
      <c r="T122" s="13"/>
      <c r="U122" s="13"/>
    </row>
    <row r="123" spans="1:21" x14ac:dyDescent="0.25">
      <c r="A123" s="16" t="s">
        <v>810</v>
      </c>
      <c r="B123" s="38" t="s">
        <v>13</v>
      </c>
      <c r="C123" s="16" t="s">
        <v>15</v>
      </c>
      <c r="D123" s="29">
        <v>44230</v>
      </c>
      <c r="E123" s="18" t="s">
        <v>23</v>
      </c>
      <c r="F123" s="18"/>
      <c r="G123" s="13"/>
      <c r="H123" s="29">
        <v>44237</v>
      </c>
      <c r="I123" s="13" t="s">
        <v>230</v>
      </c>
      <c r="J123" s="13">
        <v>48</v>
      </c>
      <c r="K123" s="13"/>
      <c r="L123" s="13"/>
      <c r="M123" s="13"/>
      <c r="N123" s="13"/>
      <c r="O123" s="13"/>
      <c r="P123" s="13"/>
      <c r="Q123" s="13"/>
      <c r="R123" s="13"/>
      <c r="S123" s="13">
        <v>28320</v>
      </c>
      <c r="T123" s="13"/>
      <c r="U123" s="13"/>
    </row>
    <row r="124" spans="1:21" x14ac:dyDescent="0.25">
      <c r="A124" s="16" t="s">
        <v>811</v>
      </c>
      <c r="B124" s="38" t="s">
        <v>13</v>
      </c>
      <c r="C124" s="16" t="s">
        <v>548</v>
      </c>
      <c r="D124" s="29">
        <v>44231</v>
      </c>
      <c r="E124" s="18" t="s">
        <v>23</v>
      </c>
      <c r="F124" s="18"/>
      <c r="G124" s="13"/>
      <c r="H124" s="29">
        <v>44238</v>
      </c>
      <c r="I124" s="13" t="s">
        <v>812</v>
      </c>
      <c r="J124" s="13" t="s">
        <v>813</v>
      </c>
      <c r="K124" s="13"/>
      <c r="L124" s="13"/>
      <c r="M124" s="13"/>
      <c r="N124" s="13"/>
      <c r="O124" s="13"/>
      <c r="P124" s="13"/>
      <c r="Q124" s="13" t="s">
        <v>814</v>
      </c>
      <c r="R124" s="13"/>
      <c r="S124" s="13" t="s">
        <v>815</v>
      </c>
      <c r="T124" s="13"/>
      <c r="U124" s="13"/>
    </row>
    <row r="125" spans="1:21" x14ac:dyDescent="0.25">
      <c r="A125" s="16" t="s">
        <v>816</v>
      </c>
      <c r="B125" s="38" t="s">
        <v>13</v>
      </c>
      <c r="C125" s="13" t="s">
        <v>30</v>
      </c>
      <c r="D125" s="29">
        <v>44232</v>
      </c>
      <c r="E125" s="18" t="s">
        <v>23</v>
      </c>
      <c r="F125" s="18"/>
      <c r="G125" s="13"/>
      <c r="H125" s="29">
        <v>44239</v>
      </c>
      <c r="I125" s="13" t="s">
        <v>206</v>
      </c>
      <c r="K125" s="13" t="s">
        <v>817</v>
      </c>
      <c r="L125" s="13"/>
      <c r="M125" s="13"/>
      <c r="N125" s="13"/>
      <c r="O125" s="13"/>
      <c r="P125" s="13"/>
      <c r="Q125" s="13" t="s">
        <v>818</v>
      </c>
      <c r="R125" s="13"/>
      <c r="S125" s="13">
        <v>62800</v>
      </c>
      <c r="T125" s="13"/>
      <c r="U125" s="13"/>
    </row>
    <row r="126" spans="1:21" s="25" customFormat="1" x14ac:dyDescent="0.25">
      <c r="A126" s="22" t="s">
        <v>819</v>
      </c>
      <c r="B126" s="52" t="s">
        <v>13</v>
      </c>
      <c r="C126" s="22" t="s">
        <v>548</v>
      </c>
      <c r="D126" s="17">
        <v>44232</v>
      </c>
      <c r="E126" s="23" t="s">
        <v>23</v>
      </c>
      <c r="F126" s="23"/>
      <c r="G126" s="21" t="s">
        <v>1321</v>
      </c>
      <c r="H126" s="17">
        <v>44239</v>
      </c>
      <c r="I126" s="21" t="s">
        <v>820</v>
      </c>
      <c r="J126" s="21" t="s">
        <v>828</v>
      </c>
      <c r="K126" s="21"/>
      <c r="L126" s="21"/>
      <c r="M126" s="21"/>
      <c r="N126" s="21"/>
      <c r="O126" s="21"/>
      <c r="P126" s="21"/>
      <c r="Q126" s="21" t="s">
        <v>603</v>
      </c>
      <c r="R126" s="21"/>
      <c r="S126" s="21" t="s">
        <v>843</v>
      </c>
      <c r="T126" s="21"/>
      <c r="U126" s="21"/>
    </row>
    <row r="127" spans="1:21" x14ac:dyDescent="0.25">
      <c r="A127" s="16" t="s">
        <v>819</v>
      </c>
      <c r="B127" s="38" t="s">
        <v>13</v>
      </c>
      <c r="C127" s="16" t="s">
        <v>548</v>
      </c>
      <c r="D127" s="29">
        <v>44232</v>
      </c>
      <c r="E127" s="18" t="s">
        <v>23</v>
      </c>
      <c r="F127" s="18"/>
      <c r="G127" s="13"/>
      <c r="H127" s="29">
        <v>44239</v>
      </c>
      <c r="I127" s="13" t="s">
        <v>821</v>
      </c>
      <c r="J127" s="13" t="s">
        <v>829</v>
      </c>
      <c r="K127" s="13"/>
      <c r="L127" s="13"/>
      <c r="M127" s="13"/>
      <c r="N127" s="13"/>
      <c r="O127" s="13"/>
      <c r="P127" s="13"/>
      <c r="Q127" s="13" t="s">
        <v>836</v>
      </c>
      <c r="R127" s="13"/>
      <c r="S127" s="13" t="s">
        <v>844</v>
      </c>
      <c r="T127" s="13"/>
      <c r="U127" s="13"/>
    </row>
    <row r="128" spans="1:21" x14ac:dyDescent="0.25">
      <c r="A128" s="16" t="s">
        <v>819</v>
      </c>
      <c r="B128" s="38" t="s">
        <v>13</v>
      </c>
      <c r="C128" s="16" t="s">
        <v>548</v>
      </c>
      <c r="D128" s="29">
        <v>44232</v>
      </c>
      <c r="E128" s="18" t="s">
        <v>23</v>
      </c>
      <c r="F128" s="18"/>
      <c r="G128" s="13" t="s">
        <v>1103</v>
      </c>
      <c r="H128" s="29">
        <v>44239</v>
      </c>
      <c r="I128" s="13" t="s">
        <v>822</v>
      </c>
      <c r="J128" s="13" t="s">
        <v>830</v>
      </c>
      <c r="K128" s="13"/>
      <c r="L128" s="13"/>
      <c r="M128" s="13"/>
      <c r="N128" s="13"/>
      <c r="O128" s="13"/>
      <c r="P128" s="13"/>
      <c r="Q128" s="13" t="s">
        <v>837</v>
      </c>
      <c r="R128" s="13"/>
      <c r="S128" s="13" t="s">
        <v>845</v>
      </c>
      <c r="T128" s="13"/>
      <c r="U128" s="13"/>
    </row>
    <row r="129" spans="1:21" x14ac:dyDescent="0.25">
      <c r="A129" s="16" t="s">
        <v>819</v>
      </c>
      <c r="B129" s="38" t="s">
        <v>13</v>
      </c>
      <c r="C129" s="16" t="s">
        <v>548</v>
      </c>
      <c r="D129" s="29">
        <v>44232</v>
      </c>
      <c r="E129" s="18" t="s">
        <v>23</v>
      </c>
      <c r="F129" s="18"/>
      <c r="G129" s="13" t="s">
        <v>1172</v>
      </c>
      <c r="H129" s="29">
        <v>44239</v>
      </c>
      <c r="I129" s="13" t="s">
        <v>823</v>
      </c>
      <c r="J129" s="13" t="s">
        <v>831</v>
      </c>
      <c r="K129" s="13"/>
      <c r="L129" s="13"/>
      <c r="M129" s="13"/>
      <c r="N129" s="13"/>
      <c r="O129" s="13"/>
      <c r="P129" s="13"/>
      <c r="Q129" s="13" t="s">
        <v>838</v>
      </c>
      <c r="R129" s="13"/>
      <c r="S129" s="13" t="s">
        <v>846</v>
      </c>
      <c r="T129" s="13"/>
      <c r="U129" s="13"/>
    </row>
    <row r="130" spans="1:21" x14ac:dyDescent="0.25">
      <c r="A130" s="16" t="s">
        <v>819</v>
      </c>
      <c r="B130" s="38" t="s">
        <v>13</v>
      </c>
      <c r="C130" s="16" t="s">
        <v>548</v>
      </c>
      <c r="D130" s="29">
        <v>44232</v>
      </c>
      <c r="E130" s="18" t="s">
        <v>23</v>
      </c>
      <c r="F130" s="18"/>
      <c r="G130" s="13"/>
      <c r="H130" s="29">
        <v>44239</v>
      </c>
      <c r="I130" s="13" t="s">
        <v>824</v>
      </c>
      <c r="J130" s="13" t="s">
        <v>832</v>
      </c>
      <c r="K130" s="13"/>
      <c r="L130" s="13"/>
      <c r="M130" s="13"/>
      <c r="N130" s="13"/>
      <c r="O130" s="13"/>
      <c r="P130" s="13"/>
      <c r="Q130" s="13" t="s">
        <v>839</v>
      </c>
      <c r="R130" s="13"/>
      <c r="S130" s="13" t="s">
        <v>847</v>
      </c>
      <c r="T130" s="13"/>
      <c r="U130" s="13"/>
    </row>
    <row r="131" spans="1:21" x14ac:dyDescent="0.25">
      <c r="A131" s="16" t="s">
        <v>819</v>
      </c>
      <c r="B131" s="38" t="s">
        <v>13</v>
      </c>
      <c r="C131" s="16" t="s">
        <v>548</v>
      </c>
      <c r="D131" s="29">
        <v>44232</v>
      </c>
      <c r="E131" s="18" t="s">
        <v>23</v>
      </c>
      <c r="F131" s="18"/>
      <c r="G131" s="13"/>
      <c r="H131" s="29">
        <v>44239</v>
      </c>
      <c r="I131" s="13" t="s">
        <v>825</v>
      </c>
      <c r="J131" s="13" t="s">
        <v>833</v>
      </c>
      <c r="K131" s="13"/>
      <c r="L131" s="13"/>
      <c r="M131" s="13"/>
      <c r="N131" s="13"/>
      <c r="O131" s="13"/>
      <c r="P131" s="13"/>
      <c r="Q131" s="13" t="s">
        <v>840</v>
      </c>
      <c r="R131" s="13"/>
      <c r="S131" s="13" t="s">
        <v>848</v>
      </c>
      <c r="T131" s="13"/>
      <c r="U131" s="13"/>
    </row>
    <row r="132" spans="1:21" x14ac:dyDescent="0.25">
      <c r="A132" s="16" t="s">
        <v>819</v>
      </c>
      <c r="B132" s="38" t="s">
        <v>13</v>
      </c>
      <c r="C132" s="16" t="s">
        <v>548</v>
      </c>
      <c r="D132" s="29">
        <v>44232</v>
      </c>
      <c r="E132" s="18" t="s">
        <v>23</v>
      </c>
      <c r="F132" s="18"/>
      <c r="G132" s="13"/>
      <c r="H132" s="29">
        <v>44239</v>
      </c>
      <c r="I132" s="13" t="s">
        <v>826</v>
      </c>
      <c r="J132" s="13" t="s">
        <v>834</v>
      </c>
      <c r="K132" s="13"/>
      <c r="L132" s="13"/>
      <c r="M132" s="13"/>
      <c r="N132" s="13"/>
      <c r="O132" s="13"/>
      <c r="P132" s="13"/>
      <c r="Q132" s="13" t="s">
        <v>841</v>
      </c>
      <c r="R132" s="13"/>
      <c r="S132" s="13" t="s">
        <v>849</v>
      </c>
      <c r="T132" s="13"/>
      <c r="U132" s="13"/>
    </row>
    <row r="133" spans="1:21" x14ac:dyDescent="0.25">
      <c r="A133" s="16" t="s">
        <v>819</v>
      </c>
      <c r="B133" s="38" t="s">
        <v>13</v>
      </c>
      <c r="C133" s="16" t="s">
        <v>548</v>
      </c>
      <c r="D133" s="29">
        <v>44232</v>
      </c>
      <c r="E133" s="18" t="s">
        <v>23</v>
      </c>
      <c r="F133" s="18"/>
      <c r="G133" s="13"/>
      <c r="H133" s="29">
        <v>44239</v>
      </c>
      <c r="I133" s="13" t="s">
        <v>827</v>
      </c>
      <c r="J133" s="13" t="s">
        <v>835</v>
      </c>
      <c r="K133" s="13"/>
      <c r="L133" s="13"/>
      <c r="M133" s="13"/>
      <c r="N133" s="13"/>
      <c r="O133" s="13"/>
      <c r="P133" s="13"/>
      <c r="Q133" s="13" t="s">
        <v>842</v>
      </c>
      <c r="R133" s="13"/>
      <c r="S133" s="13" t="s">
        <v>850</v>
      </c>
      <c r="T133" s="13"/>
      <c r="U133" s="13"/>
    </row>
    <row r="134" spans="1:21" x14ac:dyDescent="0.25">
      <c r="A134" s="16" t="s">
        <v>198</v>
      </c>
      <c r="B134" s="13" t="s">
        <v>13</v>
      </c>
      <c r="C134" s="39" t="s">
        <v>15</v>
      </c>
      <c r="D134" s="40">
        <v>44232</v>
      </c>
      <c r="E134" s="18" t="s">
        <v>23</v>
      </c>
      <c r="F134" s="18"/>
      <c r="G134" s="13"/>
      <c r="H134" s="40">
        <v>44239</v>
      </c>
      <c r="I134" s="42" t="s">
        <v>89</v>
      </c>
      <c r="J134" s="43"/>
      <c r="K134" s="44">
        <v>48</v>
      </c>
      <c r="L134" s="44"/>
      <c r="M134" s="44"/>
      <c r="N134" s="47"/>
      <c r="O134" s="46"/>
      <c r="P134" s="46"/>
      <c r="Q134" s="47"/>
      <c r="R134" s="44"/>
      <c r="S134" s="44">
        <v>34992</v>
      </c>
      <c r="T134" s="13"/>
      <c r="U134" s="13"/>
    </row>
    <row r="135" spans="1:21" x14ac:dyDescent="0.25">
      <c r="A135" s="16" t="s">
        <v>851</v>
      </c>
      <c r="B135" s="13" t="s">
        <v>13</v>
      </c>
      <c r="C135" s="13" t="s">
        <v>30</v>
      </c>
      <c r="D135" s="40">
        <v>44232</v>
      </c>
      <c r="E135" s="18" t="s">
        <v>23</v>
      </c>
      <c r="F135" s="18"/>
      <c r="G135" s="13"/>
      <c r="H135" s="40">
        <v>44239</v>
      </c>
      <c r="I135" s="13" t="s">
        <v>568</v>
      </c>
      <c r="J135" s="13" t="s">
        <v>108</v>
      </c>
      <c r="K135" s="13"/>
      <c r="L135" s="13"/>
      <c r="M135" s="13"/>
      <c r="N135" s="13"/>
      <c r="O135" s="13"/>
      <c r="P135" s="13"/>
      <c r="Q135" s="13" t="s">
        <v>569</v>
      </c>
      <c r="R135" s="13"/>
      <c r="S135" s="13" t="s">
        <v>334</v>
      </c>
      <c r="T135" s="13"/>
      <c r="U135" s="13"/>
    </row>
    <row r="136" spans="1:21" x14ac:dyDescent="0.25">
      <c r="A136" s="16" t="s">
        <v>851</v>
      </c>
      <c r="B136" s="13" t="s">
        <v>13</v>
      </c>
      <c r="C136" s="13" t="s">
        <v>30</v>
      </c>
      <c r="D136" s="40">
        <v>44232</v>
      </c>
      <c r="E136" s="18" t="s">
        <v>23</v>
      </c>
      <c r="F136" s="18"/>
      <c r="G136" s="13"/>
      <c r="H136" s="40">
        <v>44239</v>
      </c>
      <c r="I136" s="13" t="s">
        <v>742</v>
      </c>
      <c r="J136" s="13" t="s">
        <v>75</v>
      </c>
      <c r="K136" s="13"/>
      <c r="L136" s="13"/>
      <c r="M136" s="13"/>
      <c r="N136" s="13"/>
      <c r="O136" s="13"/>
      <c r="P136" s="13"/>
      <c r="Q136" s="13" t="s">
        <v>436</v>
      </c>
      <c r="R136" s="13"/>
      <c r="S136" s="13" t="s">
        <v>504</v>
      </c>
      <c r="T136" s="13"/>
      <c r="U136" s="13"/>
    </row>
    <row r="137" spans="1:21" x14ac:dyDescent="0.25">
      <c r="A137" s="16" t="s">
        <v>851</v>
      </c>
      <c r="B137" s="13" t="s">
        <v>13</v>
      </c>
      <c r="C137" s="13" t="s">
        <v>30</v>
      </c>
      <c r="D137" s="40">
        <v>44232</v>
      </c>
      <c r="E137" s="18" t="s">
        <v>23</v>
      </c>
      <c r="F137" s="18"/>
      <c r="G137" s="13"/>
      <c r="H137" s="40">
        <v>44239</v>
      </c>
      <c r="I137" s="13" t="s">
        <v>730</v>
      </c>
      <c r="J137" s="13" t="s">
        <v>108</v>
      </c>
      <c r="K137" s="13"/>
      <c r="L137" s="13"/>
      <c r="M137" s="13"/>
      <c r="N137" s="13"/>
      <c r="O137" s="13"/>
      <c r="P137" s="13"/>
      <c r="Q137" s="13" t="s">
        <v>438</v>
      </c>
      <c r="R137" s="13"/>
      <c r="S137" s="13" t="s">
        <v>356</v>
      </c>
      <c r="T137" s="13"/>
      <c r="U137" s="13"/>
    </row>
    <row r="138" spans="1:21" x14ac:dyDescent="0.25">
      <c r="A138" s="16" t="s">
        <v>851</v>
      </c>
      <c r="B138" s="13" t="s">
        <v>13</v>
      </c>
      <c r="C138" s="13" t="s">
        <v>30</v>
      </c>
      <c r="D138" s="40">
        <v>44232</v>
      </c>
      <c r="E138" s="18" t="s">
        <v>23</v>
      </c>
      <c r="F138" s="18"/>
      <c r="G138" s="13"/>
      <c r="H138" s="40">
        <v>44239</v>
      </c>
      <c r="I138" s="13" t="s">
        <v>731</v>
      </c>
      <c r="J138" s="13" t="s">
        <v>181</v>
      </c>
      <c r="K138" s="13"/>
      <c r="L138" s="13"/>
      <c r="M138" s="13"/>
      <c r="N138" s="13"/>
      <c r="O138" s="13"/>
      <c r="P138" s="13"/>
      <c r="Q138" s="13" t="s">
        <v>439</v>
      </c>
      <c r="R138" s="13"/>
      <c r="S138" s="13" t="s">
        <v>854</v>
      </c>
      <c r="T138" s="13"/>
      <c r="U138" s="13"/>
    </row>
    <row r="139" spans="1:21" x14ac:dyDescent="0.25">
      <c r="A139" s="16" t="s">
        <v>851</v>
      </c>
      <c r="B139" s="13" t="s">
        <v>13</v>
      </c>
      <c r="C139" s="13" t="s">
        <v>30</v>
      </c>
      <c r="D139" s="40">
        <v>44232</v>
      </c>
      <c r="E139" s="18" t="s">
        <v>23</v>
      </c>
      <c r="F139" s="18"/>
      <c r="G139" s="13"/>
      <c r="H139" s="40">
        <v>44239</v>
      </c>
      <c r="I139" s="13" t="s">
        <v>732</v>
      </c>
      <c r="J139" s="13" t="s">
        <v>108</v>
      </c>
      <c r="K139" s="13"/>
      <c r="L139" s="13"/>
      <c r="M139" s="13"/>
      <c r="N139" s="13"/>
      <c r="O139" s="13"/>
      <c r="P139" s="13"/>
      <c r="Q139" s="13" t="s">
        <v>130</v>
      </c>
      <c r="R139" s="13"/>
      <c r="S139" s="13" t="s">
        <v>131</v>
      </c>
      <c r="T139" s="13"/>
      <c r="U139" s="13"/>
    </row>
    <row r="140" spans="1:21" x14ac:dyDescent="0.25">
      <c r="A140" s="16" t="s">
        <v>851</v>
      </c>
      <c r="B140" s="13" t="s">
        <v>13</v>
      </c>
      <c r="C140" s="13" t="s">
        <v>30</v>
      </c>
      <c r="D140" s="40">
        <v>44232</v>
      </c>
      <c r="E140" s="18" t="s">
        <v>23</v>
      </c>
      <c r="F140" s="18"/>
      <c r="G140" s="13"/>
      <c r="H140" s="40">
        <v>44239</v>
      </c>
      <c r="I140" s="13" t="s">
        <v>440</v>
      </c>
      <c r="J140" s="13" t="s">
        <v>108</v>
      </c>
      <c r="K140" s="13"/>
      <c r="L140" s="13"/>
      <c r="M140" s="13"/>
      <c r="N140" s="13"/>
      <c r="O140" s="13"/>
      <c r="P140" s="13"/>
      <c r="Q140" s="13" t="s">
        <v>441</v>
      </c>
      <c r="R140" s="13"/>
      <c r="S140" s="13" t="s">
        <v>442</v>
      </c>
      <c r="T140" s="13"/>
      <c r="U140" s="13"/>
    </row>
    <row r="141" spans="1:21" x14ac:dyDescent="0.25">
      <c r="A141" s="16" t="s">
        <v>851</v>
      </c>
      <c r="B141" s="13" t="s">
        <v>13</v>
      </c>
      <c r="C141" s="13" t="s">
        <v>30</v>
      </c>
      <c r="D141" s="40">
        <v>44232</v>
      </c>
      <c r="E141" s="18" t="s">
        <v>23</v>
      </c>
      <c r="F141" s="18"/>
      <c r="G141" s="13"/>
      <c r="H141" s="40">
        <v>44239</v>
      </c>
      <c r="I141" s="13" t="s">
        <v>743</v>
      </c>
      <c r="J141" s="13" t="s">
        <v>123</v>
      </c>
      <c r="K141" s="13"/>
      <c r="L141" s="13"/>
      <c r="M141" s="13"/>
      <c r="N141" s="13"/>
      <c r="O141" s="13"/>
      <c r="P141" s="13"/>
      <c r="Q141" s="13" t="s">
        <v>570</v>
      </c>
      <c r="R141" s="13"/>
      <c r="S141" s="13" t="s">
        <v>855</v>
      </c>
      <c r="T141" s="13"/>
      <c r="U141" s="13"/>
    </row>
    <row r="142" spans="1:21" x14ac:dyDescent="0.25">
      <c r="A142" s="16" t="s">
        <v>851</v>
      </c>
      <c r="B142" s="13" t="s">
        <v>13</v>
      </c>
      <c r="C142" s="13" t="s">
        <v>30</v>
      </c>
      <c r="D142" s="40">
        <v>44232</v>
      </c>
      <c r="E142" s="18" t="s">
        <v>23</v>
      </c>
      <c r="F142" s="18"/>
      <c r="G142" s="13"/>
      <c r="H142" s="40">
        <v>44239</v>
      </c>
      <c r="I142" s="13" t="s">
        <v>744</v>
      </c>
      <c r="J142" s="13" t="s">
        <v>852</v>
      </c>
      <c r="K142" s="13"/>
      <c r="L142" s="13"/>
      <c r="M142" s="13"/>
      <c r="N142" s="13"/>
      <c r="O142" s="13"/>
      <c r="P142" s="13"/>
      <c r="Q142" s="13" t="s">
        <v>618</v>
      </c>
      <c r="R142" s="13"/>
      <c r="S142" s="13" t="s">
        <v>358</v>
      </c>
      <c r="T142" s="13"/>
      <c r="U142" s="13"/>
    </row>
    <row r="143" spans="1:21" x14ac:dyDescent="0.25">
      <c r="A143" s="16" t="s">
        <v>851</v>
      </c>
      <c r="B143" s="13" t="s">
        <v>13</v>
      </c>
      <c r="C143" s="13" t="s">
        <v>30</v>
      </c>
      <c r="D143" s="40">
        <v>44232</v>
      </c>
      <c r="E143" s="18" t="s">
        <v>23</v>
      </c>
      <c r="F143" s="18"/>
      <c r="G143" s="13"/>
      <c r="H143" s="40">
        <v>44239</v>
      </c>
      <c r="I143" s="13" t="s">
        <v>733</v>
      </c>
      <c r="J143" s="13" t="s">
        <v>75</v>
      </c>
      <c r="K143" s="13"/>
      <c r="L143" s="13"/>
      <c r="M143" s="13"/>
      <c r="N143" s="13"/>
      <c r="O143" s="13"/>
      <c r="P143" s="13"/>
      <c r="Q143" s="13" t="s">
        <v>443</v>
      </c>
      <c r="R143" s="13"/>
      <c r="S143" s="13" t="s">
        <v>503</v>
      </c>
      <c r="T143" s="13"/>
      <c r="U143" s="13"/>
    </row>
    <row r="144" spans="1:21" x14ac:dyDescent="0.25">
      <c r="A144" s="16" t="s">
        <v>851</v>
      </c>
      <c r="B144" s="13" t="s">
        <v>13</v>
      </c>
      <c r="C144" s="13" t="s">
        <v>30</v>
      </c>
      <c r="D144" s="40">
        <v>44232</v>
      </c>
      <c r="E144" s="18" t="s">
        <v>23</v>
      </c>
      <c r="F144" s="18"/>
      <c r="G144" s="13"/>
      <c r="H144" s="40">
        <v>44239</v>
      </c>
      <c r="I144" s="13" t="s">
        <v>734</v>
      </c>
      <c r="J144" s="13" t="s">
        <v>108</v>
      </c>
      <c r="K144" s="13"/>
      <c r="L144" s="13"/>
      <c r="M144" s="13"/>
      <c r="N144" s="13"/>
      <c r="O144" s="13"/>
      <c r="P144" s="13"/>
      <c r="Q144" s="13" t="s">
        <v>572</v>
      </c>
      <c r="R144" s="13"/>
      <c r="S144" s="13" t="s">
        <v>856</v>
      </c>
      <c r="T144" s="13"/>
      <c r="U144" s="13"/>
    </row>
    <row r="145" spans="1:23" x14ac:dyDescent="0.25">
      <c r="A145" s="16" t="s">
        <v>851</v>
      </c>
      <c r="B145" s="13" t="s">
        <v>13</v>
      </c>
      <c r="C145" s="13" t="s">
        <v>30</v>
      </c>
      <c r="D145" s="40">
        <v>44232</v>
      </c>
      <c r="E145" s="18" t="s">
        <v>23</v>
      </c>
      <c r="F145" s="18"/>
      <c r="G145" s="13"/>
      <c r="H145" s="40">
        <v>44239</v>
      </c>
      <c r="I145" s="13" t="s">
        <v>735</v>
      </c>
      <c r="J145" s="13" t="s">
        <v>108</v>
      </c>
      <c r="K145" s="13"/>
      <c r="L145" s="13"/>
      <c r="M145" s="13"/>
      <c r="N145" s="13"/>
      <c r="O145" s="13"/>
      <c r="P145" s="13"/>
      <c r="Q145" s="13" t="s">
        <v>573</v>
      </c>
      <c r="R145" s="13"/>
      <c r="S145" s="13" t="s">
        <v>429</v>
      </c>
      <c r="T145" s="13"/>
      <c r="U145" s="13"/>
    </row>
    <row r="146" spans="1:23" x14ac:dyDescent="0.25">
      <c r="A146" s="16" t="s">
        <v>851</v>
      </c>
      <c r="B146" s="13" t="s">
        <v>13</v>
      </c>
      <c r="C146" s="13" t="s">
        <v>30</v>
      </c>
      <c r="D146" s="40">
        <v>44232</v>
      </c>
      <c r="E146" s="18" t="s">
        <v>23</v>
      </c>
      <c r="F146" s="18"/>
      <c r="G146" s="13"/>
      <c r="H146" s="40">
        <v>44239</v>
      </c>
      <c r="I146" s="13" t="s">
        <v>736</v>
      </c>
      <c r="J146" s="13" t="s">
        <v>108</v>
      </c>
      <c r="K146" s="13"/>
      <c r="L146" s="13"/>
      <c r="M146" s="13"/>
      <c r="N146" s="13"/>
      <c r="O146" s="13"/>
      <c r="P146" s="13"/>
      <c r="Q146" s="13" t="s">
        <v>184</v>
      </c>
      <c r="R146" s="13"/>
      <c r="S146" s="13" t="s">
        <v>445</v>
      </c>
      <c r="T146" s="13"/>
      <c r="U146" s="13"/>
    </row>
    <row r="147" spans="1:23" x14ac:dyDescent="0.25">
      <c r="A147" s="16" t="s">
        <v>851</v>
      </c>
      <c r="B147" s="13" t="s">
        <v>13</v>
      </c>
      <c r="C147" s="13" t="s">
        <v>30</v>
      </c>
      <c r="D147" s="40">
        <v>44232</v>
      </c>
      <c r="E147" s="18" t="s">
        <v>23</v>
      </c>
      <c r="F147" s="18"/>
      <c r="G147" s="13"/>
      <c r="H147" s="40">
        <v>44239</v>
      </c>
      <c r="I147" s="13" t="s">
        <v>737</v>
      </c>
      <c r="J147" s="13" t="s">
        <v>123</v>
      </c>
      <c r="K147" s="13"/>
      <c r="L147" s="13"/>
      <c r="M147" s="13"/>
      <c r="N147" s="13"/>
      <c r="O147" s="13"/>
      <c r="P147" s="13"/>
      <c r="Q147" s="13" t="s">
        <v>146</v>
      </c>
      <c r="R147" s="13"/>
      <c r="S147" s="13" t="s">
        <v>180</v>
      </c>
      <c r="T147" s="13"/>
      <c r="U147" s="13"/>
    </row>
    <row r="148" spans="1:23" x14ac:dyDescent="0.25">
      <c r="A148" s="16" t="s">
        <v>851</v>
      </c>
      <c r="B148" s="13" t="s">
        <v>13</v>
      </c>
      <c r="C148" s="13" t="s">
        <v>30</v>
      </c>
      <c r="D148" s="40">
        <v>44232</v>
      </c>
      <c r="E148" s="18" t="s">
        <v>23</v>
      </c>
      <c r="F148" s="18"/>
      <c r="G148" s="13"/>
      <c r="H148" s="40">
        <v>44239</v>
      </c>
      <c r="I148" s="13" t="s">
        <v>738</v>
      </c>
      <c r="J148" s="13" t="s">
        <v>108</v>
      </c>
      <c r="K148" s="13"/>
      <c r="L148" s="13"/>
      <c r="M148" s="13"/>
      <c r="N148" s="13"/>
      <c r="O148" s="13"/>
      <c r="P148" s="13"/>
      <c r="Q148" s="13" t="s">
        <v>447</v>
      </c>
      <c r="R148" s="13"/>
      <c r="S148" s="13" t="s">
        <v>448</v>
      </c>
      <c r="T148" s="13"/>
      <c r="U148" s="13"/>
    </row>
    <row r="149" spans="1:23" x14ac:dyDescent="0.25">
      <c r="A149" s="16" t="s">
        <v>851</v>
      </c>
      <c r="B149" s="13" t="s">
        <v>13</v>
      </c>
      <c r="C149" s="13" t="s">
        <v>30</v>
      </c>
      <c r="D149" s="40">
        <v>44232</v>
      </c>
      <c r="E149" s="18" t="s">
        <v>23</v>
      </c>
      <c r="F149" s="18"/>
      <c r="G149" s="13"/>
      <c r="H149" s="40">
        <v>44239</v>
      </c>
      <c r="I149" s="13" t="s">
        <v>282</v>
      </c>
      <c r="J149" s="13" t="s">
        <v>108</v>
      </c>
      <c r="K149" s="13"/>
      <c r="L149" s="13"/>
      <c r="M149" s="13"/>
      <c r="N149" s="13"/>
      <c r="O149" s="13"/>
      <c r="P149" s="13"/>
      <c r="Q149" s="13" t="s">
        <v>132</v>
      </c>
      <c r="R149" s="13"/>
      <c r="S149" s="13" t="s">
        <v>133</v>
      </c>
      <c r="T149" s="13"/>
      <c r="U149" s="13"/>
    </row>
    <row r="150" spans="1:23" x14ac:dyDescent="0.25">
      <c r="A150" s="16" t="s">
        <v>851</v>
      </c>
      <c r="B150" s="13" t="s">
        <v>13</v>
      </c>
      <c r="C150" s="13" t="s">
        <v>30</v>
      </c>
      <c r="D150" s="40">
        <v>44232</v>
      </c>
      <c r="E150" s="18" t="s">
        <v>23</v>
      </c>
      <c r="F150" s="18"/>
      <c r="G150" s="13"/>
      <c r="H150" s="40">
        <v>44239</v>
      </c>
      <c r="I150" s="13" t="s">
        <v>739</v>
      </c>
      <c r="J150" s="13" t="s">
        <v>123</v>
      </c>
      <c r="K150" s="13"/>
      <c r="L150" s="13"/>
      <c r="M150" s="13"/>
      <c r="N150" s="13"/>
      <c r="O150" s="13"/>
      <c r="P150" s="13"/>
      <c r="Q150" s="13" t="s">
        <v>449</v>
      </c>
      <c r="R150" s="13"/>
      <c r="S150" s="13" t="s">
        <v>617</v>
      </c>
      <c r="T150" s="13"/>
      <c r="U150" s="13"/>
    </row>
    <row r="151" spans="1:23" x14ac:dyDescent="0.25">
      <c r="A151" s="16" t="s">
        <v>851</v>
      </c>
      <c r="B151" s="13" t="s">
        <v>13</v>
      </c>
      <c r="C151" s="13" t="s">
        <v>30</v>
      </c>
      <c r="D151" s="40">
        <v>44232</v>
      </c>
      <c r="E151" s="18" t="s">
        <v>23</v>
      </c>
      <c r="F151" s="18"/>
      <c r="G151" s="13"/>
      <c r="H151" s="40">
        <v>44239</v>
      </c>
      <c r="I151" s="13" t="s">
        <v>741</v>
      </c>
      <c r="J151" s="13" t="s">
        <v>193</v>
      </c>
      <c r="K151" s="13"/>
      <c r="L151" s="13"/>
      <c r="M151" s="13"/>
      <c r="N151" s="13"/>
      <c r="O151" s="13"/>
      <c r="P151" s="13"/>
      <c r="Q151" s="13" t="s">
        <v>450</v>
      </c>
      <c r="R151" s="13"/>
      <c r="S151" s="13" t="s">
        <v>857</v>
      </c>
      <c r="T151" s="13"/>
      <c r="U151" s="13"/>
    </row>
    <row r="152" spans="1:23" x14ac:dyDescent="0.25">
      <c r="A152" s="16" t="s">
        <v>851</v>
      </c>
      <c r="B152" s="13" t="s">
        <v>13</v>
      </c>
      <c r="C152" s="13" t="s">
        <v>30</v>
      </c>
      <c r="D152" s="40">
        <v>44232</v>
      </c>
      <c r="E152" s="18" t="s">
        <v>23</v>
      </c>
      <c r="F152" s="18"/>
      <c r="G152" s="13"/>
      <c r="H152" s="40">
        <v>44239</v>
      </c>
      <c r="I152" s="13" t="s">
        <v>745</v>
      </c>
      <c r="J152" s="13" t="s">
        <v>54</v>
      </c>
      <c r="K152" s="13"/>
      <c r="L152" s="13"/>
      <c r="M152" s="13"/>
      <c r="N152" s="13"/>
      <c r="O152" s="13"/>
      <c r="P152" s="13"/>
      <c r="Q152" s="13" t="s">
        <v>587</v>
      </c>
      <c r="R152" s="13"/>
      <c r="S152" s="13" t="s">
        <v>127</v>
      </c>
      <c r="T152" s="13"/>
      <c r="U152" s="13"/>
    </row>
    <row r="153" spans="1:23" x14ac:dyDescent="0.25">
      <c r="A153" s="16" t="s">
        <v>851</v>
      </c>
      <c r="B153" s="13" t="s">
        <v>13</v>
      </c>
      <c r="C153" s="13" t="s">
        <v>30</v>
      </c>
      <c r="D153" s="40">
        <v>44232</v>
      </c>
      <c r="E153" s="18" t="s">
        <v>23</v>
      </c>
      <c r="F153" s="18"/>
      <c r="G153" s="13"/>
      <c r="H153" s="40">
        <v>44239</v>
      </c>
      <c r="I153" s="13" t="s">
        <v>740</v>
      </c>
      <c r="J153" s="13" t="s">
        <v>76</v>
      </c>
      <c r="K153" s="13"/>
      <c r="L153" s="13"/>
      <c r="M153" s="13"/>
      <c r="N153" s="13"/>
      <c r="O153" s="13"/>
      <c r="P153" s="13"/>
      <c r="Q153" s="13" t="s">
        <v>853</v>
      </c>
      <c r="R153" s="13"/>
      <c r="S153" s="13" t="s">
        <v>858</v>
      </c>
      <c r="T153" s="13"/>
      <c r="U153" s="13"/>
    </row>
    <row r="154" spans="1:23" x14ac:dyDescent="0.25">
      <c r="A154" s="16" t="s">
        <v>2545</v>
      </c>
      <c r="B154" s="13" t="s">
        <v>34</v>
      </c>
      <c r="C154" s="16" t="s">
        <v>541</v>
      </c>
      <c r="D154" s="29">
        <v>44231</v>
      </c>
      <c r="E154" s="18" t="s">
        <v>23</v>
      </c>
      <c r="F154" s="18"/>
      <c r="G154" s="29"/>
      <c r="H154" s="29">
        <v>44238</v>
      </c>
      <c r="I154" s="13" t="s">
        <v>859</v>
      </c>
      <c r="J154" s="13">
        <v>1976.4</v>
      </c>
      <c r="K154" s="13">
        <v>324</v>
      </c>
      <c r="L154" s="13">
        <v>0.1229</v>
      </c>
      <c r="M154" s="13">
        <v>0.29599999999999999</v>
      </c>
      <c r="N154" s="13">
        <f>L154*J154</f>
        <v>242.89956000000001</v>
      </c>
      <c r="O154" s="13">
        <f>J154*M154</f>
        <v>585.01440000000002</v>
      </c>
      <c r="P154" s="13">
        <f>S154/J154</f>
        <v>29.490002023881804</v>
      </c>
      <c r="Q154" s="13">
        <f>S154/N154</f>
        <v>239.95119628870466</v>
      </c>
      <c r="R154" s="13"/>
      <c r="S154" s="13">
        <v>58284.04</v>
      </c>
      <c r="T154" s="13"/>
      <c r="U154" s="13"/>
    </row>
    <row r="155" spans="1:23" x14ac:dyDescent="0.25">
      <c r="A155" s="16">
        <v>75</v>
      </c>
      <c r="B155" s="13" t="s">
        <v>13</v>
      </c>
      <c r="C155" s="16" t="s">
        <v>674</v>
      </c>
      <c r="D155" s="29">
        <v>44231</v>
      </c>
      <c r="E155" s="18" t="s">
        <v>23</v>
      </c>
      <c r="F155" s="18"/>
      <c r="G155" s="13"/>
      <c r="H155" s="29">
        <v>44238</v>
      </c>
      <c r="I155" s="13" t="s">
        <v>286</v>
      </c>
      <c r="J155" s="13">
        <v>606</v>
      </c>
      <c r="K155" s="13" t="s">
        <v>200</v>
      </c>
      <c r="L155" s="13">
        <v>0.31879999999999997</v>
      </c>
      <c r="M155" s="13">
        <v>0.81100000000000005</v>
      </c>
      <c r="N155" s="13">
        <v>193.19280000000001</v>
      </c>
      <c r="O155" s="13">
        <v>491.46600000000001</v>
      </c>
      <c r="P155" s="13">
        <v>25.12</v>
      </c>
      <c r="Q155" s="13">
        <v>91.81</v>
      </c>
      <c r="R155" s="13">
        <v>288</v>
      </c>
      <c r="S155" s="13">
        <v>55639.53</v>
      </c>
      <c r="T155" s="13"/>
      <c r="U155" s="13"/>
    </row>
    <row r="156" spans="1:23" x14ac:dyDescent="0.25">
      <c r="A156" s="16">
        <v>76</v>
      </c>
      <c r="B156" s="13" t="s">
        <v>34</v>
      </c>
      <c r="C156" s="16" t="s">
        <v>861</v>
      </c>
      <c r="D156" s="29">
        <v>44235</v>
      </c>
      <c r="E156" s="18" t="s">
        <v>23</v>
      </c>
      <c r="F156" s="18"/>
      <c r="G156" s="13"/>
      <c r="H156" s="29">
        <v>44242</v>
      </c>
      <c r="I156" s="13" t="s">
        <v>678</v>
      </c>
      <c r="J156" s="13">
        <v>685</v>
      </c>
      <c r="K156" s="13" t="s">
        <v>860</v>
      </c>
      <c r="L156" s="13">
        <v>0.45200000000000001</v>
      </c>
      <c r="M156" s="13">
        <v>1.5049999999999999</v>
      </c>
      <c r="N156" s="13">
        <v>309.62</v>
      </c>
      <c r="O156" s="13">
        <v>1030.925</v>
      </c>
      <c r="P156" s="13">
        <v>40.25</v>
      </c>
      <c r="Q156" s="13">
        <v>130.18</v>
      </c>
      <c r="R156" s="13">
        <v>288</v>
      </c>
      <c r="S156" s="13">
        <v>89170.559999999998</v>
      </c>
      <c r="T156" s="13"/>
      <c r="U156" s="13"/>
    </row>
    <row r="157" spans="1:23" x14ac:dyDescent="0.25">
      <c r="A157" s="16" t="s">
        <v>869</v>
      </c>
      <c r="B157" s="13" t="s">
        <v>34</v>
      </c>
      <c r="C157" s="16" t="s">
        <v>16</v>
      </c>
      <c r="D157" s="29">
        <v>44235</v>
      </c>
      <c r="E157" s="18" t="s">
        <v>23</v>
      </c>
      <c r="F157" s="18"/>
      <c r="G157" s="13"/>
      <c r="H157" s="29">
        <v>44242</v>
      </c>
      <c r="I157" s="13" t="s">
        <v>862</v>
      </c>
      <c r="J157" s="13">
        <v>486</v>
      </c>
      <c r="K157" s="13" t="s">
        <v>863</v>
      </c>
      <c r="L157" s="13">
        <v>0.29970000000000002</v>
      </c>
      <c r="M157" s="13">
        <v>1.6739999999999999</v>
      </c>
      <c r="N157" s="13">
        <v>145.6542</v>
      </c>
      <c r="O157" s="13">
        <v>813.56399999999996</v>
      </c>
      <c r="P157" s="13">
        <v>18.940000000000001</v>
      </c>
      <c r="Q157" s="13">
        <v>86.31</v>
      </c>
      <c r="R157" s="13">
        <v>288</v>
      </c>
      <c r="S157" s="13">
        <v>41948.41</v>
      </c>
      <c r="T157" s="13"/>
      <c r="U157" s="63"/>
      <c r="V157" s="13"/>
      <c r="W157" s="13"/>
    </row>
    <row r="158" spans="1:23" x14ac:dyDescent="0.25">
      <c r="A158" s="16">
        <v>77</v>
      </c>
      <c r="B158" s="13" t="s">
        <v>34</v>
      </c>
      <c r="C158" s="16" t="s">
        <v>14</v>
      </c>
      <c r="D158" s="29">
        <v>44235</v>
      </c>
      <c r="E158" s="18" t="s">
        <v>23</v>
      </c>
      <c r="F158" s="18"/>
      <c r="G158" s="13"/>
      <c r="H158" s="29">
        <v>44242</v>
      </c>
      <c r="I158" s="13" t="s">
        <v>864</v>
      </c>
      <c r="J158" s="13">
        <v>596.70000000000005</v>
      </c>
      <c r="K158" s="13" t="s">
        <v>865</v>
      </c>
      <c r="L158" s="13">
        <v>0.22309999999999999</v>
      </c>
      <c r="M158" s="13">
        <v>1.0349999999999999</v>
      </c>
      <c r="N158" s="13">
        <v>133.12379999999999</v>
      </c>
      <c r="O158" s="13">
        <v>617.58450000000005</v>
      </c>
      <c r="P158" s="13">
        <v>17.309999999999999</v>
      </c>
      <c r="Q158" s="13">
        <v>60.91</v>
      </c>
      <c r="R158" s="13">
        <v>273</v>
      </c>
      <c r="S158" s="13">
        <v>36342.79</v>
      </c>
      <c r="T158" s="13"/>
      <c r="U158" s="13"/>
    </row>
    <row r="159" spans="1:23" x14ac:dyDescent="0.25">
      <c r="A159" s="16" t="s">
        <v>868</v>
      </c>
      <c r="B159" s="13" t="s">
        <v>34</v>
      </c>
      <c r="C159" s="16" t="s">
        <v>16</v>
      </c>
      <c r="D159" s="29">
        <v>44235</v>
      </c>
      <c r="E159" s="18" t="s">
        <v>23</v>
      </c>
      <c r="F159" s="18"/>
      <c r="G159" s="13" t="s">
        <v>1845</v>
      </c>
      <c r="H159" s="29"/>
      <c r="I159" s="13" t="s">
        <v>866</v>
      </c>
      <c r="J159" s="13">
        <v>1626</v>
      </c>
      <c r="K159" s="13" t="s">
        <v>867</v>
      </c>
      <c r="L159" s="13">
        <v>0.15909999999999999</v>
      </c>
      <c r="M159" s="13">
        <v>0.26</v>
      </c>
      <c r="N159" s="13">
        <v>258.69659999999999</v>
      </c>
      <c r="O159" s="13">
        <v>422.76</v>
      </c>
      <c r="P159" s="13">
        <v>33.630000000000003</v>
      </c>
      <c r="Q159" s="13">
        <v>45.82</v>
      </c>
      <c r="R159" s="13">
        <v>288</v>
      </c>
      <c r="S159" s="13">
        <v>74504.62</v>
      </c>
      <c r="T159" s="13"/>
      <c r="U159" s="63"/>
      <c r="V159" s="13"/>
      <c r="W159" s="13"/>
    </row>
    <row r="160" spans="1:23" x14ac:dyDescent="0.25">
      <c r="A160" s="16" t="s">
        <v>197</v>
      </c>
      <c r="B160" s="38" t="s">
        <v>13</v>
      </c>
      <c r="C160" s="16" t="s">
        <v>15</v>
      </c>
      <c r="D160" s="29">
        <v>44235</v>
      </c>
      <c r="E160" s="18" t="s">
        <v>23</v>
      </c>
      <c r="F160" s="18"/>
      <c r="G160" s="13"/>
      <c r="H160" s="29">
        <v>44238</v>
      </c>
      <c r="I160" s="13" t="s">
        <v>230</v>
      </c>
      <c r="J160" s="13">
        <v>48</v>
      </c>
      <c r="K160" s="13"/>
      <c r="L160" s="13"/>
      <c r="M160" s="13"/>
      <c r="N160" s="13"/>
      <c r="O160" s="13"/>
      <c r="P160" s="13"/>
      <c r="Q160" s="13"/>
      <c r="R160" s="13"/>
      <c r="S160" s="13">
        <v>28320</v>
      </c>
      <c r="T160" s="13"/>
      <c r="U160" s="13"/>
    </row>
    <row r="161" spans="1:21" x14ac:dyDescent="0.25">
      <c r="A161" s="16" t="s">
        <v>192</v>
      </c>
      <c r="B161" s="38" t="s">
        <v>13</v>
      </c>
      <c r="C161" s="16" t="s">
        <v>30</v>
      </c>
      <c r="D161" s="29">
        <v>44236</v>
      </c>
      <c r="E161" s="18" t="s">
        <v>23</v>
      </c>
      <c r="F161" s="18"/>
      <c r="G161" s="13"/>
      <c r="H161" s="29">
        <v>44239</v>
      </c>
      <c r="I161" s="13" t="s">
        <v>710</v>
      </c>
      <c r="J161" s="13"/>
      <c r="K161" s="13"/>
      <c r="L161" s="13"/>
      <c r="M161" s="13"/>
      <c r="N161" s="13"/>
      <c r="O161" s="13"/>
      <c r="P161" s="13"/>
      <c r="Q161" s="13" t="s">
        <v>320</v>
      </c>
      <c r="R161" s="13"/>
      <c r="S161" s="13" t="s">
        <v>598</v>
      </c>
      <c r="T161" s="13"/>
      <c r="U161" s="13"/>
    </row>
    <row r="162" spans="1:21" x14ac:dyDescent="0.25">
      <c r="A162" s="16" t="s">
        <v>192</v>
      </c>
      <c r="B162" s="38" t="s">
        <v>13</v>
      </c>
      <c r="C162" s="16" t="s">
        <v>30</v>
      </c>
      <c r="D162" s="29">
        <v>44236</v>
      </c>
      <c r="E162" s="18" t="s">
        <v>23</v>
      </c>
      <c r="F162" s="18"/>
      <c r="G162" s="13"/>
      <c r="H162" s="29">
        <v>44239</v>
      </c>
      <c r="I162" s="13" t="s">
        <v>711</v>
      </c>
      <c r="J162" s="13"/>
      <c r="K162" s="13"/>
      <c r="L162" s="13"/>
      <c r="M162" s="13"/>
      <c r="N162" s="13"/>
      <c r="O162" s="13"/>
      <c r="P162" s="13"/>
      <c r="Q162" s="13" t="s">
        <v>320</v>
      </c>
      <c r="R162" s="13"/>
      <c r="S162" s="13" t="s">
        <v>598</v>
      </c>
      <c r="T162" s="13"/>
      <c r="U162" s="13"/>
    </row>
    <row r="163" spans="1:21" x14ac:dyDescent="0.25">
      <c r="A163" s="16" t="s">
        <v>192</v>
      </c>
      <c r="B163" s="38" t="s">
        <v>13</v>
      </c>
      <c r="C163" s="16" t="s">
        <v>30</v>
      </c>
      <c r="D163" s="29">
        <v>44236</v>
      </c>
      <c r="E163" s="18" t="s">
        <v>23</v>
      </c>
      <c r="F163" s="18"/>
      <c r="G163" s="13"/>
      <c r="H163" s="29">
        <v>44239</v>
      </c>
      <c r="I163" s="13" t="s">
        <v>712</v>
      </c>
      <c r="J163" s="13"/>
      <c r="K163" s="13"/>
      <c r="L163" s="13"/>
      <c r="M163" s="13"/>
      <c r="N163" s="13"/>
      <c r="O163" s="13"/>
      <c r="P163" s="13"/>
      <c r="Q163" s="13" t="s">
        <v>135</v>
      </c>
      <c r="R163" s="13"/>
      <c r="S163" s="13" t="s">
        <v>798</v>
      </c>
      <c r="T163" s="13"/>
      <c r="U163" s="13"/>
    </row>
    <row r="164" spans="1:21" x14ac:dyDescent="0.25">
      <c r="A164" s="16" t="s">
        <v>192</v>
      </c>
      <c r="B164" s="38" t="s">
        <v>13</v>
      </c>
      <c r="C164" s="16" t="s">
        <v>30</v>
      </c>
      <c r="D164" s="29">
        <v>44236</v>
      </c>
      <c r="E164" s="18" t="s">
        <v>23</v>
      </c>
      <c r="F164" s="18"/>
      <c r="G164" s="13"/>
      <c r="H164" s="29">
        <v>44239</v>
      </c>
      <c r="I164" s="13" t="s">
        <v>870</v>
      </c>
      <c r="J164" s="13"/>
      <c r="K164" s="13"/>
      <c r="L164" s="13"/>
      <c r="M164" s="13"/>
      <c r="N164" s="13"/>
      <c r="O164" s="13"/>
      <c r="P164" s="13"/>
      <c r="Q164" s="13" t="s">
        <v>135</v>
      </c>
      <c r="R164" s="13"/>
      <c r="S164" s="13" t="s">
        <v>798</v>
      </c>
      <c r="T164" s="13"/>
      <c r="U164" s="13"/>
    </row>
    <row r="165" spans="1:21" x14ac:dyDescent="0.25">
      <c r="A165" s="16" t="s">
        <v>192</v>
      </c>
      <c r="B165" s="38" t="s">
        <v>13</v>
      </c>
      <c r="C165" s="16" t="s">
        <v>30</v>
      </c>
      <c r="D165" s="29">
        <v>44236</v>
      </c>
      <c r="E165" s="18" t="s">
        <v>23</v>
      </c>
      <c r="F165" s="18"/>
      <c r="G165" s="13"/>
      <c r="H165" s="29">
        <v>44239</v>
      </c>
      <c r="I165" s="13" t="s">
        <v>713</v>
      </c>
      <c r="J165" s="13"/>
      <c r="K165" s="13"/>
      <c r="L165" s="13"/>
      <c r="M165" s="13"/>
      <c r="N165" s="13"/>
      <c r="O165" s="13"/>
      <c r="P165" s="13"/>
      <c r="Q165" s="13" t="s">
        <v>873</v>
      </c>
      <c r="R165" s="13"/>
      <c r="S165" s="13" t="s">
        <v>874</v>
      </c>
      <c r="T165" s="13"/>
      <c r="U165" s="13"/>
    </row>
    <row r="166" spans="1:21" x14ac:dyDescent="0.25">
      <c r="A166" s="16" t="s">
        <v>192</v>
      </c>
      <c r="B166" s="38" t="s">
        <v>13</v>
      </c>
      <c r="C166" s="16" t="s">
        <v>30</v>
      </c>
      <c r="D166" s="29">
        <v>44236</v>
      </c>
      <c r="E166" s="18" t="s">
        <v>23</v>
      </c>
      <c r="F166" s="18"/>
      <c r="G166" s="13"/>
      <c r="H166" s="29">
        <v>44239</v>
      </c>
      <c r="I166" s="13" t="s">
        <v>714</v>
      </c>
      <c r="J166" s="13"/>
      <c r="K166" s="13"/>
      <c r="L166" s="13"/>
      <c r="M166" s="13"/>
      <c r="N166" s="13"/>
      <c r="O166" s="13"/>
      <c r="P166" s="13"/>
      <c r="Q166" s="13" t="s">
        <v>873</v>
      </c>
      <c r="R166" s="13"/>
      <c r="S166" s="13" t="s">
        <v>333</v>
      </c>
      <c r="T166" s="13"/>
      <c r="U166" s="13"/>
    </row>
    <row r="167" spans="1:21" x14ac:dyDescent="0.25">
      <c r="A167" s="16" t="s">
        <v>192</v>
      </c>
      <c r="B167" s="38" t="s">
        <v>13</v>
      </c>
      <c r="C167" s="16" t="s">
        <v>30</v>
      </c>
      <c r="D167" s="29">
        <v>44236</v>
      </c>
      <c r="E167" s="18" t="s">
        <v>23</v>
      </c>
      <c r="F167" s="18"/>
      <c r="G167" s="13"/>
      <c r="H167" s="29">
        <v>44239</v>
      </c>
      <c r="I167" s="13" t="s">
        <v>715</v>
      </c>
      <c r="J167" s="13"/>
      <c r="K167" s="13"/>
      <c r="L167" s="13"/>
      <c r="M167" s="13"/>
      <c r="N167" s="13"/>
      <c r="O167" s="13"/>
      <c r="P167" s="13"/>
      <c r="Q167" s="13" t="s">
        <v>873</v>
      </c>
      <c r="R167" s="13"/>
      <c r="S167" s="13" t="s">
        <v>333</v>
      </c>
      <c r="T167" s="13"/>
      <c r="U167" s="13"/>
    </row>
    <row r="168" spans="1:21" x14ac:dyDescent="0.25">
      <c r="A168" s="16" t="s">
        <v>192</v>
      </c>
      <c r="B168" s="38" t="s">
        <v>13</v>
      </c>
      <c r="C168" s="16" t="s">
        <v>30</v>
      </c>
      <c r="D168" s="29">
        <v>44236</v>
      </c>
      <c r="E168" s="18" t="s">
        <v>23</v>
      </c>
      <c r="F168" s="18"/>
      <c r="G168" s="13"/>
      <c r="H168" s="29">
        <v>44239</v>
      </c>
      <c r="I168" s="13" t="s">
        <v>716</v>
      </c>
      <c r="J168" s="13"/>
      <c r="K168" s="13"/>
      <c r="L168" s="13"/>
      <c r="M168" s="13"/>
      <c r="N168" s="13"/>
      <c r="O168" s="13"/>
      <c r="P168" s="13"/>
      <c r="Q168" s="13" t="s">
        <v>467</v>
      </c>
      <c r="R168" s="13"/>
      <c r="S168" s="13" t="s">
        <v>875</v>
      </c>
      <c r="T168" s="13"/>
      <c r="U168" s="13"/>
    </row>
    <row r="169" spans="1:21" x14ac:dyDescent="0.25">
      <c r="A169" s="16" t="s">
        <v>192</v>
      </c>
      <c r="B169" s="38" t="s">
        <v>13</v>
      </c>
      <c r="C169" s="16" t="s">
        <v>30</v>
      </c>
      <c r="D169" s="29">
        <v>44236</v>
      </c>
      <c r="E169" s="18" t="s">
        <v>23</v>
      </c>
      <c r="F169" s="18"/>
      <c r="G169" s="13"/>
      <c r="H169" s="29">
        <v>44239</v>
      </c>
      <c r="I169" s="13" t="s">
        <v>717</v>
      </c>
      <c r="J169" s="13"/>
      <c r="K169" s="13"/>
      <c r="L169" s="13"/>
      <c r="M169" s="13"/>
      <c r="N169" s="13"/>
      <c r="O169" s="13"/>
      <c r="P169" s="13"/>
      <c r="Q169" s="13" t="s">
        <v>467</v>
      </c>
      <c r="R169" s="13"/>
      <c r="S169" s="13" t="s">
        <v>875</v>
      </c>
      <c r="T169" s="13"/>
      <c r="U169" s="13"/>
    </row>
    <row r="170" spans="1:21" x14ac:dyDescent="0.25">
      <c r="A170" s="16" t="s">
        <v>192</v>
      </c>
      <c r="B170" s="38" t="s">
        <v>13</v>
      </c>
      <c r="C170" s="16" t="s">
        <v>30</v>
      </c>
      <c r="D170" s="29">
        <v>44236</v>
      </c>
      <c r="E170" s="18" t="s">
        <v>23</v>
      </c>
      <c r="F170" s="18"/>
      <c r="G170" s="13"/>
      <c r="H170" s="29">
        <v>44239</v>
      </c>
      <c r="I170" s="13" t="s">
        <v>871</v>
      </c>
      <c r="J170" s="13"/>
      <c r="K170" s="13"/>
      <c r="L170" s="13"/>
      <c r="M170" s="13"/>
      <c r="N170" s="13"/>
      <c r="O170" s="13"/>
      <c r="P170" s="13"/>
      <c r="Q170" s="13" t="s">
        <v>756</v>
      </c>
      <c r="R170" s="13"/>
      <c r="S170" s="13" t="s">
        <v>496</v>
      </c>
      <c r="T170" s="13"/>
      <c r="U170" s="13"/>
    </row>
    <row r="171" spans="1:21" x14ac:dyDescent="0.25">
      <c r="A171" s="16" t="s">
        <v>192</v>
      </c>
      <c r="B171" s="38" t="s">
        <v>13</v>
      </c>
      <c r="C171" s="16" t="s">
        <v>30</v>
      </c>
      <c r="D171" s="29">
        <v>44236</v>
      </c>
      <c r="E171" s="18" t="s">
        <v>23</v>
      </c>
      <c r="F171" s="18"/>
      <c r="G171" s="13"/>
      <c r="H171" s="29">
        <v>44239</v>
      </c>
      <c r="I171" s="13" t="s">
        <v>872</v>
      </c>
      <c r="J171" s="13"/>
      <c r="K171" s="13"/>
      <c r="L171" s="13"/>
      <c r="M171" s="13"/>
      <c r="N171" s="13"/>
      <c r="O171" s="13"/>
      <c r="P171" s="13"/>
      <c r="Q171" s="13" t="s">
        <v>756</v>
      </c>
      <c r="R171" s="13"/>
      <c r="S171" s="13" t="s">
        <v>105</v>
      </c>
      <c r="T171" s="13"/>
      <c r="U171" s="13"/>
    </row>
    <row r="172" spans="1:21" x14ac:dyDescent="0.25">
      <c r="A172" s="16">
        <v>78</v>
      </c>
      <c r="B172" s="38" t="s">
        <v>13</v>
      </c>
      <c r="C172" s="16" t="s">
        <v>80</v>
      </c>
      <c r="D172" s="29">
        <v>44237</v>
      </c>
      <c r="E172" s="18" t="s">
        <v>23</v>
      </c>
      <c r="F172" s="18"/>
      <c r="G172" s="13"/>
      <c r="H172" s="29">
        <v>44244</v>
      </c>
      <c r="I172" s="13" t="s">
        <v>381</v>
      </c>
      <c r="J172" s="13">
        <v>438.4</v>
      </c>
      <c r="K172" s="13" t="s">
        <v>860</v>
      </c>
      <c r="L172" s="13">
        <v>0.51529999999999998</v>
      </c>
      <c r="M172" s="13">
        <v>1.3759999999999999</v>
      </c>
      <c r="N172" s="13">
        <v>225.9075</v>
      </c>
      <c r="O172" s="13">
        <v>603.23839999999996</v>
      </c>
      <c r="P172" s="13">
        <v>29.37</v>
      </c>
      <c r="Q172" s="13">
        <v>135.52000000000001</v>
      </c>
      <c r="R172" s="13">
        <v>263</v>
      </c>
      <c r="S172" s="13">
        <v>59413.68</v>
      </c>
      <c r="T172" s="13"/>
      <c r="U172" s="13"/>
    </row>
    <row r="173" spans="1:21" x14ac:dyDescent="0.25">
      <c r="A173" s="16">
        <v>78</v>
      </c>
      <c r="B173" s="38" t="s">
        <v>13</v>
      </c>
      <c r="C173" s="16" t="s">
        <v>80</v>
      </c>
      <c r="D173" s="29">
        <v>44237</v>
      </c>
      <c r="E173" s="18" t="s">
        <v>23</v>
      </c>
      <c r="F173" s="18"/>
      <c r="G173" s="13"/>
      <c r="H173" s="29">
        <v>44244</v>
      </c>
      <c r="I173" s="13" t="s">
        <v>271</v>
      </c>
      <c r="J173" s="13">
        <v>350.4</v>
      </c>
      <c r="K173" s="13" t="s">
        <v>456</v>
      </c>
      <c r="L173" s="13">
        <v>0.51529999999999998</v>
      </c>
      <c r="M173" s="13">
        <v>1.3759999999999999</v>
      </c>
      <c r="N173" s="13">
        <v>180.56110000000001</v>
      </c>
      <c r="O173" s="13">
        <v>482.15039999999999</v>
      </c>
      <c r="P173" s="13">
        <v>23.47</v>
      </c>
      <c r="Q173" s="13">
        <v>135.52000000000001</v>
      </c>
      <c r="R173" s="13">
        <v>263</v>
      </c>
      <c r="S173" s="13">
        <v>47486.21</v>
      </c>
      <c r="T173" s="13"/>
      <c r="U173" s="13"/>
    </row>
    <row r="174" spans="1:21" x14ac:dyDescent="0.25">
      <c r="A174" s="16" t="s">
        <v>205</v>
      </c>
      <c r="B174" s="38" t="s">
        <v>13</v>
      </c>
      <c r="C174" s="16" t="s">
        <v>15</v>
      </c>
      <c r="D174" s="29">
        <v>44237</v>
      </c>
      <c r="E174" s="18" t="s">
        <v>23</v>
      </c>
      <c r="F174" s="18"/>
      <c r="G174" s="13"/>
      <c r="H174" s="29">
        <v>44244</v>
      </c>
      <c r="I174" s="13" t="s">
        <v>230</v>
      </c>
      <c r="J174" s="13">
        <v>48</v>
      </c>
      <c r="K174" s="13"/>
      <c r="L174" s="13"/>
      <c r="M174" s="13"/>
      <c r="N174" s="13"/>
      <c r="O174" s="13"/>
      <c r="P174" s="13"/>
      <c r="Q174" s="13"/>
      <c r="R174" s="13"/>
      <c r="S174" s="13">
        <v>28320</v>
      </c>
      <c r="T174" s="13"/>
      <c r="U174" s="13"/>
    </row>
    <row r="175" spans="1:21" x14ac:dyDescent="0.25">
      <c r="A175" s="16">
        <v>80</v>
      </c>
      <c r="B175" s="38" t="s">
        <v>13</v>
      </c>
      <c r="C175" s="22" t="s">
        <v>881</v>
      </c>
      <c r="D175" s="29">
        <v>44237</v>
      </c>
      <c r="E175" s="18" t="s">
        <v>23</v>
      </c>
      <c r="F175" s="18"/>
      <c r="G175" s="13"/>
      <c r="H175" s="29">
        <v>44244</v>
      </c>
      <c r="I175" s="13" t="s">
        <v>425</v>
      </c>
      <c r="J175" s="13">
        <v>360</v>
      </c>
      <c r="K175" s="13" t="s">
        <v>308</v>
      </c>
      <c r="L175" s="13">
        <v>7.4200000000000002E-2</v>
      </c>
      <c r="M175" s="13">
        <v>0.11600000000000001</v>
      </c>
      <c r="N175" s="13">
        <v>26.712</v>
      </c>
      <c r="O175" s="13">
        <v>41.76</v>
      </c>
      <c r="P175" s="13">
        <v>3.47</v>
      </c>
      <c r="Q175" s="13">
        <v>20.260000000000002</v>
      </c>
      <c r="R175" s="13">
        <v>273</v>
      </c>
      <c r="S175" s="13">
        <v>7292.38</v>
      </c>
      <c r="T175" s="13"/>
      <c r="U175" s="13"/>
    </row>
    <row r="176" spans="1:21" x14ac:dyDescent="0.25">
      <c r="A176" s="16">
        <v>81</v>
      </c>
      <c r="B176" s="38" t="s">
        <v>13</v>
      </c>
      <c r="C176" s="22" t="s">
        <v>672</v>
      </c>
      <c r="D176" s="29">
        <v>44237</v>
      </c>
      <c r="E176" s="18" t="s">
        <v>23</v>
      </c>
      <c r="F176" s="18"/>
      <c r="G176" s="13"/>
      <c r="H176" s="29">
        <v>44244</v>
      </c>
      <c r="I176" s="13" t="s">
        <v>876</v>
      </c>
      <c r="J176" s="13">
        <v>539.5</v>
      </c>
      <c r="K176" s="13" t="s">
        <v>877</v>
      </c>
      <c r="L176" s="13">
        <v>0.5605</v>
      </c>
      <c r="M176" s="13">
        <v>2.254</v>
      </c>
      <c r="N176" s="13">
        <v>302.38979999999998</v>
      </c>
      <c r="O176" s="13">
        <v>1216.0329999999999</v>
      </c>
      <c r="P176" s="13">
        <v>39.31</v>
      </c>
      <c r="Q176" s="13">
        <v>105.93</v>
      </c>
      <c r="R176" s="13">
        <v>189</v>
      </c>
      <c r="S176" s="13">
        <v>57151.66</v>
      </c>
      <c r="T176" s="13"/>
      <c r="U176" s="13"/>
    </row>
    <row r="177" spans="1:23" x14ac:dyDescent="0.25">
      <c r="A177" s="16" t="s">
        <v>204</v>
      </c>
      <c r="B177" s="38" t="s">
        <v>13</v>
      </c>
      <c r="C177" s="16" t="s">
        <v>799</v>
      </c>
      <c r="D177" s="29">
        <v>44237</v>
      </c>
      <c r="E177" s="18" t="s">
        <v>23</v>
      </c>
      <c r="F177" s="18"/>
      <c r="G177" s="13"/>
      <c r="H177" s="29">
        <v>44244</v>
      </c>
      <c r="I177" s="13" t="s">
        <v>800</v>
      </c>
      <c r="J177" s="13" t="s">
        <v>379</v>
      </c>
      <c r="K177" s="13">
        <v>100</v>
      </c>
      <c r="L177" s="13"/>
      <c r="M177" s="13"/>
      <c r="N177" s="13"/>
      <c r="O177" s="13"/>
      <c r="P177" s="13"/>
      <c r="Q177" s="13"/>
      <c r="R177" s="13"/>
      <c r="S177" s="13">
        <v>10000</v>
      </c>
      <c r="T177" s="13"/>
      <c r="U177" s="13"/>
    </row>
    <row r="178" spans="1:23" x14ac:dyDescent="0.25">
      <c r="A178" s="16" t="s">
        <v>878</v>
      </c>
      <c r="B178" s="38" t="s">
        <v>13</v>
      </c>
      <c r="C178" s="16" t="s">
        <v>879</v>
      </c>
      <c r="D178" s="29">
        <v>44238</v>
      </c>
      <c r="E178" s="18" t="s">
        <v>23</v>
      </c>
      <c r="F178" s="18"/>
      <c r="G178" s="13"/>
      <c r="H178" s="29">
        <v>44245</v>
      </c>
      <c r="I178" s="13" t="s">
        <v>77</v>
      </c>
      <c r="J178" s="13"/>
      <c r="K178" s="13">
        <v>1</v>
      </c>
      <c r="L178" s="13"/>
      <c r="M178" s="13"/>
      <c r="N178" s="13"/>
      <c r="O178" s="13"/>
      <c r="P178" s="13"/>
      <c r="Q178" s="13"/>
      <c r="R178" s="13"/>
      <c r="S178" s="13">
        <v>48800</v>
      </c>
      <c r="T178" s="13"/>
      <c r="U178" s="13"/>
    </row>
    <row r="179" spans="1:23" x14ac:dyDescent="0.25">
      <c r="A179" s="16" t="s">
        <v>880</v>
      </c>
      <c r="B179" s="38" t="s">
        <v>13</v>
      </c>
      <c r="C179" s="16" t="s">
        <v>37</v>
      </c>
      <c r="D179" s="29">
        <v>44238</v>
      </c>
      <c r="E179" s="18" t="s">
        <v>23</v>
      </c>
      <c r="F179" s="18"/>
      <c r="G179" s="13"/>
      <c r="H179" s="29">
        <v>44245</v>
      </c>
      <c r="I179" s="13" t="s">
        <v>147</v>
      </c>
      <c r="J179" s="13"/>
      <c r="K179" s="13">
        <v>24</v>
      </c>
      <c r="L179" s="13"/>
      <c r="M179" s="13"/>
      <c r="N179" s="13"/>
      <c r="O179" s="13"/>
      <c r="P179" s="13"/>
      <c r="Q179" s="13"/>
      <c r="R179" s="13"/>
      <c r="S179" s="13">
        <v>12840</v>
      </c>
      <c r="T179" s="13"/>
      <c r="U179" s="13"/>
    </row>
    <row r="180" spans="1:23" x14ac:dyDescent="0.25">
      <c r="A180" s="16">
        <v>82</v>
      </c>
      <c r="B180" s="13" t="s">
        <v>34</v>
      </c>
      <c r="C180" s="16" t="s">
        <v>861</v>
      </c>
      <c r="D180" s="29">
        <v>44238</v>
      </c>
      <c r="E180" s="18" t="s">
        <v>23</v>
      </c>
      <c r="F180" s="18"/>
      <c r="G180" s="13"/>
      <c r="H180" s="29">
        <v>44245</v>
      </c>
      <c r="I180" s="13" t="s">
        <v>678</v>
      </c>
      <c r="J180" s="13">
        <v>245</v>
      </c>
      <c r="K180" s="13" t="s">
        <v>683</v>
      </c>
      <c r="L180" s="13">
        <v>0.45200000000000001</v>
      </c>
      <c r="M180" s="13">
        <v>1.5049999999999999</v>
      </c>
      <c r="N180" s="13">
        <v>110.74</v>
      </c>
      <c r="O180" s="13">
        <v>368.72500000000002</v>
      </c>
      <c r="P180" s="13">
        <v>14.4</v>
      </c>
      <c r="Q180" s="13">
        <v>130.18</v>
      </c>
      <c r="R180" s="13">
        <v>288</v>
      </c>
      <c r="S180" s="13">
        <v>31893.119999999999</v>
      </c>
      <c r="T180" s="13"/>
      <c r="U180" s="13"/>
    </row>
    <row r="181" spans="1:23" x14ac:dyDescent="0.25">
      <c r="A181" s="16" t="s">
        <v>882</v>
      </c>
      <c r="B181" s="13" t="s">
        <v>34</v>
      </c>
      <c r="C181" s="16" t="s">
        <v>16</v>
      </c>
      <c r="D181" s="29">
        <v>44238</v>
      </c>
      <c r="E181" s="18" t="s">
        <v>23</v>
      </c>
      <c r="F181" s="18"/>
      <c r="G181" s="13"/>
      <c r="H181" s="29">
        <v>44245</v>
      </c>
      <c r="I181" s="13" t="s">
        <v>862</v>
      </c>
      <c r="J181" s="13">
        <v>1584</v>
      </c>
      <c r="K181" s="13" t="s">
        <v>889</v>
      </c>
      <c r="L181" s="13">
        <v>0.29970000000000002</v>
      </c>
      <c r="M181" s="13">
        <v>1.6739999999999999</v>
      </c>
      <c r="N181" s="13">
        <v>474.72480000000002</v>
      </c>
      <c r="O181" s="13">
        <v>2651.616</v>
      </c>
      <c r="P181" s="13">
        <v>61.71</v>
      </c>
      <c r="Q181" s="13">
        <v>86.31</v>
      </c>
      <c r="R181" s="13">
        <v>288</v>
      </c>
      <c r="S181" s="13">
        <v>136715.04</v>
      </c>
      <c r="T181" s="13"/>
      <c r="U181" s="63"/>
      <c r="V181" s="13"/>
      <c r="W181" s="13"/>
    </row>
    <row r="182" spans="1:23" x14ac:dyDescent="0.25">
      <c r="A182" s="16" t="s">
        <v>211</v>
      </c>
      <c r="B182" s="13" t="s">
        <v>13</v>
      </c>
      <c r="C182" s="39" t="s">
        <v>15</v>
      </c>
      <c r="D182" s="40">
        <v>44239</v>
      </c>
      <c r="E182" s="18" t="s">
        <v>23</v>
      </c>
      <c r="F182" s="18"/>
      <c r="G182" s="13"/>
      <c r="H182" s="40">
        <v>44246</v>
      </c>
      <c r="I182" s="42" t="s">
        <v>89</v>
      </c>
      <c r="J182" s="43"/>
      <c r="K182" s="44">
        <v>48</v>
      </c>
      <c r="L182" s="44"/>
      <c r="M182" s="44"/>
      <c r="N182" s="47"/>
      <c r="O182" s="46"/>
      <c r="P182" s="46"/>
      <c r="Q182" s="47"/>
      <c r="R182" s="44"/>
      <c r="S182" s="44">
        <v>34992</v>
      </c>
      <c r="T182" s="13"/>
      <c r="U182" s="13"/>
    </row>
    <row r="183" spans="1:23" x14ac:dyDescent="0.25">
      <c r="A183" s="16" t="s">
        <v>243</v>
      </c>
      <c r="B183" s="13" t="s">
        <v>13</v>
      </c>
      <c r="C183" s="16" t="s">
        <v>30</v>
      </c>
      <c r="D183" s="40">
        <v>44239</v>
      </c>
      <c r="E183" s="18" t="s">
        <v>23</v>
      </c>
      <c r="F183" s="18"/>
      <c r="G183" s="13"/>
      <c r="H183" s="40">
        <v>44246</v>
      </c>
      <c r="I183" s="13" t="s">
        <v>95</v>
      </c>
      <c r="J183" s="13" t="s">
        <v>318</v>
      </c>
      <c r="K183" s="13"/>
      <c r="L183" s="13"/>
      <c r="M183" s="13"/>
      <c r="N183" s="13"/>
      <c r="O183" s="13"/>
      <c r="P183" s="13"/>
      <c r="Q183" s="13"/>
      <c r="R183" s="13"/>
      <c r="S183" s="13" t="s">
        <v>885</v>
      </c>
      <c r="T183" s="13"/>
      <c r="U183" s="13"/>
    </row>
    <row r="184" spans="1:23" x14ac:dyDescent="0.25">
      <c r="A184" s="16" t="s">
        <v>243</v>
      </c>
      <c r="B184" s="13" t="s">
        <v>13</v>
      </c>
      <c r="C184" s="16" t="s">
        <v>30</v>
      </c>
      <c r="D184" s="40">
        <v>44239</v>
      </c>
      <c r="E184" s="18" t="s">
        <v>23</v>
      </c>
      <c r="F184" s="18"/>
      <c r="G184" s="13"/>
      <c r="H184" s="40">
        <v>44246</v>
      </c>
      <c r="I184" s="13" t="s">
        <v>98</v>
      </c>
      <c r="J184" s="13" t="s">
        <v>318</v>
      </c>
      <c r="K184" s="13"/>
      <c r="L184" s="13"/>
      <c r="M184" s="13"/>
      <c r="N184" s="13"/>
      <c r="O184" s="13"/>
      <c r="P184" s="13"/>
      <c r="Q184" s="13"/>
      <c r="R184" s="13"/>
      <c r="S184" s="13" t="s">
        <v>885</v>
      </c>
      <c r="T184" s="13"/>
      <c r="U184" s="13"/>
    </row>
    <row r="185" spans="1:23" x14ac:dyDescent="0.25">
      <c r="A185" s="16" t="s">
        <v>243</v>
      </c>
      <c r="B185" s="13" t="s">
        <v>13</v>
      </c>
      <c r="C185" s="16" t="s">
        <v>30</v>
      </c>
      <c r="D185" s="40">
        <v>44239</v>
      </c>
      <c r="E185" s="18" t="s">
        <v>23</v>
      </c>
      <c r="F185" s="18"/>
      <c r="G185" s="13"/>
      <c r="H185" s="40">
        <v>44246</v>
      </c>
      <c r="I185" s="13" t="s">
        <v>92</v>
      </c>
      <c r="J185" s="13" t="s">
        <v>357</v>
      </c>
      <c r="K185" s="13"/>
      <c r="L185" s="13"/>
      <c r="M185" s="13"/>
      <c r="N185" s="13"/>
      <c r="O185" s="13"/>
      <c r="P185" s="13"/>
      <c r="Q185" s="13"/>
      <c r="R185" s="13"/>
      <c r="S185" s="13" t="s">
        <v>358</v>
      </c>
      <c r="T185" s="13"/>
      <c r="U185" s="13"/>
    </row>
    <row r="186" spans="1:23" x14ac:dyDescent="0.25">
      <c r="A186" s="16" t="s">
        <v>243</v>
      </c>
      <c r="B186" s="13" t="s">
        <v>13</v>
      </c>
      <c r="C186" s="16" t="s">
        <v>30</v>
      </c>
      <c r="D186" s="40">
        <v>44239</v>
      </c>
      <c r="E186" s="18" t="s">
        <v>23</v>
      </c>
      <c r="F186" s="18"/>
      <c r="G186" s="13"/>
      <c r="H186" s="40">
        <v>44246</v>
      </c>
      <c r="I186" s="13" t="s">
        <v>94</v>
      </c>
      <c r="J186" s="13" t="s">
        <v>357</v>
      </c>
      <c r="K186" s="13"/>
      <c r="L186" s="13"/>
      <c r="M186" s="13"/>
      <c r="N186" s="13"/>
      <c r="O186" s="13"/>
      <c r="P186" s="13"/>
      <c r="Q186" s="13"/>
      <c r="R186" s="13"/>
      <c r="S186" s="13" t="s">
        <v>358</v>
      </c>
      <c r="T186" s="13"/>
      <c r="U186" s="13"/>
    </row>
    <row r="187" spans="1:23" x14ac:dyDescent="0.25">
      <c r="A187" s="16" t="s">
        <v>243</v>
      </c>
      <c r="B187" s="13" t="s">
        <v>13</v>
      </c>
      <c r="C187" s="16" t="s">
        <v>30</v>
      </c>
      <c r="D187" s="40">
        <v>44239</v>
      </c>
      <c r="E187" s="18" t="s">
        <v>23</v>
      </c>
      <c r="F187" s="18"/>
      <c r="G187" s="13"/>
      <c r="H187" s="40">
        <v>44246</v>
      </c>
      <c r="I187" s="13" t="s">
        <v>99</v>
      </c>
      <c r="J187" s="13" t="s">
        <v>884</v>
      </c>
      <c r="K187" s="13"/>
      <c r="L187" s="13"/>
      <c r="M187" s="13"/>
      <c r="N187" s="13"/>
      <c r="O187" s="13"/>
      <c r="P187" s="13"/>
      <c r="Q187" s="13"/>
      <c r="R187" s="13"/>
      <c r="S187" s="13" t="s">
        <v>886</v>
      </c>
      <c r="T187" s="13"/>
      <c r="U187" s="13"/>
    </row>
    <row r="188" spans="1:23" x14ac:dyDescent="0.25">
      <c r="A188" s="16" t="s">
        <v>243</v>
      </c>
      <c r="B188" s="13" t="s">
        <v>13</v>
      </c>
      <c r="C188" s="16" t="s">
        <v>30</v>
      </c>
      <c r="D188" s="40">
        <v>44239</v>
      </c>
      <c r="E188" s="18" t="s">
        <v>23</v>
      </c>
      <c r="F188" s="18"/>
      <c r="G188" s="13"/>
      <c r="H188" s="40">
        <v>44246</v>
      </c>
      <c r="I188" s="13" t="s">
        <v>102</v>
      </c>
      <c r="J188" s="13" t="s">
        <v>884</v>
      </c>
      <c r="K188" s="13"/>
      <c r="L188" s="13"/>
      <c r="M188" s="13"/>
      <c r="N188" s="13"/>
      <c r="O188" s="13"/>
      <c r="P188" s="13"/>
      <c r="Q188" s="13"/>
      <c r="R188" s="13"/>
      <c r="S188" s="13" t="s">
        <v>886</v>
      </c>
      <c r="T188" s="13"/>
      <c r="U188" s="13"/>
    </row>
    <row r="189" spans="1:23" x14ac:dyDescent="0.25">
      <c r="A189" s="16">
        <v>85</v>
      </c>
      <c r="B189" s="13" t="s">
        <v>13</v>
      </c>
      <c r="C189" s="16" t="s">
        <v>156</v>
      </c>
      <c r="D189" s="29">
        <v>44242</v>
      </c>
      <c r="E189" s="18" t="s">
        <v>23</v>
      </c>
      <c r="F189" s="18"/>
      <c r="G189" s="13"/>
      <c r="H189" s="29">
        <v>44250</v>
      </c>
      <c r="I189" s="13" t="s">
        <v>155</v>
      </c>
      <c r="J189" s="13">
        <v>498</v>
      </c>
      <c r="K189" s="13" t="s">
        <v>887</v>
      </c>
      <c r="L189" s="13">
        <v>0.81599999999999995</v>
      </c>
      <c r="M189" s="13">
        <v>2.7610000000000001</v>
      </c>
      <c r="N189" s="13">
        <v>406.36799999999999</v>
      </c>
      <c r="O189" s="13">
        <v>1374.9780000000001</v>
      </c>
      <c r="P189" s="13">
        <v>52.83</v>
      </c>
      <c r="Q189" s="13">
        <v>235.01</v>
      </c>
      <c r="R189" s="13">
        <v>288</v>
      </c>
      <c r="S189" s="13">
        <v>117033.98</v>
      </c>
      <c r="T189" s="13"/>
      <c r="U189" s="13"/>
    </row>
    <row r="190" spans="1:23" x14ac:dyDescent="0.25">
      <c r="A190" s="65" t="s">
        <v>221</v>
      </c>
      <c r="B190" s="13" t="s">
        <v>13</v>
      </c>
      <c r="C190" s="39" t="s">
        <v>15</v>
      </c>
      <c r="D190" s="40">
        <v>44242</v>
      </c>
      <c r="E190" s="18" t="s">
        <v>23</v>
      </c>
      <c r="F190" s="18"/>
      <c r="G190" s="13"/>
      <c r="H190" s="40">
        <v>44249</v>
      </c>
      <c r="I190" s="42" t="s">
        <v>89</v>
      </c>
      <c r="J190" s="43"/>
      <c r="K190" s="44">
        <v>48</v>
      </c>
      <c r="L190" s="44"/>
      <c r="M190" s="44"/>
      <c r="N190" s="47"/>
      <c r="O190" s="46"/>
      <c r="P190" s="46"/>
      <c r="Q190" s="47"/>
      <c r="R190" s="44"/>
      <c r="S190" s="44">
        <v>34992</v>
      </c>
      <c r="T190" s="13"/>
      <c r="U190" s="13"/>
    </row>
    <row r="191" spans="1:23" x14ac:dyDescent="0.25">
      <c r="A191" s="65" t="s">
        <v>212</v>
      </c>
      <c r="B191" s="13" t="s">
        <v>13</v>
      </c>
      <c r="C191" s="16" t="s">
        <v>548</v>
      </c>
      <c r="D191" s="40">
        <v>44242</v>
      </c>
      <c r="E191" s="18" t="s">
        <v>23</v>
      </c>
      <c r="F191" s="18"/>
      <c r="G191" s="13"/>
      <c r="H191" s="40">
        <v>44249</v>
      </c>
      <c r="I191" s="42" t="s">
        <v>897</v>
      </c>
      <c r="J191" s="43" t="s">
        <v>905</v>
      </c>
      <c r="K191" s="44"/>
      <c r="L191" s="44"/>
      <c r="M191" s="44"/>
      <c r="N191" s="47"/>
      <c r="O191" s="46"/>
      <c r="P191" s="46"/>
      <c r="Q191" s="47" t="s">
        <v>911</v>
      </c>
      <c r="R191" s="44"/>
      <c r="S191" s="44" t="s">
        <v>917</v>
      </c>
      <c r="T191" s="13"/>
      <c r="U191" s="13"/>
    </row>
    <row r="192" spans="1:23" x14ac:dyDescent="0.25">
      <c r="A192" s="65" t="s">
        <v>212</v>
      </c>
      <c r="B192" s="13" t="s">
        <v>13</v>
      </c>
      <c r="C192" s="16" t="s">
        <v>548</v>
      </c>
      <c r="D192" s="40">
        <v>44242</v>
      </c>
      <c r="E192" s="18" t="s">
        <v>23</v>
      </c>
      <c r="F192" s="18"/>
      <c r="G192" s="13"/>
      <c r="H192" s="40">
        <v>44249</v>
      </c>
      <c r="I192" s="42" t="s">
        <v>898</v>
      </c>
      <c r="J192" s="43" t="s">
        <v>906</v>
      </c>
      <c r="K192" s="44"/>
      <c r="L192" s="44"/>
      <c r="M192" s="44"/>
      <c r="N192" s="47"/>
      <c r="O192" s="46" t="e">
        <f>B192+25</f>
        <v>#VALUE!</v>
      </c>
      <c r="P192" s="46"/>
      <c r="Q192" s="47" t="s">
        <v>700</v>
      </c>
      <c r="R192" s="44"/>
      <c r="S192" s="44" t="s">
        <v>918</v>
      </c>
      <c r="T192" s="13"/>
      <c r="U192" s="13"/>
    </row>
    <row r="193" spans="1:21" x14ac:dyDescent="0.25">
      <c r="A193" s="65" t="s">
        <v>212</v>
      </c>
      <c r="B193" s="13" t="s">
        <v>13</v>
      </c>
      <c r="C193" s="16" t="s">
        <v>548</v>
      </c>
      <c r="D193" s="40">
        <v>44242</v>
      </c>
      <c r="E193" s="18" t="s">
        <v>23</v>
      </c>
      <c r="F193" s="18"/>
      <c r="G193" s="13"/>
      <c r="H193" s="40">
        <v>44249</v>
      </c>
      <c r="I193" s="42" t="s">
        <v>899</v>
      </c>
      <c r="J193" s="43" t="s">
        <v>582</v>
      </c>
      <c r="K193" s="44"/>
      <c r="L193" s="44"/>
      <c r="M193" s="44"/>
      <c r="N193" s="47"/>
      <c r="O193" s="46"/>
      <c r="P193" s="46"/>
      <c r="Q193" s="47" t="s">
        <v>912</v>
      </c>
      <c r="R193" s="44"/>
      <c r="S193" s="44" t="s">
        <v>919</v>
      </c>
      <c r="T193" s="13"/>
      <c r="U193" s="13"/>
    </row>
    <row r="194" spans="1:21" x14ac:dyDescent="0.25">
      <c r="A194" s="65" t="s">
        <v>212</v>
      </c>
      <c r="B194" s="13" t="s">
        <v>13</v>
      </c>
      <c r="C194" s="16" t="s">
        <v>548</v>
      </c>
      <c r="D194" s="40">
        <v>44242</v>
      </c>
      <c r="E194" s="18" t="s">
        <v>23</v>
      </c>
      <c r="F194" s="18"/>
      <c r="G194" s="13"/>
      <c r="H194" s="40">
        <v>44249</v>
      </c>
      <c r="I194" s="42" t="s">
        <v>900</v>
      </c>
      <c r="J194" s="43" t="s">
        <v>907</v>
      </c>
      <c r="K194" s="44"/>
      <c r="L194" s="44"/>
      <c r="M194" s="44"/>
      <c r="N194" s="47"/>
      <c r="O194" s="46"/>
      <c r="P194" s="46"/>
      <c r="Q194" s="47" t="s">
        <v>913</v>
      </c>
      <c r="R194" s="44"/>
      <c r="S194" s="44" t="s">
        <v>920</v>
      </c>
      <c r="T194" s="13"/>
      <c r="U194" s="13"/>
    </row>
    <row r="195" spans="1:21" x14ac:dyDescent="0.25">
      <c r="A195" s="65" t="s">
        <v>212</v>
      </c>
      <c r="B195" s="13" t="s">
        <v>13</v>
      </c>
      <c r="C195" s="16" t="s">
        <v>548</v>
      </c>
      <c r="D195" s="40">
        <v>44242</v>
      </c>
      <c r="E195" s="18" t="s">
        <v>23</v>
      </c>
      <c r="F195" s="18"/>
      <c r="G195" s="13"/>
      <c r="H195" s="40">
        <v>44249</v>
      </c>
      <c r="I195" s="42" t="s">
        <v>901</v>
      </c>
      <c r="J195" s="43" t="s">
        <v>374</v>
      </c>
      <c r="K195" s="44"/>
      <c r="L195" s="44"/>
      <c r="M195" s="44"/>
      <c r="N195" s="47"/>
      <c r="O195" s="46"/>
      <c r="P195" s="46"/>
      <c r="Q195" s="47" t="s">
        <v>914</v>
      </c>
      <c r="R195" s="44"/>
      <c r="S195" s="44" t="s">
        <v>921</v>
      </c>
      <c r="T195" s="13"/>
      <c r="U195" s="13"/>
    </row>
    <row r="196" spans="1:21" x14ac:dyDescent="0.25">
      <c r="A196" s="65" t="s">
        <v>212</v>
      </c>
      <c r="B196" s="13" t="s">
        <v>13</v>
      </c>
      <c r="C196" s="16" t="s">
        <v>548</v>
      </c>
      <c r="D196" s="40">
        <v>44242</v>
      </c>
      <c r="E196" s="18" t="s">
        <v>23</v>
      </c>
      <c r="F196" s="18"/>
      <c r="G196" s="13"/>
      <c r="H196" s="40">
        <v>44249</v>
      </c>
      <c r="I196" s="42" t="s">
        <v>902</v>
      </c>
      <c r="J196" s="43" t="s">
        <v>908</v>
      </c>
      <c r="K196" s="44"/>
      <c r="L196" s="44"/>
      <c r="M196" s="44"/>
      <c r="N196" s="47"/>
      <c r="O196" s="46"/>
      <c r="P196" s="46"/>
      <c r="Q196" s="47" t="s">
        <v>915</v>
      </c>
      <c r="R196" s="44"/>
      <c r="S196" s="44" t="s">
        <v>922</v>
      </c>
      <c r="T196" s="13"/>
      <c r="U196" s="13"/>
    </row>
    <row r="197" spans="1:21" x14ac:dyDescent="0.25">
      <c r="A197" s="65" t="s">
        <v>212</v>
      </c>
      <c r="B197" s="13" t="s">
        <v>13</v>
      </c>
      <c r="C197" s="16" t="s">
        <v>548</v>
      </c>
      <c r="D197" s="40">
        <v>44242</v>
      </c>
      <c r="E197" s="18" t="s">
        <v>23</v>
      </c>
      <c r="F197" s="18"/>
      <c r="G197" s="13"/>
      <c r="H197" s="40">
        <v>44249</v>
      </c>
      <c r="I197" s="42" t="s">
        <v>903</v>
      </c>
      <c r="J197" s="43" t="s">
        <v>909</v>
      </c>
      <c r="K197" s="44"/>
      <c r="L197" s="44"/>
      <c r="M197" s="44"/>
      <c r="N197" s="47"/>
      <c r="O197" s="46"/>
      <c r="P197" s="46"/>
      <c r="Q197" s="47" t="s">
        <v>498</v>
      </c>
      <c r="R197" s="44"/>
      <c r="S197" s="44" t="s">
        <v>923</v>
      </c>
      <c r="T197" s="13"/>
      <c r="U197" s="13"/>
    </row>
    <row r="198" spans="1:21" x14ac:dyDescent="0.25">
      <c r="A198" s="65" t="s">
        <v>212</v>
      </c>
      <c r="B198" s="13" t="s">
        <v>13</v>
      </c>
      <c r="C198" s="16" t="s">
        <v>548</v>
      </c>
      <c r="D198" s="40">
        <v>44242</v>
      </c>
      <c r="E198" s="18" t="s">
        <v>23</v>
      </c>
      <c r="F198" s="18"/>
      <c r="G198" s="13" t="s">
        <v>1005</v>
      </c>
      <c r="H198" s="40">
        <v>44249</v>
      </c>
      <c r="I198" s="42" t="s">
        <v>904</v>
      </c>
      <c r="J198" s="43" t="s">
        <v>910</v>
      </c>
      <c r="K198" s="44"/>
      <c r="L198" s="44"/>
      <c r="M198" s="44"/>
      <c r="N198" s="47"/>
      <c r="O198" s="46"/>
      <c r="P198" s="46"/>
      <c r="Q198" s="47" t="s">
        <v>916</v>
      </c>
      <c r="R198" s="44"/>
      <c r="S198" s="44" t="s">
        <v>924</v>
      </c>
      <c r="T198" s="13"/>
      <c r="U198" s="13"/>
    </row>
    <row r="199" spans="1:21" x14ac:dyDescent="0.25">
      <c r="A199" s="16">
        <v>87</v>
      </c>
      <c r="B199" s="13" t="s">
        <v>34</v>
      </c>
      <c r="C199" s="16" t="s">
        <v>643</v>
      </c>
      <c r="D199" s="29">
        <v>44243</v>
      </c>
      <c r="E199" s="18" t="s">
        <v>23</v>
      </c>
      <c r="F199" s="18"/>
      <c r="G199" s="13" t="s">
        <v>925</v>
      </c>
      <c r="H199" s="29">
        <v>44250</v>
      </c>
      <c r="I199" s="13" t="s">
        <v>888</v>
      </c>
      <c r="J199" s="13">
        <v>1566.6</v>
      </c>
      <c r="K199" s="13" t="s">
        <v>332</v>
      </c>
      <c r="L199" s="13">
        <v>0.22650000000000001</v>
      </c>
      <c r="M199" s="13">
        <v>0.52700000000000002</v>
      </c>
      <c r="N199" s="13">
        <v>354.8349</v>
      </c>
      <c r="O199" s="13">
        <v>825.59820000000002</v>
      </c>
      <c r="P199" s="13">
        <v>46.13</v>
      </c>
      <c r="Q199" s="13">
        <v>39.64</v>
      </c>
      <c r="R199" s="13">
        <v>175</v>
      </c>
      <c r="S199" s="13">
        <v>62096.11</v>
      </c>
      <c r="T199" s="13"/>
      <c r="U199" s="13"/>
    </row>
    <row r="200" spans="1:21" x14ac:dyDescent="0.25">
      <c r="A200" s="16">
        <v>88</v>
      </c>
      <c r="B200" s="13" t="s">
        <v>34</v>
      </c>
      <c r="C200" s="16" t="s">
        <v>861</v>
      </c>
      <c r="D200" s="29">
        <v>44243</v>
      </c>
      <c r="E200" s="18" t="s">
        <v>22</v>
      </c>
      <c r="F200" s="18"/>
      <c r="G200" s="13" t="s">
        <v>1488</v>
      </c>
      <c r="H200" s="29">
        <v>44251</v>
      </c>
      <c r="I200" s="13" t="s">
        <v>678</v>
      </c>
      <c r="J200" s="13">
        <v>155</v>
      </c>
      <c r="K200" s="13" t="s">
        <v>519</v>
      </c>
      <c r="L200" s="13">
        <v>0.45200000000000001</v>
      </c>
      <c r="M200" s="13">
        <v>1.5049999999999999</v>
      </c>
      <c r="N200" s="13">
        <v>70.06</v>
      </c>
      <c r="O200" s="13">
        <v>233.27500000000001</v>
      </c>
      <c r="P200" s="13">
        <v>9.11</v>
      </c>
      <c r="Q200" s="13">
        <v>130.18</v>
      </c>
      <c r="R200" s="13">
        <v>288</v>
      </c>
      <c r="S200" s="13">
        <v>20177.900000000001</v>
      </c>
      <c r="T200" s="13"/>
      <c r="U200" s="13"/>
    </row>
    <row r="201" spans="1:21" x14ac:dyDescent="0.25">
      <c r="A201" s="16" t="s">
        <v>239</v>
      </c>
      <c r="B201" s="13" t="s">
        <v>13</v>
      </c>
      <c r="C201" s="27" t="s">
        <v>891</v>
      </c>
      <c r="D201" s="29">
        <v>44244</v>
      </c>
      <c r="E201" s="18" t="s">
        <v>23</v>
      </c>
      <c r="F201" s="18"/>
      <c r="G201" s="13"/>
      <c r="H201" s="29">
        <v>44258</v>
      </c>
      <c r="I201" s="13" t="s">
        <v>890</v>
      </c>
      <c r="J201" s="13">
        <v>2556</v>
      </c>
      <c r="K201" s="13">
        <v>446</v>
      </c>
      <c r="L201" s="13"/>
      <c r="M201" s="13"/>
      <c r="N201" s="13"/>
      <c r="O201" s="13"/>
      <c r="P201" s="13">
        <v>32.08</v>
      </c>
      <c r="Q201" s="13"/>
      <c r="R201" s="13">
        <v>82000</v>
      </c>
      <c r="S201" s="13"/>
      <c r="T201" s="13"/>
      <c r="U201" s="13"/>
    </row>
    <row r="202" spans="1:21" x14ac:dyDescent="0.25">
      <c r="A202" s="16">
        <v>144</v>
      </c>
      <c r="B202" s="13" t="s">
        <v>13</v>
      </c>
      <c r="C202" s="16" t="s">
        <v>892</v>
      </c>
      <c r="D202" s="29">
        <v>44244</v>
      </c>
      <c r="E202" s="18" t="s">
        <v>23</v>
      </c>
      <c r="F202" s="18"/>
      <c r="G202" s="13"/>
      <c r="H202" s="29">
        <v>44245</v>
      </c>
      <c r="I202" s="13" t="s">
        <v>602</v>
      </c>
      <c r="J202" s="13">
        <v>5.3</v>
      </c>
      <c r="K202" s="13" t="s">
        <v>679</v>
      </c>
      <c r="L202" s="13">
        <v>0.25659999999999999</v>
      </c>
      <c r="M202" s="13">
        <v>0.68899999999999995</v>
      </c>
      <c r="N202" s="13">
        <v>1.36</v>
      </c>
      <c r="O202" s="13">
        <v>3.6516999999999999</v>
      </c>
      <c r="P202" s="13">
        <v>0.18</v>
      </c>
      <c r="Q202" s="13">
        <v>73.900000000000006</v>
      </c>
      <c r="R202" s="13">
        <v>288</v>
      </c>
      <c r="S202" s="13">
        <v>391.67</v>
      </c>
      <c r="T202" s="13"/>
      <c r="U202" s="13"/>
    </row>
    <row r="203" spans="1:21" x14ac:dyDescent="0.25">
      <c r="A203" s="16">
        <v>144</v>
      </c>
      <c r="B203" s="13" t="s">
        <v>13</v>
      </c>
      <c r="C203" s="16" t="s">
        <v>892</v>
      </c>
      <c r="D203" s="29">
        <v>44244</v>
      </c>
      <c r="E203" s="18" t="s">
        <v>23</v>
      </c>
      <c r="F203" s="18"/>
      <c r="G203" s="13"/>
      <c r="H203" s="29">
        <v>44245</v>
      </c>
      <c r="I203" s="13" t="s">
        <v>602</v>
      </c>
      <c r="J203" s="13">
        <v>5.3</v>
      </c>
      <c r="K203" s="13" t="s">
        <v>679</v>
      </c>
      <c r="L203" s="13">
        <v>0.25659999999999999</v>
      </c>
      <c r="M203" s="13">
        <v>0.68899999999999995</v>
      </c>
      <c r="N203" s="13">
        <v>1.36</v>
      </c>
      <c r="O203" s="13">
        <v>3.6516999999999999</v>
      </c>
      <c r="P203" s="13">
        <v>0.18</v>
      </c>
      <c r="Q203" s="13">
        <v>49.01</v>
      </c>
      <c r="R203" s="13">
        <v>191</v>
      </c>
      <c r="S203" s="13">
        <v>259.76</v>
      </c>
      <c r="T203" s="13"/>
      <c r="U203" s="13"/>
    </row>
    <row r="204" spans="1:21" x14ac:dyDescent="0.25">
      <c r="A204" s="16">
        <v>144</v>
      </c>
      <c r="B204" s="13" t="s">
        <v>13</v>
      </c>
      <c r="C204" s="16" t="s">
        <v>892</v>
      </c>
      <c r="D204" s="29">
        <v>44244</v>
      </c>
      <c r="E204" s="18" t="s">
        <v>23</v>
      </c>
      <c r="F204" s="18"/>
      <c r="G204" s="13"/>
      <c r="H204" s="29">
        <v>44245</v>
      </c>
      <c r="I204" s="13" t="s">
        <v>626</v>
      </c>
      <c r="J204" s="13">
        <v>4.8499999999999996</v>
      </c>
      <c r="K204" s="13" t="s">
        <v>679</v>
      </c>
      <c r="L204" s="13">
        <v>0.12230000000000001</v>
      </c>
      <c r="M204" s="13">
        <v>0.16200000000000001</v>
      </c>
      <c r="N204" s="13">
        <v>0.59319999999999995</v>
      </c>
      <c r="O204" s="13">
        <v>0.78569999999999995</v>
      </c>
      <c r="P204" s="13">
        <v>0.08</v>
      </c>
      <c r="Q204" s="13">
        <v>35.22</v>
      </c>
      <c r="R204" s="13">
        <v>288</v>
      </c>
      <c r="S204" s="13">
        <v>170.83</v>
      </c>
      <c r="T204" s="13"/>
      <c r="U204" s="13"/>
    </row>
    <row r="205" spans="1:21" x14ac:dyDescent="0.25">
      <c r="A205" s="16">
        <v>144</v>
      </c>
      <c r="B205" s="13" t="s">
        <v>13</v>
      </c>
      <c r="C205" s="16" t="s">
        <v>892</v>
      </c>
      <c r="D205" s="29">
        <v>44244</v>
      </c>
      <c r="E205" s="18" t="s">
        <v>23</v>
      </c>
      <c r="F205" s="18"/>
      <c r="G205" s="13"/>
      <c r="H205" s="29">
        <v>44245</v>
      </c>
      <c r="I205" s="13" t="s">
        <v>626</v>
      </c>
      <c r="J205" s="13">
        <v>4.8499999999999996</v>
      </c>
      <c r="K205" s="13" t="s">
        <v>679</v>
      </c>
      <c r="L205" s="13">
        <v>0.12230000000000001</v>
      </c>
      <c r="M205" s="13">
        <v>0.16200000000000001</v>
      </c>
      <c r="N205" s="13">
        <v>0.59319999999999995</v>
      </c>
      <c r="O205" s="13">
        <v>0.78569999999999995</v>
      </c>
      <c r="P205" s="13">
        <v>0.08</v>
      </c>
      <c r="Q205" s="13">
        <v>23.36</v>
      </c>
      <c r="R205" s="13">
        <v>191</v>
      </c>
      <c r="S205" s="13">
        <v>113.29</v>
      </c>
      <c r="T205" s="13"/>
      <c r="U205" s="13"/>
    </row>
    <row r="206" spans="1:21" x14ac:dyDescent="0.25">
      <c r="A206" s="65" t="s">
        <v>222</v>
      </c>
      <c r="B206" s="13" t="s">
        <v>13</v>
      </c>
      <c r="C206" s="39" t="s">
        <v>15</v>
      </c>
      <c r="D206" s="40">
        <v>44244</v>
      </c>
      <c r="E206" s="18" t="s">
        <v>23</v>
      </c>
      <c r="F206" s="18"/>
      <c r="G206" s="13"/>
      <c r="H206" s="40">
        <v>44251</v>
      </c>
      <c r="I206" s="42" t="s">
        <v>89</v>
      </c>
      <c r="J206" s="43"/>
      <c r="K206" s="44">
        <v>48</v>
      </c>
      <c r="L206" s="44"/>
      <c r="M206" s="44"/>
      <c r="N206" s="47"/>
      <c r="O206" s="46"/>
      <c r="P206" s="46"/>
      <c r="Q206" s="47"/>
      <c r="R206" s="44"/>
      <c r="S206" s="44">
        <v>34992</v>
      </c>
      <c r="T206" s="13"/>
      <c r="U206" s="13"/>
    </row>
    <row r="207" spans="1:21" x14ac:dyDescent="0.25">
      <c r="A207" s="65" t="s">
        <v>223</v>
      </c>
      <c r="B207" s="13" t="s">
        <v>13</v>
      </c>
      <c r="C207" s="39" t="s">
        <v>894</v>
      </c>
      <c r="D207" s="40">
        <v>44244</v>
      </c>
      <c r="E207" s="18" t="s">
        <v>23</v>
      </c>
      <c r="F207" s="18"/>
      <c r="G207" s="13"/>
      <c r="H207" s="40">
        <v>44251</v>
      </c>
      <c r="I207" s="42" t="s">
        <v>77</v>
      </c>
      <c r="J207" s="43"/>
      <c r="K207" s="44">
        <v>1</v>
      </c>
      <c r="L207" s="44"/>
      <c r="M207" s="44"/>
      <c r="N207" s="47"/>
      <c r="O207" s="46"/>
      <c r="P207" s="46"/>
      <c r="Q207" s="47"/>
      <c r="R207" s="44"/>
      <c r="S207" s="44">
        <v>5800</v>
      </c>
      <c r="T207" s="13"/>
      <c r="U207" s="13"/>
    </row>
    <row r="208" spans="1:21" x14ac:dyDescent="0.25">
      <c r="A208" s="16">
        <v>92</v>
      </c>
      <c r="B208" s="13" t="s">
        <v>34</v>
      </c>
      <c r="C208" s="16" t="s">
        <v>893</v>
      </c>
      <c r="D208" s="29">
        <v>44245</v>
      </c>
      <c r="E208" s="18" t="s">
        <v>23</v>
      </c>
      <c r="F208" s="18"/>
      <c r="G208" s="13"/>
      <c r="H208" s="29">
        <v>44252</v>
      </c>
      <c r="I208" s="13" t="s">
        <v>639</v>
      </c>
      <c r="J208" s="13">
        <v>330</v>
      </c>
      <c r="K208" s="13" t="s">
        <v>47</v>
      </c>
      <c r="L208" s="13">
        <v>0.35859999999999997</v>
      </c>
      <c r="M208" s="13">
        <v>1.518</v>
      </c>
      <c r="N208" s="13">
        <v>118.33799999999999</v>
      </c>
      <c r="O208" s="13">
        <v>500.94</v>
      </c>
      <c r="P208" s="13">
        <v>15.38</v>
      </c>
      <c r="Q208" s="13">
        <v>94.31</v>
      </c>
      <c r="R208" s="13">
        <v>263</v>
      </c>
      <c r="S208" s="13">
        <v>31122.89</v>
      </c>
      <c r="T208" s="13"/>
      <c r="U208" s="13"/>
    </row>
    <row r="209" spans="1:21" x14ac:dyDescent="0.25">
      <c r="A209" s="16" t="s">
        <v>895</v>
      </c>
      <c r="B209" s="13" t="s">
        <v>13</v>
      </c>
      <c r="C209" s="22" t="s">
        <v>799</v>
      </c>
      <c r="D209" s="29">
        <v>44245</v>
      </c>
      <c r="E209" s="18" t="s">
        <v>23</v>
      </c>
      <c r="F209" s="18"/>
      <c r="G209" s="13"/>
      <c r="H209" s="29">
        <v>44252</v>
      </c>
      <c r="I209" s="13" t="s">
        <v>896</v>
      </c>
      <c r="J209" s="13"/>
      <c r="K209" s="13">
        <v>600</v>
      </c>
      <c r="L209" s="13"/>
      <c r="M209" s="13"/>
      <c r="N209" s="13"/>
      <c r="O209" s="13"/>
      <c r="P209" s="13"/>
      <c r="Q209" s="13">
        <v>33.33</v>
      </c>
      <c r="R209" s="13"/>
      <c r="S209" s="13">
        <v>20000</v>
      </c>
      <c r="T209" s="13"/>
      <c r="U209" s="13"/>
    </row>
    <row r="210" spans="1:21" x14ac:dyDescent="0.25">
      <c r="A210" s="65" t="s">
        <v>225</v>
      </c>
      <c r="B210" s="13" t="s">
        <v>13</v>
      </c>
      <c r="C210" s="39" t="s">
        <v>15</v>
      </c>
      <c r="D210" s="40">
        <v>44246</v>
      </c>
      <c r="E210" s="18" t="s">
        <v>23</v>
      </c>
      <c r="F210" s="18"/>
      <c r="G210" s="13"/>
      <c r="H210" s="40">
        <v>44251</v>
      </c>
      <c r="I210" s="42" t="s">
        <v>89</v>
      </c>
      <c r="J210" s="43"/>
      <c r="K210" s="44">
        <v>48</v>
      </c>
      <c r="L210" s="44"/>
      <c r="M210" s="44"/>
      <c r="N210" s="47"/>
      <c r="O210" s="46"/>
      <c r="P210" s="46"/>
      <c r="Q210" s="47"/>
      <c r="R210" s="44"/>
      <c r="S210" s="44">
        <v>34992</v>
      </c>
      <c r="T210" s="13"/>
      <c r="U210" s="13"/>
    </row>
    <row r="211" spans="1:21" x14ac:dyDescent="0.25">
      <c r="A211" s="16" t="s">
        <v>227</v>
      </c>
      <c r="B211" s="13" t="s">
        <v>13</v>
      </c>
      <c r="C211" s="16" t="s">
        <v>548</v>
      </c>
      <c r="D211" s="29">
        <v>44247</v>
      </c>
      <c r="E211" s="18" t="s">
        <v>23</v>
      </c>
      <c r="F211" s="18"/>
      <c r="G211" s="13"/>
      <c r="H211" s="29">
        <v>44252</v>
      </c>
      <c r="I211" s="13" t="s">
        <v>904</v>
      </c>
      <c r="J211" s="13" t="s">
        <v>929</v>
      </c>
      <c r="K211" s="13"/>
      <c r="L211" s="13"/>
      <c r="M211" s="13"/>
      <c r="N211" s="13"/>
      <c r="O211" s="13"/>
      <c r="P211" s="13"/>
      <c r="Q211" s="13" t="s">
        <v>932</v>
      </c>
      <c r="R211" s="13"/>
      <c r="S211" s="13" t="s">
        <v>936</v>
      </c>
      <c r="T211" s="13"/>
      <c r="U211" s="13"/>
    </row>
    <row r="212" spans="1:21" x14ac:dyDescent="0.25">
      <c r="A212" s="16" t="s">
        <v>227</v>
      </c>
      <c r="B212" s="13" t="s">
        <v>13</v>
      </c>
      <c r="C212" s="16" t="s">
        <v>548</v>
      </c>
      <c r="D212" s="29">
        <v>44247</v>
      </c>
      <c r="E212" s="18" t="s">
        <v>23</v>
      </c>
      <c r="F212" s="18"/>
      <c r="G212" s="13" t="s">
        <v>1101</v>
      </c>
      <c r="H212" s="29">
        <v>44252</v>
      </c>
      <c r="I212" s="13" t="s">
        <v>926</v>
      </c>
      <c r="J212" s="13" t="s">
        <v>930</v>
      </c>
      <c r="K212" s="13"/>
      <c r="L212" s="13"/>
      <c r="M212" s="13"/>
      <c r="N212" s="13"/>
      <c r="O212" s="13"/>
      <c r="P212" s="13"/>
      <c r="Q212" s="13" t="s">
        <v>933</v>
      </c>
      <c r="R212" s="13"/>
      <c r="S212" s="13" t="s">
        <v>937</v>
      </c>
      <c r="T212" s="13"/>
      <c r="U212" s="13"/>
    </row>
    <row r="213" spans="1:21" x14ac:dyDescent="0.25">
      <c r="A213" s="16" t="s">
        <v>227</v>
      </c>
      <c r="B213" s="13" t="s">
        <v>13</v>
      </c>
      <c r="C213" s="16" t="s">
        <v>548</v>
      </c>
      <c r="D213" s="29">
        <v>44247</v>
      </c>
      <c r="E213" s="18" t="s">
        <v>23</v>
      </c>
      <c r="F213" s="18"/>
      <c r="G213" s="13" t="s">
        <v>1322</v>
      </c>
      <c r="H213" s="29">
        <v>44252</v>
      </c>
      <c r="I213" s="13" t="s">
        <v>927</v>
      </c>
      <c r="J213" s="13" t="s">
        <v>931</v>
      </c>
      <c r="K213" s="13"/>
      <c r="L213" s="13"/>
      <c r="M213" s="13"/>
      <c r="N213" s="13"/>
      <c r="O213" s="13"/>
      <c r="P213" s="13"/>
      <c r="Q213" s="13" t="s">
        <v>934</v>
      </c>
      <c r="R213" s="13"/>
      <c r="S213" s="13" t="s">
        <v>938</v>
      </c>
      <c r="T213" s="13"/>
      <c r="U213" s="13"/>
    </row>
    <row r="214" spans="1:21" x14ac:dyDescent="0.25">
      <c r="A214" s="16" t="s">
        <v>227</v>
      </c>
      <c r="B214" s="13" t="s">
        <v>13</v>
      </c>
      <c r="C214" s="16" t="s">
        <v>548</v>
      </c>
      <c r="D214" s="29">
        <v>44247</v>
      </c>
      <c r="E214" s="18" t="s">
        <v>23</v>
      </c>
      <c r="F214" s="18"/>
      <c r="G214" s="13" t="s">
        <v>1173</v>
      </c>
      <c r="H214" s="29">
        <v>44252</v>
      </c>
      <c r="I214" s="13" t="s">
        <v>928</v>
      </c>
      <c r="J214" s="13" t="s">
        <v>660</v>
      </c>
      <c r="K214" s="13"/>
      <c r="L214" s="13"/>
      <c r="M214" s="13"/>
      <c r="N214" s="13"/>
      <c r="O214" s="13"/>
      <c r="P214" s="13"/>
      <c r="Q214" s="13" t="s">
        <v>935</v>
      </c>
      <c r="R214" s="13"/>
      <c r="S214" s="13" t="s">
        <v>939</v>
      </c>
      <c r="T214" s="13"/>
      <c r="U214" s="13"/>
    </row>
    <row r="215" spans="1:21" x14ac:dyDescent="0.25">
      <c r="A215" s="16" t="s">
        <v>224</v>
      </c>
      <c r="B215" s="13" t="s">
        <v>13</v>
      </c>
      <c r="C215" s="16" t="s">
        <v>30</v>
      </c>
      <c r="D215" s="29">
        <v>44247</v>
      </c>
      <c r="E215" s="18" t="s">
        <v>23</v>
      </c>
      <c r="F215" s="18"/>
      <c r="G215" s="13"/>
      <c r="H215" s="29">
        <v>44252</v>
      </c>
      <c r="I215" s="13" t="s">
        <v>214</v>
      </c>
      <c r="J215" s="13"/>
      <c r="K215" s="13" t="s">
        <v>125</v>
      </c>
      <c r="L215" s="13"/>
      <c r="M215" s="13"/>
      <c r="N215" s="13"/>
      <c r="O215" s="13"/>
      <c r="P215" s="13"/>
      <c r="Q215" s="13"/>
      <c r="R215" s="13"/>
      <c r="S215" s="13" t="s">
        <v>940</v>
      </c>
      <c r="T215" s="13"/>
      <c r="U215" s="13"/>
    </row>
    <row r="216" spans="1:21" x14ac:dyDescent="0.25">
      <c r="A216" s="16" t="s">
        <v>224</v>
      </c>
      <c r="B216" s="13" t="s">
        <v>13</v>
      </c>
      <c r="C216" s="16" t="s">
        <v>30</v>
      </c>
      <c r="D216" s="29">
        <v>44247</v>
      </c>
      <c r="E216" s="18" t="s">
        <v>23</v>
      </c>
      <c r="F216" s="18"/>
      <c r="G216" s="13"/>
      <c r="H216" s="29">
        <v>44252</v>
      </c>
      <c r="I216" s="13" t="s">
        <v>215</v>
      </c>
      <c r="J216" s="13"/>
      <c r="K216" s="13" t="s">
        <v>125</v>
      </c>
      <c r="L216" s="13"/>
      <c r="M216" s="13"/>
      <c r="N216" s="13"/>
      <c r="O216" s="13"/>
      <c r="P216" s="13"/>
      <c r="Q216" s="13"/>
      <c r="R216" s="13"/>
      <c r="S216" s="13" t="s">
        <v>511</v>
      </c>
      <c r="T216" s="13"/>
      <c r="U216" s="13"/>
    </row>
    <row r="217" spans="1:21" x14ac:dyDescent="0.25">
      <c r="A217" s="16" t="s">
        <v>224</v>
      </c>
      <c r="B217" s="13" t="s">
        <v>13</v>
      </c>
      <c r="C217" s="16" t="s">
        <v>30</v>
      </c>
      <c r="D217" s="29">
        <v>44247</v>
      </c>
      <c r="E217" s="18" t="s">
        <v>23</v>
      </c>
      <c r="F217" s="18"/>
      <c r="G217" s="13"/>
      <c r="H217" s="29">
        <v>44252</v>
      </c>
      <c r="I217" s="13" t="s">
        <v>216</v>
      </c>
      <c r="J217" s="13"/>
      <c r="K217" s="13" t="s">
        <v>125</v>
      </c>
      <c r="L217" s="13"/>
      <c r="M217" s="13"/>
      <c r="N217" s="13"/>
      <c r="O217" s="13"/>
      <c r="P217" s="13"/>
      <c r="Q217" s="13"/>
      <c r="R217" s="13"/>
      <c r="S217" s="13" t="s">
        <v>453</v>
      </c>
      <c r="T217" s="13"/>
      <c r="U217" s="13"/>
    </row>
    <row r="218" spans="1:21" x14ac:dyDescent="0.25">
      <c r="A218" s="16" t="s">
        <v>224</v>
      </c>
      <c r="B218" s="13" t="s">
        <v>13</v>
      </c>
      <c r="C218" s="16" t="s">
        <v>30</v>
      </c>
      <c r="D218" s="29">
        <v>44247</v>
      </c>
      <c r="E218" s="18" t="s">
        <v>23</v>
      </c>
      <c r="F218" s="18"/>
      <c r="G218" s="13"/>
      <c r="H218" s="29">
        <v>44252</v>
      </c>
      <c r="I218" s="13" t="s">
        <v>219</v>
      </c>
      <c r="J218" s="13"/>
      <c r="K218" s="13" t="s">
        <v>125</v>
      </c>
      <c r="L218" s="13"/>
      <c r="M218" s="13"/>
      <c r="N218" s="13"/>
      <c r="O218" s="13"/>
      <c r="P218" s="13"/>
      <c r="Q218" s="13"/>
      <c r="R218" s="13"/>
      <c r="S218" s="13" t="s">
        <v>453</v>
      </c>
      <c r="T218" s="13"/>
      <c r="U218" s="13"/>
    </row>
    <row r="219" spans="1:21" x14ac:dyDescent="0.25">
      <c r="A219" s="16" t="s">
        <v>224</v>
      </c>
      <c r="B219" s="13" t="s">
        <v>13</v>
      </c>
      <c r="C219" s="16" t="s">
        <v>30</v>
      </c>
      <c r="D219" s="29">
        <v>44247</v>
      </c>
      <c r="E219" s="18" t="s">
        <v>23</v>
      </c>
      <c r="F219" s="18"/>
      <c r="G219" s="13"/>
      <c r="H219" s="29">
        <v>44252</v>
      </c>
      <c r="I219" s="13" t="s">
        <v>220</v>
      </c>
      <c r="J219" s="13"/>
      <c r="K219" s="13" t="s">
        <v>125</v>
      </c>
      <c r="L219" s="13"/>
      <c r="M219" s="13"/>
      <c r="N219" s="13"/>
      <c r="O219" s="13"/>
      <c r="P219" s="13"/>
      <c r="Q219" s="13"/>
      <c r="R219" s="13"/>
      <c r="S219" s="13" t="s">
        <v>941</v>
      </c>
      <c r="T219" s="13"/>
      <c r="U219" s="13"/>
    </row>
    <row r="220" spans="1:21" x14ac:dyDescent="0.25">
      <c r="A220" s="16" t="s">
        <v>224</v>
      </c>
      <c r="B220" s="13" t="s">
        <v>13</v>
      </c>
      <c r="C220" s="16" t="s">
        <v>30</v>
      </c>
      <c r="D220" s="29">
        <v>44247</v>
      </c>
      <c r="E220" s="18" t="s">
        <v>23</v>
      </c>
      <c r="F220" s="18"/>
      <c r="G220" s="13"/>
      <c r="H220" s="29">
        <v>44252</v>
      </c>
      <c r="I220" s="13" t="s">
        <v>710</v>
      </c>
      <c r="J220" s="13"/>
      <c r="K220" s="13" t="s">
        <v>318</v>
      </c>
      <c r="L220" s="13"/>
      <c r="M220" s="13"/>
      <c r="N220" s="13"/>
      <c r="O220" s="13"/>
      <c r="P220" s="13"/>
      <c r="Q220" s="13"/>
      <c r="R220" s="13"/>
      <c r="S220" s="13" t="s">
        <v>598</v>
      </c>
      <c r="T220" s="13"/>
      <c r="U220" s="13"/>
    </row>
    <row r="221" spans="1:21" x14ac:dyDescent="0.25">
      <c r="A221" s="16" t="s">
        <v>224</v>
      </c>
      <c r="B221" s="13" t="s">
        <v>13</v>
      </c>
      <c r="C221" s="16" t="s">
        <v>30</v>
      </c>
      <c r="D221" s="29">
        <v>44247</v>
      </c>
      <c r="E221" s="18" t="s">
        <v>23</v>
      </c>
      <c r="F221" s="18"/>
      <c r="G221" s="13"/>
      <c r="H221" s="29">
        <v>44252</v>
      </c>
      <c r="I221" s="13" t="s">
        <v>711</v>
      </c>
      <c r="J221" s="13"/>
      <c r="K221" s="13" t="s">
        <v>318</v>
      </c>
      <c r="L221" s="13"/>
      <c r="M221" s="13"/>
      <c r="N221" s="13"/>
      <c r="O221" s="13"/>
      <c r="P221" s="13"/>
      <c r="Q221" s="13"/>
      <c r="R221" s="13"/>
      <c r="S221" s="13" t="s">
        <v>598</v>
      </c>
      <c r="T221" s="13"/>
      <c r="U221" s="13"/>
    </row>
    <row r="222" spans="1:21" x14ac:dyDescent="0.25">
      <c r="A222" s="16" t="s">
        <v>224</v>
      </c>
      <c r="B222" s="13" t="s">
        <v>13</v>
      </c>
      <c r="C222" s="16" t="s">
        <v>30</v>
      </c>
      <c r="D222" s="29">
        <v>44247</v>
      </c>
      <c r="E222" s="18" t="s">
        <v>23</v>
      </c>
      <c r="F222" s="18"/>
      <c r="G222" s="13"/>
      <c r="H222" s="29">
        <v>44252</v>
      </c>
      <c r="I222" s="13" t="s">
        <v>712</v>
      </c>
      <c r="J222" s="13"/>
      <c r="K222" s="13" t="s">
        <v>318</v>
      </c>
      <c r="L222" s="13"/>
      <c r="M222" s="13"/>
      <c r="N222" s="13"/>
      <c r="O222" s="13"/>
      <c r="P222" s="13"/>
      <c r="Q222" s="13"/>
      <c r="R222" s="13"/>
      <c r="S222" s="13" t="s">
        <v>798</v>
      </c>
      <c r="T222" s="13"/>
      <c r="U222" s="13"/>
    </row>
    <row r="223" spans="1:21" x14ac:dyDescent="0.25">
      <c r="A223" s="16" t="s">
        <v>224</v>
      </c>
      <c r="B223" s="13" t="s">
        <v>13</v>
      </c>
      <c r="C223" s="16" t="s">
        <v>30</v>
      </c>
      <c r="D223" s="29">
        <v>44247</v>
      </c>
      <c r="E223" s="18" t="s">
        <v>23</v>
      </c>
      <c r="F223" s="18"/>
      <c r="G223" s="13"/>
      <c r="H223" s="29">
        <v>44252</v>
      </c>
      <c r="I223" s="13" t="s">
        <v>870</v>
      </c>
      <c r="J223" s="13"/>
      <c r="K223" s="13" t="s">
        <v>318</v>
      </c>
      <c r="L223" s="13"/>
      <c r="M223" s="13"/>
      <c r="N223" s="13"/>
      <c r="O223" s="13"/>
      <c r="P223" s="13"/>
      <c r="Q223" s="13"/>
      <c r="R223" s="13"/>
      <c r="S223" s="13" t="s">
        <v>798</v>
      </c>
      <c r="T223" s="13"/>
      <c r="U223" s="13"/>
    </row>
    <row r="224" spans="1:21" x14ac:dyDescent="0.25">
      <c r="A224" s="16" t="s">
        <v>224</v>
      </c>
      <c r="B224" s="13" t="s">
        <v>13</v>
      </c>
      <c r="C224" s="16" t="s">
        <v>30</v>
      </c>
      <c r="D224" s="29">
        <v>44247</v>
      </c>
      <c r="E224" s="18" t="s">
        <v>23</v>
      </c>
      <c r="F224" s="18"/>
      <c r="G224" s="13"/>
      <c r="H224" s="29">
        <v>44252</v>
      </c>
      <c r="I224" s="13" t="s">
        <v>713</v>
      </c>
      <c r="J224" s="13"/>
      <c r="K224" s="13" t="s">
        <v>125</v>
      </c>
      <c r="L224" s="13"/>
      <c r="M224" s="13"/>
      <c r="N224" s="13"/>
      <c r="O224" s="13"/>
      <c r="P224" s="13"/>
      <c r="Q224" s="13"/>
      <c r="R224" s="13"/>
      <c r="S224" s="13" t="s">
        <v>874</v>
      </c>
      <c r="T224" s="13"/>
      <c r="U224" s="13"/>
    </row>
    <row r="225" spans="1:21" x14ac:dyDescent="0.25">
      <c r="A225" s="16" t="s">
        <v>224</v>
      </c>
      <c r="B225" s="13" t="s">
        <v>13</v>
      </c>
      <c r="C225" s="16" t="s">
        <v>30</v>
      </c>
      <c r="D225" s="29">
        <v>44247</v>
      </c>
      <c r="E225" s="18" t="s">
        <v>23</v>
      </c>
      <c r="F225" s="18"/>
      <c r="G225" s="13"/>
      <c r="H225" s="29">
        <v>44252</v>
      </c>
      <c r="I225" s="13" t="s">
        <v>714</v>
      </c>
      <c r="J225" s="13"/>
      <c r="K225" s="13" t="s">
        <v>318</v>
      </c>
      <c r="L225" s="13"/>
      <c r="M225" s="13"/>
      <c r="N225" s="13"/>
      <c r="O225" s="13"/>
      <c r="P225" s="13"/>
      <c r="Q225" s="13"/>
      <c r="R225" s="13"/>
      <c r="S225" s="13" t="s">
        <v>333</v>
      </c>
      <c r="T225" s="13"/>
      <c r="U225" s="13"/>
    </row>
    <row r="226" spans="1:21" x14ac:dyDescent="0.25">
      <c r="A226" s="16" t="s">
        <v>224</v>
      </c>
      <c r="B226" s="13" t="s">
        <v>13</v>
      </c>
      <c r="C226" s="16" t="s">
        <v>30</v>
      </c>
      <c r="D226" s="29">
        <v>44247</v>
      </c>
      <c r="E226" s="18" t="s">
        <v>23</v>
      </c>
      <c r="F226" s="18"/>
      <c r="G226" s="13"/>
      <c r="H226" s="29">
        <v>44252</v>
      </c>
      <c r="I226" s="13" t="s">
        <v>715</v>
      </c>
      <c r="J226" s="13"/>
      <c r="K226" s="13" t="s">
        <v>318</v>
      </c>
      <c r="L226" s="13"/>
      <c r="M226" s="13"/>
      <c r="N226" s="13"/>
      <c r="O226" s="13"/>
      <c r="P226" s="13"/>
      <c r="Q226" s="13" t="s">
        <v>17</v>
      </c>
      <c r="R226" s="13"/>
      <c r="S226" s="13" t="s">
        <v>333</v>
      </c>
      <c r="T226" s="13"/>
      <c r="U226" s="13"/>
    </row>
    <row r="227" spans="1:21" x14ac:dyDescent="0.25">
      <c r="A227" s="16" t="s">
        <v>224</v>
      </c>
      <c r="B227" s="13" t="s">
        <v>13</v>
      </c>
      <c r="C227" s="16" t="s">
        <v>30</v>
      </c>
      <c r="D227" s="29">
        <v>44247</v>
      </c>
      <c r="E227" s="18" t="s">
        <v>23</v>
      </c>
      <c r="F227" s="18"/>
      <c r="G227" s="13"/>
      <c r="H227" s="29">
        <v>44252</v>
      </c>
      <c r="I227" s="13" t="s">
        <v>716</v>
      </c>
      <c r="J227" s="13"/>
      <c r="K227" s="13" t="s">
        <v>318</v>
      </c>
      <c r="L227" s="13"/>
      <c r="M227" s="13"/>
      <c r="N227" s="13"/>
      <c r="O227" s="13"/>
      <c r="P227" s="13"/>
      <c r="Q227" s="13"/>
      <c r="R227" s="13"/>
      <c r="S227" s="13" t="s">
        <v>875</v>
      </c>
      <c r="T227" s="13"/>
      <c r="U227" s="13"/>
    </row>
    <row r="228" spans="1:21" x14ac:dyDescent="0.25">
      <c r="A228" s="16" t="s">
        <v>224</v>
      </c>
      <c r="B228" s="13" t="s">
        <v>13</v>
      </c>
      <c r="C228" s="16" t="s">
        <v>30</v>
      </c>
      <c r="D228" s="29">
        <v>44247</v>
      </c>
      <c r="E228" s="18" t="s">
        <v>23</v>
      </c>
      <c r="F228" s="18"/>
      <c r="G228" s="13"/>
      <c r="H228" s="29">
        <v>44252</v>
      </c>
      <c r="I228" s="13" t="s">
        <v>717</v>
      </c>
      <c r="J228" s="13"/>
      <c r="K228" s="13" t="s">
        <v>318</v>
      </c>
      <c r="L228" s="13"/>
      <c r="M228" s="13"/>
      <c r="N228" s="13"/>
      <c r="O228" s="13"/>
      <c r="P228" s="13"/>
      <c r="Q228" s="13"/>
      <c r="R228" s="13"/>
      <c r="S228" s="13" t="s">
        <v>942</v>
      </c>
      <c r="T228" s="13"/>
      <c r="U228" s="13"/>
    </row>
    <row r="229" spans="1:21" x14ac:dyDescent="0.25">
      <c r="A229" s="16" t="s">
        <v>224</v>
      </c>
      <c r="B229" s="13" t="s">
        <v>13</v>
      </c>
      <c r="C229" s="16" t="s">
        <v>30</v>
      </c>
      <c r="D229" s="29">
        <v>44247</v>
      </c>
      <c r="E229" s="18" t="s">
        <v>23</v>
      </c>
      <c r="F229" s="18"/>
      <c r="G229" s="13"/>
      <c r="H229" s="29">
        <v>44252</v>
      </c>
      <c r="I229" s="13" t="s">
        <v>871</v>
      </c>
      <c r="J229" s="13"/>
      <c r="K229" s="13" t="s">
        <v>213</v>
      </c>
      <c r="L229" s="13"/>
      <c r="M229" s="13"/>
      <c r="N229" s="13"/>
      <c r="O229" s="13"/>
      <c r="P229" s="13"/>
      <c r="Q229" s="13"/>
      <c r="R229" s="13"/>
      <c r="S229" s="13" t="s">
        <v>943</v>
      </c>
      <c r="T229" s="13"/>
      <c r="U229" s="13"/>
    </row>
    <row r="230" spans="1:21" x14ac:dyDescent="0.25">
      <c r="A230" s="16" t="s">
        <v>224</v>
      </c>
      <c r="B230" s="13" t="s">
        <v>13</v>
      </c>
      <c r="C230" s="16" t="s">
        <v>30</v>
      </c>
      <c r="D230" s="29">
        <v>44247</v>
      </c>
      <c r="E230" s="18" t="s">
        <v>23</v>
      </c>
      <c r="F230" s="18"/>
      <c r="G230" s="13"/>
      <c r="H230" s="29">
        <v>44252</v>
      </c>
      <c r="I230" s="13" t="s">
        <v>872</v>
      </c>
      <c r="J230" s="13"/>
      <c r="K230" s="13" t="s">
        <v>318</v>
      </c>
      <c r="L230" s="13"/>
      <c r="M230" s="13"/>
      <c r="N230" s="13"/>
      <c r="O230" s="13"/>
      <c r="P230" s="13"/>
      <c r="Q230" s="13"/>
      <c r="R230" s="13"/>
      <c r="S230" s="13" t="s">
        <v>107</v>
      </c>
      <c r="T230" s="13"/>
      <c r="U230" s="13"/>
    </row>
    <row r="231" spans="1:21" x14ac:dyDescent="0.25">
      <c r="A231" s="16">
        <v>98</v>
      </c>
      <c r="B231" s="13" t="s">
        <v>13</v>
      </c>
      <c r="C231" s="16" t="s">
        <v>625</v>
      </c>
      <c r="D231" s="29">
        <v>44251</v>
      </c>
      <c r="E231" s="18" t="s">
        <v>23</v>
      </c>
      <c r="F231" s="18"/>
      <c r="G231" s="13"/>
      <c r="H231" s="29">
        <v>44258</v>
      </c>
      <c r="I231" s="13" t="s">
        <v>681</v>
      </c>
      <c r="J231" s="13">
        <v>1029.3</v>
      </c>
      <c r="K231" s="13" t="s">
        <v>944</v>
      </c>
      <c r="L231" s="13">
        <v>0.34789999999999999</v>
      </c>
      <c r="M231" s="13">
        <v>1.643</v>
      </c>
      <c r="N231" s="13">
        <v>358.09350000000001</v>
      </c>
      <c r="O231" s="13">
        <v>1691.1398999999999</v>
      </c>
      <c r="P231" s="13">
        <v>46.55</v>
      </c>
      <c r="Q231" s="13">
        <v>66.099999999999994</v>
      </c>
      <c r="R231" s="13">
        <v>190</v>
      </c>
      <c r="S231" s="13">
        <v>68037.759999999995</v>
      </c>
      <c r="T231" s="13"/>
      <c r="U231" s="13"/>
    </row>
    <row r="232" spans="1:21" x14ac:dyDescent="0.25">
      <c r="A232" s="16" t="s">
        <v>972</v>
      </c>
      <c r="B232" s="13" t="s">
        <v>13</v>
      </c>
      <c r="C232" s="16" t="s">
        <v>295</v>
      </c>
      <c r="D232" s="29">
        <v>44251</v>
      </c>
      <c r="E232" s="18" t="s">
        <v>23</v>
      </c>
      <c r="F232" s="18"/>
      <c r="G232" s="13"/>
      <c r="H232" s="29">
        <v>44258</v>
      </c>
      <c r="I232" s="13" t="s">
        <v>973</v>
      </c>
      <c r="J232" s="13">
        <v>3420</v>
      </c>
      <c r="K232" s="13"/>
      <c r="L232" s="13"/>
      <c r="M232" s="13"/>
      <c r="N232" s="13"/>
      <c r="O232" s="13"/>
      <c r="P232" s="13"/>
      <c r="Q232" s="13" t="s">
        <v>974</v>
      </c>
      <c r="R232" s="13"/>
      <c r="S232" s="13">
        <v>106800</v>
      </c>
      <c r="T232" s="13"/>
      <c r="U232" s="13"/>
    </row>
    <row r="233" spans="1:21" x14ac:dyDescent="0.25">
      <c r="A233" s="16" t="s">
        <v>229</v>
      </c>
      <c r="B233" s="13" t="s">
        <v>13</v>
      </c>
      <c r="C233" s="16" t="s">
        <v>583</v>
      </c>
      <c r="D233" s="29">
        <v>44251</v>
      </c>
      <c r="E233" s="18" t="s">
        <v>23</v>
      </c>
      <c r="F233" s="18"/>
      <c r="G233" s="13"/>
      <c r="H233" s="29">
        <v>44230</v>
      </c>
      <c r="I233" s="42" t="s">
        <v>89</v>
      </c>
      <c r="J233" s="13"/>
      <c r="K233" s="13">
        <v>48</v>
      </c>
      <c r="L233" s="13"/>
      <c r="M233" s="13"/>
      <c r="N233" s="13"/>
      <c r="O233" s="13"/>
      <c r="P233" s="13"/>
      <c r="Q233" s="13"/>
      <c r="R233" s="13"/>
      <c r="S233" s="13">
        <v>34992</v>
      </c>
      <c r="T233" s="13"/>
      <c r="U233" s="13"/>
    </row>
    <row r="234" spans="1:21" x14ac:dyDescent="0.25">
      <c r="A234" s="16" t="s">
        <v>232</v>
      </c>
      <c r="B234" s="13" t="s">
        <v>13</v>
      </c>
      <c r="C234" s="16" t="s">
        <v>945</v>
      </c>
      <c r="D234" s="29">
        <v>44252</v>
      </c>
      <c r="E234" s="18" t="s">
        <v>23</v>
      </c>
      <c r="F234" s="18"/>
      <c r="G234" s="13"/>
      <c r="H234" s="29">
        <v>44265</v>
      </c>
      <c r="I234" s="13" t="s">
        <v>946</v>
      </c>
      <c r="J234" s="13"/>
      <c r="K234" s="13" t="s">
        <v>561</v>
      </c>
      <c r="L234" s="13"/>
      <c r="M234" s="13"/>
      <c r="N234" s="13"/>
      <c r="O234" s="13"/>
      <c r="P234" s="13"/>
      <c r="Q234" s="13" t="s">
        <v>956</v>
      </c>
      <c r="R234" s="13"/>
      <c r="S234" s="13" t="s">
        <v>963</v>
      </c>
      <c r="T234" s="13"/>
      <c r="U234" s="13"/>
    </row>
    <row r="235" spans="1:21" x14ac:dyDescent="0.25">
      <c r="A235" s="16" t="s">
        <v>232</v>
      </c>
      <c r="B235" s="13" t="s">
        <v>13</v>
      </c>
      <c r="C235" s="16" t="s">
        <v>945</v>
      </c>
      <c r="D235" s="29">
        <v>44252</v>
      </c>
      <c r="E235" s="18" t="s">
        <v>23</v>
      </c>
      <c r="F235" s="18"/>
      <c r="G235" s="13"/>
      <c r="H235" s="29">
        <v>44265</v>
      </c>
      <c r="I235" s="13" t="s">
        <v>947</v>
      </c>
      <c r="J235" s="13"/>
      <c r="K235" s="13" t="s">
        <v>884</v>
      </c>
      <c r="L235" s="13"/>
      <c r="M235" s="13"/>
      <c r="N235" s="13"/>
      <c r="O235" s="13"/>
      <c r="P235" s="13"/>
      <c r="Q235" s="13" t="s">
        <v>766</v>
      </c>
      <c r="R235" s="13"/>
      <c r="S235" s="13" t="s">
        <v>964</v>
      </c>
      <c r="T235" s="13"/>
      <c r="U235" s="13"/>
    </row>
    <row r="236" spans="1:21" x14ac:dyDescent="0.25">
      <c r="A236" s="16" t="s">
        <v>232</v>
      </c>
      <c r="B236" s="13" t="s">
        <v>13</v>
      </c>
      <c r="C236" s="16" t="s">
        <v>945</v>
      </c>
      <c r="D236" s="29">
        <v>44252</v>
      </c>
      <c r="E236" s="18" t="s">
        <v>23</v>
      </c>
      <c r="F236" s="18"/>
      <c r="G236" s="13"/>
      <c r="H236" s="29">
        <v>44265</v>
      </c>
      <c r="I236" s="13" t="s">
        <v>948</v>
      </c>
      <c r="J236" s="13"/>
      <c r="K236" s="13" t="s">
        <v>613</v>
      </c>
      <c r="L236" s="13"/>
      <c r="M236" s="13"/>
      <c r="N236" s="13"/>
      <c r="O236" s="13"/>
      <c r="P236" s="13"/>
      <c r="Q236" s="13" t="s">
        <v>957</v>
      </c>
      <c r="R236" s="13"/>
      <c r="S236" s="13" t="s">
        <v>965</v>
      </c>
      <c r="T236" s="13"/>
      <c r="U236" s="13"/>
    </row>
    <row r="237" spans="1:21" x14ac:dyDescent="0.25">
      <c r="A237" s="16" t="s">
        <v>232</v>
      </c>
      <c r="B237" s="13" t="s">
        <v>13</v>
      </c>
      <c r="C237" s="16" t="s">
        <v>945</v>
      </c>
      <c r="D237" s="29">
        <v>44252</v>
      </c>
      <c r="E237" s="18" t="s">
        <v>23</v>
      </c>
      <c r="F237" s="18"/>
      <c r="G237" s="13"/>
      <c r="H237" s="29">
        <v>44265</v>
      </c>
      <c r="I237" s="13" t="s">
        <v>949</v>
      </c>
      <c r="J237" s="13"/>
      <c r="K237" s="13" t="s">
        <v>613</v>
      </c>
      <c r="L237" s="13"/>
      <c r="M237" s="13"/>
      <c r="N237" s="13"/>
      <c r="O237" s="13"/>
      <c r="P237" s="13"/>
      <c r="Q237" s="13" t="s">
        <v>958</v>
      </c>
      <c r="R237" s="13"/>
      <c r="S237" s="13" t="s">
        <v>510</v>
      </c>
      <c r="T237" s="13"/>
      <c r="U237" s="13"/>
    </row>
    <row r="238" spans="1:21" x14ac:dyDescent="0.25">
      <c r="A238" s="16" t="s">
        <v>232</v>
      </c>
      <c r="B238" s="13" t="s">
        <v>13</v>
      </c>
      <c r="C238" s="16" t="s">
        <v>945</v>
      </c>
      <c r="D238" s="29">
        <v>44252</v>
      </c>
      <c r="E238" s="18" t="s">
        <v>23</v>
      </c>
      <c r="F238" s="18"/>
      <c r="G238" s="13"/>
      <c r="H238" s="29">
        <v>44265</v>
      </c>
      <c r="I238" s="13" t="s">
        <v>950</v>
      </c>
      <c r="J238" s="13"/>
      <c r="K238" s="13" t="s">
        <v>561</v>
      </c>
      <c r="L238" s="13"/>
      <c r="M238" s="13"/>
      <c r="N238" s="13"/>
      <c r="O238" s="13"/>
      <c r="P238" s="13"/>
      <c r="Q238" s="13" t="s">
        <v>959</v>
      </c>
      <c r="R238" s="13"/>
      <c r="S238" s="13" t="s">
        <v>966</v>
      </c>
      <c r="T238" s="13"/>
      <c r="U238" s="13"/>
    </row>
    <row r="239" spans="1:21" x14ac:dyDescent="0.25">
      <c r="A239" s="16" t="s">
        <v>232</v>
      </c>
      <c r="B239" s="13" t="s">
        <v>13</v>
      </c>
      <c r="C239" s="16" t="s">
        <v>945</v>
      </c>
      <c r="D239" s="29">
        <v>44252</v>
      </c>
      <c r="E239" s="18" t="s">
        <v>23</v>
      </c>
      <c r="F239" s="18"/>
      <c r="G239" s="13"/>
      <c r="H239" s="29">
        <v>44265</v>
      </c>
      <c r="I239" s="13" t="s">
        <v>951</v>
      </c>
      <c r="J239" s="13"/>
      <c r="K239" s="13" t="s">
        <v>884</v>
      </c>
      <c r="L239" s="13"/>
      <c r="M239" s="13"/>
      <c r="N239" s="13"/>
      <c r="O239" s="13"/>
      <c r="P239" s="13"/>
      <c r="Q239" s="13" t="s">
        <v>959</v>
      </c>
      <c r="R239" s="13"/>
      <c r="S239" s="13" t="s">
        <v>967</v>
      </c>
      <c r="T239" s="13"/>
      <c r="U239" s="13"/>
    </row>
    <row r="240" spans="1:21" x14ac:dyDescent="0.25">
      <c r="A240" s="16" t="s">
        <v>232</v>
      </c>
      <c r="B240" s="13" t="s">
        <v>13</v>
      </c>
      <c r="C240" s="16" t="s">
        <v>945</v>
      </c>
      <c r="D240" s="29">
        <v>44252</v>
      </c>
      <c r="E240" s="18" t="s">
        <v>23</v>
      </c>
      <c r="F240" s="18"/>
      <c r="G240" s="13"/>
      <c r="H240" s="29">
        <v>44265</v>
      </c>
      <c r="I240" s="13" t="s">
        <v>539</v>
      </c>
      <c r="J240" s="13"/>
      <c r="K240" s="13" t="s">
        <v>955</v>
      </c>
      <c r="L240" s="13"/>
      <c r="M240" s="13"/>
      <c r="N240" s="13"/>
      <c r="O240" s="13"/>
      <c r="P240" s="13"/>
      <c r="Q240" s="13" t="s">
        <v>960</v>
      </c>
      <c r="R240" s="13"/>
      <c r="S240" s="13" t="s">
        <v>968</v>
      </c>
      <c r="T240" s="13"/>
      <c r="U240" s="13"/>
    </row>
    <row r="241" spans="1:21" x14ac:dyDescent="0.25">
      <c r="A241" s="16" t="s">
        <v>232</v>
      </c>
      <c r="B241" s="13" t="s">
        <v>13</v>
      </c>
      <c r="C241" s="16" t="s">
        <v>945</v>
      </c>
      <c r="D241" s="29">
        <v>44252</v>
      </c>
      <c r="E241" s="18" t="s">
        <v>23</v>
      </c>
      <c r="F241" s="18"/>
      <c r="G241" s="13"/>
      <c r="H241" s="29">
        <v>44265</v>
      </c>
      <c r="I241" s="13" t="s">
        <v>952</v>
      </c>
      <c r="J241" s="13"/>
      <c r="K241" s="13" t="s">
        <v>613</v>
      </c>
      <c r="L241" s="13"/>
      <c r="M241" s="13"/>
      <c r="N241" s="13"/>
      <c r="O241" s="13"/>
      <c r="P241" s="13"/>
      <c r="Q241" s="13" t="s">
        <v>961</v>
      </c>
      <c r="R241" s="13"/>
      <c r="S241" s="13" t="s">
        <v>969</v>
      </c>
      <c r="T241" s="13"/>
      <c r="U241" s="13"/>
    </row>
    <row r="242" spans="1:21" x14ac:dyDescent="0.25">
      <c r="A242" s="16" t="s">
        <v>232</v>
      </c>
      <c r="B242" s="13" t="s">
        <v>13</v>
      </c>
      <c r="C242" s="16" t="s">
        <v>945</v>
      </c>
      <c r="D242" s="29">
        <v>44252</v>
      </c>
      <c r="E242" s="18" t="s">
        <v>23</v>
      </c>
      <c r="F242" s="18"/>
      <c r="G242" s="13"/>
      <c r="H242" s="29">
        <v>44265</v>
      </c>
      <c r="I242" s="13" t="s">
        <v>953</v>
      </c>
      <c r="J242" s="13"/>
      <c r="K242" s="13" t="s">
        <v>233</v>
      </c>
      <c r="L242" s="13"/>
      <c r="M242" s="13"/>
      <c r="N242" s="13"/>
      <c r="O242" s="13"/>
      <c r="P242" s="13"/>
      <c r="Q242" s="13" t="s">
        <v>587</v>
      </c>
      <c r="R242" s="13"/>
      <c r="S242" s="13" t="s">
        <v>970</v>
      </c>
      <c r="T242" s="13"/>
      <c r="U242" s="13"/>
    </row>
    <row r="243" spans="1:21" x14ac:dyDescent="0.25">
      <c r="A243" s="16" t="s">
        <v>232</v>
      </c>
      <c r="B243" s="13" t="s">
        <v>13</v>
      </c>
      <c r="C243" s="16" t="s">
        <v>945</v>
      </c>
      <c r="D243" s="29">
        <v>44252</v>
      </c>
      <c r="E243" s="18" t="s">
        <v>23</v>
      </c>
      <c r="F243" s="18"/>
      <c r="G243" s="13"/>
      <c r="H243" s="29">
        <v>44265</v>
      </c>
      <c r="I243" s="13" t="s">
        <v>954</v>
      </c>
      <c r="J243" s="13"/>
      <c r="K243" s="13" t="s">
        <v>233</v>
      </c>
      <c r="L243" s="13"/>
      <c r="M243" s="13"/>
      <c r="N243" s="13"/>
      <c r="O243" s="13"/>
      <c r="P243" s="13"/>
      <c r="Q243" s="13" t="s">
        <v>962</v>
      </c>
      <c r="R243" s="13"/>
      <c r="S243" s="13" t="s">
        <v>971</v>
      </c>
      <c r="T243" s="13"/>
      <c r="U243" s="13"/>
    </row>
    <row r="244" spans="1:21" x14ac:dyDescent="0.25">
      <c r="A244" s="16" t="s">
        <v>237</v>
      </c>
      <c r="B244" s="13" t="s">
        <v>13</v>
      </c>
      <c r="C244" s="16" t="s">
        <v>30</v>
      </c>
      <c r="D244" s="29">
        <v>44252</v>
      </c>
      <c r="E244" s="18" t="s">
        <v>23</v>
      </c>
      <c r="F244" s="18"/>
      <c r="G244" s="13"/>
      <c r="H244" s="29">
        <v>44253</v>
      </c>
      <c r="I244" s="13" t="s">
        <v>975</v>
      </c>
      <c r="J244" s="13"/>
      <c r="K244" s="13">
        <v>76</v>
      </c>
      <c r="L244" s="13"/>
      <c r="M244" s="13"/>
      <c r="N244" s="13"/>
      <c r="O244" s="13"/>
      <c r="P244" s="13"/>
      <c r="Q244" s="13"/>
      <c r="R244" s="13"/>
      <c r="S244" s="13">
        <v>193800</v>
      </c>
      <c r="T244" s="13"/>
      <c r="U244" s="13"/>
    </row>
    <row r="245" spans="1:21" x14ac:dyDescent="0.25">
      <c r="A245" s="16" t="s">
        <v>238</v>
      </c>
      <c r="B245" s="13" t="s">
        <v>13</v>
      </c>
      <c r="C245" s="16" t="s">
        <v>15</v>
      </c>
      <c r="D245" s="29">
        <v>44253</v>
      </c>
      <c r="E245" s="18" t="s">
        <v>23</v>
      </c>
      <c r="F245" s="18"/>
      <c r="G245" s="13"/>
      <c r="H245" s="29">
        <v>44256</v>
      </c>
      <c r="I245" s="13" t="s">
        <v>230</v>
      </c>
      <c r="J245" s="13">
        <v>48</v>
      </c>
      <c r="K245" s="13"/>
      <c r="L245" s="13"/>
      <c r="M245" s="13"/>
      <c r="N245" s="13"/>
      <c r="O245" s="13"/>
      <c r="P245" s="13"/>
      <c r="Q245" s="13"/>
      <c r="R245" s="13"/>
      <c r="S245" s="13">
        <v>28320</v>
      </c>
      <c r="T245" s="13"/>
      <c r="U245" s="13"/>
    </row>
    <row r="246" spans="1:21" x14ac:dyDescent="0.25">
      <c r="A246" s="16" t="s">
        <v>240</v>
      </c>
      <c r="B246" s="13" t="s">
        <v>13</v>
      </c>
      <c r="C246" s="16" t="s">
        <v>548</v>
      </c>
      <c r="D246" s="29">
        <v>44253</v>
      </c>
      <c r="E246" s="18" t="s">
        <v>23</v>
      </c>
      <c r="F246" s="18"/>
      <c r="G246" s="13"/>
      <c r="H246" s="29">
        <v>44260</v>
      </c>
      <c r="I246" s="13" t="s">
        <v>686</v>
      </c>
      <c r="J246" s="13" t="s">
        <v>976</v>
      </c>
      <c r="K246" s="13"/>
      <c r="L246" s="13"/>
      <c r="M246" s="13"/>
      <c r="N246" s="13"/>
      <c r="O246" s="13"/>
      <c r="P246" s="13"/>
      <c r="Q246" s="13" t="s">
        <v>978</v>
      </c>
      <c r="R246" s="13"/>
      <c r="S246" s="13" t="s">
        <v>979</v>
      </c>
      <c r="T246" s="13"/>
      <c r="U246" s="13"/>
    </row>
    <row r="247" spans="1:21" x14ac:dyDescent="0.25">
      <c r="A247" s="16" t="s">
        <v>240</v>
      </c>
      <c r="B247" s="13" t="s">
        <v>13</v>
      </c>
      <c r="C247" s="16" t="s">
        <v>548</v>
      </c>
      <c r="D247" s="29">
        <v>44253</v>
      </c>
      <c r="E247" s="18" t="s">
        <v>23</v>
      </c>
      <c r="F247" s="18"/>
      <c r="G247" s="13"/>
      <c r="H247" s="29">
        <v>44260</v>
      </c>
      <c r="I247" s="13" t="s">
        <v>689</v>
      </c>
      <c r="J247" s="13" t="s">
        <v>977</v>
      </c>
      <c r="K247" s="13"/>
      <c r="L247" s="13"/>
      <c r="M247" s="13"/>
      <c r="N247" s="13"/>
      <c r="O247" s="13"/>
      <c r="P247" s="13"/>
      <c r="Q247" s="13" t="s">
        <v>704</v>
      </c>
      <c r="R247" s="13"/>
      <c r="S247" s="13" t="s">
        <v>980</v>
      </c>
      <c r="T247" s="13"/>
      <c r="U247" s="13"/>
    </row>
    <row r="248" spans="1:21" x14ac:dyDescent="0.25">
      <c r="A248" s="16" t="s">
        <v>981</v>
      </c>
      <c r="B248" s="13" t="s">
        <v>13</v>
      </c>
      <c r="C248" s="16" t="s">
        <v>548</v>
      </c>
      <c r="D248" s="29">
        <v>44253</v>
      </c>
      <c r="E248" s="18" t="s">
        <v>23</v>
      </c>
      <c r="F248" s="18"/>
      <c r="G248" s="13"/>
      <c r="H248" s="29">
        <v>44253</v>
      </c>
      <c r="I248" s="13" t="s">
        <v>982</v>
      </c>
      <c r="J248" s="13" t="s">
        <v>248</v>
      </c>
      <c r="K248" s="13"/>
      <c r="L248" s="13"/>
      <c r="M248" s="13"/>
      <c r="N248" s="13"/>
      <c r="O248" s="13"/>
      <c r="P248" s="13"/>
      <c r="Q248" s="13" t="s">
        <v>984</v>
      </c>
      <c r="R248" s="13"/>
      <c r="S248" s="13" t="s">
        <v>985</v>
      </c>
      <c r="T248" s="13"/>
      <c r="U248" s="13"/>
    </row>
    <row r="249" spans="1:21" x14ac:dyDescent="0.25">
      <c r="A249" s="16" t="s">
        <v>981</v>
      </c>
      <c r="B249" s="13" t="s">
        <v>13</v>
      </c>
      <c r="C249" s="16" t="s">
        <v>548</v>
      </c>
      <c r="D249" s="29">
        <v>44253</v>
      </c>
      <c r="E249" s="18" t="s">
        <v>23</v>
      </c>
      <c r="F249" s="18"/>
      <c r="G249" s="13"/>
      <c r="H249" s="29">
        <v>44253</v>
      </c>
      <c r="I249" s="13" t="s">
        <v>983</v>
      </c>
      <c r="J249" s="13" t="s">
        <v>248</v>
      </c>
      <c r="K249" s="13"/>
      <c r="L249" s="13"/>
      <c r="M249" s="13"/>
      <c r="N249" s="13"/>
      <c r="O249" s="13"/>
      <c r="P249" s="13"/>
      <c r="Q249" s="13" t="s">
        <v>984</v>
      </c>
      <c r="R249" s="13"/>
      <c r="S249" s="13" t="s">
        <v>985</v>
      </c>
      <c r="T249" s="13"/>
      <c r="U249" s="13"/>
    </row>
    <row r="250" spans="1:21" x14ac:dyDescent="0.25">
      <c r="A250" s="16" t="s">
        <v>251</v>
      </c>
      <c r="B250" s="13" t="s">
        <v>13</v>
      </c>
      <c r="C250" s="16" t="s">
        <v>548</v>
      </c>
      <c r="D250" s="29">
        <v>44253</v>
      </c>
      <c r="E250" s="18" t="s">
        <v>23</v>
      </c>
      <c r="F250" s="18"/>
      <c r="G250" s="13"/>
      <c r="H250" s="29">
        <v>44260</v>
      </c>
      <c r="I250" s="13" t="s">
        <v>986</v>
      </c>
      <c r="J250" s="13" t="s">
        <v>178</v>
      </c>
      <c r="K250" s="13"/>
      <c r="L250" s="13"/>
      <c r="M250" s="13"/>
      <c r="N250" s="13"/>
      <c r="O250" s="13"/>
      <c r="P250" s="13"/>
      <c r="Q250" s="13" t="s">
        <v>990</v>
      </c>
      <c r="R250" s="13"/>
      <c r="S250" s="13" t="s">
        <v>495</v>
      </c>
      <c r="T250" s="13"/>
      <c r="U250" s="13"/>
    </row>
    <row r="251" spans="1:21" x14ac:dyDescent="0.25">
      <c r="A251" s="16" t="s">
        <v>251</v>
      </c>
      <c r="B251" s="13" t="s">
        <v>13</v>
      </c>
      <c r="C251" s="16" t="s">
        <v>548</v>
      </c>
      <c r="D251" s="29">
        <v>44253</v>
      </c>
      <c r="E251" s="18" t="s">
        <v>23</v>
      </c>
      <c r="F251" s="18"/>
      <c r="G251" s="13"/>
      <c r="H251" s="29">
        <v>44260</v>
      </c>
      <c r="I251" s="13" t="s">
        <v>987</v>
      </c>
      <c r="J251" s="13" t="s">
        <v>54</v>
      </c>
      <c r="K251" s="13"/>
      <c r="L251" s="13"/>
      <c r="M251" s="13"/>
      <c r="N251" s="13"/>
      <c r="O251" s="13"/>
      <c r="P251" s="13"/>
      <c r="Q251" s="13" t="s">
        <v>81</v>
      </c>
      <c r="R251" s="13"/>
      <c r="S251" s="13" t="s">
        <v>129</v>
      </c>
      <c r="T251" s="13"/>
      <c r="U251" s="13"/>
    </row>
    <row r="252" spans="1:21" x14ac:dyDescent="0.25">
      <c r="A252" s="16" t="s">
        <v>251</v>
      </c>
      <c r="B252" s="13" t="s">
        <v>13</v>
      </c>
      <c r="C252" s="16" t="s">
        <v>548</v>
      </c>
      <c r="D252" s="29">
        <v>44253</v>
      </c>
      <c r="E252" s="18" t="s">
        <v>23</v>
      </c>
      <c r="F252" s="18"/>
      <c r="G252" s="13"/>
      <c r="H252" s="29">
        <v>44260</v>
      </c>
      <c r="I252" s="13" t="s">
        <v>988</v>
      </c>
      <c r="J252" s="13" t="s">
        <v>989</v>
      </c>
      <c r="K252" s="13"/>
      <c r="L252" s="13"/>
      <c r="M252" s="13"/>
      <c r="N252" s="13"/>
      <c r="O252" s="13"/>
      <c r="P252" s="13"/>
      <c r="Q252" s="13" t="s">
        <v>991</v>
      </c>
      <c r="R252" s="13"/>
      <c r="S252" s="13" t="s">
        <v>186</v>
      </c>
      <c r="T252" s="13"/>
      <c r="U252" s="13"/>
    </row>
    <row r="253" spans="1:21" x14ac:dyDescent="0.25">
      <c r="A253" s="16" t="s">
        <v>244</v>
      </c>
      <c r="B253" s="13" t="s">
        <v>34</v>
      </c>
      <c r="C253" s="16" t="s">
        <v>861</v>
      </c>
      <c r="D253" s="29">
        <v>44253</v>
      </c>
      <c r="E253" s="18" t="s">
        <v>23</v>
      </c>
      <c r="F253" s="18"/>
      <c r="G253" s="13"/>
      <c r="H253" s="29">
        <v>44258</v>
      </c>
      <c r="I253" s="13" t="s">
        <v>1002</v>
      </c>
      <c r="J253" s="13"/>
      <c r="K253" s="13"/>
      <c r="L253" s="13"/>
      <c r="M253" s="13"/>
      <c r="N253" s="13"/>
      <c r="O253" s="13"/>
      <c r="P253" s="13"/>
      <c r="Q253" s="13"/>
      <c r="R253" s="13"/>
      <c r="S253" s="13">
        <v>9000</v>
      </c>
      <c r="T253" s="13"/>
      <c r="U253" s="13"/>
    </row>
    <row r="254" spans="1:21" x14ac:dyDescent="0.25">
      <c r="A254" s="16" t="s">
        <v>246</v>
      </c>
      <c r="B254" s="13" t="s">
        <v>13</v>
      </c>
      <c r="C254" s="16" t="s">
        <v>30</v>
      </c>
      <c r="D254" s="29">
        <v>44256</v>
      </c>
      <c r="E254" s="18" t="s">
        <v>23</v>
      </c>
      <c r="F254" s="18"/>
      <c r="G254" s="13"/>
      <c r="H254" s="29">
        <v>44264</v>
      </c>
      <c r="I254" s="13" t="s">
        <v>568</v>
      </c>
      <c r="J254" s="13" t="s">
        <v>108</v>
      </c>
      <c r="K254" s="13"/>
      <c r="L254" s="13"/>
      <c r="M254" s="13"/>
      <c r="N254" s="13"/>
      <c r="O254" s="13"/>
      <c r="P254" s="13"/>
      <c r="Q254" s="13"/>
      <c r="R254" s="13"/>
      <c r="S254" s="13" t="s">
        <v>334</v>
      </c>
      <c r="T254" s="13"/>
      <c r="U254" s="13"/>
    </row>
    <row r="255" spans="1:21" x14ac:dyDescent="0.25">
      <c r="A255" s="16" t="s">
        <v>246</v>
      </c>
      <c r="B255" s="13" t="s">
        <v>13</v>
      </c>
      <c r="C255" s="16" t="s">
        <v>30</v>
      </c>
      <c r="D255" s="29">
        <v>44256</v>
      </c>
      <c r="E255" s="18" t="s">
        <v>23</v>
      </c>
      <c r="F255" s="18"/>
      <c r="G255" s="13"/>
      <c r="H255" s="29">
        <v>44264</v>
      </c>
      <c r="I255" s="13" t="s">
        <v>742</v>
      </c>
      <c r="J255" s="13" t="s">
        <v>75</v>
      </c>
      <c r="K255" s="13"/>
      <c r="L255" s="13"/>
      <c r="M255" s="13"/>
      <c r="N255" s="13"/>
      <c r="O255" s="13"/>
      <c r="P255" s="13"/>
      <c r="Q255" s="13"/>
      <c r="R255" s="13"/>
      <c r="S255" s="13" t="s">
        <v>504</v>
      </c>
      <c r="T255" s="13"/>
      <c r="U255" s="13"/>
    </row>
    <row r="256" spans="1:21" x14ac:dyDescent="0.25">
      <c r="A256" s="16" t="s">
        <v>246</v>
      </c>
      <c r="B256" s="13" t="s">
        <v>13</v>
      </c>
      <c r="C256" s="16" t="s">
        <v>30</v>
      </c>
      <c r="D256" s="29">
        <v>44256</v>
      </c>
      <c r="E256" s="18" t="s">
        <v>23</v>
      </c>
      <c r="F256" s="18"/>
      <c r="G256" s="13"/>
      <c r="H256" s="29">
        <v>44264</v>
      </c>
      <c r="I256" s="13" t="s">
        <v>730</v>
      </c>
      <c r="J256" s="13" t="s">
        <v>108</v>
      </c>
      <c r="K256" s="13"/>
      <c r="L256" s="13"/>
      <c r="M256" s="13"/>
      <c r="N256" s="13"/>
      <c r="O256" s="13"/>
      <c r="P256" s="13"/>
      <c r="Q256" s="13"/>
      <c r="R256" s="13"/>
      <c r="S256" s="13" t="s">
        <v>356</v>
      </c>
      <c r="T256" s="13"/>
      <c r="U256" s="13"/>
    </row>
    <row r="257" spans="1:21" x14ac:dyDescent="0.25">
      <c r="A257" s="16" t="s">
        <v>246</v>
      </c>
      <c r="B257" s="13" t="s">
        <v>13</v>
      </c>
      <c r="C257" s="16" t="s">
        <v>30</v>
      </c>
      <c r="D257" s="29">
        <v>44256</v>
      </c>
      <c r="E257" s="18" t="s">
        <v>23</v>
      </c>
      <c r="F257" s="18"/>
      <c r="G257" s="13"/>
      <c r="H257" s="29">
        <v>44264</v>
      </c>
      <c r="I257" s="13" t="s">
        <v>731</v>
      </c>
      <c r="J257" s="13" t="s">
        <v>181</v>
      </c>
      <c r="K257" s="13"/>
      <c r="L257" s="13"/>
      <c r="M257" s="13"/>
      <c r="N257" s="13"/>
      <c r="O257" s="13"/>
      <c r="P257" s="13"/>
      <c r="Q257" s="13"/>
      <c r="R257" s="13"/>
      <c r="S257" s="13" t="s">
        <v>992</v>
      </c>
      <c r="T257" s="13"/>
      <c r="U257" s="13"/>
    </row>
    <row r="258" spans="1:21" x14ac:dyDescent="0.25">
      <c r="A258" s="16" t="s">
        <v>246</v>
      </c>
      <c r="B258" s="13" t="s">
        <v>13</v>
      </c>
      <c r="C258" s="16" t="s">
        <v>30</v>
      </c>
      <c r="D258" s="29">
        <v>44256</v>
      </c>
      <c r="E258" s="18" t="s">
        <v>23</v>
      </c>
      <c r="F258" s="18"/>
      <c r="G258" s="13"/>
      <c r="H258" s="29">
        <v>44264</v>
      </c>
      <c r="I258" s="13" t="s">
        <v>732</v>
      </c>
      <c r="J258" s="13" t="s">
        <v>108</v>
      </c>
      <c r="K258" s="13"/>
      <c r="L258" s="13"/>
      <c r="M258" s="13"/>
      <c r="N258" s="13"/>
      <c r="O258" s="13"/>
      <c r="P258" s="13"/>
      <c r="Q258" s="13"/>
      <c r="R258" s="13"/>
      <c r="S258" s="13" t="s">
        <v>131</v>
      </c>
      <c r="T258" s="13"/>
      <c r="U258" s="13"/>
    </row>
    <row r="259" spans="1:21" x14ac:dyDescent="0.25">
      <c r="A259" s="16" t="s">
        <v>246</v>
      </c>
      <c r="B259" s="13" t="s">
        <v>13</v>
      </c>
      <c r="C259" s="16" t="s">
        <v>30</v>
      </c>
      <c r="D259" s="29">
        <v>44256</v>
      </c>
      <c r="E259" s="18" t="s">
        <v>23</v>
      </c>
      <c r="F259" s="18"/>
      <c r="G259" s="13"/>
      <c r="H259" s="29">
        <v>44264</v>
      </c>
      <c r="I259" s="13" t="s">
        <v>440</v>
      </c>
      <c r="J259" s="13" t="s">
        <v>108</v>
      </c>
      <c r="K259" s="13"/>
      <c r="L259" s="13"/>
      <c r="M259" s="13"/>
      <c r="N259" s="13"/>
      <c r="O259" s="13"/>
      <c r="P259" s="13"/>
      <c r="Q259" s="13"/>
      <c r="R259" s="13"/>
      <c r="S259" s="13" t="s">
        <v>442</v>
      </c>
      <c r="T259" s="13"/>
      <c r="U259" s="13"/>
    </row>
    <row r="260" spans="1:21" x14ac:dyDescent="0.25">
      <c r="A260" s="16" t="s">
        <v>246</v>
      </c>
      <c r="B260" s="13" t="s">
        <v>13</v>
      </c>
      <c r="C260" s="16" t="s">
        <v>30</v>
      </c>
      <c r="D260" s="29">
        <v>44256</v>
      </c>
      <c r="E260" s="18" t="s">
        <v>23</v>
      </c>
      <c r="F260" s="18"/>
      <c r="G260" s="13"/>
      <c r="H260" s="29">
        <v>44264</v>
      </c>
      <c r="I260" s="13" t="s">
        <v>743</v>
      </c>
      <c r="J260" s="13" t="s">
        <v>123</v>
      </c>
      <c r="K260" s="13"/>
      <c r="L260" s="13"/>
      <c r="M260" s="13"/>
      <c r="N260" s="13"/>
      <c r="O260" s="13"/>
      <c r="P260" s="13"/>
      <c r="Q260" s="13"/>
      <c r="R260" s="13"/>
      <c r="S260" s="13" t="s">
        <v>855</v>
      </c>
      <c r="T260" s="13"/>
      <c r="U260" s="13"/>
    </row>
    <row r="261" spans="1:21" x14ac:dyDescent="0.25">
      <c r="A261" s="16" t="s">
        <v>246</v>
      </c>
      <c r="B261" s="13" t="s">
        <v>13</v>
      </c>
      <c r="C261" s="16" t="s">
        <v>30</v>
      </c>
      <c r="D261" s="29">
        <v>44256</v>
      </c>
      <c r="E261" s="18" t="s">
        <v>23</v>
      </c>
      <c r="F261" s="18"/>
      <c r="G261" s="13"/>
      <c r="H261" s="29">
        <v>44264</v>
      </c>
      <c r="I261" s="13" t="s">
        <v>744</v>
      </c>
      <c r="J261" s="13" t="s">
        <v>852</v>
      </c>
      <c r="K261" s="13"/>
      <c r="L261" s="13"/>
      <c r="M261" s="13"/>
      <c r="N261" s="13"/>
      <c r="O261" s="13"/>
      <c r="P261" s="13"/>
      <c r="Q261" s="13"/>
      <c r="R261" s="13"/>
      <c r="S261" s="13" t="s">
        <v>993</v>
      </c>
      <c r="T261" s="13"/>
      <c r="U261" s="13"/>
    </row>
    <row r="262" spans="1:21" x14ac:dyDescent="0.25">
      <c r="A262" s="16" t="s">
        <v>246</v>
      </c>
      <c r="B262" s="13" t="s">
        <v>13</v>
      </c>
      <c r="C262" s="16" t="s">
        <v>30</v>
      </c>
      <c r="D262" s="29">
        <v>44256</v>
      </c>
      <c r="E262" s="18" t="s">
        <v>23</v>
      </c>
      <c r="F262" s="18"/>
      <c r="G262" s="13"/>
      <c r="H262" s="29">
        <v>44264</v>
      </c>
      <c r="I262" s="13" t="s">
        <v>733</v>
      </c>
      <c r="J262" s="13" t="s">
        <v>75</v>
      </c>
      <c r="K262" s="13"/>
      <c r="L262" s="13"/>
      <c r="M262" s="13"/>
      <c r="N262" s="13"/>
      <c r="O262" s="13"/>
      <c r="P262" s="13"/>
      <c r="Q262" s="13"/>
      <c r="R262" s="13"/>
      <c r="S262" s="13" t="s">
        <v>503</v>
      </c>
      <c r="T262" s="13"/>
      <c r="U262" s="13"/>
    </row>
    <row r="263" spans="1:21" x14ac:dyDescent="0.25">
      <c r="A263" s="16" t="s">
        <v>246</v>
      </c>
      <c r="B263" s="13" t="s">
        <v>13</v>
      </c>
      <c r="C263" s="16" t="s">
        <v>30</v>
      </c>
      <c r="D263" s="29">
        <v>44256</v>
      </c>
      <c r="E263" s="18" t="s">
        <v>23</v>
      </c>
      <c r="F263" s="18"/>
      <c r="G263" s="13"/>
      <c r="H263" s="29">
        <v>44264</v>
      </c>
      <c r="I263" s="13" t="s">
        <v>734</v>
      </c>
      <c r="J263" s="13" t="s">
        <v>108</v>
      </c>
      <c r="K263" s="13"/>
      <c r="L263" s="13"/>
      <c r="M263" s="13"/>
      <c r="N263" s="13"/>
      <c r="O263" s="13"/>
      <c r="P263" s="13"/>
      <c r="Q263" s="13"/>
      <c r="R263" s="13"/>
      <c r="S263" s="13" t="s">
        <v>494</v>
      </c>
      <c r="T263" s="13"/>
      <c r="U263" s="13"/>
    </row>
    <row r="264" spans="1:21" x14ac:dyDescent="0.25">
      <c r="A264" s="16" t="s">
        <v>246</v>
      </c>
      <c r="B264" s="13" t="s">
        <v>13</v>
      </c>
      <c r="C264" s="16" t="s">
        <v>30</v>
      </c>
      <c r="D264" s="29">
        <v>44256</v>
      </c>
      <c r="E264" s="18" t="s">
        <v>23</v>
      </c>
      <c r="F264" s="18"/>
      <c r="G264" s="13"/>
      <c r="H264" s="29">
        <v>44264</v>
      </c>
      <c r="I264" s="13" t="s">
        <v>735</v>
      </c>
      <c r="J264" s="13" t="s">
        <v>108</v>
      </c>
      <c r="K264" s="13"/>
      <c r="L264" s="13"/>
      <c r="M264" s="13"/>
      <c r="N264" s="13"/>
      <c r="O264" s="13"/>
      <c r="P264" s="13"/>
      <c r="Q264" s="13"/>
      <c r="R264" s="13"/>
      <c r="S264" s="13" t="s">
        <v>429</v>
      </c>
      <c r="T264" s="13"/>
      <c r="U264" s="13"/>
    </row>
    <row r="265" spans="1:21" x14ac:dyDescent="0.25">
      <c r="A265" s="16" t="s">
        <v>246</v>
      </c>
      <c r="B265" s="13" t="s">
        <v>13</v>
      </c>
      <c r="C265" s="16" t="s">
        <v>30</v>
      </c>
      <c r="D265" s="29">
        <v>44256</v>
      </c>
      <c r="E265" s="18" t="s">
        <v>23</v>
      </c>
      <c r="F265" s="18"/>
      <c r="G265" s="13"/>
      <c r="H265" s="29">
        <v>44264</v>
      </c>
      <c r="I265" s="13" t="s">
        <v>736</v>
      </c>
      <c r="J265" s="13" t="s">
        <v>108</v>
      </c>
      <c r="K265" s="13"/>
      <c r="L265" s="13"/>
      <c r="M265" s="13"/>
      <c r="N265" s="13"/>
      <c r="O265" s="13"/>
      <c r="P265" s="13"/>
      <c r="Q265" s="13"/>
      <c r="R265" s="13"/>
      <c r="S265" s="13" t="s">
        <v>445</v>
      </c>
      <c r="T265" s="13"/>
      <c r="U265" s="13"/>
    </row>
    <row r="266" spans="1:21" x14ac:dyDescent="0.25">
      <c r="A266" s="16" t="s">
        <v>246</v>
      </c>
      <c r="B266" s="13" t="s">
        <v>13</v>
      </c>
      <c r="C266" s="16" t="s">
        <v>30</v>
      </c>
      <c r="D266" s="29">
        <v>44256</v>
      </c>
      <c r="E266" s="18" t="s">
        <v>23</v>
      </c>
      <c r="F266" s="18"/>
      <c r="G266" s="13"/>
      <c r="H266" s="29">
        <v>44264</v>
      </c>
      <c r="I266" s="13" t="s">
        <v>737</v>
      </c>
      <c r="J266" s="13" t="s">
        <v>123</v>
      </c>
      <c r="K266" s="13"/>
      <c r="L266" s="13"/>
      <c r="M266" s="13"/>
      <c r="N266" s="13"/>
      <c r="O266" s="13"/>
      <c r="P266" s="13"/>
      <c r="Q266" s="13"/>
      <c r="R266" s="13"/>
      <c r="S266" s="13" t="s">
        <v>180</v>
      </c>
      <c r="T266" s="13"/>
      <c r="U266" s="13"/>
    </row>
    <row r="267" spans="1:21" x14ac:dyDescent="0.25">
      <c r="A267" s="16" t="s">
        <v>246</v>
      </c>
      <c r="B267" s="13" t="s">
        <v>13</v>
      </c>
      <c r="C267" s="16" t="s">
        <v>30</v>
      </c>
      <c r="D267" s="29">
        <v>44256</v>
      </c>
      <c r="E267" s="18" t="s">
        <v>23</v>
      </c>
      <c r="F267" s="18"/>
      <c r="G267" s="13"/>
      <c r="H267" s="29">
        <v>44264</v>
      </c>
      <c r="I267" s="13" t="s">
        <v>738</v>
      </c>
      <c r="J267" s="13" t="s">
        <v>108</v>
      </c>
      <c r="K267" s="13"/>
      <c r="L267" s="13"/>
      <c r="M267" s="13"/>
      <c r="N267" s="13"/>
      <c r="O267" s="13"/>
      <c r="P267" s="13"/>
      <c r="Q267" s="13"/>
      <c r="R267" s="13"/>
      <c r="S267" s="13" t="s">
        <v>448</v>
      </c>
      <c r="T267" s="13"/>
      <c r="U267" s="13"/>
    </row>
    <row r="268" spans="1:21" x14ac:dyDescent="0.25">
      <c r="A268" s="16" t="s">
        <v>246</v>
      </c>
      <c r="B268" s="13" t="s">
        <v>13</v>
      </c>
      <c r="C268" s="16" t="s">
        <v>30</v>
      </c>
      <c r="D268" s="29">
        <v>44256</v>
      </c>
      <c r="E268" s="18" t="s">
        <v>23</v>
      </c>
      <c r="F268" s="18"/>
      <c r="G268" s="13"/>
      <c r="H268" s="29">
        <v>44264</v>
      </c>
      <c r="I268" s="13" t="s">
        <v>282</v>
      </c>
      <c r="J268" s="13" t="s">
        <v>108</v>
      </c>
      <c r="K268" s="13"/>
      <c r="L268" s="13"/>
      <c r="M268" s="13"/>
      <c r="N268" s="13"/>
      <c r="O268" s="13"/>
      <c r="P268" s="13"/>
      <c r="Q268" s="13"/>
      <c r="R268" s="13"/>
      <c r="S268" s="13" t="s">
        <v>133</v>
      </c>
      <c r="T268" s="13"/>
      <c r="U268" s="13"/>
    </row>
    <row r="269" spans="1:21" x14ac:dyDescent="0.25">
      <c r="A269" s="16" t="s">
        <v>246</v>
      </c>
      <c r="B269" s="13" t="s">
        <v>13</v>
      </c>
      <c r="C269" s="16" t="s">
        <v>30</v>
      </c>
      <c r="D269" s="29">
        <v>44256</v>
      </c>
      <c r="E269" s="18" t="s">
        <v>23</v>
      </c>
      <c r="F269" s="18"/>
      <c r="G269" s="13"/>
      <c r="H269" s="29">
        <v>44264</v>
      </c>
      <c r="I269" s="13" t="s">
        <v>739</v>
      </c>
      <c r="J269" s="13" t="s">
        <v>123</v>
      </c>
      <c r="K269" s="13"/>
      <c r="L269" s="13"/>
      <c r="M269" s="13"/>
      <c r="N269" s="13"/>
      <c r="O269" s="13"/>
      <c r="P269" s="13"/>
      <c r="Q269" s="13"/>
      <c r="R269" s="13"/>
      <c r="S269" s="13" t="s">
        <v>724</v>
      </c>
      <c r="T269" s="13"/>
      <c r="U269" s="13"/>
    </row>
    <row r="270" spans="1:21" x14ac:dyDescent="0.25">
      <c r="A270" s="16" t="s">
        <v>246</v>
      </c>
      <c r="B270" s="13" t="s">
        <v>13</v>
      </c>
      <c r="C270" s="16" t="s">
        <v>30</v>
      </c>
      <c r="D270" s="29">
        <v>44256</v>
      </c>
      <c r="E270" s="18" t="s">
        <v>23</v>
      </c>
      <c r="F270" s="18"/>
      <c r="G270" s="13"/>
      <c r="H270" s="29">
        <v>44264</v>
      </c>
      <c r="I270" s="13" t="s">
        <v>741</v>
      </c>
      <c r="J270" s="13" t="s">
        <v>193</v>
      </c>
      <c r="K270" s="13"/>
      <c r="L270" s="13"/>
      <c r="M270" s="13"/>
      <c r="N270" s="13"/>
      <c r="O270" s="13"/>
      <c r="P270" s="13"/>
      <c r="Q270" s="13"/>
      <c r="R270" s="13"/>
      <c r="S270" s="13" t="s">
        <v>994</v>
      </c>
      <c r="T270" s="13"/>
      <c r="U270" s="13"/>
    </row>
    <row r="271" spans="1:21" x14ac:dyDescent="0.25">
      <c r="A271" s="16" t="s">
        <v>246</v>
      </c>
      <c r="B271" s="13" t="s">
        <v>13</v>
      </c>
      <c r="C271" s="16" t="s">
        <v>30</v>
      </c>
      <c r="D271" s="29">
        <v>44256</v>
      </c>
      <c r="E271" s="18" t="s">
        <v>23</v>
      </c>
      <c r="F271" s="18"/>
      <c r="G271" s="13"/>
      <c r="H271" s="29">
        <v>44264</v>
      </c>
      <c r="I271" s="13" t="s">
        <v>745</v>
      </c>
      <c r="J271" s="13" t="s">
        <v>54</v>
      </c>
      <c r="K271" s="13"/>
      <c r="L271" s="13"/>
      <c r="M271" s="13"/>
      <c r="N271" s="13"/>
      <c r="O271" s="13"/>
      <c r="P271" s="13"/>
      <c r="Q271" s="13"/>
      <c r="R271" s="13"/>
      <c r="S271" s="13" t="s">
        <v>127</v>
      </c>
      <c r="T271" s="13"/>
      <c r="U271" s="13"/>
    </row>
    <row r="272" spans="1:21" x14ac:dyDescent="0.25">
      <c r="A272" s="16" t="s">
        <v>246</v>
      </c>
      <c r="B272" s="13" t="s">
        <v>13</v>
      </c>
      <c r="C272" s="16" t="s">
        <v>30</v>
      </c>
      <c r="D272" s="29">
        <v>44256</v>
      </c>
      <c r="E272" s="18" t="s">
        <v>23</v>
      </c>
      <c r="F272" s="18"/>
      <c r="G272" s="13"/>
      <c r="H272" s="29">
        <v>44264</v>
      </c>
      <c r="I272" s="13" t="s">
        <v>740</v>
      </c>
      <c r="J272" s="13" t="s">
        <v>76</v>
      </c>
      <c r="K272" s="13"/>
      <c r="L272" s="13"/>
      <c r="M272" s="13"/>
      <c r="N272" s="13"/>
      <c r="O272" s="13"/>
      <c r="P272" s="13"/>
      <c r="Q272" s="13"/>
      <c r="R272" s="13"/>
      <c r="S272" s="13" t="s">
        <v>426</v>
      </c>
      <c r="T272" s="13"/>
      <c r="U272" s="13"/>
    </row>
    <row r="273" spans="1:23" x14ac:dyDescent="0.25">
      <c r="A273" s="16" t="s">
        <v>252</v>
      </c>
      <c r="B273" s="13" t="s">
        <v>13</v>
      </c>
      <c r="C273" s="16" t="s">
        <v>15</v>
      </c>
      <c r="D273" s="29">
        <v>44256</v>
      </c>
      <c r="E273" s="18" t="s">
        <v>23</v>
      </c>
      <c r="F273" s="18"/>
      <c r="G273" s="13"/>
      <c r="H273" s="29">
        <v>44264</v>
      </c>
      <c r="I273" s="42" t="s">
        <v>89</v>
      </c>
      <c r="J273" s="13"/>
      <c r="K273" s="13">
        <v>48</v>
      </c>
      <c r="L273" s="13"/>
      <c r="M273" s="13"/>
      <c r="N273" s="13"/>
      <c r="O273" s="13"/>
      <c r="P273" s="13"/>
      <c r="Q273" s="13"/>
      <c r="R273" s="13"/>
      <c r="S273" s="13">
        <v>34992</v>
      </c>
      <c r="T273" s="13"/>
      <c r="U273" s="13"/>
    </row>
    <row r="274" spans="1:23" x14ac:dyDescent="0.25">
      <c r="A274" s="16" t="s">
        <v>996</v>
      </c>
      <c r="B274" s="13" t="s">
        <v>34</v>
      </c>
      <c r="C274" s="16" t="s">
        <v>16</v>
      </c>
      <c r="D274" s="29">
        <v>44256</v>
      </c>
      <c r="E274" s="18" t="s">
        <v>23</v>
      </c>
      <c r="F274" s="18"/>
      <c r="G274" s="13"/>
      <c r="H274" s="29">
        <v>44263</v>
      </c>
      <c r="I274" s="13" t="s">
        <v>995</v>
      </c>
      <c r="J274" s="13">
        <v>222</v>
      </c>
      <c r="K274" s="13" t="s">
        <v>257</v>
      </c>
      <c r="L274" s="13">
        <v>0.56989999999999996</v>
      </c>
      <c r="M274" s="13">
        <v>1.304</v>
      </c>
      <c r="N274" s="13">
        <v>126.51779999999999</v>
      </c>
      <c r="O274" s="13">
        <v>289.488</v>
      </c>
      <c r="P274" s="13">
        <v>16.45</v>
      </c>
      <c r="Q274" s="13">
        <v>209.72</v>
      </c>
      <c r="R274" s="13">
        <v>368</v>
      </c>
      <c r="S274" s="13">
        <v>46558.55</v>
      </c>
      <c r="T274" s="13"/>
      <c r="U274" s="63"/>
      <c r="V274" s="13"/>
      <c r="W274" s="13"/>
    </row>
    <row r="275" spans="1:23" x14ac:dyDescent="0.25">
      <c r="A275" s="16">
        <v>102</v>
      </c>
      <c r="B275" s="13" t="s">
        <v>34</v>
      </c>
      <c r="C275" s="16" t="s">
        <v>998</v>
      </c>
      <c r="D275" s="29">
        <v>44256</v>
      </c>
      <c r="E275" s="18" t="s">
        <v>23</v>
      </c>
      <c r="F275" s="18"/>
      <c r="G275" s="13" t="s">
        <v>1094</v>
      </c>
      <c r="H275" s="29">
        <v>44263</v>
      </c>
      <c r="I275" s="13" t="s">
        <v>997</v>
      </c>
      <c r="J275" s="13">
        <v>1073</v>
      </c>
      <c r="K275" s="13" t="s">
        <v>424</v>
      </c>
      <c r="L275" s="13">
        <v>0.1457</v>
      </c>
      <c r="M275" s="13">
        <v>0.42</v>
      </c>
      <c r="N275" s="13">
        <v>156.33609999999999</v>
      </c>
      <c r="O275" s="13">
        <v>450.66</v>
      </c>
      <c r="P275" s="13">
        <v>20.32</v>
      </c>
      <c r="Q275" s="13">
        <v>41.96</v>
      </c>
      <c r="R275" s="13">
        <v>288</v>
      </c>
      <c r="S275" s="13">
        <v>45024.800000000003</v>
      </c>
      <c r="T275" s="13"/>
      <c r="U275" s="13"/>
    </row>
    <row r="276" spans="1:23" x14ac:dyDescent="0.25">
      <c r="A276" s="16" t="s">
        <v>254</v>
      </c>
      <c r="B276" s="13" t="s">
        <v>13</v>
      </c>
      <c r="C276" s="16" t="s">
        <v>879</v>
      </c>
      <c r="D276" s="29">
        <v>44256</v>
      </c>
      <c r="E276" s="18" t="s">
        <v>23</v>
      </c>
      <c r="F276" s="18"/>
      <c r="G276" s="13"/>
      <c r="H276" s="29">
        <v>44264</v>
      </c>
      <c r="I276" s="13" t="s">
        <v>77</v>
      </c>
      <c r="J276" s="13">
        <v>1</v>
      </c>
      <c r="K276" s="13"/>
      <c r="L276" s="13"/>
      <c r="M276" s="13"/>
      <c r="N276" s="13"/>
      <c r="O276" s="13"/>
      <c r="P276" s="13"/>
      <c r="Q276" s="13"/>
      <c r="R276" s="13"/>
      <c r="S276" s="13">
        <v>11900</v>
      </c>
      <c r="T276" s="13"/>
      <c r="U276" s="13"/>
    </row>
    <row r="277" spans="1:23" s="25" customFormat="1" x14ac:dyDescent="0.25">
      <c r="A277" s="22">
        <v>103</v>
      </c>
      <c r="B277" s="21" t="s">
        <v>13</v>
      </c>
      <c r="C277" s="22" t="s">
        <v>672</v>
      </c>
      <c r="D277" s="17">
        <v>44256</v>
      </c>
      <c r="E277" s="23" t="s">
        <v>23</v>
      </c>
      <c r="F277" s="23"/>
      <c r="G277" s="21"/>
      <c r="H277" s="17">
        <v>44264</v>
      </c>
      <c r="I277" s="21" t="s">
        <v>630</v>
      </c>
      <c r="J277" s="21">
        <v>455</v>
      </c>
      <c r="K277" s="21" t="s">
        <v>343</v>
      </c>
      <c r="L277" s="21">
        <v>0.54049999999999998</v>
      </c>
      <c r="M277" s="21">
        <v>2.0990000000000002</v>
      </c>
      <c r="N277" s="21">
        <v>245.92750000000001</v>
      </c>
      <c r="O277" s="21">
        <v>955.04499999999996</v>
      </c>
      <c r="P277" s="21">
        <v>31.97</v>
      </c>
      <c r="Q277" s="21">
        <v>110.8</v>
      </c>
      <c r="R277" s="21">
        <v>205</v>
      </c>
      <c r="S277" s="21">
        <v>50415.14</v>
      </c>
      <c r="T277" s="21"/>
      <c r="U277" s="21"/>
    </row>
    <row r="278" spans="1:23" s="25" customFormat="1" x14ac:dyDescent="0.25">
      <c r="A278" s="22">
        <v>103</v>
      </c>
      <c r="B278" s="21" t="s">
        <v>13</v>
      </c>
      <c r="C278" s="22" t="s">
        <v>672</v>
      </c>
      <c r="D278" s="17">
        <v>44256</v>
      </c>
      <c r="E278" s="23" t="s">
        <v>23</v>
      </c>
      <c r="F278" s="23"/>
      <c r="G278" s="21"/>
      <c r="H278" s="17">
        <v>44264</v>
      </c>
      <c r="I278" s="21" t="s">
        <v>999</v>
      </c>
      <c r="J278" s="21">
        <v>832</v>
      </c>
      <c r="K278" s="21" t="s">
        <v>166</v>
      </c>
      <c r="L278" s="21">
        <v>0.626</v>
      </c>
      <c r="M278" s="21">
        <v>2.1960000000000002</v>
      </c>
      <c r="N278" s="21">
        <v>520.83199999999999</v>
      </c>
      <c r="O278" s="21">
        <v>1827.0719999999999</v>
      </c>
      <c r="P278" s="21">
        <v>67.709999999999994</v>
      </c>
      <c r="Q278" s="21">
        <v>128.33000000000001</v>
      </c>
      <c r="R278" s="21">
        <v>205</v>
      </c>
      <c r="S278" s="21">
        <v>106770.56</v>
      </c>
      <c r="T278" s="21"/>
      <c r="U278" s="21"/>
    </row>
    <row r="279" spans="1:23" x14ac:dyDescent="0.25">
      <c r="A279" s="16">
        <v>104</v>
      </c>
      <c r="B279" s="13" t="s">
        <v>13</v>
      </c>
      <c r="C279" s="22" t="s">
        <v>657</v>
      </c>
      <c r="D279" s="29">
        <v>44256</v>
      </c>
      <c r="E279" s="18" t="s">
        <v>23</v>
      </c>
      <c r="F279" s="18"/>
      <c r="G279" s="13"/>
      <c r="H279" s="29">
        <v>44264</v>
      </c>
      <c r="I279" s="13" t="s">
        <v>1000</v>
      </c>
      <c r="J279" s="13">
        <v>1287.5999999999999</v>
      </c>
      <c r="K279" s="13" t="s">
        <v>1001</v>
      </c>
      <c r="L279" s="13">
        <v>0.1724</v>
      </c>
      <c r="M279" s="13">
        <v>0.41499999999999998</v>
      </c>
      <c r="N279" s="13">
        <v>221.98220000000001</v>
      </c>
      <c r="O279" s="13">
        <v>534.35400000000004</v>
      </c>
      <c r="P279" s="13">
        <v>28.86</v>
      </c>
      <c r="Q279" s="13">
        <v>45.34</v>
      </c>
      <c r="R279" s="13">
        <v>263</v>
      </c>
      <c r="S279" s="13">
        <v>58381.33</v>
      </c>
      <c r="T279" s="13"/>
      <c r="U279" s="13"/>
    </row>
    <row r="280" spans="1:23" x14ac:dyDescent="0.25">
      <c r="A280" s="16" t="s">
        <v>255</v>
      </c>
      <c r="B280" s="13" t="s">
        <v>13</v>
      </c>
      <c r="C280" s="16" t="s">
        <v>30</v>
      </c>
      <c r="D280" s="29">
        <v>44260</v>
      </c>
      <c r="E280" s="18" t="s">
        <v>23</v>
      </c>
      <c r="F280" s="18"/>
      <c r="G280" s="13"/>
      <c r="H280" s="29">
        <v>44267</v>
      </c>
      <c r="I280" s="13" t="s">
        <v>206</v>
      </c>
      <c r="J280" s="13"/>
      <c r="K280" s="13">
        <v>330</v>
      </c>
      <c r="L280" s="13"/>
      <c r="M280" s="13"/>
      <c r="N280" s="13"/>
      <c r="O280" s="13"/>
      <c r="P280" s="13"/>
      <c r="Q280" s="13"/>
      <c r="R280" s="13"/>
      <c r="S280" s="13">
        <v>90000</v>
      </c>
      <c r="T280" s="13"/>
      <c r="U280" s="13"/>
    </row>
    <row r="281" spans="1:23" x14ac:dyDescent="0.25">
      <c r="A281" s="16">
        <v>105</v>
      </c>
      <c r="B281" s="13" t="s">
        <v>13</v>
      </c>
      <c r="C281" s="16" t="s">
        <v>672</v>
      </c>
      <c r="D281" s="29">
        <v>44258</v>
      </c>
      <c r="E281" s="18" t="s">
        <v>23</v>
      </c>
      <c r="F281" s="18"/>
      <c r="G281" s="13"/>
      <c r="H281" s="29">
        <v>44264</v>
      </c>
      <c r="I281" s="13" t="s">
        <v>1003</v>
      </c>
      <c r="J281" s="13">
        <v>260</v>
      </c>
      <c r="K281" s="13" t="s">
        <v>272</v>
      </c>
      <c r="L281" s="13">
        <v>0.67</v>
      </c>
      <c r="M281" s="13">
        <v>1.9690000000000001</v>
      </c>
      <c r="N281" s="13">
        <v>174.2</v>
      </c>
      <c r="O281" s="13">
        <v>511.94</v>
      </c>
      <c r="P281" s="13">
        <v>22.65</v>
      </c>
      <c r="Q281" s="13">
        <v>137.35</v>
      </c>
      <c r="R281" s="13">
        <v>205</v>
      </c>
      <c r="S281" s="13">
        <v>35711</v>
      </c>
      <c r="T281" s="13"/>
      <c r="U281" s="13"/>
    </row>
    <row r="282" spans="1:23" x14ac:dyDescent="0.25">
      <c r="A282" s="16" t="s">
        <v>261</v>
      </c>
      <c r="B282" s="13" t="s">
        <v>13</v>
      </c>
      <c r="C282" s="16" t="s">
        <v>37</v>
      </c>
      <c r="D282" s="29">
        <v>44258</v>
      </c>
      <c r="E282" s="18" t="s">
        <v>23</v>
      </c>
      <c r="F282" s="18"/>
      <c r="G282" s="13"/>
      <c r="H282" s="29">
        <v>44264</v>
      </c>
      <c r="I282" s="13" t="s">
        <v>1004</v>
      </c>
      <c r="J282" s="13"/>
      <c r="K282" s="13" t="s">
        <v>36</v>
      </c>
      <c r="L282" s="13"/>
      <c r="M282" s="13"/>
      <c r="N282" s="13"/>
      <c r="O282" s="13"/>
      <c r="P282" s="13"/>
      <c r="Q282" s="13"/>
      <c r="R282" s="13"/>
      <c r="S282" s="13">
        <v>14760</v>
      </c>
      <c r="T282" s="13"/>
      <c r="U282" s="13"/>
    </row>
    <row r="283" spans="1:23" x14ac:dyDescent="0.25">
      <c r="A283" s="16" t="s">
        <v>1007</v>
      </c>
      <c r="B283" s="13" t="s">
        <v>13</v>
      </c>
      <c r="C283" s="16" t="s">
        <v>15</v>
      </c>
      <c r="D283" s="29">
        <v>44258</v>
      </c>
      <c r="E283" s="18" t="s">
        <v>23</v>
      </c>
      <c r="F283" s="18"/>
      <c r="G283" s="13"/>
      <c r="H283" s="29">
        <v>44264</v>
      </c>
      <c r="I283" s="42" t="s">
        <v>89</v>
      </c>
      <c r="J283" s="13"/>
      <c r="K283" s="13">
        <v>48</v>
      </c>
      <c r="L283" s="13"/>
      <c r="M283" s="13"/>
      <c r="N283" s="13"/>
      <c r="O283" s="13"/>
      <c r="P283" s="13"/>
      <c r="Q283" s="13"/>
      <c r="R283" s="13"/>
      <c r="S283" s="13">
        <v>34992</v>
      </c>
      <c r="T283" s="13"/>
      <c r="U283" s="13"/>
    </row>
    <row r="284" spans="1:23" x14ac:dyDescent="0.25">
      <c r="A284" s="16" t="s">
        <v>256</v>
      </c>
      <c r="B284" s="13" t="s">
        <v>13</v>
      </c>
      <c r="C284" s="16" t="s">
        <v>30</v>
      </c>
      <c r="D284" s="29">
        <v>44258</v>
      </c>
      <c r="E284" s="18" t="s">
        <v>23</v>
      </c>
      <c r="F284" s="18"/>
      <c r="G284" s="13"/>
      <c r="H284" s="29">
        <v>44264</v>
      </c>
      <c r="I284" s="13" t="s">
        <v>1008</v>
      </c>
      <c r="J284" s="13"/>
      <c r="K284" s="13" t="s">
        <v>108</v>
      </c>
      <c r="L284" s="13"/>
      <c r="M284" s="13"/>
      <c r="N284" s="13"/>
      <c r="O284" s="13"/>
      <c r="P284" s="13"/>
      <c r="Q284" s="13"/>
      <c r="R284" s="13"/>
      <c r="S284" s="13" t="s">
        <v>188</v>
      </c>
      <c r="T284" s="13"/>
      <c r="U284" s="13"/>
    </row>
    <row r="285" spans="1:23" x14ac:dyDescent="0.25">
      <c r="A285" s="16" t="s">
        <v>256</v>
      </c>
      <c r="B285" s="13" t="s">
        <v>13</v>
      </c>
      <c r="C285" s="16" t="s">
        <v>30</v>
      </c>
      <c r="D285" s="29">
        <v>44258</v>
      </c>
      <c r="E285" s="18" t="s">
        <v>23</v>
      </c>
      <c r="F285" s="18"/>
      <c r="G285" s="13"/>
      <c r="H285" s="29">
        <v>44264</v>
      </c>
      <c r="I285" s="13" t="s">
        <v>1009</v>
      </c>
      <c r="J285" s="13"/>
      <c r="K285" s="13" t="s">
        <v>108</v>
      </c>
      <c r="L285" s="13"/>
      <c r="M285" s="13"/>
      <c r="N285" s="13"/>
      <c r="O285" s="13"/>
      <c r="P285" s="13"/>
      <c r="Q285" s="13"/>
      <c r="R285" s="13"/>
      <c r="S285" s="13" t="s">
        <v>188</v>
      </c>
      <c r="T285" s="13"/>
      <c r="U285" s="13"/>
    </row>
    <row r="286" spans="1:23" x14ac:dyDescent="0.25">
      <c r="A286" s="16" t="s">
        <v>256</v>
      </c>
      <c r="B286" s="13" t="s">
        <v>13</v>
      </c>
      <c r="C286" s="16" t="s">
        <v>30</v>
      </c>
      <c r="D286" s="29">
        <v>44258</v>
      </c>
      <c r="E286" s="18" t="s">
        <v>23</v>
      </c>
      <c r="F286" s="18"/>
      <c r="G286" s="13"/>
      <c r="H286" s="29">
        <v>44264</v>
      </c>
      <c r="I286" s="13" t="s">
        <v>1010</v>
      </c>
      <c r="J286" s="13"/>
      <c r="K286" s="13" t="s">
        <v>26</v>
      </c>
      <c r="L286" s="13"/>
      <c r="M286" s="13"/>
      <c r="N286" s="13"/>
      <c r="O286" s="13"/>
      <c r="P286" s="13"/>
      <c r="Q286" s="13"/>
      <c r="R286" s="13"/>
      <c r="S286" s="13" t="s">
        <v>187</v>
      </c>
      <c r="T286" s="13"/>
      <c r="U286" s="13"/>
    </row>
    <row r="287" spans="1:23" x14ac:dyDescent="0.25">
      <c r="A287" s="16" t="s">
        <v>256</v>
      </c>
      <c r="B287" s="13" t="s">
        <v>13</v>
      </c>
      <c r="C287" s="16" t="s">
        <v>30</v>
      </c>
      <c r="D287" s="29">
        <v>44258</v>
      </c>
      <c r="E287" s="18" t="s">
        <v>23</v>
      </c>
      <c r="F287" s="18"/>
      <c r="G287" s="13"/>
      <c r="H287" s="29">
        <v>44264</v>
      </c>
      <c r="I287" s="13" t="s">
        <v>1011</v>
      </c>
      <c r="J287" s="13"/>
      <c r="K287" s="13" t="s">
        <v>26</v>
      </c>
      <c r="L287" s="13"/>
      <c r="M287" s="13"/>
      <c r="N287" s="13"/>
      <c r="O287" s="13"/>
      <c r="P287" s="13"/>
      <c r="Q287" s="13"/>
      <c r="R287" s="13"/>
      <c r="S287" s="13" t="s">
        <v>187</v>
      </c>
      <c r="T287" s="13"/>
      <c r="U287" s="13"/>
    </row>
    <row r="288" spans="1:23" x14ac:dyDescent="0.25">
      <c r="A288" s="16" t="s">
        <v>256</v>
      </c>
      <c r="B288" s="13" t="s">
        <v>13</v>
      </c>
      <c r="C288" s="16" t="s">
        <v>30</v>
      </c>
      <c r="D288" s="29">
        <v>44258</v>
      </c>
      <c r="E288" s="18" t="s">
        <v>23</v>
      </c>
      <c r="F288" s="18"/>
      <c r="G288" s="13"/>
      <c r="H288" s="29">
        <v>44264</v>
      </c>
      <c r="I288" s="13" t="s">
        <v>1012</v>
      </c>
      <c r="J288" s="13"/>
      <c r="K288" s="13" t="s">
        <v>75</v>
      </c>
      <c r="L288" s="13"/>
      <c r="M288" s="13"/>
      <c r="N288" s="13"/>
      <c r="O288" s="13"/>
      <c r="P288" s="13"/>
      <c r="Q288" s="13"/>
      <c r="R288" s="13"/>
      <c r="S288" s="13" t="s">
        <v>1026</v>
      </c>
      <c r="T288" s="13"/>
      <c r="U288" s="13"/>
    </row>
    <row r="289" spans="1:21" x14ac:dyDescent="0.25">
      <c r="A289" s="16" t="s">
        <v>256</v>
      </c>
      <c r="B289" s="13" t="s">
        <v>13</v>
      </c>
      <c r="C289" s="16" t="s">
        <v>30</v>
      </c>
      <c r="D289" s="29">
        <v>44258</v>
      </c>
      <c r="E289" s="18" t="s">
        <v>23</v>
      </c>
      <c r="F289" s="18"/>
      <c r="G289" s="13"/>
      <c r="H289" s="29">
        <v>44264</v>
      </c>
      <c r="I289" s="13" t="s">
        <v>1013</v>
      </c>
      <c r="J289" s="13"/>
      <c r="K289" s="13" t="s">
        <v>108</v>
      </c>
      <c r="L289" s="13"/>
      <c r="M289" s="13"/>
      <c r="N289" s="13"/>
      <c r="O289" s="13"/>
      <c r="P289" s="13"/>
      <c r="Q289" s="13"/>
      <c r="R289" s="13"/>
      <c r="S289" s="13" t="s">
        <v>188</v>
      </c>
      <c r="T289" s="13"/>
      <c r="U289" s="13"/>
    </row>
    <row r="290" spans="1:21" x14ac:dyDescent="0.25">
      <c r="A290" s="16" t="s">
        <v>256</v>
      </c>
      <c r="B290" s="13" t="s">
        <v>13</v>
      </c>
      <c r="C290" s="16" t="s">
        <v>30</v>
      </c>
      <c r="D290" s="29">
        <v>44258</v>
      </c>
      <c r="E290" s="18" t="s">
        <v>23</v>
      </c>
      <c r="F290" s="18"/>
      <c r="G290" s="13"/>
      <c r="H290" s="29">
        <v>44264</v>
      </c>
      <c r="I290" s="13" t="s">
        <v>1014</v>
      </c>
      <c r="J290" s="13"/>
      <c r="K290" s="13" t="s">
        <v>26</v>
      </c>
      <c r="L290" s="13"/>
      <c r="M290" s="13"/>
      <c r="N290" s="13"/>
      <c r="O290" s="13"/>
      <c r="P290" s="13"/>
      <c r="Q290" s="13"/>
      <c r="R290" s="13"/>
      <c r="S290" s="13" t="s">
        <v>187</v>
      </c>
      <c r="T290" s="13"/>
      <c r="U290" s="13"/>
    </row>
    <row r="291" spans="1:21" x14ac:dyDescent="0.25">
      <c r="A291" s="16" t="s">
        <v>256</v>
      </c>
      <c r="B291" s="13" t="s">
        <v>13</v>
      </c>
      <c r="C291" s="16" t="s">
        <v>30</v>
      </c>
      <c r="D291" s="29">
        <v>44258</v>
      </c>
      <c r="E291" s="18" t="s">
        <v>23</v>
      </c>
      <c r="F291" s="18"/>
      <c r="G291" s="13"/>
      <c r="H291" s="29">
        <v>44264</v>
      </c>
      <c r="I291" s="13" t="s">
        <v>1015</v>
      </c>
      <c r="J291" s="13"/>
      <c r="K291" s="13" t="s">
        <v>26</v>
      </c>
      <c r="L291" s="13"/>
      <c r="M291" s="13"/>
      <c r="N291" s="13"/>
      <c r="O291" s="13"/>
      <c r="P291" s="13"/>
      <c r="Q291" s="13"/>
      <c r="R291" s="13"/>
      <c r="S291" s="13" t="s">
        <v>187</v>
      </c>
      <c r="T291" s="13"/>
      <c r="U291" s="13"/>
    </row>
    <row r="292" spans="1:21" x14ac:dyDescent="0.25">
      <c r="A292" s="16" t="s">
        <v>256</v>
      </c>
      <c r="B292" s="13" t="s">
        <v>13</v>
      </c>
      <c r="C292" s="16" t="s">
        <v>30</v>
      </c>
      <c r="D292" s="29">
        <v>44258</v>
      </c>
      <c r="E292" s="18" t="s">
        <v>23</v>
      </c>
      <c r="F292" s="18"/>
      <c r="G292" s="13"/>
      <c r="H292" s="29">
        <v>44264</v>
      </c>
      <c r="I292" s="13" t="s">
        <v>1016</v>
      </c>
      <c r="J292" s="13"/>
      <c r="K292" s="13" t="s">
        <v>26</v>
      </c>
      <c r="L292" s="13"/>
      <c r="M292" s="13"/>
      <c r="N292" s="13"/>
      <c r="O292" s="13"/>
      <c r="P292" s="13"/>
      <c r="Q292" s="13"/>
      <c r="R292" s="13"/>
      <c r="S292" s="13" t="s">
        <v>187</v>
      </c>
      <c r="T292" s="13"/>
      <c r="U292" s="13"/>
    </row>
    <row r="293" spans="1:21" x14ac:dyDescent="0.25">
      <c r="A293" s="16" t="s">
        <v>256</v>
      </c>
      <c r="B293" s="13" t="s">
        <v>13</v>
      </c>
      <c r="C293" s="16" t="s">
        <v>30</v>
      </c>
      <c r="D293" s="29">
        <v>44258</v>
      </c>
      <c r="E293" s="18" t="s">
        <v>23</v>
      </c>
      <c r="F293" s="18"/>
      <c r="G293" s="13"/>
      <c r="H293" s="29">
        <v>44264</v>
      </c>
      <c r="I293" s="13" t="s">
        <v>1017</v>
      </c>
      <c r="J293" s="13"/>
      <c r="K293" s="13" t="s">
        <v>108</v>
      </c>
      <c r="L293" s="13"/>
      <c r="M293" s="13"/>
      <c r="N293" s="13"/>
      <c r="O293" s="13"/>
      <c r="P293" s="13"/>
      <c r="Q293" s="13"/>
      <c r="R293" s="13"/>
      <c r="S293" s="13" t="s">
        <v>334</v>
      </c>
      <c r="T293" s="13"/>
      <c r="U293" s="13"/>
    </row>
    <row r="294" spans="1:21" x14ac:dyDescent="0.25">
      <c r="A294" s="16" t="s">
        <v>256</v>
      </c>
      <c r="B294" s="13" t="s">
        <v>13</v>
      </c>
      <c r="C294" s="16" t="s">
        <v>30</v>
      </c>
      <c r="D294" s="29">
        <v>44258</v>
      </c>
      <c r="E294" s="18" t="s">
        <v>23</v>
      </c>
      <c r="F294" s="18"/>
      <c r="G294" s="13"/>
      <c r="H294" s="29">
        <v>44264</v>
      </c>
      <c r="I294" s="13" t="s">
        <v>1018</v>
      </c>
      <c r="J294" s="13"/>
      <c r="K294" s="13" t="s">
        <v>108</v>
      </c>
      <c r="L294" s="13"/>
      <c r="M294" s="13"/>
      <c r="N294" s="13"/>
      <c r="O294" s="13"/>
      <c r="P294" s="13"/>
      <c r="Q294" s="13"/>
      <c r="R294" s="13"/>
      <c r="S294" s="13" t="s">
        <v>334</v>
      </c>
      <c r="T294" s="13"/>
      <c r="U294" s="13"/>
    </row>
    <row r="295" spans="1:21" x14ac:dyDescent="0.25">
      <c r="A295" s="16" t="s">
        <v>256</v>
      </c>
      <c r="B295" s="13" t="s">
        <v>13</v>
      </c>
      <c r="C295" s="16" t="s">
        <v>30</v>
      </c>
      <c r="D295" s="29">
        <v>44258</v>
      </c>
      <c r="E295" s="18" t="s">
        <v>23</v>
      </c>
      <c r="F295" s="18"/>
      <c r="G295" s="13"/>
      <c r="H295" s="29">
        <v>44264</v>
      </c>
      <c r="I295" s="13" t="s">
        <v>1019</v>
      </c>
      <c r="J295" s="13"/>
      <c r="K295" s="13" t="s">
        <v>26</v>
      </c>
      <c r="L295" s="13"/>
      <c r="M295" s="13"/>
      <c r="N295" s="13"/>
      <c r="O295" s="13"/>
      <c r="P295" s="13"/>
      <c r="Q295" s="13"/>
      <c r="R295" s="13"/>
      <c r="S295" s="13" t="s">
        <v>569</v>
      </c>
      <c r="T295" s="13"/>
      <c r="U295" s="13"/>
    </row>
    <row r="296" spans="1:21" x14ac:dyDescent="0.25">
      <c r="A296" s="66" t="s">
        <v>256</v>
      </c>
      <c r="B296" s="13" t="s">
        <v>13</v>
      </c>
      <c r="C296" s="16" t="s">
        <v>30</v>
      </c>
      <c r="D296" s="29">
        <v>44258</v>
      </c>
      <c r="E296" s="18" t="s">
        <v>23</v>
      </c>
      <c r="F296" s="18"/>
      <c r="G296" s="13"/>
      <c r="H296" s="29">
        <v>44264</v>
      </c>
      <c r="I296" s="13" t="s">
        <v>1020</v>
      </c>
      <c r="J296" s="13"/>
      <c r="K296" s="13" t="s">
        <v>26</v>
      </c>
      <c r="L296" s="13"/>
      <c r="M296" s="13"/>
      <c r="N296" s="13"/>
      <c r="O296" s="13"/>
      <c r="P296" s="13"/>
      <c r="Q296" s="13"/>
      <c r="R296" s="13"/>
      <c r="S296" s="13" t="s">
        <v>569</v>
      </c>
      <c r="T296" s="13"/>
      <c r="U296" s="13"/>
    </row>
    <row r="297" spans="1:21" x14ac:dyDescent="0.25">
      <c r="A297" s="66" t="s">
        <v>256</v>
      </c>
      <c r="B297" s="13" t="s">
        <v>13</v>
      </c>
      <c r="C297" s="16" t="s">
        <v>30</v>
      </c>
      <c r="D297" s="29">
        <v>44258</v>
      </c>
      <c r="E297" s="18" t="s">
        <v>23</v>
      </c>
      <c r="F297" s="18"/>
      <c r="G297" s="13"/>
      <c r="H297" s="29">
        <v>44264</v>
      </c>
      <c r="I297" s="13" t="s">
        <v>1021</v>
      </c>
      <c r="J297" s="13"/>
      <c r="K297" s="13" t="s">
        <v>108</v>
      </c>
      <c r="L297" s="13"/>
      <c r="M297" s="13"/>
      <c r="N297" s="13"/>
      <c r="O297" s="13"/>
      <c r="P297" s="13"/>
      <c r="Q297" s="13"/>
      <c r="R297" s="13"/>
      <c r="S297" s="13" t="s">
        <v>334</v>
      </c>
      <c r="T297" s="13"/>
      <c r="U297" s="13"/>
    </row>
    <row r="298" spans="1:21" x14ac:dyDescent="0.25">
      <c r="A298" s="66" t="s">
        <v>256</v>
      </c>
      <c r="B298" s="13" t="s">
        <v>13</v>
      </c>
      <c r="C298" s="16" t="s">
        <v>30</v>
      </c>
      <c r="D298" s="29">
        <v>44258</v>
      </c>
      <c r="E298" s="18" t="s">
        <v>23</v>
      </c>
      <c r="F298" s="18"/>
      <c r="G298" s="13"/>
      <c r="H298" s="29">
        <v>44264</v>
      </c>
      <c r="I298" s="13" t="s">
        <v>1022</v>
      </c>
      <c r="J298" s="13"/>
      <c r="K298" s="13" t="s">
        <v>108</v>
      </c>
      <c r="L298" s="13"/>
      <c r="M298" s="13"/>
      <c r="N298" s="13"/>
      <c r="O298" s="13"/>
      <c r="P298" s="13"/>
      <c r="Q298" s="13"/>
      <c r="R298" s="13"/>
      <c r="S298" s="13" t="s">
        <v>334</v>
      </c>
      <c r="T298" s="13"/>
      <c r="U298" s="13"/>
    </row>
    <row r="299" spans="1:21" x14ac:dyDescent="0.25">
      <c r="A299" s="66" t="s">
        <v>256</v>
      </c>
      <c r="B299" s="13" t="s">
        <v>13</v>
      </c>
      <c r="C299" s="16" t="s">
        <v>30</v>
      </c>
      <c r="D299" s="29">
        <v>44258</v>
      </c>
      <c r="E299" s="18" t="s">
        <v>23</v>
      </c>
      <c r="F299" s="18"/>
      <c r="G299" s="13"/>
      <c r="H299" s="29">
        <v>44264</v>
      </c>
      <c r="I299" s="13" t="s">
        <v>1023</v>
      </c>
      <c r="J299" s="13"/>
      <c r="K299" s="13" t="s">
        <v>26</v>
      </c>
      <c r="L299" s="13"/>
      <c r="M299" s="13"/>
      <c r="N299" s="13"/>
      <c r="O299" s="13"/>
      <c r="P299" s="13"/>
      <c r="Q299" s="13"/>
      <c r="R299" s="13"/>
      <c r="S299" s="13" t="s">
        <v>569</v>
      </c>
      <c r="T299" s="13"/>
      <c r="U299" s="13"/>
    </row>
    <row r="300" spans="1:21" x14ac:dyDescent="0.25">
      <c r="A300" s="66" t="s">
        <v>256</v>
      </c>
      <c r="B300" s="13" t="s">
        <v>13</v>
      </c>
      <c r="C300" s="16" t="s">
        <v>30</v>
      </c>
      <c r="D300" s="29">
        <v>44258</v>
      </c>
      <c r="E300" s="18" t="s">
        <v>23</v>
      </c>
      <c r="F300" s="18"/>
      <c r="G300" s="13"/>
      <c r="H300" s="29">
        <v>44264</v>
      </c>
      <c r="I300" s="13" t="s">
        <v>1024</v>
      </c>
      <c r="J300" s="13"/>
      <c r="K300" s="13" t="s">
        <v>26</v>
      </c>
      <c r="L300" s="13"/>
      <c r="M300" s="13"/>
      <c r="N300" s="13"/>
      <c r="O300" s="13"/>
      <c r="P300" s="13"/>
      <c r="Q300" s="13"/>
      <c r="R300" s="13"/>
      <c r="S300" s="13" t="s">
        <v>569</v>
      </c>
      <c r="T300" s="13"/>
      <c r="U300" s="13"/>
    </row>
    <row r="301" spans="1:21" x14ac:dyDescent="0.25">
      <c r="A301" s="66" t="s">
        <v>256</v>
      </c>
      <c r="B301" s="13" t="s">
        <v>13</v>
      </c>
      <c r="C301" s="16" t="s">
        <v>30</v>
      </c>
      <c r="D301" s="29">
        <v>44258</v>
      </c>
      <c r="E301" s="18" t="s">
        <v>23</v>
      </c>
      <c r="F301" s="18"/>
      <c r="G301" s="13"/>
      <c r="H301" s="29">
        <v>44264</v>
      </c>
      <c r="I301" s="13" t="s">
        <v>1025</v>
      </c>
      <c r="J301" s="13"/>
      <c r="K301" s="13" t="s">
        <v>123</v>
      </c>
      <c r="L301" s="13"/>
      <c r="M301" s="13"/>
      <c r="N301" s="13"/>
      <c r="O301" s="13"/>
      <c r="P301" s="13"/>
      <c r="Q301" s="13"/>
      <c r="R301" s="13"/>
      <c r="S301" s="13" t="s">
        <v>186</v>
      </c>
      <c r="T301" s="13"/>
      <c r="U301" s="13"/>
    </row>
    <row r="302" spans="1:21" x14ac:dyDescent="0.25">
      <c r="A302" s="66" t="s">
        <v>1027</v>
      </c>
      <c r="B302" s="13" t="s">
        <v>13</v>
      </c>
      <c r="C302" s="16" t="s">
        <v>30</v>
      </c>
      <c r="D302" s="29">
        <v>44258</v>
      </c>
      <c r="E302" s="18" t="s">
        <v>23</v>
      </c>
      <c r="F302" s="18"/>
      <c r="G302" s="13"/>
      <c r="H302" s="29">
        <v>44264</v>
      </c>
      <c r="I302" s="13" t="s">
        <v>1028</v>
      </c>
      <c r="J302" s="13"/>
      <c r="K302" s="13" t="s">
        <v>123</v>
      </c>
      <c r="L302" s="13"/>
      <c r="M302" s="13"/>
      <c r="N302" s="13"/>
      <c r="O302" s="13"/>
      <c r="P302" s="13"/>
      <c r="Q302" s="13"/>
      <c r="R302" s="13"/>
      <c r="S302" s="13" t="s">
        <v>496</v>
      </c>
      <c r="T302" s="13"/>
      <c r="U302" s="13"/>
    </row>
    <row r="303" spans="1:21" x14ac:dyDescent="0.25">
      <c r="A303" s="66" t="s">
        <v>1027</v>
      </c>
      <c r="B303" s="13" t="s">
        <v>13</v>
      </c>
      <c r="C303" s="16" t="s">
        <v>30</v>
      </c>
      <c r="D303" s="29">
        <v>44258</v>
      </c>
      <c r="E303" s="18" t="s">
        <v>23</v>
      </c>
      <c r="F303" s="18"/>
      <c r="G303" s="13"/>
      <c r="H303" s="29">
        <v>44264</v>
      </c>
      <c r="I303" s="13" t="s">
        <v>1029</v>
      </c>
      <c r="J303" s="13"/>
      <c r="K303" s="13" t="s">
        <v>123</v>
      </c>
      <c r="L303" s="13"/>
      <c r="M303" s="13"/>
      <c r="N303" s="13"/>
      <c r="O303" s="13"/>
      <c r="P303" s="13"/>
      <c r="Q303" s="13"/>
      <c r="R303" s="13"/>
      <c r="S303" s="13" t="s">
        <v>496</v>
      </c>
      <c r="T303" s="13"/>
      <c r="U303" s="13"/>
    </row>
    <row r="304" spans="1:21" x14ac:dyDescent="0.25">
      <c r="A304" s="66" t="s">
        <v>1027</v>
      </c>
      <c r="B304" s="13" t="s">
        <v>13</v>
      </c>
      <c r="C304" s="16" t="s">
        <v>30</v>
      </c>
      <c r="D304" s="29">
        <v>44258</v>
      </c>
      <c r="E304" s="18" t="s">
        <v>23</v>
      </c>
      <c r="F304" s="18"/>
      <c r="G304" s="13"/>
      <c r="H304" s="29">
        <v>44264</v>
      </c>
      <c r="I304" s="13" t="s">
        <v>1030</v>
      </c>
      <c r="J304" s="13"/>
      <c r="K304" s="13" t="s">
        <v>108</v>
      </c>
      <c r="L304" s="13"/>
      <c r="M304" s="13"/>
      <c r="N304" s="13"/>
      <c r="O304" s="13"/>
      <c r="P304" s="13"/>
      <c r="Q304" s="13"/>
      <c r="R304" s="13"/>
      <c r="S304" s="13" t="s">
        <v>495</v>
      </c>
      <c r="T304" s="13"/>
      <c r="U304" s="13"/>
    </row>
    <row r="305" spans="1:21" x14ac:dyDescent="0.25">
      <c r="A305" s="66" t="s">
        <v>1027</v>
      </c>
      <c r="B305" s="13" t="s">
        <v>13</v>
      </c>
      <c r="C305" s="16" t="s">
        <v>30</v>
      </c>
      <c r="D305" s="29">
        <v>44258</v>
      </c>
      <c r="E305" s="18" t="s">
        <v>23</v>
      </c>
      <c r="F305" s="18"/>
      <c r="G305" s="13"/>
      <c r="H305" s="29">
        <v>44264</v>
      </c>
      <c r="I305" s="13" t="s">
        <v>1031</v>
      </c>
      <c r="J305" s="13"/>
      <c r="K305" s="13" t="s">
        <v>108</v>
      </c>
      <c r="L305" s="13"/>
      <c r="M305" s="13"/>
      <c r="N305" s="13"/>
      <c r="O305" s="13"/>
      <c r="P305" s="13"/>
      <c r="Q305" s="13"/>
      <c r="R305" s="13"/>
      <c r="S305" s="13" t="s">
        <v>495</v>
      </c>
      <c r="T305" s="13"/>
      <c r="U305" s="13"/>
    </row>
    <row r="306" spans="1:21" x14ac:dyDescent="0.25">
      <c r="A306" s="66" t="s">
        <v>1027</v>
      </c>
      <c r="B306" s="13" t="s">
        <v>13</v>
      </c>
      <c r="C306" s="16" t="s">
        <v>30</v>
      </c>
      <c r="D306" s="29">
        <v>44258</v>
      </c>
      <c r="E306" s="18" t="s">
        <v>23</v>
      </c>
      <c r="F306" s="18"/>
      <c r="G306" s="13"/>
      <c r="H306" s="29">
        <v>44264</v>
      </c>
      <c r="I306" s="13" t="s">
        <v>1032</v>
      </c>
      <c r="J306" s="13"/>
      <c r="K306" s="13" t="s">
        <v>108</v>
      </c>
      <c r="L306" s="13"/>
      <c r="M306" s="13"/>
      <c r="N306" s="13"/>
      <c r="O306" s="13"/>
      <c r="P306" s="13"/>
      <c r="Q306" s="13"/>
      <c r="R306" s="13"/>
      <c r="S306" s="13" t="s">
        <v>269</v>
      </c>
      <c r="T306" s="13"/>
      <c r="U306" s="13"/>
    </row>
    <row r="307" spans="1:21" x14ac:dyDescent="0.25">
      <c r="A307" s="66" t="s">
        <v>1027</v>
      </c>
      <c r="B307" s="13" t="s">
        <v>13</v>
      </c>
      <c r="C307" s="16" t="s">
        <v>30</v>
      </c>
      <c r="D307" s="29">
        <v>44258</v>
      </c>
      <c r="E307" s="18" t="s">
        <v>23</v>
      </c>
      <c r="F307" s="18"/>
      <c r="G307" s="13"/>
      <c r="H307" s="29">
        <v>44264</v>
      </c>
      <c r="I307" s="13" t="s">
        <v>1033</v>
      </c>
      <c r="J307" s="13"/>
      <c r="K307" s="13" t="s">
        <v>108</v>
      </c>
      <c r="L307" s="13"/>
      <c r="M307" s="13"/>
      <c r="N307" s="13"/>
      <c r="O307" s="13"/>
      <c r="P307" s="13"/>
      <c r="Q307" s="13"/>
      <c r="R307" s="13"/>
      <c r="S307" s="13" t="s">
        <v>269</v>
      </c>
      <c r="T307" s="13"/>
      <c r="U307" s="13"/>
    </row>
    <row r="308" spans="1:21" x14ac:dyDescent="0.25">
      <c r="A308" s="66" t="s">
        <v>1027</v>
      </c>
      <c r="B308" s="13" t="s">
        <v>13</v>
      </c>
      <c r="C308" s="16" t="s">
        <v>30</v>
      </c>
      <c r="D308" s="29">
        <v>44258</v>
      </c>
      <c r="E308" s="18" t="s">
        <v>23</v>
      </c>
      <c r="F308" s="18"/>
      <c r="G308" s="13"/>
      <c r="H308" s="29">
        <v>44264</v>
      </c>
      <c r="I308" s="13" t="s">
        <v>1034</v>
      </c>
      <c r="J308" s="13"/>
      <c r="K308" s="13" t="s">
        <v>26</v>
      </c>
      <c r="L308" s="13"/>
      <c r="M308" s="13"/>
      <c r="N308" s="13"/>
      <c r="O308" s="13"/>
      <c r="P308" s="13"/>
      <c r="Q308" s="13"/>
      <c r="R308" s="13"/>
      <c r="S308" s="13" t="s">
        <v>494</v>
      </c>
      <c r="T308" s="13"/>
      <c r="U308" s="13"/>
    </row>
    <row r="309" spans="1:21" x14ac:dyDescent="0.25">
      <c r="A309" s="66" t="s">
        <v>1027</v>
      </c>
      <c r="B309" s="13" t="s">
        <v>13</v>
      </c>
      <c r="C309" s="16" t="s">
        <v>30</v>
      </c>
      <c r="D309" s="29">
        <v>44258</v>
      </c>
      <c r="E309" s="18" t="s">
        <v>23</v>
      </c>
      <c r="F309" s="18"/>
      <c r="G309" s="13"/>
      <c r="H309" s="29">
        <v>44264</v>
      </c>
      <c r="I309" s="13" t="s">
        <v>1035</v>
      </c>
      <c r="J309" s="13"/>
      <c r="K309" s="13" t="s">
        <v>26</v>
      </c>
      <c r="L309" s="13"/>
      <c r="M309" s="13"/>
      <c r="N309" s="13"/>
      <c r="O309" s="13"/>
      <c r="P309" s="13"/>
      <c r="Q309" s="13"/>
      <c r="R309" s="13"/>
      <c r="S309" s="13" t="s">
        <v>1036</v>
      </c>
      <c r="T309" s="13"/>
      <c r="U309" s="13"/>
    </row>
    <row r="310" spans="1:21" x14ac:dyDescent="0.25">
      <c r="A310" s="16" t="s">
        <v>260</v>
      </c>
      <c r="B310" s="13" t="s">
        <v>13</v>
      </c>
      <c r="C310" s="16" t="s">
        <v>30</v>
      </c>
      <c r="D310" s="29">
        <v>44258</v>
      </c>
      <c r="E310" s="18" t="s">
        <v>23</v>
      </c>
      <c r="F310" s="18"/>
      <c r="G310" s="13"/>
      <c r="H310" s="29">
        <v>44264</v>
      </c>
      <c r="I310" s="13" t="s">
        <v>1037</v>
      </c>
      <c r="J310" s="13"/>
      <c r="K310" s="13" t="s">
        <v>54</v>
      </c>
      <c r="L310" s="13"/>
      <c r="M310" s="13"/>
      <c r="N310" s="13"/>
      <c r="O310" s="13"/>
      <c r="P310" s="13"/>
      <c r="Q310" s="13"/>
      <c r="R310" s="13"/>
      <c r="S310" s="13" t="s">
        <v>1045</v>
      </c>
      <c r="T310" s="13"/>
      <c r="U310" s="13"/>
    </row>
    <row r="311" spans="1:21" x14ac:dyDescent="0.25">
      <c r="A311" s="16" t="s">
        <v>260</v>
      </c>
      <c r="B311" s="13" t="s">
        <v>13</v>
      </c>
      <c r="C311" s="16" t="s">
        <v>30</v>
      </c>
      <c r="D311" s="29">
        <v>44258</v>
      </c>
      <c r="E311" s="18" t="s">
        <v>23</v>
      </c>
      <c r="F311" s="18"/>
      <c r="G311" s="13"/>
      <c r="H311" s="29">
        <v>44264</v>
      </c>
      <c r="I311" s="13" t="s">
        <v>1038</v>
      </c>
      <c r="J311" s="13"/>
      <c r="K311" s="13" t="s">
        <v>106</v>
      </c>
      <c r="L311" s="13"/>
      <c r="M311" s="13"/>
      <c r="N311" s="13"/>
      <c r="O311" s="13"/>
      <c r="P311" s="13"/>
      <c r="Q311" s="13"/>
      <c r="R311" s="13"/>
      <c r="S311" s="13" t="s">
        <v>333</v>
      </c>
      <c r="T311" s="13"/>
      <c r="U311" s="13"/>
    </row>
    <row r="312" spans="1:21" x14ac:dyDescent="0.25">
      <c r="A312" s="16" t="s">
        <v>260</v>
      </c>
      <c r="B312" s="13" t="s">
        <v>13</v>
      </c>
      <c r="C312" s="16" t="s">
        <v>30</v>
      </c>
      <c r="D312" s="29">
        <v>44258</v>
      </c>
      <c r="E312" s="18" t="s">
        <v>23</v>
      </c>
      <c r="F312" s="18"/>
      <c r="G312" s="13"/>
      <c r="H312" s="29">
        <v>44264</v>
      </c>
      <c r="I312" s="13" t="s">
        <v>1039</v>
      </c>
      <c r="J312" s="13"/>
      <c r="K312" s="13" t="s">
        <v>54</v>
      </c>
      <c r="L312" s="13"/>
      <c r="M312" s="13"/>
      <c r="N312" s="13"/>
      <c r="O312" s="13"/>
      <c r="P312" s="13"/>
      <c r="Q312" s="13"/>
      <c r="R312" s="13"/>
      <c r="S312" s="13" t="s">
        <v>122</v>
      </c>
      <c r="T312" s="13"/>
      <c r="U312" s="13"/>
    </row>
    <row r="313" spans="1:21" x14ac:dyDescent="0.25">
      <c r="A313" s="16" t="s">
        <v>260</v>
      </c>
      <c r="B313" s="13" t="s">
        <v>13</v>
      </c>
      <c r="C313" s="16" t="s">
        <v>30</v>
      </c>
      <c r="D313" s="29">
        <v>44258</v>
      </c>
      <c r="E313" s="18" t="s">
        <v>23</v>
      </c>
      <c r="F313" s="18"/>
      <c r="G313" s="13"/>
      <c r="H313" s="29">
        <v>44264</v>
      </c>
      <c r="I313" s="13" t="s">
        <v>1040</v>
      </c>
      <c r="J313" s="13"/>
      <c r="K313" s="13" t="s">
        <v>108</v>
      </c>
      <c r="L313" s="13"/>
      <c r="M313" s="13"/>
      <c r="N313" s="13"/>
      <c r="O313" s="13"/>
      <c r="P313" s="13"/>
      <c r="Q313" s="13"/>
      <c r="R313" s="13"/>
      <c r="S313" s="13" t="s">
        <v>581</v>
      </c>
      <c r="T313" s="13"/>
      <c r="U313" s="13"/>
    </row>
    <row r="314" spans="1:21" x14ac:dyDescent="0.25">
      <c r="A314" s="16" t="s">
        <v>260</v>
      </c>
      <c r="B314" s="13" t="s">
        <v>13</v>
      </c>
      <c r="C314" s="16" t="s">
        <v>30</v>
      </c>
      <c r="D314" s="29">
        <v>44258</v>
      </c>
      <c r="E314" s="18" t="s">
        <v>23</v>
      </c>
      <c r="F314" s="18"/>
      <c r="G314" s="13"/>
      <c r="H314" s="29">
        <v>44264</v>
      </c>
      <c r="I314" s="13" t="s">
        <v>1041</v>
      </c>
      <c r="J314" s="13"/>
      <c r="K314" s="13" t="s">
        <v>108</v>
      </c>
      <c r="L314" s="13"/>
      <c r="M314" s="13"/>
      <c r="N314" s="13"/>
      <c r="O314" s="13"/>
      <c r="P314" s="13"/>
      <c r="Q314" s="13"/>
      <c r="R314" s="13"/>
      <c r="S314" s="13" t="s">
        <v>581</v>
      </c>
      <c r="T314" s="13"/>
      <c r="U314" s="13"/>
    </row>
    <row r="315" spans="1:21" x14ac:dyDescent="0.25">
      <c r="A315" s="16" t="s">
        <v>260</v>
      </c>
      <c r="B315" s="13" t="s">
        <v>13</v>
      </c>
      <c r="C315" s="16" t="s">
        <v>30</v>
      </c>
      <c r="D315" s="29">
        <v>44258</v>
      </c>
      <c r="E315" s="18" t="s">
        <v>23</v>
      </c>
      <c r="F315" s="18"/>
      <c r="G315" s="13"/>
      <c r="H315" s="29">
        <v>44264</v>
      </c>
      <c r="I315" s="13" t="s">
        <v>1042</v>
      </c>
      <c r="J315" s="13"/>
      <c r="K315" s="13" t="s">
        <v>123</v>
      </c>
      <c r="L315" s="13"/>
      <c r="M315" s="13"/>
      <c r="N315" s="13"/>
      <c r="O315" s="13"/>
      <c r="P315" s="13"/>
      <c r="Q315" s="13"/>
      <c r="R315" s="13"/>
      <c r="S315" s="13" t="s">
        <v>1046</v>
      </c>
      <c r="T315" s="13"/>
      <c r="U315" s="13"/>
    </row>
    <row r="316" spans="1:21" x14ac:dyDescent="0.25">
      <c r="A316" s="16" t="s">
        <v>260</v>
      </c>
      <c r="B316" s="13" t="s">
        <v>13</v>
      </c>
      <c r="C316" s="16" t="s">
        <v>30</v>
      </c>
      <c r="D316" s="29">
        <v>44258</v>
      </c>
      <c r="E316" s="18" t="s">
        <v>23</v>
      </c>
      <c r="F316" s="18"/>
      <c r="G316" s="13"/>
      <c r="H316" s="29">
        <v>44264</v>
      </c>
      <c r="I316" s="13" t="s">
        <v>1043</v>
      </c>
      <c r="J316" s="13"/>
      <c r="K316" s="13" t="s">
        <v>26</v>
      </c>
      <c r="L316" s="13"/>
      <c r="M316" s="13"/>
      <c r="N316" s="13"/>
      <c r="O316" s="13"/>
      <c r="P316" s="13"/>
      <c r="Q316" s="13"/>
      <c r="R316" s="13"/>
      <c r="S316" s="13" t="s">
        <v>960</v>
      </c>
      <c r="T316" s="13"/>
      <c r="U316" s="13"/>
    </row>
    <row r="317" spans="1:21" x14ac:dyDescent="0.25">
      <c r="A317" s="16" t="s">
        <v>260</v>
      </c>
      <c r="B317" s="13" t="s">
        <v>13</v>
      </c>
      <c r="C317" s="16" t="s">
        <v>30</v>
      </c>
      <c r="D317" s="29">
        <v>44258</v>
      </c>
      <c r="E317" s="18" t="s">
        <v>23</v>
      </c>
      <c r="F317" s="18"/>
      <c r="G317" s="13"/>
      <c r="H317" s="29">
        <v>44264</v>
      </c>
      <c r="I317" s="13" t="s">
        <v>1044</v>
      </c>
      <c r="J317" s="13"/>
      <c r="K317" s="13" t="s">
        <v>26</v>
      </c>
      <c r="L317" s="13"/>
      <c r="M317" s="13"/>
      <c r="N317" s="13"/>
      <c r="O317" s="13"/>
      <c r="P317" s="13"/>
      <c r="Q317" s="13"/>
      <c r="R317" s="13"/>
      <c r="S317" s="13" t="s">
        <v>960</v>
      </c>
      <c r="T317" s="13"/>
      <c r="U317" s="13"/>
    </row>
    <row r="318" spans="1:21" x14ac:dyDescent="0.25">
      <c r="A318" s="16" t="s">
        <v>1047</v>
      </c>
      <c r="B318" s="13" t="s">
        <v>13</v>
      </c>
      <c r="C318" s="16" t="s">
        <v>548</v>
      </c>
      <c r="D318" s="29">
        <v>44260</v>
      </c>
      <c r="E318" s="18" t="s">
        <v>23</v>
      </c>
      <c r="F318" s="18"/>
      <c r="G318" s="13"/>
      <c r="H318" s="29">
        <v>44267</v>
      </c>
      <c r="I318" s="13" t="s">
        <v>1048</v>
      </c>
      <c r="J318" s="13" t="s">
        <v>1051</v>
      </c>
      <c r="K318" s="13"/>
      <c r="L318" s="13"/>
      <c r="M318" s="13"/>
      <c r="N318" s="13"/>
      <c r="O318" s="13"/>
      <c r="P318" s="13"/>
      <c r="Q318" s="13" t="s">
        <v>1057</v>
      </c>
      <c r="R318" s="13"/>
      <c r="S318" s="13" t="s">
        <v>1054</v>
      </c>
      <c r="T318" s="13"/>
      <c r="U318" s="13"/>
    </row>
    <row r="319" spans="1:21" x14ac:dyDescent="0.25">
      <c r="A319" s="16" t="s">
        <v>1047</v>
      </c>
      <c r="B319" s="13" t="s">
        <v>13</v>
      </c>
      <c r="C319" s="16" t="s">
        <v>548</v>
      </c>
      <c r="D319" s="29">
        <v>44260</v>
      </c>
      <c r="E319" s="18" t="s">
        <v>23</v>
      </c>
      <c r="F319" s="18"/>
      <c r="G319" s="13"/>
      <c r="H319" s="29">
        <v>44267</v>
      </c>
      <c r="I319" s="13" t="s">
        <v>1049</v>
      </c>
      <c r="J319" s="13" t="s">
        <v>1052</v>
      </c>
      <c r="K319" s="13"/>
      <c r="L319" s="13"/>
      <c r="M319" s="13"/>
      <c r="N319" s="13"/>
      <c r="O319" s="13"/>
      <c r="P319" s="13"/>
      <c r="Q319" s="13" t="s">
        <v>1058</v>
      </c>
      <c r="R319" s="13"/>
      <c r="S319" s="13" t="s">
        <v>1055</v>
      </c>
      <c r="T319" s="13"/>
      <c r="U319" s="13"/>
    </row>
    <row r="320" spans="1:21" x14ac:dyDescent="0.25">
      <c r="A320" s="16" t="s">
        <v>1047</v>
      </c>
      <c r="B320" s="13" t="s">
        <v>13</v>
      </c>
      <c r="C320" s="16" t="s">
        <v>548</v>
      </c>
      <c r="D320" s="29">
        <v>44260</v>
      </c>
      <c r="E320" s="18" t="s">
        <v>23</v>
      </c>
      <c r="F320" s="18"/>
      <c r="G320" s="13" t="s">
        <v>1122</v>
      </c>
      <c r="H320" s="29">
        <v>44267</v>
      </c>
      <c r="I320" s="13" t="s">
        <v>1050</v>
      </c>
      <c r="J320" s="13" t="s">
        <v>1053</v>
      </c>
      <c r="K320" s="13"/>
      <c r="L320" s="13"/>
      <c r="M320" s="13"/>
      <c r="N320" s="13"/>
      <c r="O320" s="13"/>
      <c r="P320" s="13"/>
      <c r="Q320" s="13" t="s">
        <v>1059</v>
      </c>
      <c r="R320" s="13"/>
      <c r="S320" s="13" t="s">
        <v>1056</v>
      </c>
      <c r="T320" s="13"/>
      <c r="U320" s="13"/>
    </row>
    <row r="321" spans="1:21" x14ac:dyDescent="0.25">
      <c r="A321" s="16" t="s">
        <v>1060</v>
      </c>
      <c r="B321" s="13" t="s">
        <v>13</v>
      </c>
      <c r="C321" s="16" t="s">
        <v>15</v>
      </c>
      <c r="D321" s="29">
        <v>44260</v>
      </c>
      <c r="E321" s="18" t="s">
        <v>23</v>
      </c>
      <c r="F321" s="18"/>
      <c r="G321" s="13"/>
      <c r="H321" s="29">
        <v>44267</v>
      </c>
      <c r="I321" s="42" t="s">
        <v>89</v>
      </c>
      <c r="J321" s="13"/>
      <c r="K321" s="13">
        <v>48</v>
      </c>
      <c r="L321" s="13"/>
      <c r="M321" s="13"/>
      <c r="N321" s="13"/>
      <c r="O321" s="13"/>
      <c r="P321" s="13"/>
      <c r="Q321" s="13"/>
      <c r="R321" s="13"/>
      <c r="S321" s="13">
        <v>34992</v>
      </c>
      <c r="T321" s="13"/>
      <c r="U321" s="13"/>
    </row>
    <row r="322" spans="1:21" x14ac:dyDescent="0.25">
      <c r="A322" s="16">
        <v>107</v>
      </c>
      <c r="B322" s="13" t="s">
        <v>13</v>
      </c>
      <c r="C322" s="16" t="s">
        <v>32</v>
      </c>
      <c r="D322" s="29">
        <v>44260</v>
      </c>
      <c r="E322" s="18" t="s">
        <v>23</v>
      </c>
      <c r="F322" s="18"/>
      <c r="G322" s="13"/>
      <c r="H322" s="29">
        <v>44267</v>
      </c>
      <c r="I322" s="13" t="s">
        <v>602</v>
      </c>
      <c r="J322" s="13">
        <v>148.4</v>
      </c>
      <c r="K322" s="13" t="s">
        <v>228</v>
      </c>
      <c r="L322" s="13">
        <v>0.25659999999999999</v>
      </c>
      <c r="M322" s="13">
        <v>0.68899999999999995</v>
      </c>
      <c r="N322" s="13">
        <v>38.0794</v>
      </c>
      <c r="O322" s="13">
        <v>102.24760000000001</v>
      </c>
      <c r="P322" s="13">
        <v>4.95</v>
      </c>
      <c r="Q322" s="13">
        <v>53.12</v>
      </c>
      <c r="R322" s="13">
        <v>207</v>
      </c>
      <c r="S322" s="13">
        <v>7882.44</v>
      </c>
      <c r="T322" s="13"/>
      <c r="U322" s="13"/>
    </row>
    <row r="323" spans="1:21" x14ac:dyDescent="0.25">
      <c r="A323" s="16">
        <v>107</v>
      </c>
      <c r="B323" s="13" t="s">
        <v>13</v>
      </c>
      <c r="C323" s="16" t="s">
        <v>32</v>
      </c>
      <c r="D323" s="29">
        <v>44260</v>
      </c>
      <c r="E323" s="18" t="s">
        <v>23</v>
      </c>
      <c r="F323" s="18"/>
      <c r="G323" s="13"/>
      <c r="H323" s="29">
        <v>44267</v>
      </c>
      <c r="I323" s="13" t="s">
        <v>640</v>
      </c>
      <c r="J323" s="13">
        <v>282.2</v>
      </c>
      <c r="K323" s="13" t="s">
        <v>323</v>
      </c>
      <c r="L323" s="13">
        <v>0.12230000000000001</v>
      </c>
      <c r="M323" s="13">
        <v>0.16200000000000001</v>
      </c>
      <c r="N323" s="13">
        <v>34.513100000000001</v>
      </c>
      <c r="O323" s="13">
        <v>45.7164</v>
      </c>
      <c r="P323" s="13">
        <v>4.49</v>
      </c>
      <c r="Q323" s="13">
        <v>25.32</v>
      </c>
      <c r="R323" s="13">
        <v>207</v>
      </c>
      <c r="S323" s="13">
        <v>7144.2</v>
      </c>
      <c r="T323" s="13"/>
      <c r="U323" s="13"/>
    </row>
    <row r="324" spans="1:21" x14ac:dyDescent="0.25">
      <c r="A324" s="16">
        <v>108</v>
      </c>
      <c r="B324" s="13" t="s">
        <v>13</v>
      </c>
      <c r="C324" s="16" t="s">
        <v>32</v>
      </c>
      <c r="D324" s="29">
        <v>44260</v>
      </c>
      <c r="E324" s="18" t="s">
        <v>23</v>
      </c>
      <c r="F324" s="18"/>
      <c r="G324" s="13"/>
      <c r="H324" s="29">
        <v>44267</v>
      </c>
      <c r="I324" s="13" t="s">
        <v>602</v>
      </c>
      <c r="J324" s="13">
        <v>148.4</v>
      </c>
      <c r="K324" s="13" t="s">
        <v>228</v>
      </c>
      <c r="L324" s="13">
        <v>0.25659999999999999</v>
      </c>
      <c r="M324" s="13">
        <v>0.68899999999999995</v>
      </c>
      <c r="N324" s="13">
        <v>38.0794</v>
      </c>
      <c r="O324" s="13">
        <v>102.24760000000001</v>
      </c>
      <c r="P324" s="13">
        <v>4.95</v>
      </c>
      <c r="Q324" s="13">
        <v>53.12</v>
      </c>
      <c r="R324" s="13">
        <v>207</v>
      </c>
      <c r="S324" s="13">
        <v>7882.44</v>
      </c>
      <c r="T324" s="13"/>
      <c r="U324" s="13"/>
    </row>
    <row r="325" spans="1:21" x14ac:dyDescent="0.25">
      <c r="A325" s="16">
        <v>108</v>
      </c>
      <c r="B325" s="13" t="s">
        <v>13</v>
      </c>
      <c r="C325" s="16" t="s">
        <v>32</v>
      </c>
      <c r="D325" s="29">
        <v>44260</v>
      </c>
      <c r="E325" s="18" t="s">
        <v>23</v>
      </c>
      <c r="F325" s="18"/>
      <c r="G325" s="13"/>
      <c r="H325" s="29">
        <v>44267</v>
      </c>
      <c r="I325" s="13" t="s">
        <v>640</v>
      </c>
      <c r="J325" s="13">
        <v>282.2</v>
      </c>
      <c r="K325" s="13" t="s">
        <v>323</v>
      </c>
      <c r="L325" s="13">
        <v>0.12230000000000001</v>
      </c>
      <c r="M325" s="13">
        <v>0.16200000000000001</v>
      </c>
      <c r="N325" s="13">
        <v>34.513100000000001</v>
      </c>
      <c r="O325" s="13">
        <v>45.7164</v>
      </c>
      <c r="P325" s="13">
        <v>4.49</v>
      </c>
      <c r="Q325" s="13">
        <v>25.32</v>
      </c>
      <c r="R325" s="13">
        <v>207</v>
      </c>
      <c r="S325" s="13">
        <v>7144.2</v>
      </c>
      <c r="T325" s="13"/>
      <c r="U325" s="13"/>
    </row>
    <row r="326" spans="1:21" x14ac:dyDescent="0.25">
      <c r="A326" s="16" t="s">
        <v>1061</v>
      </c>
      <c r="B326" s="13" t="s">
        <v>13</v>
      </c>
      <c r="C326" s="16" t="s">
        <v>30</v>
      </c>
      <c r="D326" s="29">
        <v>44264</v>
      </c>
      <c r="E326" s="18" t="s">
        <v>23</v>
      </c>
      <c r="F326" s="18"/>
      <c r="G326" s="13"/>
      <c r="H326" s="29">
        <v>44271</v>
      </c>
      <c r="I326" s="13" t="s">
        <v>1062</v>
      </c>
      <c r="J326" s="13"/>
      <c r="K326" s="16" t="s">
        <v>108</v>
      </c>
      <c r="L326" s="13"/>
      <c r="M326" s="13"/>
      <c r="N326" s="13"/>
      <c r="O326" s="13"/>
      <c r="P326" s="13"/>
      <c r="Q326" s="13"/>
      <c r="R326" s="13"/>
      <c r="S326" s="13" t="s">
        <v>182</v>
      </c>
      <c r="T326" s="13"/>
      <c r="U326" s="13"/>
    </row>
    <row r="327" spans="1:21" x14ac:dyDescent="0.25">
      <c r="A327" s="16" t="s">
        <v>1061</v>
      </c>
      <c r="B327" s="13" t="s">
        <v>13</v>
      </c>
      <c r="C327" s="16" t="s">
        <v>30</v>
      </c>
      <c r="D327" s="29">
        <v>44264</v>
      </c>
      <c r="E327" s="18" t="s">
        <v>23</v>
      </c>
      <c r="F327" s="18"/>
      <c r="G327" s="13"/>
      <c r="H327" s="29">
        <v>44271</v>
      </c>
      <c r="I327" s="13" t="s">
        <v>1063</v>
      </c>
      <c r="J327" s="13"/>
      <c r="K327" s="16" t="s">
        <v>108</v>
      </c>
      <c r="L327" s="13"/>
      <c r="M327" s="13"/>
      <c r="N327" s="13"/>
      <c r="O327" s="13"/>
      <c r="P327" s="13"/>
      <c r="Q327" s="13"/>
      <c r="R327" s="13"/>
      <c r="S327" s="13" t="s">
        <v>182</v>
      </c>
      <c r="T327" s="13"/>
      <c r="U327" s="13"/>
    </row>
    <row r="328" spans="1:21" x14ac:dyDescent="0.25">
      <c r="A328" s="16" t="s">
        <v>1061</v>
      </c>
      <c r="B328" s="13" t="s">
        <v>13</v>
      </c>
      <c r="C328" s="16" t="s">
        <v>30</v>
      </c>
      <c r="D328" s="29">
        <v>44264</v>
      </c>
      <c r="E328" s="18" t="s">
        <v>23</v>
      </c>
      <c r="F328" s="18"/>
      <c r="G328" s="13"/>
      <c r="H328" s="29">
        <v>44271</v>
      </c>
      <c r="I328" s="13" t="s">
        <v>1065</v>
      </c>
      <c r="J328" s="13"/>
      <c r="K328" s="16" t="s">
        <v>108</v>
      </c>
      <c r="L328" s="13"/>
      <c r="M328" s="13"/>
      <c r="N328" s="13"/>
      <c r="O328" s="13"/>
      <c r="P328" s="13"/>
      <c r="Q328" s="13"/>
      <c r="R328" s="13"/>
      <c r="S328" s="13"/>
      <c r="T328" s="13"/>
      <c r="U328" s="13"/>
    </row>
    <row r="329" spans="1:21" x14ac:dyDescent="0.25">
      <c r="A329" s="16" t="s">
        <v>1061</v>
      </c>
      <c r="B329" s="13" t="s">
        <v>13</v>
      </c>
      <c r="C329" s="16" t="s">
        <v>30</v>
      </c>
      <c r="D329" s="29">
        <v>44264</v>
      </c>
      <c r="E329" s="18" t="s">
        <v>23</v>
      </c>
      <c r="F329" s="18"/>
      <c r="G329" s="13"/>
      <c r="H329" s="29">
        <v>44271</v>
      </c>
      <c r="I329" s="13" t="s">
        <v>1066</v>
      </c>
      <c r="J329" s="13"/>
      <c r="K329" s="16" t="s">
        <v>108</v>
      </c>
      <c r="L329" s="13"/>
      <c r="M329" s="13"/>
      <c r="N329" s="13"/>
      <c r="O329" s="13"/>
      <c r="P329" s="13"/>
      <c r="Q329" s="13"/>
      <c r="R329" s="13"/>
      <c r="S329" s="13"/>
      <c r="T329" s="13"/>
      <c r="U329" s="13"/>
    </row>
    <row r="330" spans="1:21" x14ac:dyDescent="0.25">
      <c r="A330" s="16" t="s">
        <v>1061</v>
      </c>
      <c r="B330" s="13" t="s">
        <v>13</v>
      </c>
      <c r="C330" s="16" t="s">
        <v>30</v>
      </c>
      <c r="D330" s="29">
        <v>44264</v>
      </c>
      <c r="E330" s="18" t="s">
        <v>23</v>
      </c>
      <c r="F330" s="18"/>
      <c r="G330" s="13"/>
      <c r="H330" s="29">
        <v>44271</v>
      </c>
      <c r="I330" s="13" t="s">
        <v>1067</v>
      </c>
      <c r="J330" s="13"/>
      <c r="K330" s="16" t="s">
        <v>108</v>
      </c>
      <c r="L330" s="13"/>
      <c r="M330" s="13"/>
      <c r="N330" s="13"/>
      <c r="O330" s="13"/>
      <c r="P330" s="13"/>
      <c r="Q330" s="13"/>
      <c r="R330" s="13"/>
      <c r="S330" s="13"/>
      <c r="T330" s="13"/>
      <c r="U330" s="13"/>
    </row>
    <row r="331" spans="1:21" x14ac:dyDescent="0.25">
      <c r="A331" s="16" t="s">
        <v>1061</v>
      </c>
      <c r="B331" s="13" t="s">
        <v>13</v>
      </c>
      <c r="C331" s="16" t="s">
        <v>30</v>
      </c>
      <c r="D331" s="29">
        <v>44264</v>
      </c>
      <c r="E331" s="18" t="s">
        <v>23</v>
      </c>
      <c r="F331" s="18"/>
      <c r="G331" s="13"/>
      <c r="H331" s="29">
        <v>44271</v>
      </c>
      <c r="I331" s="13" t="s">
        <v>1064</v>
      </c>
      <c r="J331" s="13"/>
      <c r="K331" s="16" t="s">
        <v>108</v>
      </c>
      <c r="L331" s="13"/>
      <c r="M331" s="13"/>
      <c r="N331" s="13"/>
      <c r="O331" s="13"/>
      <c r="P331" s="13"/>
      <c r="Q331" s="13"/>
      <c r="R331" s="13"/>
      <c r="S331" s="13" t="s">
        <v>724</v>
      </c>
      <c r="T331" s="13"/>
      <c r="U331" s="13"/>
    </row>
    <row r="332" spans="1:21" x14ac:dyDescent="0.25">
      <c r="A332" s="16" t="s">
        <v>265</v>
      </c>
      <c r="B332" s="13" t="s">
        <v>13</v>
      </c>
      <c r="C332" s="16" t="s">
        <v>30</v>
      </c>
      <c r="D332" s="29">
        <v>44264</v>
      </c>
      <c r="E332" s="18" t="s">
        <v>23</v>
      </c>
      <c r="F332" s="18"/>
      <c r="G332" s="13"/>
      <c r="H332" s="29">
        <v>44271</v>
      </c>
      <c r="I332" s="13" t="s">
        <v>214</v>
      </c>
      <c r="J332" s="13"/>
      <c r="K332" s="13" t="s">
        <v>75</v>
      </c>
      <c r="L332" s="13"/>
      <c r="M332" s="13"/>
      <c r="N332" s="13"/>
      <c r="O332" s="13"/>
      <c r="P332" s="13"/>
      <c r="Q332" s="13"/>
      <c r="R332" s="13"/>
      <c r="S332" s="13" t="s">
        <v>1071</v>
      </c>
      <c r="T332" s="13"/>
      <c r="U332" s="13"/>
    </row>
    <row r="333" spans="1:21" x14ac:dyDescent="0.25">
      <c r="A333" s="16" t="s">
        <v>265</v>
      </c>
      <c r="B333" s="13" t="s">
        <v>13</v>
      </c>
      <c r="C333" s="16" t="s">
        <v>30</v>
      </c>
      <c r="D333" s="29">
        <v>44264</v>
      </c>
      <c r="E333" s="18" t="s">
        <v>23</v>
      </c>
      <c r="F333" s="18"/>
      <c r="G333" s="13"/>
      <c r="H333" s="29">
        <v>44271</v>
      </c>
      <c r="I333" s="13" t="s">
        <v>215</v>
      </c>
      <c r="J333" s="13"/>
      <c r="K333" s="13" t="s">
        <v>75</v>
      </c>
      <c r="L333" s="13"/>
      <c r="M333" s="13"/>
      <c r="N333" s="13"/>
      <c r="O333" s="13"/>
      <c r="P333" s="13"/>
      <c r="Q333" s="13"/>
      <c r="R333" s="13"/>
      <c r="S333" s="13" t="s">
        <v>1072</v>
      </c>
      <c r="T333" s="13"/>
      <c r="U333" s="13"/>
    </row>
    <row r="334" spans="1:21" x14ac:dyDescent="0.25">
      <c r="A334" s="16" t="s">
        <v>265</v>
      </c>
      <c r="B334" s="13" t="s">
        <v>13</v>
      </c>
      <c r="C334" s="16" t="s">
        <v>30</v>
      </c>
      <c r="D334" s="29">
        <v>44264</v>
      </c>
      <c r="E334" s="18" t="s">
        <v>23</v>
      </c>
      <c r="F334" s="18"/>
      <c r="G334" s="13"/>
      <c r="H334" s="29">
        <v>44271</v>
      </c>
      <c r="I334" s="13" t="s">
        <v>216</v>
      </c>
      <c r="J334" s="13"/>
      <c r="K334" s="13" t="s">
        <v>75</v>
      </c>
      <c r="L334" s="13"/>
      <c r="M334" s="13"/>
      <c r="N334" s="13"/>
      <c r="O334" s="13"/>
      <c r="P334" s="13"/>
      <c r="Q334" s="13"/>
      <c r="R334" s="13"/>
      <c r="S334" s="13" t="s">
        <v>267</v>
      </c>
      <c r="T334" s="13"/>
      <c r="U334" s="13"/>
    </row>
    <row r="335" spans="1:21" x14ac:dyDescent="0.25">
      <c r="A335" s="16" t="s">
        <v>265</v>
      </c>
      <c r="B335" s="13" t="s">
        <v>13</v>
      </c>
      <c r="C335" s="16" t="s">
        <v>30</v>
      </c>
      <c r="D335" s="29">
        <v>44264</v>
      </c>
      <c r="E335" s="18" t="s">
        <v>23</v>
      </c>
      <c r="F335" s="18"/>
      <c r="G335" s="13"/>
      <c r="H335" s="29">
        <v>44271</v>
      </c>
      <c r="I335" s="13" t="s">
        <v>219</v>
      </c>
      <c r="J335" s="13"/>
      <c r="K335" s="13" t="s">
        <v>75</v>
      </c>
      <c r="L335" s="13"/>
      <c r="M335" s="13"/>
      <c r="N335" s="13"/>
      <c r="O335" s="13"/>
      <c r="P335" s="13"/>
      <c r="Q335" s="13"/>
      <c r="R335" s="13"/>
      <c r="S335" s="13" t="s">
        <v>267</v>
      </c>
      <c r="T335" s="13"/>
      <c r="U335" s="13"/>
    </row>
    <row r="336" spans="1:21" x14ac:dyDescent="0.25">
      <c r="A336" s="16" t="s">
        <v>265</v>
      </c>
      <c r="B336" s="13" t="s">
        <v>13</v>
      </c>
      <c r="C336" s="16" t="s">
        <v>30</v>
      </c>
      <c r="D336" s="29">
        <v>44264</v>
      </c>
      <c r="E336" s="18" t="s">
        <v>23</v>
      </c>
      <c r="F336" s="18"/>
      <c r="G336" s="13"/>
      <c r="H336" s="29">
        <v>44271</v>
      </c>
      <c r="I336" s="13" t="s">
        <v>220</v>
      </c>
      <c r="J336" s="13"/>
      <c r="K336" s="13" t="s">
        <v>75</v>
      </c>
      <c r="L336" s="13"/>
      <c r="M336" s="13"/>
      <c r="N336" s="13"/>
      <c r="O336" s="13"/>
      <c r="P336" s="13"/>
      <c r="Q336" s="13"/>
      <c r="R336" s="13"/>
      <c r="S336" s="13" t="s">
        <v>101</v>
      </c>
      <c r="T336" s="13"/>
      <c r="U336" s="13"/>
    </row>
    <row r="337" spans="1:21" x14ac:dyDescent="0.25">
      <c r="A337" s="16" t="s">
        <v>273</v>
      </c>
      <c r="B337" s="13" t="s">
        <v>13</v>
      </c>
      <c r="C337" s="16" t="s">
        <v>891</v>
      </c>
      <c r="D337" s="29">
        <v>44264</v>
      </c>
      <c r="E337" s="18" t="s">
        <v>23</v>
      </c>
      <c r="F337" s="18"/>
      <c r="G337" s="13"/>
      <c r="H337" s="29">
        <v>44271</v>
      </c>
      <c r="I337" s="13" t="s">
        <v>890</v>
      </c>
      <c r="J337" s="13" t="s">
        <v>1095</v>
      </c>
      <c r="K337" s="13">
        <v>231</v>
      </c>
      <c r="L337" s="13"/>
      <c r="M337" s="13"/>
      <c r="N337" s="13"/>
      <c r="O337" s="13"/>
      <c r="P337" s="13"/>
      <c r="Q337" s="13" t="s">
        <v>1096</v>
      </c>
      <c r="R337" s="13"/>
      <c r="S337" s="13" t="s">
        <v>1097</v>
      </c>
      <c r="T337" s="13"/>
      <c r="U337" s="13"/>
    </row>
    <row r="338" spans="1:21" x14ac:dyDescent="0.25">
      <c r="A338" s="16">
        <v>109</v>
      </c>
      <c r="B338" s="13" t="s">
        <v>13</v>
      </c>
      <c r="C338" s="16" t="s">
        <v>394</v>
      </c>
      <c r="D338" s="29">
        <v>44264</v>
      </c>
      <c r="E338" s="18" t="s">
        <v>23</v>
      </c>
      <c r="F338" s="18"/>
      <c r="G338" s="13"/>
      <c r="H338" s="29">
        <v>44271</v>
      </c>
      <c r="I338" s="13" t="s">
        <v>78</v>
      </c>
      <c r="J338" s="13">
        <v>4038</v>
      </c>
      <c r="K338" s="13" t="s">
        <v>1068</v>
      </c>
      <c r="L338" s="13">
        <v>0.20230000000000001</v>
      </c>
      <c r="M338" s="13">
        <v>0.499</v>
      </c>
      <c r="N338" s="13">
        <v>816.88739999999996</v>
      </c>
      <c r="O338" s="13">
        <v>2014.962</v>
      </c>
      <c r="P338" s="13">
        <v>106.2</v>
      </c>
      <c r="Q338" s="13">
        <v>35.4</v>
      </c>
      <c r="R338" s="13">
        <v>175</v>
      </c>
      <c r="S338" s="13">
        <v>142955.29999999999</v>
      </c>
      <c r="T338" s="13"/>
      <c r="U338" s="13"/>
    </row>
    <row r="339" spans="1:21" s="25" customFormat="1" x14ac:dyDescent="0.25">
      <c r="A339" s="22">
        <v>110</v>
      </c>
      <c r="B339" s="21" t="s">
        <v>13</v>
      </c>
      <c r="C339" s="22" t="s">
        <v>672</v>
      </c>
      <c r="D339" s="17">
        <v>44264</v>
      </c>
      <c r="E339" s="23" t="s">
        <v>23</v>
      </c>
      <c r="F339" s="23"/>
      <c r="G339" s="21"/>
      <c r="H339" s="17">
        <v>44271</v>
      </c>
      <c r="I339" s="21" t="s">
        <v>1069</v>
      </c>
      <c r="J339" s="21">
        <v>1033.5999999999999</v>
      </c>
      <c r="K339" s="21">
        <v>323</v>
      </c>
      <c r="L339" s="21">
        <v>0.31</v>
      </c>
      <c r="M339" s="21">
        <v>1.2010000000000001</v>
      </c>
      <c r="N339" s="21">
        <v>320.416</v>
      </c>
      <c r="O339" s="21">
        <v>1241.3535999999999</v>
      </c>
      <c r="P339" s="21">
        <v>41.65</v>
      </c>
      <c r="Q339" s="21">
        <v>63.55</v>
      </c>
      <c r="R339" s="21">
        <v>205</v>
      </c>
      <c r="S339" s="21">
        <v>65685.279999999999</v>
      </c>
      <c r="T339" s="21"/>
      <c r="U339" s="21"/>
    </row>
    <row r="340" spans="1:21" s="25" customFormat="1" x14ac:dyDescent="0.25">
      <c r="A340" s="22">
        <v>110</v>
      </c>
      <c r="B340" s="21" t="s">
        <v>13</v>
      </c>
      <c r="C340" s="22" t="s">
        <v>672</v>
      </c>
      <c r="D340" s="17">
        <v>44264</v>
      </c>
      <c r="E340" s="23" t="s">
        <v>23</v>
      </c>
      <c r="F340" s="23"/>
      <c r="G340" s="21"/>
      <c r="H340" s="17">
        <v>44271</v>
      </c>
      <c r="I340" s="21" t="s">
        <v>1070</v>
      </c>
      <c r="J340" s="21">
        <v>1332</v>
      </c>
      <c r="K340" s="21">
        <v>222</v>
      </c>
      <c r="L340" s="21">
        <v>0.31</v>
      </c>
      <c r="M340" s="21">
        <v>1.2010000000000001</v>
      </c>
      <c r="N340" s="21">
        <v>412.92</v>
      </c>
      <c r="O340" s="21">
        <v>1599.732</v>
      </c>
      <c r="P340" s="21">
        <v>53.68</v>
      </c>
      <c r="Q340" s="21">
        <v>63.55</v>
      </c>
      <c r="R340" s="21">
        <v>205</v>
      </c>
      <c r="S340" s="21">
        <v>84648.6</v>
      </c>
      <c r="T340" s="21"/>
      <c r="U340" s="21"/>
    </row>
    <row r="341" spans="1:21" x14ac:dyDescent="0.25">
      <c r="A341" s="16" t="s">
        <v>281</v>
      </c>
      <c r="B341" s="13" t="s">
        <v>13</v>
      </c>
      <c r="C341" s="16" t="s">
        <v>15</v>
      </c>
      <c r="D341" s="29">
        <v>44265</v>
      </c>
      <c r="E341" s="18" t="s">
        <v>23</v>
      </c>
      <c r="F341" s="18"/>
      <c r="G341" s="13"/>
      <c r="H341" s="29">
        <v>44272</v>
      </c>
      <c r="I341" s="42" t="s">
        <v>89</v>
      </c>
      <c r="J341" s="13"/>
      <c r="K341" s="13">
        <v>48</v>
      </c>
      <c r="L341" s="13"/>
      <c r="M341" s="13"/>
      <c r="N341" s="13"/>
      <c r="O341" s="13"/>
      <c r="P341" s="13"/>
      <c r="Q341" s="13"/>
      <c r="R341" s="13"/>
      <c r="S341" s="13">
        <v>34992</v>
      </c>
      <c r="T341" s="13"/>
      <c r="U341" s="13"/>
    </row>
    <row r="342" spans="1:21" x14ac:dyDescent="0.25">
      <c r="A342" s="16" t="s">
        <v>294</v>
      </c>
      <c r="B342" s="13" t="s">
        <v>13</v>
      </c>
      <c r="C342" s="16" t="s">
        <v>548</v>
      </c>
      <c r="D342" s="29">
        <v>44266</v>
      </c>
      <c r="E342" s="18" t="s">
        <v>23</v>
      </c>
      <c r="F342" s="18"/>
      <c r="G342" s="13"/>
      <c r="H342" s="29">
        <v>44274</v>
      </c>
      <c r="I342" s="13" t="s">
        <v>1073</v>
      </c>
      <c r="J342" s="13" t="s">
        <v>1077</v>
      </c>
      <c r="K342" s="13"/>
      <c r="L342" s="13"/>
      <c r="M342" s="13"/>
      <c r="N342" s="13"/>
      <c r="O342" s="13"/>
      <c r="P342" s="13"/>
      <c r="Q342" s="13" t="s">
        <v>1081</v>
      </c>
      <c r="R342" s="13"/>
      <c r="S342" s="13" t="s">
        <v>1082</v>
      </c>
      <c r="T342" s="13"/>
      <c r="U342" s="13"/>
    </row>
    <row r="343" spans="1:21" x14ac:dyDescent="0.25">
      <c r="A343" s="16" t="s">
        <v>294</v>
      </c>
      <c r="B343" s="13" t="s">
        <v>13</v>
      </c>
      <c r="C343" s="16" t="s">
        <v>548</v>
      </c>
      <c r="D343" s="29">
        <v>44266</v>
      </c>
      <c r="E343" s="18" t="s">
        <v>23</v>
      </c>
      <c r="F343" s="18"/>
      <c r="G343" s="13"/>
      <c r="H343" s="29">
        <v>44274</v>
      </c>
      <c r="I343" s="13" t="s">
        <v>1074</v>
      </c>
      <c r="J343" s="13" t="s">
        <v>1078</v>
      </c>
      <c r="K343" s="13"/>
      <c r="L343" s="13"/>
      <c r="M343" s="13"/>
      <c r="N343" s="13"/>
      <c r="O343" s="13"/>
      <c r="P343" s="13"/>
      <c r="Q343" s="13" t="s">
        <v>1083</v>
      </c>
      <c r="R343" s="13"/>
      <c r="S343" s="13" t="s">
        <v>1084</v>
      </c>
      <c r="T343" s="13"/>
      <c r="U343" s="13"/>
    </row>
    <row r="344" spans="1:21" x14ac:dyDescent="0.25">
      <c r="A344" s="16" t="s">
        <v>294</v>
      </c>
      <c r="B344" s="13" t="s">
        <v>13</v>
      </c>
      <c r="C344" s="16" t="s">
        <v>548</v>
      </c>
      <c r="D344" s="29">
        <v>44266</v>
      </c>
      <c r="E344" s="18" t="s">
        <v>23</v>
      </c>
      <c r="F344" s="18"/>
      <c r="G344" s="13"/>
      <c r="H344" s="29">
        <v>44274</v>
      </c>
      <c r="I344" s="13" t="s">
        <v>1075</v>
      </c>
      <c r="J344" s="13" t="s">
        <v>1079</v>
      </c>
      <c r="K344" s="13"/>
      <c r="L344" s="13"/>
      <c r="M344" s="13"/>
      <c r="N344" s="13"/>
      <c r="O344" s="13"/>
      <c r="P344" s="13"/>
      <c r="Q344" s="13" t="s">
        <v>1085</v>
      </c>
      <c r="R344" s="13"/>
      <c r="S344" s="13" t="s">
        <v>1086</v>
      </c>
      <c r="T344" s="13"/>
      <c r="U344" s="13"/>
    </row>
    <row r="345" spans="1:21" x14ac:dyDescent="0.25">
      <c r="A345" s="16" t="s">
        <v>294</v>
      </c>
      <c r="B345" s="13" t="s">
        <v>13</v>
      </c>
      <c r="C345" s="16" t="s">
        <v>548</v>
      </c>
      <c r="D345" s="29">
        <v>44266</v>
      </c>
      <c r="E345" s="18" t="s">
        <v>23</v>
      </c>
      <c r="F345" s="18"/>
      <c r="G345" s="13"/>
      <c r="H345" s="29">
        <v>44274</v>
      </c>
      <c r="I345" s="13" t="s">
        <v>1076</v>
      </c>
      <c r="J345" s="13" t="s">
        <v>1080</v>
      </c>
      <c r="K345" s="13"/>
      <c r="L345" s="13"/>
      <c r="M345" s="13"/>
      <c r="N345" s="13"/>
      <c r="O345" s="13"/>
      <c r="P345" s="13"/>
      <c r="Q345" s="13" t="s">
        <v>1087</v>
      </c>
      <c r="R345" s="13"/>
      <c r="S345" s="13" t="s">
        <v>1088</v>
      </c>
      <c r="T345" s="13"/>
      <c r="U345" s="13"/>
    </row>
    <row r="346" spans="1:21" x14ac:dyDescent="0.25">
      <c r="A346" s="16" t="s">
        <v>287</v>
      </c>
      <c r="B346" s="13" t="s">
        <v>13</v>
      </c>
      <c r="C346" s="16" t="s">
        <v>43</v>
      </c>
      <c r="D346" s="29">
        <v>44266</v>
      </c>
      <c r="E346" s="18" t="s">
        <v>677</v>
      </c>
      <c r="F346" s="18"/>
      <c r="G346" s="13"/>
      <c r="H346" s="29">
        <v>44274</v>
      </c>
      <c r="I346" s="13" t="s">
        <v>1098</v>
      </c>
      <c r="J346" s="13"/>
      <c r="K346" s="13">
        <v>144</v>
      </c>
      <c r="L346" s="13"/>
      <c r="M346" s="13"/>
      <c r="N346" s="13"/>
      <c r="O346" s="13"/>
      <c r="P346" s="13"/>
      <c r="Q346" s="13"/>
      <c r="R346" s="13"/>
      <c r="S346" s="13">
        <v>4400</v>
      </c>
      <c r="T346" s="13"/>
      <c r="U346" s="13"/>
    </row>
    <row r="347" spans="1:21" x14ac:dyDescent="0.25">
      <c r="A347" s="16">
        <v>112</v>
      </c>
      <c r="B347" s="13" t="s">
        <v>34</v>
      </c>
      <c r="C347" s="16" t="s">
        <v>328</v>
      </c>
      <c r="D347" s="29">
        <v>44266</v>
      </c>
      <c r="E347" s="18" t="s">
        <v>23</v>
      </c>
      <c r="F347" s="18"/>
      <c r="G347" s="13" t="s">
        <v>1109</v>
      </c>
      <c r="H347" s="29">
        <v>44270</v>
      </c>
      <c r="I347" s="13" t="s">
        <v>650</v>
      </c>
      <c r="J347" s="13">
        <v>1188</v>
      </c>
      <c r="K347" s="13" t="s">
        <v>471</v>
      </c>
      <c r="L347" s="13">
        <v>0.30919999999999997</v>
      </c>
      <c r="M347" s="13">
        <v>1.1000000000000001</v>
      </c>
      <c r="N347" s="13">
        <v>367.32960000000003</v>
      </c>
      <c r="O347" s="13">
        <v>1306.8</v>
      </c>
      <c r="P347" s="13">
        <v>47.75</v>
      </c>
      <c r="Q347" s="13">
        <v>97.4</v>
      </c>
      <c r="R347" s="13">
        <v>315</v>
      </c>
      <c r="S347" s="13">
        <v>115708.82</v>
      </c>
      <c r="T347" s="13"/>
      <c r="U347" s="13"/>
    </row>
    <row r="348" spans="1:21" x14ac:dyDescent="0.25">
      <c r="A348" s="16">
        <v>113</v>
      </c>
      <c r="B348" s="13" t="s">
        <v>13</v>
      </c>
      <c r="C348" s="16" t="s">
        <v>32</v>
      </c>
      <c r="D348" s="29">
        <v>44267</v>
      </c>
      <c r="E348" s="18" t="s">
        <v>23</v>
      </c>
      <c r="F348" s="18"/>
      <c r="G348" s="13"/>
      <c r="H348" s="29">
        <v>44274</v>
      </c>
      <c r="I348" s="13" t="s">
        <v>1089</v>
      </c>
      <c r="J348" s="13">
        <v>6600</v>
      </c>
      <c r="K348" s="13" t="s">
        <v>1090</v>
      </c>
      <c r="L348" s="13">
        <v>6.0499999999999998E-2</v>
      </c>
      <c r="M348" s="13">
        <v>8.5000000000000006E-2</v>
      </c>
      <c r="N348" s="13">
        <v>399.3</v>
      </c>
      <c r="O348" s="13">
        <v>561</v>
      </c>
      <c r="P348" s="13">
        <v>51.91</v>
      </c>
      <c r="Q348" s="13">
        <v>17.420000000000002</v>
      </c>
      <c r="R348" s="13">
        <v>288</v>
      </c>
      <c r="S348" s="13">
        <v>114998.39999999999</v>
      </c>
      <c r="T348" s="13"/>
      <c r="U348" s="13"/>
    </row>
    <row r="349" spans="1:21" x14ac:dyDescent="0.25">
      <c r="A349" s="16">
        <v>114</v>
      </c>
      <c r="B349" s="13" t="s">
        <v>13</v>
      </c>
      <c r="C349" s="16" t="s">
        <v>32</v>
      </c>
      <c r="D349" s="29">
        <v>44267</v>
      </c>
      <c r="E349" s="18" t="s">
        <v>23</v>
      </c>
      <c r="F349" s="18"/>
      <c r="G349" s="13"/>
      <c r="H349" s="29">
        <v>44274</v>
      </c>
      <c r="I349" s="13" t="s">
        <v>1091</v>
      </c>
      <c r="J349" s="13">
        <v>1472.9</v>
      </c>
      <c r="K349" s="13" t="s">
        <v>1092</v>
      </c>
      <c r="L349" s="13">
        <v>0.19400000000000001</v>
      </c>
      <c r="M349" s="13">
        <v>0.35399999999999998</v>
      </c>
      <c r="N349" s="13">
        <v>285.74259999999998</v>
      </c>
      <c r="O349" s="13">
        <v>521.40660000000003</v>
      </c>
      <c r="P349" s="13">
        <v>37.15</v>
      </c>
      <c r="Q349" s="13">
        <v>40.159999999999997</v>
      </c>
      <c r="R349" s="13">
        <v>207</v>
      </c>
      <c r="S349" s="13">
        <v>59148.72</v>
      </c>
      <c r="T349" s="13"/>
      <c r="U349" s="13"/>
    </row>
    <row r="350" spans="1:21" x14ac:dyDescent="0.25">
      <c r="A350" s="16">
        <v>115</v>
      </c>
      <c r="B350" s="13" t="s">
        <v>13</v>
      </c>
      <c r="C350" s="16" t="s">
        <v>657</v>
      </c>
      <c r="D350" s="29">
        <v>44267</v>
      </c>
      <c r="E350" s="18" t="s">
        <v>23</v>
      </c>
      <c r="F350" s="18"/>
      <c r="G350" s="13"/>
      <c r="H350" s="29">
        <v>44274</v>
      </c>
      <c r="I350" s="13" t="s">
        <v>1093</v>
      </c>
      <c r="J350" s="13">
        <v>1846.8</v>
      </c>
      <c r="K350" s="13" t="s">
        <v>285</v>
      </c>
      <c r="L350" s="13">
        <v>0.1149</v>
      </c>
      <c r="M350" s="13">
        <v>0.3</v>
      </c>
      <c r="N350" s="13">
        <v>212.19730000000001</v>
      </c>
      <c r="O350" s="13">
        <v>554.04</v>
      </c>
      <c r="P350" s="13">
        <v>27.59</v>
      </c>
      <c r="Q350" s="13">
        <v>30.22</v>
      </c>
      <c r="R350" s="13">
        <v>263</v>
      </c>
      <c r="S350" s="13">
        <v>55807.9</v>
      </c>
      <c r="T350" s="13"/>
      <c r="U350" s="13"/>
    </row>
    <row r="351" spans="1:21" x14ac:dyDescent="0.25">
      <c r="A351" s="16">
        <v>115</v>
      </c>
      <c r="B351" s="13" t="s">
        <v>13</v>
      </c>
      <c r="C351" s="16" t="s">
        <v>657</v>
      </c>
      <c r="D351" s="29">
        <v>44267</v>
      </c>
      <c r="E351" s="18" t="s">
        <v>23</v>
      </c>
      <c r="F351" s="18"/>
      <c r="G351" s="13"/>
      <c r="H351" s="29">
        <v>44274</v>
      </c>
      <c r="I351" s="13" t="s">
        <v>1000</v>
      </c>
      <c r="J351" s="13">
        <v>1409.4</v>
      </c>
      <c r="K351" s="13" t="s">
        <v>110</v>
      </c>
      <c r="L351" s="13">
        <v>0.1724</v>
      </c>
      <c r="M351" s="13">
        <v>0.41499999999999998</v>
      </c>
      <c r="N351" s="13">
        <v>242.98060000000001</v>
      </c>
      <c r="O351" s="13">
        <v>584.90099999999995</v>
      </c>
      <c r="P351" s="13">
        <v>31.59</v>
      </c>
      <c r="Q351" s="13">
        <v>45.34</v>
      </c>
      <c r="R351" s="13">
        <v>263</v>
      </c>
      <c r="S351" s="13">
        <v>63903.89</v>
      </c>
      <c r="T351" s="13"/>
      <c r="U351" s="13"/>
    </row>
    <row r="352" spans="1:21" s="25" customFormat="1" x14ac:dyDescent="0.25">
      <c r="A352" s="22">
        <v>116</v>
      </c>
      <c r="B352" s="21" t="s">
        <v>13</v>
      </c>
      <c r="C352" s="22" t="s">
        <v>672</v>
      </c>
      <c r="D352" s="17">
        <v>44267</v>
      </c>
      <c r="E352" s="23" t="s">
        <v>23</v>
      </c>
      <c r="F352" s="23"/>
      <c r="G352" s="21"/>
      <c r="H352" s="17">
        <v>44274</v>
      </c>
      <c r="I352" s="21" t="s">
        <v>669</v>
      </c>
      <c r="J352" s="21">
        <v>288</v>
      </c>
      <c r="K352" s="21" t="s">
        <v>634</v>
      </c>
      <c r="L352" s="21">
        <v>0.29759999999999998</v>
      </c>
      <c r="M352" s="21">
        <v>0.67600000000000005</v>
      </c>
      <c r="N352" s="21">
        <v>85.708799999999997</v>
      </c>
      <c r="O352" s="21">
        <v>194.68799999999999</v>
      </c>
      <c r="P352" s="21">
        <v>11.14</v>
      </c>
      <c r="Q352" s="21">
        <v>61.01</v>
      </c>
      <c r="R352" s="21">
        <v>205</v>
      </c>
      <c r="S352" s="21">
        <v>17570.3</v>
      </c>
      <c r="T352" s="21"/>
      <c r="U352" s="21"/>
    </row>
    <row r="353" spans="1:21" s="25" customFormat="1" x14ac:dyDescent="0.25">
      <c r="A353" s="22">
        <v>117</v>
      </c>
      <c r="B353" s="21" t="s">
        <v>13</v>
      </c>
      <c r="C353" s="22" t="s">
        <v>672</v>
      </c>
      <c r="D353" s="17">
        <v>44267</v>
      </c>
      <c r="E353" s="23" t="s">
        <v>23</v>
      </c>
      <c r="F353" s="23"/>
      <c r="G353" s="21"/>
      <c r="H353" s="17">
        <v>44274</v>
      </c>
      <c r="I353" s="21" t="s">
        <v>630</v>
      </c>
      <c r="J353" s="21">
        <v>234</v>
      </c>
      <c r="K353" s="21" t="s">
        <v>33</v>
      </c>
      <c r="L353" s="21">
        <v>0.54049999999999998</v>
      </c>
      <c r="M353" s="21">
        <v>2.0990000000000002</v>
      </c>
      <c r="N353" s="21">
        <v>126.477</v>
      </c>
      <c r="O353" s="21">
        <v>491.166</v>
      </c>
      <c r="P353" s="21">
        <v>16.440000000000001</v>
      </c>
      <c r="Q353" s="21">
        <v>110.8</v>
      </c>
      <c r="R353" s="21">
        <v>205</v>
      </c>
      <c r="S353" s="21">
        <v>25927.79</v>
      </c>
      <c r="T353" s="21"/>
      <c r="U353" s="21"/>
    </row>
    <row r="354" spans="1:21" s="25" customFormat="1" x14ac:dyDescent="0.25">
      <c r="A354" s="22">
        <v>118</v>
      </c>
      <c r="B354" s="21" t="s">
        <v>13</v>
      </c>
      <c r="C354" s="22" t="s">
        <v>625</v>
      </c>
      <c r="D354" s="17">
        <v>44267</v>
      </c>
      <c r="E354" s="23" t="s">
        <v>23</v>
      </c>
      <c r="F354" s="23"/>
      <c r="G354" s="21"/>
      <c r="H354" s="17">
        <v>44274</v>
      </c>
      <c r="I354" s="21" t="s">
        <v>1099</v>
      </c>
      <c r="J354" s="21">
        <v>662.7</v>
      </c>
      <c r="K354" s="21" t="s">
        <v>1100</v>
      </c>
      <c r="L354" s="21">
        <v>0.34810000000000002</v>
      </c>
      <c r="M354" s="21">
        <v>1.4930000000000001</v>
      </c>
      <c r="N354" s="21">
        <v>230.6859</v>
      </c>
      <c r="O354" s="21">
        <v>989.41110000000003</v>
      </c>
      <c r="P354" s="21">
        <v>29.99</v>
      </c>
      <c r="Q354" s="21">
        <v>66.14</v>
      </c>
      <c r="R354" s="21">
        <v>190</v>
      </c>
      <c r="S354" s="21">
        <v>43830.32</v>
      </c>
      <c r="T354" s="21"/>
      <c r="U354" s="21"/>
    </row>
    <row r="355" spans="1:21" s="25" customFormat="1" x14ac:dyDescent="0.25">
      <c r="A355" s="22">
        <v>119</v>
      </c>
      <c r="B355" s="21" t="s">
        <v>13</v>
      </c>
      <c r="C355" s="22" t="s">
        <v>625</v>
      </c>
      <c r="D355" s="17">
        <v>44267</v>
      </c>
      <c r="E355" s="23" t="s">
        <v>23</v>
      </c>
      <c r="F355" s="23"/>
      <c r="G355" s="21"/>
      <c r="H355" s="17">
        <v>44274</v>
      </c>
      <c r="I355" s="21" t="s">
        <v>681</v>
      </c>
      <c r="J355" s="21">
        <v>253.8</v>
      </c>
      <c r="K355" s="21" t="s">
        <v>170</v>
      </c>
      <c r="L355" s="21">
        <v>0.34789999999999999</v>
      </c>
      <c r="M355" s="21">
        <v>1.643</v>
      </c>
      <c r="N355" s="21">
        <v>88.296999999999997</v>
      </c>
      <c r="O355" s="21">
        <v>416.99340000000001</v>
      </c>
      <c r="P355" s="21">
        <v>11.48</v>
      </c>
      <c r="Q355" s="21">
        <v>66.099999999999994</v>
      </c>
      <c r="R355" s="21">
        <v>190</v>
      </c>
      <c r="S355" s="21">
        <v>16776.43</v>
      </c>
      <c r="T355" s="21"/>
      <c r="U355" s="21"/>
    </row>
    <row r="356" spans="1:21" x14ac:dyDescent="0.25">
      <c r="A356" s="16" t="s">
        <v>288</v>
      </c>
      <c r="B356" s="13" t="s">
        <v>13</v>
      </c>
      <c r="C356" s="16" t="s">
        <v>583</v>
      </c>
      <c r="D356" s="29">
        <v>44267</v>
      </c>
      <c r="E356" s="18" t="s">
        <v>23</v>
      </c>
      <c r="F356" s="18"/>
      <c r="G356" s="13"/>
      <c r="H356" s="29">
        <v>44274</v>
      </c>
      <c r="I356" s="42" t="s">
        <v>89</v>
      </c>
      <c r="J356" s="13"/>
      <c r="K356" s="13">
        <v>48</v>
      </c>
      <c r="L356" s="13"/>
      <c r="M356" s="13"/>
      <c r="N356" s="13"/>
      <c r="O356" s="13"/>
      <c r="P356" s="13"/>
      <c r="Q356" s="13"/>
      <c r="R356" s="13"/>
      <c r="S356" s="13">
        <v>34992</v>
      </c>
      <c r="T356" s="13"/>
      <c r="U356" s="13"/>
    </row>
    <row r="357" spans="1:21" x14ac:dyDescent="0.25">
      <c r="A357" s="16" t="s">
        <v>310</v>
      </c>
      <c r="B357" s="13" t="s">
        <v>13</v>
      </c>
      <c r="C357" s="16" t="s">
        <v>583</v>
      </c>
      <c r="D357" s="29">
        <v>44270</v>
      </c>
      <c r="E357" s="18" t="s">
        <v>23</v>
      </c>
      <c r="F357" s="18"/>
      <c r="G357" s="13"/>
      <c r="H357" s="29">
        <v>44277</v>
      </c>
      <c r="I357" s="42" t="s">
        <v>89</v>
      </c>
      <c r="J357" s="13"/>
      <c r="K357" s="13">
        <v>48</v>
      </c>
      <c r="L357" s="13"/>
      <c r="M357" s="13"/>
      <c r="N357" s="13"/>
      <c r="O357" s="13"/>
      <c r="P357" s="13"/>
      <c r="Q357" s="13"/>
      <c r="R357" s="13"/>
      <c r="S357" s="13">
        <v>34992</v>
      </c>
      <c r="T357" s="13"/>
      <c r="U357" s="13"/>
    </row>
    <row r="358" spans="1:21" x14ac:dyDescent="0.25">
      <c r="A358" s="16" t="s">
        <v>309</v>
      </c>
      <c r="B358" s="13" t="s">
        <v>13</v>
      </c>
      <c r="C358" s="16" t="s">
        <v>30</v>
      </c>
      <c r="D358" s="29">
        <v>44270</v>
      </c>
      <c r="E358" s="18" t="s">
        <v>23</v>
      </c>
      <c r="F358" s="18"/>
      <c r="G358" s="13"/>
      <c r="H358" s="29">
        <v>44277</v>
      </c>
      <c r="I358" s="13" t="s">
        <v>742</v>
      </c>
      <c r="J358" s="13"/>
      <c r="K358" s="13" t="s">
        <v>369</v>
      </c>
      <c r="L358" s="13"/>
      <c r="M358" s="13"/>
      <c r="N358" s="13"/>
      <c r="O358" s="13"/>
      <c r="P358" s="13"/>
      <c r="Q358" s="13"/>
      <c r="R358" s="13"/>
      <c r="S358" s="13" t="s">
        <v>84</v>
      </c>
      <c r="T358" s="13"/>
      <c r="U358" s="13"/>
    </row>
    <row r="359" spans="1:21" x14ac:dyDescent="0.25">
      <c r="A359" s="16" t="s">
        <v>309</v>
      </c>
      <c r="B359" s="13" t="s">
        <v>13</v>
      </c>
      <c r="C359" s="16" t="s">
        <v>30</v>
      </c>
      <c r="D359" s="29">
        <v>44270</v>
      </c>
      <c r="E359" s="18" t="s">
        <v>23</v>
      </c>
      <c r="F359" s="18"/>
      <c r="G359" s="13"/>
      <c r="H359" s="29">
        <v>44277</v>
      </c>
      <c r="I359" s="13" t="s">
        <v>731</v>
      </c>
      <c r="J359" s="13"/>
      <c r="K359" s="13" t="s">
        <v>529</v>
      </c>
      <c r="L359" s="13"/>
      <c r="M359" s="13"/>
      <c r="N359" s="13"/>
      <c r="O359" s="13"/>
      <c r="P359" s="13"/>
      <c r="Q359" s="13"/>
      <c r="R359" s="13"/>
      <c r="S359" s="13" t="s">
        <v>748</v>
      </c>
      <c r="T359" s="13"/>
      <c r="U359" s="13"/>
    </row>
    <row r="360" spans="1:21" x14ac:dyDescent="0.25">
      <c r="A360" s="16" t="s">
        <v>309</v>
      </c>
      <c r="B360" s="13" t="s">
        <v>13</v>
      </c>
      <c r="C360" s="16" t="s">
        <v>30</v>
      </c>
      <c r="D360" s="29">
        <v>44270</v>
      </c>
      <c r="E360" s="18" t="s">
        <v>23</v>
      </c>
      <c r="F360" s="18"/>
      <c r="G360" s="13"/>
      <c r="H360" s="29">
        <v>44277</v>
      </c>
      <c r="I360" s="13" t="s">
        <v>743</v>
      </c>
      <c r="J360" s="13"/>
      <c r="K360" s="13" t="s">
        <v>446</v>
      </c>
      <c r="L360" s="13"/>
      <c r="M360" s="13"/>
      <c r="N360" s="13"/>
      <c r="O360" s="13"/>
      <c r="P360" s="13"/>
      <c r="Q360" s="13"/>
      <c r="R360" s="13"/>
      <c r="S360" s="13" t="s">
        <v>1104</v>
      </c>
      <c r="T360" s="13"/>
      <c r="U360" s="13"/>
    </row>
    <row r="361" spans="1:21" x14ac:dyDescent="0.25">
      <c r="A361" s="16" t="s">
        <v>309</v>
      </c>
      <c r="B361" s="13" t="s">
        <v>13</v>
      </c>
      <c r="C361" s="16" t="s">
        <v>30</v>
      </c>
      <c r="D361" s="29">
        <v>44270</v>
      </c>
      <c r="E361" s="18" t="s">
        <v>23</v>
      </c>
      <c r="F361" s="18"/>
      <c r="G361" s="13"/>
      <c r="H361" s="29">
        <v>44277</v>
      </c>
      <c r="I361" s="13" t="s">
        <v>744</v>
      </c>
      <c r="J361" s="13"/>
      <c r="K361" s="13" t="s">
        <v>746</v>
      </c>
      <c r="L361" s="13"/>
      <c r="M361" s="13"/>
      <c r="N361" s="13"/>
      <c r="O361" s="13"/>
      <c r="P361" s="13"/>
      <c r="Q361" s="13"/>
      <c r="R361" s="13"/>
      <c r="S361" s="13" t="s">
        <v>1105</v>
      </c>
      <c r="T361" s="13"/>
      <c r="U361" s="13"/>
    </row>
    <row r="362" spans="1:21" x14ac:dyDescent="0.25">
      <c r="A362" s="16" t="s">
        <v>309</v>
      </c>
      <c r="B362" s="13" t="s">
        <v>13</v>
      </c>
      <c r="C362" s="16" t="s">
        <v>30</v>
      </c>
      <c r="D362" s="29">
        <v>44270</v>
      </c>
      <c r="E362" s="18" t="s">
        <v>23</v>
      </c>
      <c r="F362" s="18"/>
      <c r="G362" s="13"/>
      <c r="H362" s="29">
        <v>44277</v>
      </c>
      <c r="I362" s="13" t="s">
        <v>733</v>
      </c>
      <c r="J362" s="13"/>
      <c r="K362" s="13" t="s">
        <v>123</v>
      </c>
      <c r="L362" s="13"/>
      <c r="M362" s="13"/>
      <c r="N362" s="13"/>
      <c r="O362" s="13"/>
      <c r="P362" s="13"/>
      <c r="Q362" s="13"/>
      <c r="R362" s="13"/>
      <c r="S362" s="13" t="s">
        <v>444</v>
      </c>
      <c r="T362" s="13"/>
      <c r="U362" s="13"/>
    </row>
    <row r="363" spans="1:21" x14ac:dyDescent="0.25">
      <c r="A363" s="16" t="s">
        <v>309</v>
      </c>
      <c r="B363" s="13" t="s">
        <v>13</v>
      </c>
      <c r="C363" s="16" t="s">
        <v>30</v>
      </c>
      <c r="D363" s="29">
        <v>44270</v>
      </c>
      <c r="E363" s="18" t="s">
        <v>23</v>
      </c>
      <c r="F363" s="18"/>
      <c r="G363" s="13"/>
      <c r="H363" s="29">
        <v>44277</v>
      </c>
      <c r="I363" s="13" t="s">
        <v>737</v>
      </c>
      <c r="J363" s="13"/>
      <c r="K363" s="13" t="s">
        <v>108</v>
      </c>
      <c r="L363" s="13"/>
      <c r="M363" s="13"/>
      <c r="N363" s="13"/>
      <c r="O363" s="13"/>
      <c r="P363" s="13"/>
      <c r="Q363" s="13"/>
      <c r="R363" s="13"/>
      <c r="S363" s="13" t="s">
        <v>124</v>
      </c>
      <c r="T363" s="13"/>
      <c r="U363" s="13"/>
    </row>
    <row r="364" spans="1:21" x14ac:dyDescent="0.25">
      <c r="A364" s="16" t="s">
        <v>309</v>
      </c>
      <c r="B364" s="13" t="s">
        <v>13</v>
      </c>
      <c r="C364" s="16" t="s">
        <v>30</v>
      </c>
      <c r="D364" s="29">
        <v>44270</v>
      </c>
      <c r="E364" s="18" t="s">
        <v>23</v>
      </c>
      <c r="F364" s="18"/>
      <c r="G364" s="13"/>
      <c r="H364" s="29">
        <v>44277</v>
      </c>
      <c r="I364" s="13" t="s">
        <v>745</v>
      </c>
      <c r="J364" s="13"/>
      <c r="K364" s="13" t="s">
        <v>125</v>
      </c>
      <c r="L364" s="13"/>
      <c r="M364" s="13"/>
      <c r="N364" s="13"/>
      <c r="O364" s="13"/>
      <c r="P364" s="13"/>
      <c r="Q364" s="13"/>
      <c r="R364" s="13"/>
      <c r="S364" s="13" t="s">
        <v>1106</v>
      </c>
      <c r="T364" s="13"/>
      <c r="U364" s="13"/>
    </row>
    <row r="365" spans="1:21" x14ac:dyDescent="0.25">
      <c r="A365" s="16" t="s">
        <v>309</v>
      </c>
      <c r="B365" s="13" t="s">
        <v>13</v>
      </c>
      <c r="C365" s="16" t="s">
        <v>30</v>
      </c>
      <c r="D365" s="29">
        <v>44270</v>
      </c>
      <c r="E365" s="18" t="s">
        <v>23</v>
      </c>
      <c r="F365" s="18"/>
      <c r="G365" s="13"/>
      <c r="H365" s="29">
        <v>44277</v>
      </c>
      <c r="I365" s="13" t="s">
        <v>730</v>
      </c>
      <c r="J365" s="13"/>
      <c r="K365" s="13" t="s">
        <v>123</v>
      </c>
      <c r="L365" s="13"/>
      <c r="M365" s="13"/>
      <c r="N365" s="13"/>
      <c r="O365" s="13"/>
      <c r="P365" s="13"/>
      <c r="Q365" s="13"/>
      <c r="R365" s="13"/>
      <c r="S365" s="13" t="s">
        <v>158</v>
      </c>
      <c r="T365" s="13"/>
      <c r="U365" s="13"/>
    </row>
    <row r="366" spans="1:21" x14ac:dyDescent="0.25">
      <c r="A366" s="16" t="s">
        <v>309</v>
      </c>
      <c r="B366" s="13" t="s">
        <v>13</v>
      </c>
      <c r="C366" s="16" t="s">
        <v>30</v>
      </c>
      <c r="D366" s="29">
        <v>44270</v>
      </c>
      <c r="E366" s="18" t="s">
        <v>23</v>
      </c>
      <c r="F366" s="18"/>
      <c r="G366" s="13"/>
      <c r="H366" s="29">
        <v>44277</v>
      </c>
      <c r="I366" s="13" t="s">
        <v>732</v>
      </c>
      <c r="J366" s="13"/>
      <c r="K366" s="13" t="s">
        <v>123</v>
      </c>
      <c r="L366" s="13"/>
      <c r="M366" s="13"/>
      <c r="N366" s="13"/>
      <c r="O366" s="13"/>
      <c r="P366" s="13"/>
      <c r="Q366" s="13"/>
      <c r="R366" s="13"/>
      <c r="S366" s="13" t="s">
        <v>586</v>
      </c>
      <c r="T366" s="13"/>
      <c r="U366" s="13"/>
    </row>
    <row r="367" spans="1:21" x14ac:dyDescent="0.25">
      <c r="A367" s="16" t="s">
        <v>309</v>
      </c>
      <c r="B367" s="13" t="s">
        <v>13</v>
      </c>
      <c r="C367" s="16" t="s">
        <v>30</v>
      </c>
      <c r="D367" s="29">
        <v>44270</v>
      </c>
      <c r="E367" s="18" t="s">
        <v>23</v>
      </c>
      <c r="F367" s="18"/>
      <c r="G367" s="13"/>
      <c r="H367" s="29">
        <v>44277</v>
      </c>
      <c r="I367" s="13" t="s">
        <v>440</v>
      </c>
      <c r="J367" s="13"/>
      <c r="K367" s="13" t="s">
        <v>123</v>
      </c>
      <c r="L367" s="13"/>
      <c r="M367" s="13"/>
      <c r="N367" s="13"/>
      <c r="O367" s="13"/>
      <c r="P367" s="13"/>
      <c r="Q367" s="13"/>
      <c r="R367" s="13"/>
      <c r="S367" s="13" t="s">
        <v>335</v>
      </c>
      <c r="T367" s="13"/>
      <c r="U367" s="13"/>
    </row>
    <row r="368" spans="1:21" x14ac:dyDescent="0.25">
      <c r="A368" s="16" t="s">
        <v>309</v>
      </c>
      <c r="B368" s="13" t="s">
        <v>13</v>
      </c>
      <c r="C368" s="16" t="s">
        <v>30</v>
      </c>
      <c r="D368" s="29">
        <v>44270</v>
      </c>
      <c r="E368" s="18" t="s">
        <v>23</v>
      </c>
      <c r="F368" s="18"/>
      <c r="G368" s="13"/>
      <c r="H368" s="29">
        <v>44277</v>
      </c>
      <c r="I368" s="13" t="s">
        <v>736</v>
      </c>
      <c r="J368" s="13"/>
      <c r="K368" s="13" t="s">
        <v>123</v>
      </c>
      <c r="L368" s="13"/>
      <c r="M368" s="13"/>
      <c r="N368" s="13"/>
      <c r="O368" s="13"/>
      <c r="P368" s="13"/>
      <c r="Q368" s="13"/>
      <c r="R368" s="13"/>
      <c r="S368" s="13" t="s">
        <v>724</v>
      </c>
      <c r="T368" s="13"/>
      <c r="U368" s="13"/>
    </row>
    <row r="369" spans="1:21" x14ac:dyDescent="0.25">
      <c r="A369" s="16" t="s">
        <v>309</v>
      </c>
      <c r="B369" s="13" t="s">
        <v>13</v>
      </c>
      <c r="C369" s="16" t="s">
        <v>30</v>
      </c>
      <c r="D369" s="29">
        <v>44270</v>
      </c>
      <c r="E369" s="18" t="s">
        <v>23</v>
      </c>
      <c r="F369" s="18"/>
      <c r="G369" s="13"/>
      <c r="H369" s="29">
        <v>44277</v>
      </c>
      <c r="I369" s="13" t="s">
        <v>282</v>
      </c>
      <c r="J369" s="13"/>
      <c r="K369" s="13" t="s">
        <v>123</v>
      </c>
      <c r="L369" s="13"/>
      <c r="M369" s="13"/>
      <c r="N369" s="13"/>
      <c r="O369" s="13"/>
      <c r="P369" s="13"/>
      <c r="Q369" s="13"/>
      <c r="R369" s="13"/>
      <c r="S369" s="13" t="s">
        <v>751</v>
      </c>
      <c r="T369" s="13"/>
      <c r="U369" s="13"/>
    </row>
    <row r="370" spans="1:21" x14ac:dyDescent="0.25">
      <c r="A370" s="16" t="s">
        <v>309</v>
      </c>
      <c r="B370" s="13" t="s">
        <v>13</v>
      </c>
      <c r="C370" s="16" t="s">
        <v>30</v>
      </c>
      <c r="D370" s="29">
        <v>44270</v>
      </c>
      <c r="E370" s="18" t="s">
        <v>23</v>
      </c>
      <c r="F370" s="18"/>
      <c r="G370" s="13"/>
      <c r="H370" s="29">
        <v>44277</v>
      </c>
      <c r="I370" s="13" t="s">
        <v>739</v>
      </c>
      <c r="J370" s="13"/>
      <c r="K370" s="13" t="s">
        <v>108</v>
      </c>
      <c r="L370" s="13"/>
      <c r="M370" s="13"/>
      <c r="N370" s="13"/>
      <c r="O370" s="13"/>
      <c r="P370" s="13"/>
      <c r="Q370" s="13"/>
      <c r="R370" s="13"/>
      <c r="S370" s="13" t="s">
        <v>574</v>
      </c>
      <c r="T370" s="13"/>
      <c r="U370" s="13"/>
    </row>
    <row r="371" spans="1:21" x14ac:dyDescent="0.25">
      <c r="A371" s="16" t="s">
        <v>309</v>
      </c>
      <c r="B371" s="13" t="s">
        <v>13</v>
      </c>
      <c r="C371" s="16" t="s">
        <v>30</v>
      </c>
      <c r="D371" s="29">
        <v>44270</v>
      </c>
      <c r="E371" s="18" t="s">
        <v>23</v>
      </c>
      <c r="F371" s="18"/>
      <c r="G371" s="13"/>
      <c r="H371" s="29">
        <v>44277</v>
      </c>
      <c r="I371" s="13" t="s">
        <v>741</v>
      </c>
      <c r="J371" s="13"/>
      <c r="K371" s="13" t="s">
        <v>193</v>
      </c>
      <c r="L371" s="13"/>
      <c r="M371" s="13"/>
      <c r="N371" s="13"/>
      <c r="O371" s="13"/>
      <c r="P371" s="13"/>
      <c r="Q371" s="13"/>
      <c r="R371" s="13"/>
      <c r="S371" s="13" t="s">
        <v>1107</v>
      </c>
      <c r="T371" s="13"/>
      <c r="U371" s="13"/>
    </row>
    <row r="372" spans="1:21" x14ac:dyDescent="0.25">
      <c r="A372" s="16" t="s">
        <v>309</v>
      </c>
      <c r="B372" s="13" t="s">
        <v>13</v>
      </c>
      <c r="C372" s="16" t="s">
        <v>30</v>
      </c>
      <c r="D372" s="29">
        <v>44270</v>
      </c>
      <c r="E372" s="18" t="s">
        <v>23</v>
      </c>
      <c r="F372" s="18"/>
      <c r="G372" s="13"/>
      <c r="H372" s="29">
        <v>44277</v>
      </c>
      <c r="I372" s="13" t="s">
        <v>734</v>
      </c>
      <c r="J372" s="13"/>
      <c r="K372" s="13" t="s">
        <v>26</v>
      </c>
      <c r="L372" s="13"/>
      <c r="M372" s="13"/>
      <c r="N372" s="13"/>
      <c r="O372" s="13"/>
      <c r="P372" s="13"/>
      <c r="Q372" s="13"/>
      <c r="R372" s="13"/>
      <c r="S372" s="13" t="s">
        <v>572</v>
      </c>
      <c r="T372" s="13"/>
      <c r="U372" s="13"/>
    </row>
    <row r="373" spans="1:21" x14ac:dyDescent="0.25">
      <c r="A373" s="16" t="s">
        <v>309</v>
      </c>
      <c r="B373" s="13" t="s">
        <v>13</v>
      </c>
      <c r="C373" s="16" t="s">
        <v>30</v>
      </c>
      <c r="D373" s="29">
        <v>44270</v>
      </c>
      <c r="E373" s="18" t="s">
        <v>23</v>
      </c>
      <c r="F373" s="18"/>
      <c r="G373" s="13"/>
      <c r="H373" s="29">
        <v>44277</v>
      </c>
      <c r="I373" s="13" t="s">
        <v>735</v>
      </c>
      <c r="J373" s="13"/>
      <c r="K373" s="13" t="s">
        <v>26</v>
      </c>
      <c r="L373" s="13"/>
      <c r="M373" s="13"/>
      <c r="N373" s="13"/>
      <c r="O373" s="13"/>
      <c r="P373" s="13"/>
      <c r="Q373" s="13"/>
      <c r="R373" s="13"/>
      <c r="S373" s="13" t="s">
        <v>573</v>
      </c>
      <c r="T373" s="13"/>
      <c r="U373" s="13"/>
    </row>
    <row r="374" spans="1:21" x14ac:dyDescent="0.25">
      <c r="A374" s="16" t="s">
        <v>309</v>
      </c>
      <c r="B374" s="13" t="s">
        <v>13</v>
      </c>
      <c r="C374" s="16" t="s">
        <v>30</v>
      </c>
      <c r="D374" s="29">
        <v>44270</v>
      </c>
      <c r="E374" s="18" t="s">
        <v>23</v>
      </c>
      <c r="F374" s="18"/>
      <c r="G374" s="13"/>
      <c r="H374" s="29">
        <v>44277</v>
      </c>
      <c r="I374" s="13" t="s">
        <v>738</v>
      </c>
      <c r="J374" s="13"/>
      <c r="K374" s="13" t="s">
        <v>123</v>
      </c>
      <c r="L374" s="13"/>
      <c r="M374" s="13"/>
      <c r="N374" s="13"/>
      <c r="O374" s="13"/>
      <c r="P374" s="13"/>
      <c r="Q374" s="13"/>
      <c r="R374" s="13"/>
      <c r="S374" s="13" t="s">
        <v>750</v>
      </c>
      <c r="T374" s="13"/>
      <c r="U374" s="13"/>
    </row>
    <row r="375" spans="1:21" x14ac:dyDescent="0.25">
      <c r="A375" s="16" t="s">
        <v>309</v>
      </c>
      <c r="B375" s="13" t="s">
        <v>13</v>
      </c>
      <c r="C375" s="16" t="s">
        <v>30</v>
      </c>
      <c r="D375" s="29">
        <v>44270</v>
      </c>
      <c r="E375" s="18" t="s">
        <v>23</v>
      </c>
      <c r="F375" s="18"/>
      <c r="G375" s="13"/>
      <c r="H375" s="29">
        <v>44277</v>
      </c>
      <c r="I375" s="13" t="s">
        <v>568</v>
      </c>
      <c r="J375" s="13"/>
      <c r="K375" s="13" t="s">
        <v>26</v>
      </c>
      <c r="L375" s="13"/>
      <c r="M375" s="13"/>
      <c r="N375" s="13"/>
      <c r="O375" s="13"/>
      <c r="P375" s="13"/>
      <c r="Q375" s="13"/>
      <c r="R375" s="13"/>
      <c r="S375" s="13" t="s">
        <v>569</v>
      </c>
      <c r="T375" s="13"/>
      <c r="U375" s="13"/>
    </row>
    <row r="376" spans="1:21" x14ac:dyDescent="0.25">
      <c r="A376" s="16" t="s">
        <v>309</v>
      </c>
      <c r="B376" s="13" t="s">
        <v>13</v>
      </c>
      <c r="C376" s="16" t="s">
        <v>30</v>
      </c>
      <c r="D376" s="29">
        <v>44270</v>
      </c>
      <c r="E376" s="18" t="s">
        <v>23</v>
      </c>
      <c r="F376" s="18"/>
      <c r="G376" s="13"/>
      <c r="H376" s="29">
        <v>44277</v>
      </c>
      <c r="I376" s="13" t="s">
        <v>740</v>
      </c>
      <c r="J376" s="13"/>
      <c r="K376" s="13" t="s">
        <v>103</v>
      </c>
      <c r="L376" s="13"/>
      <c r="M376" s="13"/>
      <c r="N376" s="13"/>
      <c r="O376" s="13"/>
      <c r="P376" s="13"/>
      <c r="Q376" s="13"/>
      <c r="R376" s="13"/>
      <c r="S376" s="13" t="s">
        <v>426</v>
      </c>
      <c r="T376" s="13"/>
      <c r="U376" s="13"/>
    </row>
    <row r="377" spans="1:21" x14ac:dyDescent="0.25">
      <c r="A377" s="16" t="s">
        <v>312</v>
      </c>
      <c r="B377" s="13" t="s">
        <v>13</v>
      </c>
      <c r="C377" s="16" t="s">
        <v>30</v>
      </c>
      <c r="D377" s="29">
        <v>44270</v>
      </c>
      <c r="E377" s="18" t="s">
        <v>23</v>
      </c>
      <c r="F377" s="18"/>
      <c r="G377" s="13"/>
      <c r="H377" s="29">
        <v>44277</v>
      </c>
      <c r="I377" s="13" t="s">
        <v>99</v>
      </c>
      <c r="J377" s="13"/>
      <c r="K377" s="13" t="s">
        <v>73</v>
      </c>
      <c r="L377" s="13"/>
      <c r="M377" s="13"/>
      <c r="N377" s="13"/>
      <c r="O377" s="13"/>
      <c r="P377" s="13"/>
      <c r="Q377" s="13"/>
      <c r="R377" s="13"/>
      <c r="S377" s="13" t="s">
        <v>968</v>
      </c>
      <c r="T377" s="13"/>
      <c r="U377" s="13"/>
    </row>
    <row r="378" spans="1:21" x14ac:dyDescent="0.25">
      <c r="A378" s="16" t="s">
        <v>312</v>
      </c>
      <c r="B378" s="13" t="s">
        <v>13</v>
      </c>
      <c r="C378" s="16" t="s">
        <v>30</v>
      </c>
      <c r="D378" s="29">
        <v>44270</v>
      </c>
      <c r="E378" s="18" t="s">
        <v>23</v>
      </c>
      <c r="F378" s="18"/>
      <c r="G378" s="13"/>
      <c r="H378" s="29">
        <v>44277</v>
      </c>
      <c r="I378" s="13" t="s">
        <v>102</v>
      </c>
      <c r="J378" s="13"/>
      <c r="K378" s="13" t="s">
        <v>73</v>
      </c>
      <c r="L378" s="13"/>
      <c r="M378" s="13"/>
      <c r="N378" s="13"/>
      <c r="O378" s="13"/>
      <c r="P378" s="13"/>
      <c r="Q378" s="13"/>
      <c r="R378" s="13"/>
      <c r="S378" s="13" t="s">
        <v>968</v>
      </c>
      <c r="T378" s="13"/>
      <c r="U378" s="13"/>
    </row>
    <row r="379" spans="1:21" x14ac:dyDescent="0.25">
      <c r="A379" s="16" t="s">
        <v>312</v>
      </c>
      <c r="B379" s="13" t="s">
        <v>13</v>
      </c>
      <c r="C379" s="16" t="s">
        <v>30</v>
      </c>
      <c r="D379" s="29">
        <v>44270</v>
      </c>
      <c r="E379" s="18" t="s">
        <v>23</v>
      </c>
      <c r="F379" s="18"/>
      <c r="G379" s="13"/>
      <c r="H379" s="29">
        <v>44277</v>
      </c>
      <c r="I379" s="13" t="s">
        <v>95</v>
      </c>
      <c r="J379" s="13"/>
      <c r="K379" s="13" t="s">
        <v>123</v>
      </c>
      <c r="L379" s="13"/>
      <c r="M379" s="13"/>
      <c r="N379" s="13"/>
      <c r="O379" s="13"/>
      <c r="P379" s="13"/>
      <c r="Q379" s="13"/>
      <c r="R379" s="13"/>
      <c r="S379" s="13" t="s">
        <v>1046</v>
      </c>
      <c r="T379" s="13"/>
      <c r="U379" s="13"/>
    </row>
    <row r="380" spans="1:21" x14ac:dyDescent="0.25">
      <c r="A380" s="16" t="s">
        <v>312</v>
      </c>
      <c r="B380" s="13" t="s">
        <v>13</v>
      </c>
      <c r="C380" s="16" t="s">
        <v>30</v>
      </c>
      <c r="D380" s="29">
        <v>44270</v>
      </c>
      <c r="E380" s="18" t="s">
        <v>23</v>
      </c>
      <c r="F380" s="18"/>
      <c r="G380" s="13"/>
      <c r="H380" s="29">
        <v>44277</v>
      </c>
      <c r="I380" s="13" t="s">
        <v>98</v>
      </c>
      <c r="J380" s="13"/>
      <c r="K380" s="13" t="s">
        <v>123</v>
      </c>
      <c r="L380" s="13"/>
      <c r="M380" s="13"/>
      <c r="N380" s="13"/>
      <c r="O380" s="13"/>
      <c r="P380" s="13"/>
      <c r="Q380" s="13"/>
      <c r="R380" s="13"/>
      <c r="S380" s="13" t="s">
        <v>1046</v>
      </c>
      <c r="T380" s="13"/>
      <c r="U380" s="13"/>
    </row>
    <row r="381" spans="1:21" x14ac:dyDescent="0.25">
      <c r="A381" s="16" t="s">
        <v>312</v>
      </c>
      <c r="B381" s="13" t="s">
        <v>13</v>
      </c>
      <c r="C381" s="16" t="s">
        <v>30</v>
      </c>
      <c r="D381" s="29">
        <v>44270</v>
      </c>
      <c r="E381" s="18" t="s">
        <v>23</v>
      </c>
      <c r="F381" s="18"/>
      <c r="G381" s="13"/>
      <c r="H381" s="29">
        <v>44277</v>
      </c>
      <c r="I381" s="13" t="s">
        <v>92</v>
      </c>
      <c r="J381" s="13"/>
      <c r="K381" s="13" t="s">
        <v>103</v>
      </c>
      <c r="L381" s="13"/>
      <c r="M381" s="13"/>
      <c r="N381" s="13"/>
      <c r="O381" s="13"/>
      <c r="P381" s="13"/>
      <c r="Q381" s="13"/>
      <c r="R381" s="13"/>
      <c r="S381" s="13" t="s">
        <v>1108</v>
      </c>
      <c r="T381" s="13"/>
      <c r="U381" s="13"/>
    </row>
    <row r="382" spans="1:21" x14ac:dyDescent="0.25">
      <c r="A382" s="16" t="s">
        <v>312</v>
      </c>
      <c r="B382" s="13" t="s">
        <v>13</v>
      </c>
      <c r="C382" s="16" t="s">
        <v>30</v>
      </c>
      <c r="D382" s="29">
        <v>44270</v>
      </c>
      <c r="E382" s="18" t="s">
        <v>23</v>
      </c>
      <c r="F382" s="18"/>
      <c r="G382" s="13"/>
      <c r="H382" s="29">
        <v>44277</v>
      </c>
      <c r="I382" s="13" t="s">
        <v>94</v>
      </c>
      <c r="J382" s="13"/>
      <c r="K382" s="13" t="s">
        <v>103</v>
      </c>
      <c r="L382" s="13"/>
      <c r="M382" s="13"/>
      <c r="N382" s="13"/>
      <c r="O382" s="13"/>
      <c r="P382" s="13"/>
      <c r="Q382" s="13"/>
      <c r="R382" s="13"/>
      <c r="S382" s="13" t="s">
        <v>1108</v>
      </c>
      <c r="T382" s="13"/>
      <c r="U382" s="13"/>
    </row>
    <row r="383" spans="1:21" s="25" customFormat="1" x14ac:dyDescent="0.25">
      <c r="A383" s="22">
        <v>121</v>
      </c>
      <c r="B383" s="21" t="s">
        <v>13</v>
      </c>
      <c r="C383" s="22" t="s">
        <v>672</v>
      </c>
      <c r="D383" s="17">
        <v>44271</v>
      </c>
      <c r="E383" s="23" t="s">
        <v>23</v>
      </c>
      <c r="F383" s="23"/>
      <c r="G383" s="21"/>
      <c r="H383" s="17">
        <v>44278</v>
      </c>
      <c r="I383" s="21" t="s">
        <v>669</v>
      </c>
      <c r="J383" s="21">
        <v>258</v>
      </c>
      <c r="K383" s="21" t="s">
        <v>526</v>
      </c>
      <c r="L383" s="21">
        <v>0.29759999999999998</v>
      </c>
      <c r="M383" s="21">
        <v>0.67600000000000005</v>
      </c>
      <c r="N383" s="21">
        <v>76.780799999999999</v>
      </c>
      <c r="O383" s="21">
        <v>174.40799999999999</v>
      </c>
      <c r="P383" s="21">
        <v>9.98</v>
      </c>
      <c r="Q383" s="21">
        <v>61.01</v>
      </c>
      <c r="R383" s="21">
        <v>205</v>
      </c>
      <c r="S383" s="21">
        <v>15740.06</v>
      </c>
      <c r="T383" s="21"/>
      <c r="U383" s="21"/>
    </row>
    <row r="384" spans="1:21" s="25" customFormat="1" x14ac:dyDescent="0.25">
      <c r="A384" s="22">
        <v>122</v>
      </c>
      <c r="B384" s="21" t="s">
        <v>13</v>
      </c>
      <c r="C384" s="22" t="s">
        <v>672</v>
      </c>
      <c r="D384" s="17">
        <v>44271</v>
      </c>
      <c r="E384" s="23" t="s">
        <v>23</v>
      </c>
      <c r="F384" s="23"/>
      <c r="G384" s="21"/>
      <c r="H384" s="17">
        <v>44278</v>
      </c>
      <c r="I384" s="21" t="s">
        <v>630</v>
      </c>
      <c r="J384" s="21">
        <v>1326</v>
      </c>
      <c r="K384" s="21" t="s">
        <v>1110</v>
      </c>
      <c r="L384" s="21">
        <v>0.54049999999999998</v>
      </c>
      <c r="M384" s="21">
        <v>2.0990000000000002</v>
      </c>
      <c r="N384" s="21">
        <v>716.70299999999997</v>
      </c>
      <c r="O384" s="21">
        <v>2783.2739999999999</v>
      </c>
      <c r="P384" s="21">
        <v>93.17</v>
      </c>
      <c r="Q384" s="21">
        <v>110.8</v>
      </c>
      <c r="R384" s="21">
        <v>205</v>
      </c>
      <c r="S384" s="21">
        <v>146924.12</v>
      </c>
      <c r="T384" s="21"/>
      <c r="U384" s="21"/>
    </row>
    <row r="385" spans="1:23" s="25" customFormat="1" x14ac:dyDescent="0.25">
      <c r="A385" s="22">
        <v>122</v>
      </c>
      <c r="B385" s="21" t="s">
        <v>13</v>
      </c>
      <c r="C385" s="22" t="s">
        <v>672</v>
      </c>
      <c r="D385" s="17">
        <v>44271</v>
      </c>
      <c r="E385" s="23" t="s">
        <v>23</v>
      </c>
      <c r="F385" s="23"/>
      <c r="G385" s="21">
        <v>112</v>
      </c>
      <c r="H385" s="17">
        <v>44278</v>
      </c>
      <c r="I385" s="21" t="s">
        <v>999</v>
      </c>
      <c r="J385" s="21">
        <v>780</v>
      </c>
      <c r="K385" s="21" t="s">
        <v>673</v>
      </c>
      <c r="L385" s="21">
        <v>0.626</v>
      </c>
      <c r="M385" s="21">
        <v>2.1960000000000002</v>
      </c>
      <c r="N385" s="21">
        <v>488.28</v>
      </c>
      <c r="O385" s="21">
        <v>1712.88</v>
      </c>
      <c r="P385" s="21">
        <v>63.48</v>
      </c>
      <c r="Q385" s="21">
        <v>128.33000000000001</v>
      </c>
      <c r="R385" s="21">
        <v>205</v>
      </c>
      <c r="S385" s="21">
        <v>100097.4</v>
      </c>
      <c r="T385" s="21"/>
      <c r="U385" s="21"/>
    </row>
    <row r="386" spans="1:23" s="25" customFormat="1" x14ac:dyDescent="0.25">
      <c r="A386" s="22">
        <v>123</v>
      </c>
      <c r="B386" s="21" t="s">
        <v>13</v>
      </c>
      <c r="C386" s="22" t="s">
        <v>625</v>
      </c>
      <c r="D386" s="17">
        <v>44271</v>
      </c>
      <c r="E386" s="23" t="s">
        <v>23</v>
      </c>
      <c r="F386" s="23"/>
      <c r="G386" s="21"/>
      <c r="H386" s="17">
        <v>44278</v>
      </c>
      <c r="I386" s="21" t="s">
        <v>1099</v>
      </c>
      <c r="J386" s="21">
        <v>620.4</v>
      </c>
      <c r="K386" s="21" t="s">
        <v>82</v>
      </c>
      <c r="L386" s="21">
        <v>0.34810000000000002</v>
      </c>
      <c r="M386" s="21">
        <v>1.4930000000000001</v>
      </c>
      <c r="N386" s="21">
        <v>215.96119999999999</v>
      </c>
      <c r="O386" s="21">
        <v>926.25720000000001</v>
      </c>
      <c r="P386" s="21">
        <v>28.08</v>
      </c>
      <c r="Q386" s="21">
        <v>66.14</v>
      </c>
      <c r="R386" s="21">
        <v>190</v>
      </c>
      <c r="S386" s="21">
        <v>41033.26</v>
      </c>
      <c r="T386" s="21"/>
      <c r="U386" s="21"/>
    </row>
    <row r="387" spans="1:23" s="25" customFormat="1" x14ac:dyDescent="0.25">
      <c r="A387" s="22">
        <v>120</v>
      </c>
      <c r="B387" s="21" t="s">
        <v>13</v>
      </c>
      <c r="C387" s="22" t="s">
        <v>672</v>
      </c>
      <c r="D387" s="17">
        <v>44271</v>
      </c>
      <c r="E387" s="23" t="s">
        <v>23</v>
      </c>
      <c r="F387" s="23"/>
      <c r="G387" s="21"/>
      <c r="H387" s="17">
        <v>44278</v>
      </c>
      <c r="I387" s="21" t="s">
        <v>1111</v>
      </c>
      <c r="J387" s="21">
        <v>1536</v>
      </c>
      <c r="K387" s="21">
        <v>384</v>
      </c>
      <c r="L387" s="21">
        <v>0.31</v>
      </c>
      <c r="M387" s="21">
        <v>1.2010000000000001</v>
      </c>
      <c r="N387" s="21">
        <v>476.16</v>
      </c>
      <c r="O387" s="21">
        <v>1844.7360000000001</v>
      </c>
      <c r="P387" s="21">
        <v>61.9</v>
      </c>
      <c r="Q387" s="21">
        <v>63.55</v>
      </c>
      <c r="R387" s="21">
        <v>205</v>
      </c>
      <c r="S387" s="21">
        <v>97612.800000000003</v>
      </c>
      <c r="T387" s="21"/>
      <c r="U387" s="21"/>
    </row>
    <row r="388" spans="1:23" s="25" customFormat="1" x14ac:dyDescent="0.25">
      <c r="A388" s="22">
        <v>120</v>
      </c>
      <c r="B388" s="21" t="s">
        <v>13</v>
      </c>
      <c r="C388" s="22" t="s">
        <v>672</v>
      </c>
      <c r="D388" s="17">
        <v>44271</v>
      </c>
      <c r="E388" s="23" t="s">
        <v>23</v>
      </c>
      <c r="F388" s="23"/>
      <c r="G388" s="21"/>
      <c r="H388" s="17">
        <v>44278</v>
      </c>
      <c r="I388" s="21" t="s">
        <v>1070</v>
      </c>
      <c r="J388" s="21">
        <v>1722</v>
      </c>
      <c r="K388" s="21">
        <v>287</v>
      </c>
      <c r="L388" s="21">
        <v>0.31</v>
      </c>
      <c r="M388" s="21">
        <v>1.2010000000000001</v>
      </c>
      <c r="N388" s="21">
        <v>533.82000000000005</v>
      </c>
      <c r="O388" s="21">
        <v>2068.1219999999998</v>
      </c>
      <c r="P388" s="21">
        <v>69.400000000000006</v>
      </c>
      <c r="Q388" s="21">
        <v>63.55</v>
      </c>
      <c r="R388" s="21">
        <v>205</v>
      </c>
      <c r="S388" s="21">
        <v>109433.1</v>
      </c>
      <c r="T388" s="21"/>
      <c r="U388" s="21"/>
    </row>
    <row r="389" spans="1:23" s="25" customFormat="1" x14ac:dyDescent="0.25">
      <c r="A389" s="22">
        <v>125</v>
      </c>
      <c r="B389" s="21" t="s">
        <v>13</v>
      </c>
      <c r="C389" s="22" t="s">
        <v>672</v>
      </c>
      <c r="D389" s="17">
        <v>44269</v>
      </c>
      <c r="E389" s="23" t="s">
        <v>23</v>
      </c>
      <c r="F389" s="23"/>
      <c r="G389" s="21"/>
      <c r="H389" s="17">
        <v>44278</v>
      </c>
      <c r="I389" s="21" t="s">
        <v>1112</v>
      </c>
      <c r="J389" s="21">
        <v>429</v>
      </c>
      <c r="K389" s="21" t="s">
        <v>351</v>
      </c>
      <c r="L389" s="21">
        <v>0.67</v>
      </c>
      <c r="M389" s="21">
        <v>1.9690000000000001</v>
      </c>
      <c r="N389" s="21">
        <v>287.43</v>
      </c>
      <c r="O389" s="21">
        <v>844.70100000000002</v>
      </c>
      <c r="P389" s="21">
        <v>37.369999999999997</v>
      </c>
      <c r="Q389" s="21">
        <v>137.35</v>
      </c>
      <c r="R389" s="21">
        <v>205</v>
      </c>
      <c r="S389" s="21">
        <v>58923.15</v>
      </c>
      <c r="T389" s="21"/>
      <c r="U389" s="21"/>
    </row>
    <row r="390" spans="1:23" x14ac:dyDescent="0.25">
      <c r="A390" s="16">
        <v>125</v>
      </c>
      <c r="B390" s="13" t="s">
        <v>13</v>
      </c>
      <c r="C390" s="16" t="s">
        <v>672</v>
      </c>
      <c r="D390" s="29">
        <v>44270</v>
      </c>
      <c r="E390" s="18" t="s">
        <v>23</v>
      </c>
      <c r="F390" s="18"/>
      <c r="G390" s="13"/>
      <c r="H390" s="29">
        <v>44278</v>
      </c>
      <c r="I390" s="13" t="s">
        <v>1113</v>
      </c>
      <c r="J390" s="13">
        <v>756</v>
      </c>
      <c r="K390" s="13" t="s">
        <v>190</v>
      </c>
      <c r="L390" s="13">
        <v>0.222</v>
      </c>
      <c r="M390" s="13">
        <v>0.74399999999999999</v>
      </c>
      <c r="N390" s="13">
        <v>167.83199999999999</v>
      </c>
      <c r="O390" s="13">
        <v>562.46400000000006</v>
      </c>
      <c r="P390" s="13">
        <v>21.82</v>
      </c>
      <c r="Q390" s="13">
        <v>45.51</v>
      </c>
      <c r="R390" s="13">
        <v>205</v>
      </c>
      <c r="S390" s="13">
        <v>34405.56</v>
      </c>
      <c r="T390" s="13"/>
      <c r="U390" s="13"/>
    </row>
    <row r="391" spans="1:23" s="71" customFormat="1" x14ac:dyDescent="0.25">
      <c r="A391" s="67">
        <v>126</v>
      </c>
      <c r="B391" s="68" t="s">
        <v>13</v>
      </c>
      <c r="C391" s="67" t="s">
        <v>1116</v>
      </c>
      <c r="D391" s="69">
        <v>44271</v>
      </c>
      <c r="E391" s="70" t="s">
        <v>23</v>
      </c>
      <c r="F391" s="70"/>
      <c r="G391" s="68"/>
      <c r="H391" s="69">
        <v>44278</v>
      </c>
      <c r="I391" s="68" t="s">
        <v>1114</v>
      </c>
      <c r="J391" s="68">
        <v>198</v>
      </c>
      <c r="K391" s="68" t="s">
        <v>1115</v>
      </c>
      <c r="L391" s="68">
        <v>0.60040000000000004</v>
      </c>
      <c r="M391" s="68">
        <v>2.5739999999999998</v>
      </c>
      <c r="N391" s="68">
        <v>118.8792</v>
      </c>
      <c r="O391" s="68">
        <v>509.65199999999999</v>
      </c>
      <c r="P391" s="68">
        <v>15.45</v>
      </c>
      <c r="Q391" s="68">
        <v>172.92</v>
      </c>
      <c r="R391" s="68">
        <v>288</v>
      </c>
      <c r="S391" s="68">
        <v>34237.21</v>
      </c>
      <c r="T391" s="68"/>
      <c r="U391" s="68"/>
    </row>
    <row r="392" spans="1:23" x14ac:dyDescent="0.25">
      <c r="A392" s="16">
        <v>124</v>
      </c>
      <c r="B392" s="13" t="s">
        <v>34</v>
      </c>
      <c r="C392" s="16" t="s">
        <v>19</v>
      </c>
      <c r="D392" s="29">
        <v>44271</v>
      </c>
      <c r="E392" s="18" t="s">
        <v>23</v>
      </c>
      <c r="F392" s="18"/>
      <c r="G392" s="13" t="s">
        <v>1153</v>
      </c>
      <c r="H392" s="29">
        <v>44273</v>
      </c>
      <c r="I392" s="13" t="s">
        <v>1117</v>
      </c>
      <c r="J392" s="13">
        <v>112</v>
      </c>
      <c r="K392" s="13" t="s">
        <v>207</v>
      </c>
      <c r="L392" s="13">
        <v>0.27160000000000001</v>
      </c>
      <c r="M392" s="13">
        <v>0.72799999999999998</v>
      </c>
      <c r="N392" s="13">
        <v>30.4192</v>
      </c>
      <c r="O392" s="13">
        <v>81.536000000000001</v>
      </c>
      <c r="P392" s="13">
        <v>3.95</v>
      </c>
      <c r="Q392" s="13">
        <v>56.22</v>
      </c>
      <c r="R392" s="13">
        <v>207</v>
      </c>
      <c r="S392" s="13">
        <v>6296.77</v>
      </c>
      <c r="T392" s="13"/>
      <c r="U392" s="13"/>
    </row>
    <row r="393" spans="1:23" x14ac:dyDescent="0.25">
      <c r="A393" s="16" t="s">
        <v>1118</v>
      </c>
      <c r="B393" s="13" t="s">
        <v>34</v>
      </c>
      <c r="C393" s="16" t="s">
        <v>16</v>
      </c>
      <c r="D393" s="29">
        <v>44271</v>
      </c>
      <c r="E393" s="18" t="s">
        <v>23</v>
      </c>
      <c r="F393" s="18"/>
      <c r="G393" s="13" t="s">
        <v>1846</v>
      </c>
      <c r="H393" s="29"/>
      <c r="I393" s="13" t="s">
        <v>995</v>
      </c>
      <c r="J393" s="13">
        <v>186</v>
      </c>
      <c r="K393" s="13" t="s">
        <v>519</v>
      </c>
      <c r="L393" s="13">
        <v>0.56989999999999996</v>
      </c>
      <c r="M393" s="13">
        <v>1.304</v>
      </c>
      <c r="N393" s="13">
        <v>106.0014</v>
      </c>
      <c r="O393" s="13">
        <v>242.54400000000001</v>
      </c>
      <c r="P393" s="13">
        <v>13.78</v>
      </c>
      <c r="Q393" s="13">
        <v>209.72</v>
      </c>
      <c r="R393" s="13">
        <v>368</v>
      </c>
      <c r="S393" s="13">
        <v>39008.519999999997</v>
      </c>
      <c r="T393" s="13"/>
      <c r="U393" s="63"/>
      <c r="V393" s="13"/>
      <c r="W393" s="13"/>
    </row>
    <row r="394" spans="1:23" s="25" customFormat="1" x14ac:dyDescent="0.25">
      <c r="A394" s="22">
        <v>128</v>
      </c>
      <c r="B394" s="21" t="s">
        <v>13</v>
      </c>
      <c r="C394" s="22" t="s">
        <v>625</v>
      </c>
      <c r="D394" s="17">
        <v>44271</v>
      </c>
      <c r="E394" s="23" t="s">
        <v>23</v>
      </c>
      <c r="F394" s="23"/>
      <c r="G394" s="21" t="s">
        <v>1159</v>
      </c>
      <c r="H394" s="17">
        <v>44278</v>
      </c>
      <c r="I394" s="21" t="s">
        <v>1099</v>
      </c>
      <c r="J394" s="21">
        <v>1894.1</v>
      </c>
      <c r="K394" s="21" t="s">
        <v>1119</v>
      </c>
      <c r="L394" s="21">
        <v>0.34810000000000002</v>
      </c>
      <c r="M394" s="21">
        <v>1.4930000000000001</v>
      </c>
      <c r="N394" s="21">
        <v>659.33619999999996</v>
      </c>
      <c r="O394" s="21">
        <v>2827.8912999999998</v>
      </c>
      <c r="P394" s="21">
        <v>85.71</v>
      </c>
      <c r="Q394" s="21">
        <v>66.14</v>
      </c>
      <c r="R394" s="21">
        <v>190</v>
      </c>
      <c r="S394" s="21">
        <v>125273.88</v>
      </c>
      <c r="T394" s="21"/>
      <c r="U394" s="21"/>
    </row>
    <row r="395" spans="1:23" s="25" customFormat="1" x14ac:dyDescent="0.25">
      <c r="A395" s="22">
        <v>129</v>
      </c>
      <c r="B395" s="21" t="s">
        <v>13</v>
      </c>
      <c r="C395" s="22" t="s">
        <v>625</v>
      </c>
      <c r="D395" s="17">
        <v>44271</v>
      </c>
      <c r="E395" s="23" t="s">
        <v>23</v>
      </c>
      <c r="F395" s="23"/>
      <c r="G395" s="21"/>
      <c r="H395" s="17">
        <v>44278</v>
      </c>
      <c r="I395" s="21" t="s">
        <v>681</v>
      </c>
      <c r="J395" s="21">
        <v>112.8</v>
      </c>
      <c r="K395" s="21" t="s">
        <v>562</v>
      </c>
      <c r="L395" s="21">
        <v>0.34789999999999999</v>
      </c>
      <c r="M395" s="21">
        <v>1.643</v>
      </c>
      <c r="N395" s="21">
        <v>39.243099999999998</v>
      </c>
      <c r="O395" s="21">
        <v>185.3304</v>
      </c>
      <c r="P395" s="21">
        <v>5.0999999999999996</v>
      </c>
      <c r="Q395" s="21">
        <v>66.099999999999994</v>
      </c>
      <c r="R395" s="21">
        <v>190</v>
      </c>
      <c r="S395" s="21">
        <v>7456.19</v>
      </c>
      <c r="T395" s="21"/>
      <c r="U395" s="21"/>
    </row>
    <row r="396" spans="1:23" ht="13.15" customHeight="1" x14ac:dyDescent="0.25">
      <c r="A396" s="16">
        <v>130</v>
      </c>
      <c r="B396" s="13" t="s">
        <v>13</v>
      </c>
      <c r="C396" s="16" t="s">
        <v>32</v>
      </c>
      <c r="D396" s="29">
        <v>44294</v>
      </c>
      <c r="E396" s="18" t="s">
        <v>23</v>
      </c>
      <c r="F396" s="18"/>
      <c r="G396" s="13" t="s">
        <v>1195</v>
      </c>
      <c r="H396" s="29">
        <v>44300</v>
      </c>
      <c r="I396" s="13" t="s">
        <v>640</v>
      </c>
      <c r="J396" s="13">
        <v>1162</v>
      </c>
      <c r="K396" s="13" t="s">
        <v>599</v>
      </c>
      <c r="L396" s="13">
        <v>0.12230000000000001</v>
      </c>
      <c r="M396" s="13">
        <v>0.16200000000000001</v>
      </c>
      <c r="N396" s="13">
        <v>142.11259999999999</v>
      </c>
      <c r="O396" s="13">
        <v>188.244</v>
      </c>
      <c r="P396" s="13">
        <v>18.47</v>
      </c>
      <c r="Q396" s="13">
        <v>25.81</v>
      </c>
      <c r="R396" s="13">
        <v>211</v>
      </c>
      <c r="S396" s="13">
        <v>29985.759999999998</v>
      </c>
      <c r="T396" s="13"/>
      <c r="U396" s="13"/>
    </row>
    <row r="397" spans="1:23" x14ac:dyDescent="0.25">
      <c r="A397" s="16">
        <v>130</v>
      </c>
      <c r="B397" s="13" t="s">
        <v>13</v>
      </c>
      <c r="C397" s="16" t="s">
        <v>32</v>
      </c>
      <c r="D397" s="29">
        <v>44294</v>
      </c>
      <c r="E397" s="18" t="s">
        <v>23</v>
      </c>
      <c r="F397" s="18"/>
      <c r="G397" s="13" t="s">
        <v>1194</v>
      </c>
      <c r="H397" s="29">
        <v>44300</v>
      </c>
      <c r="I397" s="13" t="s">
        <v>626</v>
      </c>
      <c r="J397" s="13">
        <v>572.29999999999995</v>
      </c>
      <c r="K397" s="13" t="s">
        <v>654</v>
      </c>
      <c r="L397" s="13">
        <v>0.12230000000000001</v>
      </c>
      <c r="M397" s="13">
        <v>0.16200000000000001</v>
      </c>
      <c r="N397" s="13">
        <v>69.9923</v>
      </c>
      <c r="O397" s="13">
        <v>92.712599999999995</v>
      </c>
      <c r="P397" s="13">
        <v>9.1</v>
      </c>
      <c r="Q397" s="13">
        <v>25.81</v>
      </c>
      <c r="R397" s="13">
        <v>211</v>
      </c>
      <c r="S397" s="13">
        <v>14768.37</v>
      </c>
      <c r="T397" s="13"/>
      <c r="U397" s="13"/>
    </row>
    <row r="398" spans="1:23" x14ac:dyDescent="0.25">
      <c r="A398" s="16" t="s">
        <v>314</v>
      </c>
      <c r="B398" s="13" t="s">
        <v>13</v>
      </c>
      <c r="C398" s="16" t="s">
        <v>583</v>
      </c>
      <c r="D398" s="29">
        <v>44272</v>
      </c>
      <c r="E398" s="18" t="s">
        <v>23</v>
      </c>
      <c r="F398" s="18"/>
      <c r="G398" s="13"/>
      <c r="H398" s="29">
        <v>44279</v>
      </c>
      <c r="I398" s="42" t="s">
        <v>89</v>
      </c>
      <c r="J398" s="13"/>
      <c r="K398" s="13">
        <v>48</v>
      </c>
      <c r="L398" s="13"/>
      <c r="M398" s="13"/>
      <c r="N398" s="13"/>
      <c r="O398" s="13"/>
      <c r="P398" s="13"/>
      <c r="Q398" s="13"/>
      <c r="R398" s="13"/>
      <c r="S398" s="13">
        <v>34992</v>
      </c>
      <c r="T398" s="13"/>
      <c r="U398" s="13"/>
    </row>
    <row r="399" spans="1:23" x14ac:dyDescent="0.25">
      <c r="A399" s="16">
        <v>132</v>
      </c>
      <c r="B399" s="13" t="s">
        <v>13</v>
      </c>
      <c r="C399" s="16" t="s">
        <v>1120</v>
      </c>
      <c r="D399" s="29">
        <v>44273</v>
      </c>
      <c r="E399" s="18" t="s">
        <v>23</v>
      </c>
      <c r="F399" s="18"/>
      <c r="G399" s="13"/>
      <c r="H399" s="29">
        <v>44280</v>
      </c>
      <c r="I399" s="13" t="s">
        <v>117</v>
      </c>
      <c r="J399" s="13">
        <v>600</v>
      </c>
      <c r="K399" s="13" t="s">
        <v>673</v>
      </c>
      <c r="L399" s="13">
        <v>0.1734</v>
      </c>
      <c r="M399" s="13">
        <v>0.35099999999999998</v>
      </c>
      <c r="N399" s="13">
        <v>104.04</v>
      </c>
      <c r="O399" s="13">
        <v>210.6</v>
      </c>
      <c r="P399" s="13">
        <v>13.53</v>
      </c>
      <c r="Q399" s="13">
        <v>49.94</v>
      </c>
      <c r="R399" s="13">
        <v>288</v>
      </c>
      <c r="S399" s="13">
        <v>29963.52</v>
      </c>
      <c r="T399" s="13"/>
      <c r="U399" s="13"/>
    </row>
    <row r="400" spans="1:23" s="25" customFormat="1" x14ac:dyDescent="0.25">
      <c r="A400" s="22">
        <v>133</v>
      </c>
      <c r="B400" s="21" t="s">
        <v>13</v>
      </c>
      <c r="C400" s="22" t="s">
        <v>674</v>
      </c>
      <c r="D400" s="17">
        <v>44273</v>
      </c>
      <c r="E400" s="23" t="s">
        <v>23</v>
      </c>
      <c r="F400" s="23"/>
      <c r="G400" s="21" t="s">
        <v>549</v>
      </c>
      <c r="H400" s="17">
        <v>44280</v>
      </c>
      <c r="I400" s="21" t="s">
        <v>301</v>
      </c>
      <c r="J400" s="21">
        <v>1092</v>
      </c>
      <c r="K400" s="21" t="s">
        <v>1121</v>
      </c>
      <c r="L400" s="21">
        <v>0.04</v>
      </c>
      <c r="M400" s="21">
        <v>6.0999999999999999E-2</v>
      </c>
      <c r="N400" s="21">
        <v>43.68</v>
      </c>
      <c r="O400" s="21">
        <v>66.611999999999995</v>
      </c>
      <c r="P400" s="21">
        <v>5.68</v>
      </c>
      <c r="Q400" s="21">
        <v>11.52</v>
      </c>
      <c r="R400" s="21">
        <v>288</v>
      </c>
      <c r="S400" s="21">
        <v>12579.84</v>
      </c>
      <c r="T400" s="21"/>
      <c r="U400" s="21"/>
    </row>
    <row r="401" spans="1:21" x14ac:dyDescent="0.25">
      <c r="A401" s="16" t="s">
        <v>315</v>
      </c>
      <c r="B401" s="13" t="s">
        <v>34</v>
      </c>
      <c r="C401" s="16" t="s">
        <v>19</v>
      </c>
      <c r="D401" s="29">
        <v>44273</v>
      </c>
      <c r="E401" s="18" t="s">
        <v>23</v>
      </c>
      <c r="F401" s="18"/>
      <c r="G401" s="13" t="s">
        <v>1220</v>
      </c>
      <c r="H401" s="29">
        <v>44280</v>
      </c>
      <c r="I401" s="13" t="s">
        <v>1123</v>
      </c>
      <c r="J401" s="13" t="s">
        <v>1126</v>
      </c>
      <c r="K401" s="13">
        <v>1021</v>
      </c>
      <c r="L401" s="13"/>
      <c r="M401" s="13"/>
      <c r="N401" s="13"/>
      <c r="O401" s="13"/>
      <c r="P401" s="13"/>
      <c r="Q401" s="13"/>
      <c r="R401" s="13"/>
      <c r="S401" s="13" t="s">
        <v>1129</v>
      </c>
      <c r="T401" s="13"/>
      <c r="U401" s="13"/>
    </row>
    <row r="402" spans="1:21" x14ac:dyDescent="0.25">
      <c r="A402" s="16" t="s">
        <v>315</v>
      </c>
      <c r="B402" s="13" t="s">
        <v>34</v>
      </c>
      <c r="C402" s="16" t="s">
        <v>19</v>
      </c>
      <c r="D402" s="29">
        <v>44273</v>
      </c>
      <c r="E402" s="18" t="s">
        <v>23</v>
      </c>
      <c r="F402" s="18"/>
      <c r="G402" s="13"/>
      <c r="H402" s="29">
        <v>44280</v>
      </c>
      <c r="I402" s="13" t="s">
        <v>1124</v>
      </c>
      <c r="J402" s="13" t="s">
        <v>1127</v>
      </c>
      <c r="K402" s="13">
        <v>29</v>
      </c>
      <c r="L402" s="13"/>
      <c r="M402" s="13"/>
      <c r="N402" s="13"/>
      <c r="O402" s="13"/>
      <c r="P402" s="13"/>
      <c r="Q402" s="13"/>
      <c r="R402" s="13"/>
      <c r="S402" s="13" t="s">
        <v>1130</v>
      </c>
      <c r="T402" s="13"/>
      <c r="U402" s="13"/>
    </row>
    <row r="403" spans="1:21" x14ac:dyDescent="0.25">
      <c r="A403" s="16" t="s">
        <v>315</v>
      </c>
      <c r="B403" s="13" t="s">
        <v>34</v>
      </c>
      <c r="C403" s="16" t="s">
        <v>19</v>
      </c>
      <c r="D403" s="29">
        <v>44273</v>
      </c>
      <c r="E403" s="18" t="s">
        <v>23</v>
      </c>
      <c r="F403" s="18"/>
      <c r="G403" s="13" t="s">
        <v>1219</v>
      </c>
      <c r="H403" s="29">
        <v>44280</v>
      </c>
      <c r="I403" s="13" t="s">
        <v>1125</v>
      </c>
      <c r="J403" s="13" t="s">
        <v>1128</v>
      </c>
      <c r="K403" s="13">
        <v>710</v>
      </c>
      <c r="L403" s="13"/>
      <c r="M403" s="13"/>
      <c r="N403" s="13"/>
      <c r="O403" s="13"/>
      <c r="P403" s="13"/>
      <c r="Q403" s="13"/>
      <c r="R403" s="13"/>
      <c r="S403" s="13" t="s">
        <v>1131</v>
      </c>
      <c r="T403" s="13"/>
      <c r="U403" s="13"/>
    </row>
    <row r="404" spans="1:21" x14ac:dyDescent="0.25">
      <c r="A404" s="16" t="s">
        <v>327</v>
      </c>
      <c r="B404" s="13" t="s">
        <v>13</v>
      </c>
      <c r="C404" s="16" t="s">
        <v>583</v>
      </c>
      <c r="D404" s="29">
        <v>44274</v>
      </c>
      <c r="E404" s="18" t="s">
        <v>23</v>
      </c>
      <c r="F404" s="18"/>
      <c r="G404" s="13"/>
      <c r="H404" s="29">
        <v>44281</v>
      </c>
      <c r="I404" s="42" t="s">
        <v>89</v>
      </c>
      <c r="J404" s="13"/>
      <c r="K404" s="13">
        <v>48</v>
      </c>
      <c r="L404" s="13"/>
      <c r="M404" s="13"/>
      <c r="N404" s="13"/>
      <c r="O404" s="13"/>
      <c r="P404" s="13"/>
      <c r="Q404" s="13"/>
      <c r="R404" s="13"/>
      <c r="S404" s="13">
        <v>34992</v>
      </c>
      <c r="T404" s="13"/>
      <c r="U404" s="13"/>
    </row>
    <row r="405" spans="1:21" x14ac:dyDescent="0.25">
      <c r="A405" s="16">
        <v>135</v>
      </c>
      <c r="B405" s="13" t="s">
        <v>13</v>
      </c>
      <c r="C405" s="16" t="s">
        <v>657</v>
      </c>
      <c r="D405" s="29">
        <v>44278</v>
      </c>
      <c r="E405" s="18" t="s">
        <v>23</v>
      </c>
      <c r="F405" s="18"/>
      <c r="G405" s="13"/>
      <c r="H405" s="29">
        <v>44285</v>
      </c>
      <c r="I405" s="13" t="s">
        <v>1000</v>
      </c>
      <c r="J405" s="13">
        <v>1061.4000000000001</v>
      </c>
      <c r="K405" s="13" t="s">
        <v>542</v>
      </c>
      <c r="L405" s="13">
        <v>0.1724</v>
      </c>
      <c r="M405" s="13">
        <v>0.41499999999999998</v>
      </c>
      <c r="N405" s="13">
        <v>182.9854</v>
      </c>
      <c r="O405" s="13">
        <v>440.48099999999999</v>
      </c>
      <c r="P405" s="13">
        <v>23.79</v>
      </c>
      <c r="Q405" s="13">
        <v>45.34</v>
      </c>
      <c r="R405" s="13">
        <v>263</v>
      </c>
      <c r="S405" s="13">
        <v>48125.15</v>
      </c>
      <c r="T405" s="13"/>
      <c r="U405" s="13"/>
    </row>
    <row r="406" spans="1:21" s="25" customFormat="1" x14ac:dyDescent="0.25">
      <c r="A406" s="22">
        <v>137</v>
      </c>
      <c r="B406" s="21" t="s">
        <v>13</v>
      </c>
      <c r="C406" s="22" t="s">
        <v>674</v>
      </c>
      <c r="D406" s="17">
        <v>44278</v>
      </c>
      <c r="E406" s="23" t="s">
        <v>23</v>
      </c>
      <c r="F406" s="23"/>
      <c r="G406" s="21"/>
      <c r="H406" s="17">
        <v>44285</v>
      </c>
      <c r="I406" s="21" t="s">
        <v>600</v>
      </c>
      <c r="J406" s="21">
        <v>828</v>
      </c>
      <c r="K406" s="21" t="s">
        <v>60</v>
      </c>
      <c r="L406" s="21">
        <v>0.30719999999999997</v>
      </c>
      <c r="M406" s="21">
        <v>0.69199999999999995</v>
      </c>
      <c r="N406" s="21">
        <v>254.36160000000001</v>
      </c>
      <c r="O406" s="21">
        <v>572.976</v>
      </c>
      <c r="P406" s="21">
        <v>33.07</v>
      </c>
      <c r="Q406" s="21">
        <v>88.47</v>
      </c>
      <c r="R406" s="21">
        <v>288</v>
      </c>
      <c r="S406" s="21">
        <v>73256.14</v>
      </c>
      <c r="T406" s="21"/>
      <c r="U406" s="21"/>
    </row>
    <row r="407" spans="1:21" s="25" customFormat="1" x14ac:dyDescent="0.25">
      <c r="A407" s="22">
        <v>138</v>
      </c>
      <c r="B407" s="21" t="s">
        <v>13</v>
      </c>
      <c r="C407" s="22" t="s">
        <v>672</v>
      </c>
      <c r="D407" s="17">
        <v>44278</v>
      </c>
      <c r="E407" s="23" t="s">
        <v>23</v>
      </c>
      <c r="F407" s="23"/>
      <c r="G407" s="21"/>
      <c r="H407" s="17">
        <v>44313</v>
      </c>
      <c r="I407" s="21" t="s">
        <v>999</v>
      </c>
      <c r="J407" s="21">
        <v>598</v>
      </c>
      <c r="K407" s="21" t="s">
        <v>209</v>
      </c>
      <c r="L407" s="21">
        <v>0.626</v>
      </c>
      <c r="M407" s="21">
        <v>2.1960000000000002</v>
      </c>
      <c r="N407" s="21">
        <v>374.34800000000001</v>
      </c>
      <c r="O407" s="21">
        <v>1313.2080000000001</v>
      </c>
      <c r="P407" s="21">
        <v>48.67</v>
      </c>
      <c r="Q407" s="21">
        <v>128.33000000000001</v>
      </c>
      <c r="R407" s="21">
        <v>205</v>
      </c>
      <c r="S407" s="21">
        <v>76741.34</v>
      </c>
      <c r="T407" s="21"/>
      <c r="U407" s="21"/>
    </row>
    <row r="408" spans="1:21" x14ac:dyDescent="0.25">
      <c r="A408" s="16">
        <v>139</v>
      </c>
      <c r="B408" s="13" t="s">
        <v>13</v>
      </c>
      <c r="C408" s="16" t="s">
        <v>682</v>
      </c>
      <c r="D408" s="29">
        <v>44278</v>
      </c>
      <c r="E408" s="18" t="s">
        <v>23</v>
      </c>
      <c r="F408" s="18"/>
      <c r="G408" s="13" t="s">
        <v>1386</v>
      </c>
      <c r="H408" s="29">
        <v>44285</v>
      </c>
      <c r="I408" s="13" t="s">
        <v>58</v>
      </c>
      <c r="J408" s="13">
        <v>86.8</v>
      </c>
      <c r="K408" s="13" t="s">
        <v>228</v>
      </c>
      <c r="L408" s="13">
        <v>0.9929</v>
      </c>
      <c r="M408" s="13">
        <v>4.5880000000000001</v>
      </c>
      <c r="N408" s="13">
        <v>86.183700000000002</v>
      </c>
      <c r="O408" s="13">
        <v>398.23840000000001</v>
      </c>
      <c r="P408" s="13">
        <v>11.2</v>
      </c>
      <c r="Q408" s="13">
        <v>261.13</v>
      </c>
      <c r="R408" s="13">
        <v>263</v>
      </c>
      <c r="S408" s="13">
        <v>22666.32</v>
      </c>
      <c r="T408" s="13"/>
      <c r="U408" s="13"/>
    </row>
    <row r="409" spans="1:21" x14ac:dyDescent="0.25">
      <c r="A409" s="16" t="s">
        <v>1132</v>
      </c>
      <c r="B409" s="13" t="s">
        <v>13</v>
      </c>
      <c r="C409" s="16" t="s">
        <v>480</v>
      </c>
      <c r="D409" s="29">
        <v>44278</v>
      </c>
      <c r="E409" s="18" t="s">
        <v>23</v>
      </c>
      <c r="F409" s="18"/>
      <c r="G409" s="13"/>
      <c r="H409" s="29">
        <v>44285</v>
      </c>
      <c r="I409" s="13" t="s">
        <v>481</v>
      </c>
      <c r="J409" s="13" t="s">
        <v>560</v>
      </c>
      <c r="K409" s="13"/>
      <c r="L409" s="13"/>
      <c r="M409" s="13"/>
      <c r="N409" s="13"/>
      <c r="O409" s="13"/>
      <c r="P409" s="13"/>
      <c r="Q409" s="13" t="s">
        <v>756</v>
      </c>
      <c r="R409" s="13"/>
      <c r="S409" s="13" t="s">
        <v>1133</v>
      </c>
      <c r="T409" s="13"/>
      <c r="U409" s="13"/>
    </row>
    <row r="410" spans="1:21" x14ac:dyDescent="0.25">
      <c r="A410" s="16" t="s">
        <v>1134</v>
      </c>
      <c r="B410" s="13" t="s">
        <v>13</v>
      </c>
      <c r="C410" s="16" t="s">
        <v>458</v>
      </c>
      <c r="D410" s="29">
        <v>44278</v>
      </c>
      <c r="E410" s="18" t="s">
        <v>23</v>
      </c>
      <c r="F410" s="18"/>
      <c r="G410" s="13"/>
      <c r="H410" s="29">
        <v>44285</v>
      </c>
      <c r="I410" s="13" t="s">
        <v>555</v>
      </c>
      <c r="J410" s="13" t="s">
        <v>452</v>
      </c>
      <c r="K410" s="13"/>
      <c r="L410" s="13"/>
      <c r="M410" s="13"/>
      <c r="N410" s="13"/>
      <c r="O410" s="13"/>
      <c r="P410" s="13"/>
      <c r="Q410" s="13"/>
      <c r="R410" s="13"/>
      <c r="S410" s="13" t="s">
        <v>1135</v>
      </c>
      <c r="T410" s="13"/>
      <c r="U410" s="13"/>
    </row>
    <row r="411" spans="1:21" x14ac:dyDescent="0.25">
      <c r="A411" s="16" t="s">
        <v>1134</v>
      </c>
      <c r="B411" s="13" t="s">
        <v>13</v>
      </c>
      <c r="C411" s="16" t="s">
        <v>458</v>
      </c>
      <c r="D411" s="29">
        <v>44278</v>
      </c>
      <c r="E411" s="18" t="s">
        <v>23</v>
      </c>
      <c r="F411" s="18"/>
      <c r="G411" s="13"/>
      <c r="H411" s="29">
        <v>44285</v>
      </c>
      <c r="I411" s="13" t="s">
        <v>459</v>
      </c>
      <c r="J411" s="13" t="s">
        <v>178</v>
      </c>
      <c r="K411" s="13"/>
      <c r="L411" s="13"/>
      <c r="M411" s="13"/>
      <c r="N411" s="13"/>
      <c r="O411" s="13"/>
      <c r="P411" s="13"/>
      <c r="Q411" s="13"/>
      <c r="R411" s="13"/>
      <c r="S411" s="13" t="s">
        <v>615</v>
      </c>
      <c r="T411" s="13"/>
      <c r="U411" s="13"/>
    </row>
    <row r="412" spans="1:21" x14ac:dyDescent="0.25">
      <c r="A412" s="16" t="s">
        <v>1134</v>
      </c>
      <c r="B412" s="13" t="s">
        <v>13</v>
      </c>
      <c r="C412" s="16" t="s">
        <v>458</v>
      </c>
      <c r="D412" s="29">
        <v>44278</v>
      </c>
      <c r="E412" s="18" t="s">
        <v>23</v>
      </c>
      <c r="F412" s="18"/>
      <c r="G412" s="13"/>
      <c r="H412" s="29">
        <v>44285</v>
      </c>
      <c r="I412" s="13" t="s">
        <v>460</v>
      </c>
      <c r="J412" s="13" t="s">
        <v>178</v>
      </c>
      <c r="K412" s="13"/>
      <c r="L412" s="13"/>
      <c r="M412" s="13"/>
      <c r="N412" s="13"/>
      <c r="O412" s="13"/>
      <c r="P412" s="13"/>
      <c r="Q412" s="13"/>
      <c r="R412" s="13"/>
      <c r="S412" s="13" t="s">
        <v>615</v>
      </c>
      <c r="T412" s="13"/>
      <c r="U412" s="13"/>
    </row>
    <row r="413" spans="1:21" x14ac:dyDescent="0.25">
      <c r="A413" s="16" t="s">
        <v>338</v>
      </c>
      <c r="B413" s="13" t="s">
        <v>13</v>
      </c>
      <c r="C413" s="16" t="s">
        <v>1136</v>
      </c>
      <c r="D413" s="29">
        <v>44278</v>
      </c>
      <c r="E413" s="18" t="s">
        <v>23</v>
      </c>
      <c r="F413" s="18"/>
      <c r="G413" s="13"/>
      <c r="H413" s="29">
        <v>44285</v>
      </c>
      <c r="I413" s="13" t="s">
        <v>111</v>
      </c>
      <c r="J413" s="13">
        <v>396</v>
      </c>
      <c r="K413" s="13"/>
      <c r="L413" s="13"/>
      <c r="M413" s="13"/>
      <c r="N413" s="13"/>
      <c r="O413" s="13"/>
      <c r="P413" s="13"/>
      <c r="Q413" s="13"/>
      <c r="R413" s="13"/>
      <c r="S413" s="13" t="s">
        <v>101</v>
      </c>
      <c r="T413" s="13"/>
      <c r="U413" s="13"/>
    </row>
    <row r="414" spans="1:21" x14ac:dyDescent="0.25">
      <c r="A414" s="16" t="s">
        <v>329</v>
      </c>
      <c r="B414" s="13" t="s">
        <v>13</v>
      </c>
      <c r="C414" s="16" t="s">
        <v>583</v>
      </c>
      <c r="D414" s="29">
        <v>44279</v>
      </c>
      <c r="E414" s="18" t="s">
        <v>23</v>
      </c>
      <c r="F414" s="18"/>
      <c r="G414" s="13"/>
      <c r="H414" s="29">
        <v>44286</v>
      </c>
      <c r="I414" s="13" t="s">
        <v>230</v>
      </c>
      <c r="J414" s="13"/>
      <c r="K414" s="13">
        <v>48</v>
      </c>
      <c r="L414" s="13"/>
      <c r="M414" s="13"/>
      <c r="N414" s="13"/>
      <c r="O414" s="13"/>
      <c r="P414" s="13"/>
      <c r="Q414" s="13"/>
      <c r="R414" s="13"/>
      <c r="S414" s="13">
        <v>28320</v>
      </c>
      <c r="T414" s="13"/>
      <c r="U414" s="13"/>
    </row>
    <row r="415" spans="1:21" x14ac:dyDescent="0.25">
      <c r="A415" s="16">
        <v>140</v>
      </c>
      <c r="B415" s="13" t="s">
        <v>13</v>
      </c>
      <c r="C415" s="16" t="s">
        <v>1137</v>
      </c>
      <c r="D415" s="29">
        <v>44279</v>
      </c>
      <c r="E415" s="18" t="s">
        <v>23</v>
      </c>
      <c r="F415" s="18"/>
      <c r="G415" s="13"/>
      <c r="H415" s="29">
        <v>44286</v>
      </c>
      <c r="I415" s="13" t="s">
        <v>425</v>
      </c>
      <c r="J415" s="13">
        <v>408</v>
      </c>
      <c r="K415" s="13" t="s">
        <v>323</v>
      </c>
      <c r="L415" s="13">
        <v>7.4200000000000002E-2</v>
      </c>
      <c r="M415" s="13">
        <v>0.11600000000000001</v>
      </c>
      <c r="N415" s="13">
        <v>30.273599999999998</v>
      </c>
      <c r="O415" s="13">
        <v>47.328000000000003</v>
      </c>
      <c r="P415" s="13">
        <v>3.94</v>
      </c>
      <c r="Q415" s="13">
        <v>20.260000000000002</v>
      </c>
      <c r="R415" s="13">
        <v>273</v>
      </c>
      <c r="S415" s="13">
        <v>8264.69</v>
      </c>
      <c r="T415" s="13"/>
      <c r="U415" s="13"/>
    </row>
    <row r="416" spans="1:21" s="25" customFormat="1" x14ac:dyDescent="0.25">
      <c r="A416" s="20">
        <v>144</v>
      </c>
      <c r="B416" s="21" t="s">
        <v>13</v>
      </c>
      <c r="C416" s="22" t="s">
        <v>672</v>
      </c>
      <c r="D416" s="17">
        <v>44280</v>
      </c>
      <c r="E416" s="23" t="s">
        <v>23</v>
      </c>
      <c r="F416" s="23"/>
      <c r="G416" s="21" t="s">
        <v>1391</v>
      </c>
      <c r="H416" s="24"/>
      <c r="I416" s="21" t="s">
        <v>1112</v>
      </c>
      <c r="J416" s="21">
        <v>546</v>
      </c>
      <c r="K416" s="21" t="s">
        <v>1139</v>
      </c>
      <c r="L416" s="21">
        <v>0.67</v>
      </c>
      <c r="M416" s="21">
        <v>1.9690000000000001</v>
      </c>
      <c r="N416" s="21">
        <v>365.82</v>
      </c>
      <c r="O416" s="21">
        <v>1075.0740000000001</v>
      </c>
      <c r="P416" s="21">
        <v>47.56</v>
      </c>
      <c r="Q416" s="21">
        <v>137.35</v>
      </c>
      <c r="R416" s="21">
        <v>205</v>
      </c>
      <c r="S416" s="21">
        <v>74993.100000000006</v>
      </c>
      <c r="T416" s="21"/>
      <c r="U416" s="21"/>
    </row>
    <row r="417" spans="1:21" s="25" customFormat="1" x14ac:dyDescent="0.25">
      <c r="A417" s="22">
        <v>143</v>
      </c>
      <c r="B417" s="21" t="s">
        <v>13</v>
      </c>
      <c r="C417" s="22" t="s">
        <v>672</v>
      </c>
      <c r="D417" s="17">
        <v>44280</v>
      </c>
      <c r="E417" s="23" t="s">
        <v>23</v>
      </c>
      <c r="F417" s="23"/>
      <c r="G417" s="21"/>
      <c r="H417" s="17">
        <v>44287</v>
      </c>
      <c r="I417" s="21" t="s">
        <v>1140</v>
      </c>
      <c r="J417" s="21">
        <v>1548.8</v>
      </c>
      <c r="K417" s="21">
        <v>484</v>
      </c>
      <c r="L417" s="21">
        <v>0.31</v>
      </c>
      <c r="M417" s="21">
        <v>1.2010000000000001</v>
      </c>
      <c r="N417" s="21">
        <v>480.12799999999999</v>
      </c>
      <c r="O417" s="21">
        <v>1860.1088</v>
      </c>
      <c r="P417" s="21">
        <v>62.42</v>
      </c>
      <c r="Q417" s="21">
        <v>63.55</v>
      </c>
      <c r="R417" s="21">
        <v>205</v>
      </c>
      <c r="S417" s="21">
        <v>98426.240000000005</v>
      </c>
      <c r="T417" s="21"/>
      <c r="U417" s="21"/>
    </row>
    <row r="418" spans="1:21" s="25" customFormat="1" ht="13.9" customHeight="1" x14ac:dyDescent="0.25">
      <c r="A418" s="22">
        <v>143</v>
      </c>
      <c r="B418" s="21" t="s">
        <v>13</v>
      </c>
      <c r="C418" s="22" t="s">
        <v>672</v>
      </c>
      <c r="D418" s="17">
        <v>44280</v>
      </c>
      <c r="E418" s="23" t="s">
        <v>23</v>
      </c>
      <c r="F418" s="23"/>
      <c r="G418" s="21" t="s">
        <v>1207</v>
      </c>
      <c r="H418" s="17">
        <v>44287</v>
      </c>
      <c r="I418" s="21" t="s">
        <v>1141</v>
      </c>
      <c r="J418" s="21">
        <v>1904</v>
      </c>
      <c r="K418" s="21">
        <v>476</v>
      </c>
      <c r="L418" s="21">
        <v>0.31</v>
      </c>
      <c r="M418" s="21">
        <v>1.2010000000000001</v>
      </c>
      <c r="N418" s="21">
        <v>590.24</v>
      </c>
      <c r="O418" s="21">
        <v>2286.7040000000002</v>
      </c>
      <c r="P418" s="21">
        <v>76.73</v>
      </c>
      <c r="Q418" s="21">
        <v>63.55</v>
      </c>
      <c r="R418" s="21">
        <v>205</v>
      </c>
      <c r="S418" s="21">
        <v>120999.2</v>
      </c>
      <c r="T418" s="21"/>
      <c r="U418" s="21"/>
    </row>
    <row r="419" spans="1:21" s="25" customFormat="1" x14ac:dyDescent="0.25">
      <c r="A419" s="22">
        <v>143</v>
      </c>
      <c r="B419" s="21" t="s">
        <v>13</v>
      </c>
      <c r="C419" s="22" t="s">
        <v>672</v>
      </c>
      <c r="D419" s="17">
        <v>44280</v>
      </c>
      <c r="E419" s="23" t="s">
        <v>23</v>
      </c>
      <c r="F419" s="23"/>
      <c r="G419" s="21"/>
      <c r="H419" s="17">
        <v>44287</v>
      </c>
      <c r="I419" s="21" t="s">
        <v>1142</v>
      </c>
      <c r="J419" s="21">
        <v>2658</v>
      </c>
      <c r="K419" s="21">
        <v>443</v>
      </c>
      <c r="L419" s="21">
        <v>0.31</v>
      </c>
      <c r="M419" s="21">
        <v>1.2010000000000001</v>
      </c>
      <c r="N419" s="21">
        <v>823.98</v>
      </c>
      <c r="O419" s="21">
        <v>3192.2579999999998</v>
      </c>
      <c r="P419" s="21">
        <v>107.12</v>
      </c>
      <c r="Q419" s="21">
        <v>63.55</v>
      </c>
      <c r="R419" s="21">
        <v>205</v>
      </c>
      <c r="S419" s="21">
        <v>168915.9</v>
      </c>
      <c r="T419" s="21"/>
      <c r="U419" s="21"/>
    </row>
    <row r="420" spans="1:21" x14ac:dyDescent="0.25">
      <c r="A420" s="16">
        <v>142</v>
      </c>
      <c r="B420" s="13" t="s">
        <v>13</v>
      </c>
      <c r="C420" s="16" t="s">
        <v>367</v>
      </c>
      <c r="D420" s="29">
        <v>44280</v>
      </c>
      <c r="E420" s="18" t="s">
        <v>23</v>
      </c>
      <c r="F420" s="18"/>
      <c r="G420" s="13"/>
      <c r="H420" s="29">
        <v>44287</v>
      </c>
      <c r="I420" s="13" t="s">
        <v>1143</v>
      </c>
      <c r="J420" s="13">
        <v>786</v>
      </c>
      <c r="K420" s="13" t="s">
        <v>1144</v>
      </c>
      <c r="L420" s="13">
        <v>0.1938</v>
      </c>
      <c r="M420" s="13">
        <v>0.63600000000000001</v>
      </c>
      <c r="N420" s="13">
        <v>152.32679999999999</v>
      </c>
      <c r="O420" s="13">
        <v>499.89600000000002</v>
      </c>
      <c r="P420" s="13">
        <v>19.8</v>
      </c>
      <c r="Q420" s="13">
        <v>55.81</v>
      </c>
      <c r="R420" s="13">
        <v>288</v>
      </c>
      <c r="S420" s="13">
        <v>43870.12</v>
      </c>
      <c r="T420" s="13"/>
      <c r="U420" s="13"/>
    </row>
    <row r="421" spans="1:21" x14ac:dyDescent="0.25">
      <c r="A421" s="16" t="s">
        <v>317</v>
      </c>
      <c r="B421" s="13" t="s">
        <v>13</v>
      </c>
      <c r="C421" s="16" t="s">
        <v>313</v>
      </c>
      <c r="D421" s="29">
        <v>44280</v>
      </c>
      <c r="E421" s="18" t="s">
        <v>23</v>
      </c>
      <c r="F421" s="18"/>
      <c r="G421" s="13"/>
      <c r="H421" s="29">
        <v>44287</v>
      </c>
      <c r="I421" s="13" t="s">
        <v>422</v>
      </c>
      <c r="J421" s="13"/>
      <c r="K421" s="13">
        <v>1</v>
      </c>
      <c r="L421" s="13"/>
      <c r="M421" s="13"/>
      <c r="N421" s="13"/>
      <c r="O421" s="13"/>
      <c r="P421" s="13"/>
      <c r="Q421" s="13"/>
      <c r="R421" s="13"/>
      <c r="S421" s="13" t="s">
        <v>1145</v>
      </c>
      <c r="T421" s="13"/>
      <c r="U421" s="13"/>
    </row>
    <row r="422" spans="1:21" x14ac:dyDescent="0.25">
      <c r="A422" s="16" t="s">
        <v>337</v>
      </c>
      <c r="B422" s="13" t="s">
        <v>13</v>
      </c>
      <c r="C422" s="16" t="s">
        <v>879</v>
      </c>
      <c r="D422" s="29">
        <v>44280</v>
      </c>
      <c r="E422" s="18" t="s">
        <v>23</v>
      </c>
      <c r="F422" s="18"/>
      <c r="G422" s="13"/>
      <c r="H422" s="29">
        <v>44287</v>
      </c>
      <c r="I422" s="13" t="s">
        <v>77</v>
      </c>
      <c r="J422" s="13"/>
      <c r="K422" s="13">
        <v>1</v>
      </c>
      <c r="L422" s="13"/>
      <c r="M422" s="13"/>
      <c r="N422" s="13"/>
      <c r="O422" s="13"/>
      <c r="P422" s="13"/>
      <c r="Q422" s="13"/>
      <c r="R422" s="13"/>
      <c r="S422" s="13" t="s">
        <v>1146</v>
      </c>
      <c r="T422" s="13"/>
      <c r="U422" s="13"/>
    </row>
    <row r="423" spans="1:21" x14ac:dyDescent="0.25">
      <c r="A423" s="16" t="s">
        <v>337</v>
      </c>
      <c r="B423" s="13" t="s">
        <v>13</v>
      </c>
      <c r="C423" s="16" t="s">
        <v>879</v>
      </c>
      <c r="D423" s="29">
        <v>44280</v>
      </c>
      <c r="E423" s="18" t="s">
        <v>23</v>
      </c>
      <c r="F423" s="18"/>
      <c r="G423" s="13"/>
      <c r="H423" s="29">
        <v>44287</v>
      </c>
      <c r="I423" s="13" t="s">
        <v>241</v>
      </c>
      <c r="J423" s="13"/>
      <c r="K423" s="13">
        <v>169</v>
      </c>
      <c r="L423" s="13"/>
      <c r="M423" s="13"/>
      <c r="N423" s="13"/>
      <c r="O423" s="13"/>
      <c r="P423" s="13"/>
      <c r="Q423" s="13"/>
      <c r="R423" s="13"/>
      <c r="S423" s="13" t="s">
        <v>1147</v>
      </c>
      <c r="T423" s="13"/>
      <c r="U423" s="13"/>
    </row>
    <row r="424" spans="1:21" x14ac:dyDescent="0.25">
      <c r="A424" s="16" t="s">
        <v>1149</v>
      </c>
      <c r="B424" s="13" t="s">
        <v>13</v>
      </c>
      <c r="C424" s="16" t="s">
        <v>30</v>
      </c>
      <c r="D424" s="29">
        <v>44280</v>
      </c>
      <c r="E424" s="18" t="s">
        <v>23</v>
      </c>
      <c r="F424" s="18"/>
      <c r="G424" s="13"/>
      <c r="H424" s="29">
        <v>44287</v>
      </c>
      <c r="I424" s="13" t="s">
        <v>1148</v>
      </c>
      <c r="J424" s="13"/>
      <c r="K424" s="13">
        <v>9</v>
      </c>
      <c r="L424" s="13"/>
      <c r="M424" s="13"/>
      <c r="N424" s="13">
        <v>36</v>
      </c>
      <c r="O424" s="13"/>
      <c r="P424" s="13"/>
      <c r="Q424" s="13"/>
      <c r="R424" s="13"/>
      <c r="S424" s="13">
        <v>12400</v>
      </c>
      <c r="T424" s="13"/>
      <c r="U424" s="13"/>
    </row>
    <row r="425" spans="1:21" x14ac:dyDescent="0.25">
      <c r="A425" s="16" t="s">
        <v>1150</v>
      </c>
      <c r="B425" s="13" t="s">
        <v>13</v>
      </c>
      <c r="C425" s="16" t="s">
        <v>30</v>
      </c>
      <c r="D425" s="29">
        <v>44280</v>
      </c>
      <c r="E425" s="18" t="s">
        <v>23</v>
      </c>
      <c r="F425" s="18"/>
      <c r="G425" s="13"/>
      <c r="H425" s="29">
        <v>44287</v>
      </c>
      <c r="I425" s="13" t="s">
        <v>742</v>
      </c>
      <c r="J425" s="13"/>
      <c r="K425" s="13" t="s">
        <v>369</v>
      </c>
      <c r="L425" s="13"/>
      <c r="M425" s="13"/>
      <c r="N425" s="13"/>
      <c r="O425" s="13"/>
      <c r="P425" s="13"/>
      <c r="Q425" s="13"/>
      <c r="R425" s="13"/>
      <c r="S425" s="13" t="s">
        <v>84</v>
      </c>
      <c r="T425" s="13"/>
      <c r="U425" s="13"/>
    </row>
    <row r="426" spans="1:21" x14ac:dyDescent="0.25">
      <c r="A426" s="16" t="s">
        <v>1150</v>
      </c>
      <c r="B426" s="13" t="s">
        <v>13</v>
      </c>
      <c r="C426" s="16" t="s">
        <v>30</v>
      </c>
      <c r="D426" s="29">
        <v>44280</v>
      </c>
      <c r="E426" s="18" t="s">
        <v>23</v>
      </c>
      <c r="F426" s="18"/>
      <c r="G426" s="13"/>
      <c r="H426" s="29">
        <v>44287</v>
      </c>
      <c r="I426" s="13" t="s">
        <v>731</v>
      </c>
      <c r="J426" s="13"/>
      <c r="K426" s="13" t="s">
        <v>529</v>
      </c>
      <c r="L426" s="13"/>
      <c r="M426" s="13"/>
      <c r="N426" s="13"/>
      <c r="O426" s="13"/>
      <c r="P426" s="13"/>
      <c r="Q426" s="13"/>
      <c r="R426" s="13"/>
      <c r="S426" s="13" t="s">
        <v>748</v>
      </c>
      <c r="T426" s="13"/>
      <c r="U426" s="13"/>
    </row>
    <row r="427" spans="1:21" x14ac:dyDescent="0.25">
      <c r="A427" s="16" t="s">
        <v>1150</v>
      </c>
      <c r="B427" s="13" t="s">
        <v>13</v>
      </c>
      <c r="C427" s="16" t="s">
        <v>30</v>
      </c>
      <c r="D427" s="29">
        <v>44280</v>
      </c>
      <c r="E427" s="18" t="s">
        <v>23</v>
      </c>
      <c r="F427" s="18"/>
      <c r="G427" s="13"/>
      <c r="H427" s="29">
        <v>44287</v>
      </c>
      <c r="I427" s="13" t="s">
        <v>743</v>
      </c>
      <c r="J427" s="13"/>
      <c r="K427" s="13" t="s">
        <v>446</v>
      </c>
      <c r="L427" s="13"/>
      <c r="M427" s="13"/>
      <c r="N427" s="13"/>
      <c r="O427" s="13"/>
      <c r="P427" s="13"/>
      <c r="Q427" s="13"/>
      <c r="R427" s="13"/>
      <c r="S427" s="13" t="s">
        <v>1104</v>
      </c>
      <c r="T427" s="13"/>
      <c r="U427" s="13"/>
    </row>
    <row r="428" spans="1:21" x14ac:dyDescent="0.25">
      <c r="A428" s="16" t="s">
        <v>1150</v>
      </c>
      <c r="B428" s="13" t="s">
        <v>13</v>
      </c>
      <c r="C428" s="16" t="s">
        <v>30</v>
      </c>
      <c r="D428" s="29">
        <v>44280</v>
      </c>
      <c r="E428" s="18" t="s">
        <v>23</v>
      </c>
      <c r="F428" s="18"/>
      <c r="G428" s="13"/>
      <c r="H428" s="29">
        <v>44287</v>
      </c>
      <c r="I428" s="13" t="s">
        <v>744</v>
      </c>
      <c r="J428" s="13"/>
      <c r="K428" s="13" t="s">
        <v>746</v>
      </c>
      <c r="L428" s="13"/>
      <c r="M428" s="13"/>
      <c r="N428" s="13"/>
      <c r="O428" s="13"/>
      <c r="P428" s="13"/>
      <c r="Q428" s="13"/>
      <c r="R428" s="13"/>
      <c r="S428" s="13" t="s">
        <v>1105</v>
      </c>
      <c r="T428" s="13"/>
      <c r="U428" s="13"/>
    </row>
    <row r="429" spans="1:21" x14ac:dyDescent="0.25">
      <c r="A429" s="16" t="s">
        <v>1150</v>
      </c>
      <c r="B429" s="13" t="s">
        <v>13</v>
      </c>
      <c r="C429" s="16" t="s">
        <v>30</v>
      </c>
      <c r="D429" s="29">
        <v>44280</v>
      </c>
      <c r="E429" s="18" t="s">
        <v>23</v>
      </c>
      <c r="F429" s="18"/>
      <c r="G429" s="13"/>
      <c r="H429" s="29">
        <v>44287</v>
      </c>
      <c r="I429" s="13" t="s">
        <v>733</v>
      </c>
      <c r="J429" s="13"/>
      <c r="K429" s="13" t="s">
        <v>123</v>
      </c>
      <c r="L429" s="13"/>
      <c r="M429" s="13"/>
      <c r="N429" s="13"/>
      <c r="O429" s="13"/>
      <c r="P429" s="13"/>
      <c r="Q429" s="13"/>
      <c r="R429" s="13"/>
      <c r="S429" s="13" t="s">
        <v>444</v>
      </c>
      <c r="T429" s="13"/>
      <c r="U429" s="13"/>
    </row>
    <row r="430" spans="1:21" x14ac:dyDescent="0.25">
      <c r="A430" s="16" t="s">
        <v>1150</v>
      </c>
      <c r="B430" s="13" t="s">
        <v>13</v>
      </c>
      <c r="C430" s="16" t="s">
        <v>30</v>
      </c>
      <c r="D430" s="29">
        <v>44280</v>
      </c>
      <c r="E430" s="18" t="s">
        <v>23</v>
      </c>
      <c r="F430" s="18"/>
      <c r="G430" s="13"/>
      <c r="H430" s="29">
        <v>44287</v>
      </c>
      <c r="I430" s="13" t="s">
        <v>737</v>
      </c>
      <c r="J430" s="13"/>
      <c r="K430" s="13" t="s">
        <v>108</v>
      </c>
      <c r="L430" s="13"/>
      <c r="M430" s="13"/>
      <c r="N430" s="13"/>
      <c r="O430" s="13"/>
      <c r="P430" s="13"/>
      <c r="Q430" s="13"/>
      <c r="R430" s="13"/>
      <c r="S430" s="13" t="s">
        <v>335</v>
      </c>
      <c r="T430" s="13"/>
      <c r="U430" s="13"/>
    </row>
    <row r="431" spans="1:21" x14ac:dyDescent="0.25">
      <c r="A431" s="16" t="s">
        <v>1150</v>
      </c>
      <c r="B431" s="13" t="s">
        <v>13</v>
      </c>
      <c r="C431" s="16" t="s">
        <v>30</v>
      </c>
      <c r="D431" s="29">
        <v>44280</v>
      </c>
      <c r="E431" s="18" t="s">
        <v>23</v>
      </c>
      <c r="F431" s="18"/>
      <c r="G431" s="13"/>
      <c r="H431" s="29">
        <v>44287</v>
      </c>
      <c r="I431" s="13" t="s">
        <v>745</v>
      </c>
      <c r="J431" s="13"/>
      <c r="K431" s="13" t="s">
        <v>318</v>
      </c>
      <c r="L431" s="13"/>
      <c r="M431" s="13"/>
      <c r="N431" s="13"/>
      <c r="O431" s="13"/>
      <c r="P431" s="13"/>
      <c r="Q431" s="13"/>
      <c r="R431" s="13"/>
      <c r="S431" s="13" t="s">
        <v>1151</v>
      </c>
      <c r="T431" s="13"/>
      <c r="U431" s="13"/>
    </row>
    <row r="432" spans="1:21" x14ac:dyDescent="0.25">
      <c r="A432" s="16" t="s">
        <v>1150</v>
      </c>
      <c r="B432" s="13" t="s">
        <v>13</v>
      </c>
      <c r="C432" s="16" t="s">
        <v>30</v>
      </c>
      <c r="D432" s="29">
        <v>44280</v>
      </c>
      <c r="E432" s="18" t="s">
        <v>23</v>
      </c>
      <c r="F432" s="18"/>
      <c r="G432" s="13"/>
      <c r="H432" s="29">
        <v>44287</v>
      </c>
      <c r="I432" s="13" t="s">
        <v>730</v>
      </c>
      <c r="J432" s="13"/>
      <c r="K432" s="13" t="s">
        <v>123</v>
      </c>
      <c r="L432" s="13"/>
      <c r="M432" s="13"/>
      <c r="N432" s="13"/>
      <c r="O432" s="13"/>
      <c r="P432" s="13"/>
      <c r="Q432" s="13"/>
      <c r="R432" s="13"/>
      <c r="S432" s="13" t="s">
        <v>158</v>
      </c>
      <c r="T432" s="13"/>
      <c r="U432" s="13"/>
    </row>
    <row r="433" spans="1:21" x14ac:dyDescent="0.25">
      <c r="A433" s="16" t="s">
        <v>1150</v>
      </c>
      <c r="B433" s="13" t="s">
        <v>13</v>
      </c>
      <c r="C433" s="16" t="s">
        <v>30</v>
      </c>
      <c r="D433" s="29">
        <v>44280</v>
      </c>
      <c r="E433" s="18" t="s">
        <v>23</v>
      </c>
      <c r="F433" s="18"/>
      <c r="G433" s="13"/>
      <c r="H433" s="29">
        <v>44287</v>
      </c>
      <c r="I433" s="13" t="s">
        <v>732</v>
      </c>
      <c r="J433" s="13"/>
      <c r="K433" s="13" t="s">
        <v>123</v>
      </c>
      <c r="L433" s="13"/>
      <c r="M433" s="13"/>
      <c r="N433" s="13"/>
      <c r="O433" s="13"/>
      <c r="P433" s="13"/>
      <c r="Q433" s="13"/>
      <c r="R433" s="13"/>
      <c r="S433" s="13" t="s">
        <v>586</v>
      </c>
      <c r="T433" s="13"/>
      <c r="U433" s="13"/>
    </row>
    <row r="434" spans="1:21" x14ac:dyDescent="0.25">
      <c r="A434" s="16" t="s">
        <v>1150</v>
      </c>
      <c r="B434" s="13" t="s">
        <v>13</v>
      </c>
      <c r="C434" s="16" t="s">
        <v>30</v>
      </c>
      <c r="D434" s="29">
        <v>44280</v>
      </c>
      <c r="E434" s="18" t="s">
        <v>23</v>
      </c>
      <c r="F434" s="18"/>
      <c r="G434" s="13"/>
      <c r="H434" s="29">
        <v>44287</v>
      </c>
      <c r="I434" s="13" t="s">
        <v>440</v>
      </c>
      <c r="J434" s="13"/>
      <c r="K434" s="13" t="s">
        <v>123</v>
      </c>
      <c r="L434" s="13"/>
      <c r="M434" s="13"/>
      <c r="N434" s="13"/>
      <c r="O434" s="13"/>
      <c r="P434" s="13"/>
      <c r="Q434" s="13"/>
      <c r="R434" s="13"/>
      <c r="S434" s="13" t="s">
        <v>335</v>
      </c>
      <c r="T434" s="13"/>
      <c r="U434" s="13"/>
    </row>
    <row r="435" spans="1:21" x14ac:dyDescent="0.25">
      <c r="A435" s="16" t="s">
        <v>1150</v>
      </c>
      <c r="B435" s="13" t="s">
        <v>13</v>
      </c>
      <c r="C435" s="16" t="s">
        <v>30</v>
      </c>
      <c r="D435" s="29">
        <v>44280</v>
      </c>
      <c r="E435" s="18" t="s">
        <v>23</v>
      </c>
      <c r="F435" s="18"/>
      <c r="G435" s="13"/>
      <c r="H435" s="29">
        <v>44287</v>
      </c>
      <c r="I435" s="13" t="s">
        <v>736</v>
      </c>
      <c r="J435" s="13"/>
      <c r="K435" s="13" t="s">
        <v>123</v>
      </c>
      <c r="L435" s="13"/>
      <c r="M435" s="13"/>
      <c r="N435" s="13"/>
      <c r="O435" s="13"/>
      <c r="P435" s="13"/>
      <c r="Q435" s="13"/>
      <c r="R435" s="13"/>
      <c r="S435" s="13" t="s">
        <v>724</v>
      </c>
      <c r="T435" s="13"/>
      <c r="U435" s="13"/>
    </row>
    <row r="436" spans="1:21" x14ac:dyDescent="0.25">
      <c r="A436" s="16" t="s">
        <v>1150</v>
      </c>
      <c r="B436" s="13" t="s">
        <v>13</v>
      </c>
      <c r="C436" s="16" t="s">
        <v>30</v>
      </c>
      <c r="D436" s="29">
        <v>44280</v>
      </c>
      <c r="E436" s="18" t="s">
        <v>23</v>
      </c>
      <c r="F436" s="18"/>
      <c r="G436" s="13"/>
      <c r="H436" s="29">
        <v>44287</v>
      </c>
      <c r="I436" s="13" t="s">
        <v>282</v>
      </c>
      <c r="J436" s="13"/>
      <c r="K436" s="13" t="s">
        <v>123</v>
      </c>
      <c r="L436" s="13"/>
      <c r="M436" s="13"/>
      <c r="N436" s="13"/>
      <c r="O436" s="13"/>
      <c r="P436" s="13"/>
      <c r="Q436" s="13"/>
      <c r="R436" s="13"/>
      <c r="S436" s="13" t="s">
        <v>751</v>
      </c>
      <c r="T436" s="13"/>
      <c r="U436" s="13"/>
    </row>
    <row r="437" spans="1:21" x14ac:dyDescent="0.25">
      <c r="A437" s="16" t="s">
        <v>1150</v>
      </c>
      <c r="B437" s="13" t="s">
        <v>13</v>
      </c>
      <c r="C437" s="16" t="s">
        <v>30</v>
      </c>
      <c r="D437" s="29">
        <v>44280</v>
      </c>
      <c r="E437" s="18" t="s">
        <v>23</v>
      </c>
      <c r="F437" s="18"/>
      <c r="G437" s="13"/>
      <c r="H437" s="29">
        <v>44287</v>
      </c>
      <c r="I437" s="13" t="s">
        <v>739</v>
      </c>
      <c r="J437" s="13"/>
      <c r="K437" s="13" t="s">
        <v>108</v>
      </c>
      <c r="L437" s="13"/>
      <c r="M437" s="13"/>
      <c r="N437" s="13"/>
      <c r="O437" s="13"/>
      <c r="P437" s="13"/>
      <c r="Q437" s="13"/>
      <c r="R437" s="13"/>
      <c r="S437" s="13" t="s">
        <v>574</v>
      </c>
      <c r="T437" s="13"/>
      <c r="U437" s="13"/>
    </row>
    <row r="438" spans="1:21" x14ac:dyDescent="0.25">
      <c r="A438" s="16" t="s">
        <v>1150</v>
      </c>
      <c r="B438" s="13" t="s">
        <v>13</v>
      </c>
      <c r="C438" s="16" t="s">
        <v>30</v>
      </c>
      <c r="D438" s="29">
        <v>44280</v>
      </c>
      <c r="E438" s="18" t="s">
        <v>23</v>
      </c>
      <c r="F438" s="18"/>
      <c r="G438" s="13"/>
      <c r="H438" s="29">
        <v>44287</v>
      </c>
      <c r="I438" s="13" t="s">
        <v>741</v>
      </c>
      <c r="J438" s="13"/>
      <c r="K438" s="13" t="s">
        <v>193</v>
      </c>
      <c r="L438" s="13"/>
      <c r="M438" s="13"/>
      <c r="N438" s="13"/>
      <c r="O438" s="13"/>
      <c r="P438" s="13"/>
      <c r="Q438" s="13"/>
      <c r="R438" s="13"/>
      <c r="S438" s="13" t="s">
        <v>1107</v>
      </c>
      <c r="T438" s="13"/>
      <c r="U438" s="13"/>
    </row>
    <row r="439" spans="1:21" x14ac:dyDescent="0.25">
      <c r="A439" s="16" t="s">
        <v>1150</v>
      </c>
      <c r="B439" s="13" t="s">
        <v>13</v>
      </c>
      <c r="C439" s="16" t="s">
        <v>30</v>
      </c>
      <c r="D439" s="29">
        <v>44280</v>
      </c>
      <c r="E439" s="18" t="s">
        <v>23</v>
      </c>
      <c r="F439" s="18"/>
      <c r="G439" s="13"/>
      <c r="H439" s="29">
        <v>44287</v>
      </c>
      <c r="I439" s="13" t="s">
        <v>734</v>
      </c>
      <c r="J439" s="13"/>
      <c r="K439" s="13" t="s">
        <v>26</v>
      </c>
      <c r="L439" s="13"/>
      <c r="M439" s="13"/>
      <c r="N439" s="13"/>
      <c r="O439" s="13"/>
      <c r="P439" s="13"/>
      <c r="Q439" s="13"/>
      <c r="R439" s="13"/>
      <c r="S439" s="13" t="s">
        <v>572</v>
      </c>
      <c r="T439" s="13"/>
      <c r="U439" s="13"/>
    </row>
    <row r="440" spans="1:21" x14ac:dyDescent="0.25">
      <c r="A440" s="16" t="s">
        <v>1150</v>
      </c>
      <c r="B440" s="13" t="s">
        <v>13</v>
      </c>
      <c r="C440" s="16" t="s">
        <v>30</v>
      </c>
      <c r="D440" s="29">
        <v>44280</v>
      </c>
      <c r="E440" s="18" t="s">
        <v>23</v>
      </c>
      <c r="F440" s="18"/>
      <c r="G440" s="13"/>
      <c r="H440" s="29">
        <v>44287</v>
      </c>
      <c r="I440" s="13" t="s">
        <v>735</v>
      </c>
      <c r="J440" s="13"/>
      <c r="K440" s="13" t="s">
        <v>26</v>
      </c>
      <c r="L440" s="13"/>
      <c r="M440" s="13"/>
      <c r="N440" s="13"/>
      <c r="O440" s="13"/>
      <c r="P440" s="13"/>
      <c r="Q440" s="13"/>
      <c r="R440" s="13"/>
      <c r="S440" s="13" t="s">
        <v>573</v>
      </c>
      <c r="T440" s="13"/>
      <c r="U440" s="13"/>
    </row>
    <row r="441" spans="1:21" x14ac:dyDescent="0.25">
      <c r="A441" s="16" t="s">
        <v>1150</v>
      </c>
      <c r="B441" s="13" t="s">
        <v>13</v>
      </c>
      <c r="C441" s="16" t="s">
        <v>30</v>
      </c>
      <c r="D441" s="29">
        <v>44280</v>
      </c>
      <c r="E441" s="18" t="s">
        <v>23</v>
      </c>
      <c r="F441" s="18"/>
      <c r="G441" s="13"/>
      <c r="H441" s="29">
        <v>44287</v>
      </c>
      <c r="I441" s="13" t="s">
        <v>738</v>
      </c>
      <c r="J441" s="13"/>
      <c r="K441" s="13" t="s">
        <v>123</v>
      </c>
      <c r="L441" s="13"/>
      <c r="M441" s="13"/>
      <c r="N441" s="13"/>
      <c r="O441" s="13"/>
      <c r="P441" s="13"/>
      <c r="Q441" s="13"/>
      <c r="R441" s="13"/>
      <c r="S441" s="13" t="s">
        <v>750</v>
      </c>
      <c r="T441" s="13"/>
      <c r="U441" s="13"/>
    </row>
    <row r="442" spans="1:21" x14ac:dyDescent="0.25">
      <c r="A442" s="16" t="s">
        <v>1150</v>
      </c>
      <c r="B442" s="13" t="s">
        <v>13</v>
      </c>
      <c r="C442" s="16" t="s">
        <v>30</v>
      </c>
      <c r="D442" s="29">
        <v>44280</v>
      </c>
      <c r="E442" s="18" t="s">
        <v>23</v>
      </c>
      <c r="F442" s="18"/>
      <c r="G442" s="13"/>
      <c r="H442" s="29">
        <v>44287</v>
      </c>
      <c r="I442" s="13" t="s">
        <v>568</v>
      </c>
      <c r="J442" s="13"/>
      <c r="K442" s="13" t="s">
        <v>26</v>
      </c>
      <c r="L442" s="13"/>
      <c r="M442" s="13"/>
      <c r="N442" s="13"/>
      <c r="O442" s="13"/>
      <c r="P442" s="13"/>
      <c r="Q442" s="13"/>
      <c r="R442" s="13"/>
      <c r="S442" s="13" t="s">
        <v>569</v>
      </c>
      <c r="T442" s="13"/>
      <c r="U442" s="13"/>
    </row>
    <row r="443" spans="1:21" x14ac:dyDescent="0.25">
      <c r="A443" s="16" t="s">
        <v>1150</v>
      </c>
      <c r="B443" s="13" t="s">
        <v>13</v>
      </c>
      <c r="C443" s="16" t="s">
        <v>30</v>
      </c>
      <c r="D443" s="29">
        <v>44280</v>
      </c>
      <c r="E443" s="18" t="s">
        <v>23</v>
      </c>
      <c r="F443" s="18"/>
      <c r="G443" s="13"/>
      <c r="H443" s="29">
        <v>44287</v>
      </c>
      <c r="I443" s="13" t="s">
        <v>740</v>
      </c>
      <c r="J443" s="13"/>
      <c r="K443" s="13" t="s">
        <v>103</v>
      </c>
      <c r="L443" s="13"/>
      <c r="M443" s="13"/>
      <c r="N443" s="13"/>
      <c r="O443" s="13"/>
      <c r="P443" s="13"/>
      <c r="Q443" s="13"/>
      <c r="R443" s="13"/>
      <c r="S443" s="13" t="s">
        <v>218</v>
      </c>
      <c r="T443" s="13"/>
      <c r="U443" s="13"/>
    </row>
    <row r="444" spans="1:21" x14ac:dyDescent="0.25">
      <c r="A444" s="16">
        <v>129</v>
      </c>
      <c r="B444" s="13" t="s">
        <v>13</v>
      </c>
      <c r="C444" s="16" t="s">
        <v>37</v>
      </c>
      <c r="D444" s="29">
        <v>44284</v>
      </c>
      <c r="E444" s="18" t="s">
        <v>23</v>
      </c>
      <c r="F444" s="18"/>
      <c r="G444" s="13"/>
      <c r="H444" s="29">
        <v>44291</v>
      </c>
      <c r="I444" s="13" t="s">
        <v>1152</v>
      </c>
      <c r="J444" s="13"/>
      <c r="K444" s="13">
        <v>12</v>
      </c>
      <c r="L444" s="13"/>
      <c r="M444" s="13"/>
      <c r="N444" s="13"/>
      <c r="O444" s="13"/>
      <c r="P444" s="13"/>
      <c r="Q444" s="13"/>
      <c r="R444" s="13"/>
      <c r="S444" s="13">
        <v>17200</v>
      </c>
      <c r="T444" s="13"/>
      <c r="U444" s="13"/>
    </row>
    <row r="445" spans="1:21" x14ac:dyDescent="0.25">
      <c r="A445" s="16" t="s">
        <v>339</v>
      </c>
      <c r="B445" s="13" t="s">
        <v>13</v>
      </c>
      <c r="C445" s="16" t="s">
        <v>583</v>
      </c>
      <c r="D445" s="29">
        <v>44284</v>
      </c>
      <c r="E445" s="18" t="s">
        <v>23</v>
      </c>
      <c r="F445" s="18"/>
      <c r="G445" s="13"/>
      <c r="H445" s="29">
        <v>44291</v>
      </c>
      <c r="I445" s="13" t="s">
        <v>230</v>
      </c>
      <c r="J445" s="13"/>
      <c r="K445" s="13">
        <v>48</v>
      </c>
      <c r="L445" s="13"/>
      <c r="M445" s="13"/>
      <c r="N445" s="13"/>
      <c r="O445" s="13"/>
      <c r="P445" s="13"/>
      <c r="Q445" s="13"/>
      <c r="R445" s="13"/>
      <c r="S445" s="13">
        <v>28320</v>
      </c>
      <c r="T445" s="13"/>
      <c r="U445" s="13"/>
    </row>
    <row r="446" spans="1:21" x14ac:dyDescent="0.25">
      <c r="A446" s="16">
        <v>147</v>
      </c>
      <c r="B446" s="13" t="s">
        <v>13</v>
      </c>
      <c r="C446" s="16" t="s">
        <v>672</v>
      </c>
      <c r="D446" s="29">
        <v>44285</v>
      </c>
      <c r="E446" s="18" t="s">
        <v>23</v>
      </c>
      <c r="F446" s="18"/>
      <c r="G446" s="13"/>
      <c r="H446" s="29">
        <v>44293</v>
      </c>
      <c r="I446" s="13" t="s">
        <v>669</v>
      </c>
      <c r="J446" s="13">
        <v>396</v>
      </c>
      <c r="K446" s="13" t="s">
        <v>351</v>
      </c>
      <c r="L446" s="13">
        <v>0.29759999999999998</v>
      </c>
      <c r="M446" s="13">
        <v>0.67600000000000005</v>
      </c>
      <c r="N446" s="13">
        <v>117.8496</v>
      </c>
      <c r="O446" s="13">
        <v>267.69600000000003</v>
      </c>
      <c r="P446" s="13">
        <v>15.32</v>
      </c>
      <c r="Q446" s="13">
        <v>61.01</v>
      </c>
      <c r="R446" s="13">
        <v>205</v>
      </c>
      <c r="S446" s="13">
        <v>24159.17</v>
      </c>
      <c r="T446" s="13"/>
      <c r="U446" s="13"/>
    </row>
    <row r="447" spans="1:21" x14ac:dyDescent="0.25">
      <c r="A447" s="16">
        <v>148</v>
      </c>
      <c r="B447" s="13" t="s">
        <v>13</v>
      </c>
      <c r="C447" s="16" t="s">
        <v>672</v>
      </c>
      <c r="D447" s="29">
        <v>44285</v>
      </c>
      <c r="E447" s="18" t="s">
        <v>23</v>
      </c>
      <c r="F447" s="18"/>
      <c r="G447" s="13"/>
      <c r="H447" s="29">
        <v>44293</v>
      </c>
      <c r="I447" s="13" t="s">
        <v>999</v>
      </c>
      <c r="J447" s="13">
        <v>461.5</v>
      </c>
      <c r="K447" s="13" t="s">
        <v>342</v>
      </c>
      <c r="L447" s="13">
        <v>0.626</v>
      </c>
      <c r="M447" s="13">
        <v>2.1960000000000002</v>
      </c>
      <c r="N447" s="13">
        <v>288.899</v>
      </c>
      <c r="O447" s="13">
        <v>1013.454</v>
      </c>
      <c r="P447" s="13">
        <v>37.56</v>
      </c>
      <c r="Q447" s="13">
        <v>128.33000000000001</v>
      </c>
      <c r="R447" s="13">
        <v>205</v>
      </c>
      <c r="S447" s="13">
        <v>59224.3</v>
      </c>
      <c r="T447" s="13"/>
      <c r="U447" s="13"/>
    </row>
    <row r="448" spans="1:21" s="25" customFormat="1" x14ac:dyDescent="0.25">
      <c r="A448" s="22">
        <v>149</v>
      </c>
      <c r="B448" s="21" t="s">
        <v>13</v>
      </c>
      <c r="C448" s="22" t="s">
        <v>557</v>
      </c>
      <c r="D448" s="17">
        <v>44285</v>
      </c>
      <c r="E448" s="23" t="s">
        <v>23</v>
      </c>
      <c r="F448" s="23"/>
      <c r="G448" s="21"/>
      <c r="H448" s="17">
        <v>44293</v>
      </c>
      <c r="I448" s="21" t="s">
        <v>681</v>
      </c>
      <c r="J448" s="21">
        <v>225.6</v>
      </c>
      <c r="K448" s="21" t="s">
        <v>634</v>
      </c>
      <c r="L448" s="21">
        <v>0.34789999999999999</v>
      </c>
      <c r="M448" s="21">
        <v>1.643</v>
      </c>
      <c r="N448" s="21">
        <v>78.486199999999997</v>
      </c>
      <c r="O448" s="21">
        <v>370.66079999999999</v>
      </c>
      <c r="P448" s="21">
        <v>10.199999999999999</v>
      </c>
      <c r="Q448" s="21">
        <v>66.099999999999994</v>
      </c>
      <c r="R448" s="21">
        <v>190</v>
      </c>
      <c r="S448" s="21">
        <v>14912.39</v>
      </c>
      <c r="T448" s="21"/>
      <c r="U448" s="21"/>
    </row>
    <row r="449" spans="1:21" x14ac:dyDescent="0.25">
      <c r="A449" s="16">
        <v>150</v>
      </c>
      <c r="B449" s="13" t="s">
        <v>13</v>
      </c>
      <c r="C449" s="16" t="s">
        <v>674</v>
      </c>
      <c r="D449" s="29">
        <v>44285</v>
      </c>
      <c r="E449" s="18" t="s">
        <v>23</v>
      </c>
      <c r="F449" s="18"/>
      <c r="G449" s="13"/>
      <c r="H449" s="29">
        <v>44293</v>
      </c>
      <c r="I449" s="13" t="s">
        <v>600</v>
      </c>
      <c r="J449" s="13">
        <v>216</v>
      </c>
      <c r="K449" s="13" t="s">
        <v>33</v>
      </c>
      <c r="L449" s="13">
        <v>0.30719999999999997</v>
      </c>
      <c r="M449" s="13">
        <v>0.69199999999999995</v>
      </c>
      <c r="N449" s="13">
        <v>66.355199999999996</v>
      </c>
      <c r="O449" s="13">
        <v>149.47200000000001</v>
      </c>
      <c r="P449" s="13">
        <v>8.6300000000000008</v>
      </c>
      <c r="Q449" s="13">
        <v>88.47</v>
      </c>
      <c r="R449" s="13">
        <v>288</v>
      </c>
      <c r="S449" s="13">
        <v>19110.3</v>
      </c>
      <c r="T449" s="13"/>
      <c r="U449" s="13"/>
    </row>
    <row r="450" spans="1:21" s="25" customFormat="1" x14ac:dyDescent="0.25">
      <c r="A450" s="22">
        <v>151</v>
      </c>
      <c r="B450" s="21" t="s">
        <v>13</v>
      </c>
      <c r="C450" s="22" t="s">
        <v>557</v>
      </c>
      <c r="D450" s="17">
        <v>44285</v>
      </c>
      <c r="E450" s="23" t="s">
        <v>23</v>
      </c>
      <c r="F450" s="23"/>
      <c r="G450" s="21"/>
      <c r="H450" s="17">
        <v>44293</v>
      </c>
      <c r="I450" s="21" t="s">
        <v>1099</v>
      </c>
      <c r="J450" s="21">
        <v>968.2</v>
      </c>
      <c r="K450" s="21" t="s">
        <v>300</v>
      </c>
      <c r="L450" s="21">
        <v>0.34810000000000002</v>
      </c>
      <c r="M450" s="21">
        <v>1.4930000000000001</v>
      </c>
      <c r="N450" s="21">
        <v>337.03039999999999</v>
      </c>
      <c r="O450" s="21">
        <v>1445.5226</v>
      </c>
      <c r="P450" s="21">
        <v>43.81</v>
      </c>
      <c r="Q450" s="21">
        <v>66.14</v>
      </c>
      <c r="R450" s="21">
        <v>190</v>
      </c>
      <c r="S450" s="21">
        <v>64035.78</v>
      </c>
      <c r="T450" s="21"/>
      <c r="U450" s="21"/>
    </row>
    <row r="451" spans="1:21" x14ac:dyDescent="0.25">
      <c r="A451" s="16" t="s">
        <v>345</v>
      </c>
      <c r="B451" s="13" t="s">
        <v>13</v>
      </c>
      <c r="C451" s="16" t="s">
        <v>30</v>
      </c>
      <c r="D451" s="29">
        <v>44286</v>
      </c>
      <c r="E451" s="18" t="s">
        <v>23</v>
      </c>
      <c r="F451" s="18"/>
      <c r="G451" s="13"/>
      <c r="H451" s="29">
        <v>44262</v>
      </c>
      <c r="I451" s="13" t="s">
        <v>710</v>
      </c>
      <c r="J451" s="13"/>
      <c r="K451" s="13" t="s">
        <v>318</v>
      </c>
      <c r="L451" s="13"/>
      <c r="M451" s="13"/>
      <c r="N451" s="13"/>
      <c r="O451" s="13"/>
      <c r="P451" s="13"/>
      <c r="Q451" s="13"/>
      <c r="R451" s="13"/>
      <c r="S451" s="13" t="s">
        <v>266</v>
      </c>
      <c r="T451" s="13"/>
      <c r="U451" s="13"/>
    </row>
    <row r="452" spans="1:21" x14ac:dyDescent="0.25">
      <c r="A452" s="16" t="s">
        <v>345</v>
      </c>
      <c r="B452" s="13" t="s">
        <v>13</v>
      </c>
      <c r="C452" s="16" t="s">
        <v>30</v>
      </c>
      <c r="D452" s="29">
        <v>44286</v>
      </c>
      <c r="E452" s="18" t="s">
        <v>23</v>
      </c>
      <c r="F452" s="18"/>
      <c r="G452" s="13"/>
      <c r="H452" s="29">
        <v>44262</v>
      </c>
      <c r="I452" s="13" t="s">
        <v>711</v>
      </c>
      <c r="J452" s="13"/>
      <c r="K452" s="13" t="s">
        <v>318</v>
      </c>
      <c r="L452" s="13"/>
      <c r="M452" s="13"/>
      <c r="N452" s="13"/>
      <c r="O452" s="13"/>
      <c r="P452" s="13"/>
      <c r="Q452" s="13"/>
      <c r="R452" s="13"/>
      <c r="S452" s="13" t="s">
        <v>266</v>
      </c>
      <c r="T452" s="13"/>
      <c r="U452" s="13"/>
    </row>
    <row r="453" spans="1:21" x14ac:dyDescent="0.25">
      <c r="A453" s="16" t="s">
        <v>345</v>
      </c>
      <c r="B453" s="13" t="s">
        <v>13</v>
      </c>
      <c r="C453" s="16" t="s">
        <v>30</v>
      </c>
      <c r="D453" s="29">
        <v>44286</v>
      </c>
      <c r="E453" s="18" t="s">
        <v>23</v>
      </c>
      <c r="F453" s="18"/>
      <c r="G453" s="13"/>
      <c r="H453" s="29">
        <v>44262</v>
      </c>
      <c r="I453" s="13" t="s">
        <v>712</v>
      </c>
      <c r="J453" s="13"/>
      <c r="K453" s="13" t="s">
        <v>318</v>
      </c>
      <c r="L453" s="13"/>
      <c r="M453" s="13"/>
      <c r="N453" s="13"/>
      <c r="O453" s="13"/>
      <c r="P453" s="13"/>
      <c r="Q453" s="13"/>
      <c r="R453" s="13"/>
      <c r="S453" s="13" t="s">
        <v>319</v>
      </c>
      <c r="T453" s="13"/>
      <c r="U453" s="13"/>
    </row>
    <row r="454" spans="1:21" x14ac:dyDescent="0.25">
      <c r="A454" s="16" t="s">
        <v>345</v>
      </c>
      <c r="B454" s="13" t="s">
        <v>13</v>
      </c>
      <c r="C454" s="16" t="s">
        <v>30</v>
      </c>
      <c r="D454" s="29">
        <v>44286</v>
      </c>
      <c r="E454" s="18" t="s">
        <v>23</v>
      </c>
      <c r="F454" s="18"/>
      <c r="G454" s="13"/>
      <c r="H454" s="29">
        <v>44262</v>
      </c>
      <c r="I454" s="13" t="s">
        <v>870</v>
      </c>
      <c r="J454" s="13"/>
      <c r="K454" s="13" t="s">
        <v>318</v>
      </c>
      <c r="L454" s="13"/>
      <c r="M454" s="13"/>
      <c r="N454" s="13"/>
      <c r="O454" s="13"/>
      <c r="P454" s="13"/>
      <c r="Q454" s="13"/>
      <c r="R454" s="13"/>
      <c r="S454" s="13" t="s">
        <v>319</v>
      </c>
      <c r="T454" s="13"/>
      <c r="U454" s="13"/>
    </row>
    <row r="455" spans="1:21" x14ac:dyDescent="0.25">
      <c r="A455" s="16" t="s">
        <v>345</v>
      </c>
      <c r="B455" s="13" t="s">
        <v>13</v>
      </c>
      <c r="C455" s="16" t="s">
        <v>30</v>
      </c>
      <c r="D455" s="29">
        <v>44286</v>
      </c>
      <c r="E455" s="18" t="s">
        <v>23</v>
      </c>
      <c r="F455" s="18"/>
      <c r="G455" s="13"/>
      <c r="H455" s="29">
        <v>44262</v>
      </c>
      <c r="I455" s="13" t="s">
        <v>713</v>
      </c>
      <c r="J455" s="13"/>
      <c r="K455" s="13" t="s">
        <v>125</v>
      </c>
      <c r="L455" s="13"/>
      <c r="M455" s="13"/>
      <c r="N455" s="13"/>
      <c r="O455" s="13"/>
      <c r="P455" s="13"/>
      <c r="Q455" s="13"/>
      <c r="R455" s="13"/>
      <c r="S455" s="13" t="s">
        <v>434</v>
      </c>
      <c r="T455" s="13"/>
      <c r="U455" s="13"/>
    </row>
    <row r="456" spans="1:21" x14ac:dyDescent="0.25">
      <c r="A456" s="16" t="s">
        <v>345</v>
      </c>
      <c r="B456" s="13" t="s">
        <v>13</v>
      </c>
      <c r="C456" s="16" t="s">
        <v>30</v>
      </c>
      <c r="D456" s="29">
        <v>44286</v>
      </c>
      <c r="E456" s="18" t="s">
        <v>23</v>
      </c>
      <c r="F456" s="18"/>
      <c r="G456" s="13"/>
      <c r="H456" s="29">
        <v>44262</v>
      </c>
      <c r="I456" s="13" t="s">
        <v>714</v>
      </c>
      <c r="J456" s="13"/>
      <c r="K456" s="13" t="s">
        <v>318</v>
      </c>
      <c r="L456" s="13"/>
      <c r="M456" s="13"/>
      <c r="N456" s="13"/>
      <c r="O456" s="13"/>
      <c r="P456" s="13"/>
      <c r="Q456" s="13"/>
      <c r="R456" s="13"/>
      <c r="S456" s="13" t="s">
        <v>598</v>
      </c>
      <c r="T456" s="13"/>
      <c r="U456" s="13"/>
    </row>
    <row r="457" spans="1:21" x14ac:dyDescent="0.25">
      <c r="A457" s="16" t="s">
        <v>345</v>
      </c>
      <c r="B457" s="13" t="s">
        <v>13</v>
      </c>
      <c r="C457" s="16" t="s">
        <v>30</v>
      </c>
      <c r="D457" s="29">
        <v>44286</v>
      </c>
      <c r="E457" s="18" t="s">
        <v>23</v>
      </c>
      <c r="F457" s="18"/>
      <c r="G457" s="13"/>
      <c r="H457" s="29">
        <v>44262</v>
      </c>
      <c r="I457" s="13" t="s">
        <v>715</v>
      </c>
      <c r="J457" s="13"/>
      <c r="K457" s="13" t="s">
        <v>318</v>
      </c>
      <c r="L457" s="13"/>
      <c r="M457" s="13"/>
      <c r="N457" s="13"/>
      <c r="O457" s="13"/>
      <c r="P457" s="13"/>
      <c r="Q457" s="13"/>
      <c r="R457" s="13"/>
      <c r="S457" s="13" t="s">
        <v>598</v>
      </c>
      <c r="T457" s="13"/>
      <c r="U457" s="13"/>
    </row>
    <row r="458" spans="1:21" x14ac:dyDescent="0.25">
      <c r="A458" s="16" t="s">
        <v>345</v>
      </c>
      <c r="B458" s="13" t="s">
        <v>13</v>
      </c>
      <c r="C458" s="16" t="s">
        <v>30</v>
      </c>
      <c r="D458" s="29">
        <v>44286</v>
      </c>
      <c r="E458" s="18" t="s">
        <v>23</v>
      </c>
      <c r="F458" s="18"/>
      <c r="G458" s="13"/>
      <c r="H458" s="29">
        <v>44262</v>
      </c>
      <c r="I458" s="13" t="s">
        <v>716</v>
      </c>
      <c r="J458" s="13"/>
      <c r="K458" s="13" t="s">
        <v>318</v>
      </c>
      <c r="L458" s="13"/>
      <c r="M458" s="13"/>
      <c r="N458" s="13"/>
      <c r="O458" s="13"/>
      <c r="P458" s="13"/>
      <c r="Q458" s="13"/>
      <c r="R458" s="13"/>
      <c r="S458" s="13" t="s">
        <v>266</v>
      </c>
      <c r="T458" s="13"/>
      <c r="U458" s="13"/>
    </row>
    <row r="459" spans="1:21" x14ac:dyDescent="0.25">
      <c r="A459" s="16" t="s">
        <v>345</v>
      </c>
      <c r="B459" s="13" t="s">
        <v>13</v>
      </c>
      <c r="C459" s="16" t="s">
        <v>30</v>
      </c>
      <c r="D459" s="29">
        <v>44286</v>
      </c>
      <c r="E459" s="18" t="s">
        <v>23</v>
      </c>
      <c r="F459" s="18"/>
      <c r="G459" s="13"/>
      <c r="H459" s="29">
        <v>44262</v>
      </c>
      <c r="I459" s="13" t="s">
        <v>717</v>
      </c>
      <c r="J459" s="13"/>
      <c r="K459" s="13" t="s">
        <v>318</v>
      </c>
      <c r="L459" s="13"/>
      <c r="M459" s="13"/>
      <c r="N459" s="13"/>
      <c r="O459" s="13"/>
      <c r="P459" s="13"/>
      <c r="Q459" s="13"/>
      <c r="R459" s="13"/>
      <c r="S459" s="13" t="s">
        <v>266</v>
      </c>
      <c r="T459" s="13"/>
      <c r="U459" s="13"/>
    </row>
    <row r="460" spans="1:21" x14ac:dyDescent="0.25">
      <c r="A460" s="16" t="s">
        <v>344</v>
      </c>
      <c r="B460" s="13" t="s">
        <v>13</v>
      </c>
      <c r="C460" s="16" t="s">
        <v>30</v>
      </c>
      <c r="D460" s="29">
        <v>44286</v>
      </c>
      <c r="E460" s="18" t="s">
        <v>23</v>
      </c>
      <c r="F460" s="18"/>
      <c r="G460" s="13"/>
      <c r="H460" s="29">
        <v>44262</v>
      </c>
      <c r="I460" s="13" t="s">
        <v>1154</v>
      </c>
      <c r="J460" s="13"/>
      <c r="K460" s="13"/>
      <c r="L460" s="13"/>
      <c r="M460" s="13"/>
      <c r="N460" s="13"/>
      <c r="O460" s="13"/>
      <c r="P460" s="13"/>
      <c r="Q460" s="13"/>
      <c r="R460" s="13"/>
      <c r="S460" s="13">
        <v>7500</v>
      </c>
      <c r="T460" s="13"/>
      <c r="U460" s="13"/>
    </row>
    <row r="461" spans="1:21" x14ac:dyDescent="0.25">
      <c r="A461" s="16" t="s">
        <v>2778</v>
      </c>
      <c r="B461" s="13" t="s">
        <v>34</v>
      </c>
      <c r="C461" s="16" t="s">
        <v>541</v>
      </c>
      <c r="D461" s="29">
        <v>44286</v>
      </c>
      <c r="E461" s="18" t="s">
        <v>23</v>
      </c>
      <c r="F461" s="18"/>
      <c r="G461" s="13" t="s">
        <v>1240</v>
      </c>
      <c r="H461" s="29">
        <v>44262</v>
      </c>
      <c r="I461" s="13" t="s">
        <v>1158</v>
      </c>
      <c r="J461" s="13">
        <v>598.5</v>
      </c>
      <c r="K461" s="13"/>
      <c r="L461" s="13"/>
      <c r="M461" s="13"/>
      <c r="N461" s="13"/>
      <c r="O461" s="13"/>
      <c r="P461" s="13"/>
      <c r="Q461" s="13"/>
      <c r="R461" s="13"/>
      <c r="S461" s="13" t="s">
        <v>1160</v>
      </c>
      <c r="T461" s="13"/>
      <c r="U461" s="13"/>
    </row>
    <row r="462" spans="1:21" x14ac:dyDescent="0.25">
      <c r="A462" s="16" t="s">
        <v>346</v>
      </c>
      <c r="B462" s="13" t="s">
        <v>34</v>
      </c>
      <c r="C462" s="16" t="s">
        <v>1157</v>
      </c>
      <c r="D462" s="29">
        <v>44286</v>
      </c>
      <c r="E462" s="18" t="s">
        <v>23</v>
      </c>
      <c r="F462" s="18"/>
      <c r="G462" s="13"/>
      <c r="H462" s="29">
        <v>44293</v>
      </c>
      <c r="I462" s="13" t="s">
        <v>1161</v>
      </c>
      <c r="J462" s="13"/>
      <c r="K462" s="13"/>
      <c r="L462" s="13"/>
      <c r="M462" s="13"/>
      <c r="N462" s="13"/>
      <c r="O462" s="13"/>
      <c r="P462" s="13"/>
      <c r="Q462" s="13"/>
      <c r="R462" s="13"/>
      <c r="S462" s="13" t="s">
        <v>1155</v>
      </c>
      <c r="T462" s="13"/>
      <c r="U462" s="13"/>
    </row>
    <row r="463" spans="1:21" x14ac:dyDescent="0.25">
      <c r="A463" s="16" t="s">
        <v>346</v>
      </c>
      <c r="B463" s="13" t="s">
        <v>34</v>
      </c>
      <c r="C463" s="16" t="s">
        <v>1157</v>
      </c>
      <c r="D463" s="29">
        <v>44286</v>
      </c>
      <c r="E463" s="18" t="s">
        <v>23</v>
      </c>
      <c r="F463" s="18"/>
      <c r="G463" s="13"/>
      <c r="H463" s="29">
        <v>44293</v>
      </c>
      <c r="I463" s="13" t="s">
        <v>1566</v>
      </c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</row>
    <row r="464" spans="1:21" x14ac:dyDescent="0.25">
      <c r="A464" s="16" t="s">
        <v>346</v>
      </c>
      <c r="B464" s="13" t="s">
        <v>34</v>
      </c>
      <c r="C464" s="16" t="s">
        <v>1157</v>
      </c>
      <c r="D464" s="29">
        <v>44286</v>
      </c>
      <c r="E464" s="18" t="s">
        <v>23</v>
      </c>
      <c r="F464" s="18"/>
      <c r="G464" s="13"/>
      <c r="H464" s="29">
        <v>44293</v>
      </c>
      <c r="I464" s="13" t="s">
        <v>1162</v>
      </c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</row>
    <row r="465" spans="1:21" x14ac:dyDescent="0.25">
      <c r="A465" s="16" t="s">
        <v>346</v>
      </c>
      <c r="B465" s="13" t="s">
        <v>34</v>
      </c>
      <c r="C465" s="16" t="s">
        <v>1157</v>
      </c>
      <c r="D465" s="29">
        <v>44286</v>
      </c>
      <c r="E465" s="18" t="s">
        <v>23</v>
      </c>
      <c r="F465" s="18"/>
      <c r="G465" s="13"/>
      <c r="H465" s="29">
        <v>44293</v>
      </c>
      <c r="I465" s="13" t="s">
        <v>1163</v>
      </c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</row>
    <row r="466" spans="1:21" x14ac:dyDescent="0.25">
      <c r="A466" s="16" t="s">
        <v>346</v>
      </c>
      <c r="B466" s="13" t="s">
        <v>34</v>
      </c>
      <c r="C466" s="16" t="s">
        <v>1157</v>
      </c>
      <c r="D466" s="29">
        <v>44286</v>
      </c>
      <c r="E466" s="18" t="s">
        <v>23</v>
      </c>
      <c r="F466" s="18"/>
      <c r="G466" s="13"/>
      <c r="H466" s="29">
        <v>44293</v>
      </c>
      <c r="I466" s="13" t="s">
        <v>1164</v>
      </c>
      <c r="J466" s="13"/>
      <c r="K466" s="13"/>
      <c r="L466" s="13"/>
      <c r="M466" s="13"/>
      <c r="N466" s="13"/>
      <c r="O466" s="13"/>
      <c r="P466" s="13"/>
      <c r="Q466" s="13"/>
      <c r="R466" s="13"/>
      <c r="S466" s="13" t="s">
        <v>1156</v>
      </c>
      <c r="T466" s="13"/>
      <c r="U466" s="13"/>
    </row>
    <row r="467" spans="1:21" x14ac:dyDescent="0.25">
      <c r="A467" s="16" t="s">
        <v>346</v>
      </c>
      <c r="B467" s="13" t="s">
        <v>34</v>
      </c>
      <c r="C467" s="16" t="s">
        <v>1157</v>
      </c>
      <c r="D467" s="29">
        <v>44286</v>
      </c>
      <c r="E467" s="18" t="s">
        <v>23</v>
      </c>
      <c r="F467" s="18"/>
      <c r="G467" s="13" t="s">
        <v>1189</v>
      </c>
      <c r="H467" s="29">
        <v>44293</v>
      </c>
      <c r="I467" s="13" t="s">
        <v>1165</v>
      </c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</row>
    <row r="468" spans="1:21" x14ac:dyDescent="0.25">
      <c r="A468" s="16" t="s">
        <v>346</v>
      </c>
      <c r="B468" s="13" t="s">
        <v>34</v>
      </c>
      <c r="C468" s="16" t="s">
        <v>1157</v>
      </c>
      <c r="D468" s="29">
        <v>44286</v>
      </c>
      <c r="E468" s="18" t="s">
        <v>23</v>
      </c>
      <c r="F468" s="18"/>
      <c r="G468" s="13"/>
      <c r="H468" s="29">
        <v>44293</v>
      </c>
      <c r="I468" s="13" t="s">
        <v>1166</v>
      </c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</row>
    <row r="469" spans="1:21" x14ac:dyDescent="0.25">
      <c r="A469" s="16" t="s">
        <v>346</v>
      </c>
      <c r="B469" s="13" t="s">
        <v>34</v>
      </c>
      <c r="C469" s="16" t="s">
        <v>1157</v>
      </c>
      <c r="D469" s="29">
        <v>44286</v>
      </c>
      <c r="E469" s="18" t="s">
        <v>23</v>
      </c>
      <c r="F469" s="18"/>
      <c r="G469" s="13"/>
      <c r="H469" s="29">
        <v>44293</v>
      </c>
      <c r="I469" s="13" t="s">
        <v>1167</v>
      </c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</row>
    <row r="470" spans="1:21" s="25" customFormat="1" x14ac:dyDescent="0.25">
      <c r="A470" s="22">
        <v>153</v>
      </c>
      <c r="B470" s="21" t="s">
        <v>13</v>
      </c>
      <c r="C470" s="22" t="s">
        <v>1116</v>
      </c>
      <c r="D470" s="17">
        <v>44287</v>
      </c>
      <c r="E470" s="23" t="s">
        <v>23</v>
      </c>
      <c r="F470" s="23"/>
      <c r="G470" s="21"/>
      <c r="H470" s="17">
        <v>44295</v>
      </c>
      <c r="I470" s="21" t="s">
        <v>1114</v>
      </c>
      <c r="J470" s="21">
        <v>288</v>
      </c>
      <c r="K470" s="21" t="s">
        <v>634</v>
      </c>
      <c r="L470" s="21">
        <v>0.60040000000000004</v>
      </c>
      <c r="M470" s="21">
        <v>2.5739999999999998</v>
      </c>
      <c r="N470" s="21">
        <v>172.9152</v>
      </c>
      <c r="O470" s="21">
        <v>741.31200000000001</v>
      </c>
      <c r="P470" s="21">
        <v>22.48</v>
      </c>
      <c r="Q470" s="21">
        <v>172.92</v>
      </c>
      <c r="R470" s="21">
        <v>288</v>
      </c>
      <c r="S470" s="21">
        <v>49799.58</v>
      </c>
      <c r="T470" s="21"/>
      <c r="U470" s="21"/>
    </row>
    <row r="471" spans="1:21" s="25" customFormat="1" x14ac:dyDescent="0.25">
      <c r="A471" s="20">
        <v>154</v>
      </c>
      <c r="B471" s="21" t="s">
        <v>13</v>
      </c>
      <c r="C471" s="22" t="s">
        <v>672</v>
      </c>
      <c r="D471" s="17">
        <v>44287</v>
      </c>
      <c r="E471" s="23" t="s">
        <v>23</v>
      </c>
      <c r="F471" s="23"/>
      <c r="G471" s="21" t="s">
        <v>1724</v>
      </c>
      <c r="H471" s="24">
        <v>44403</v>
      </c>
      <c r="I471" s="21" t="s">
        <v>1140</v>
      </c>
      <c r="J471" s="21">
        <v>1542.4</v>
      </c>
      <c r="K471" s="21">
        <v>482</v>
      </c>
      <c r="L471" s="21">
        <v>0.31</v>
      </c>
      <c r="M471" s="21">
        <v>1.2010000000000001</v>
      </c>
      <c r="N471" s="21">
        <v>478.14400000000001</v>
      </c>
      <c r="O471" s="21">
        <v>1852.4223999999999</v>
      </c>
      <c r="P471" s="21">
        <v>62.16</v>
      </c>
      <c r="Q471" s="21">
        <v>63.55</v>
      </c>
      <c r="R471" s="21">
        <v>205</v>
      </c>
      <c r="S471" s="21">
        <v>98019.520000000004</v>
      </c>
      <c r="T471" s="21"/>
      <c r="U471" s="21"/>
    </row>
    <row r="472" spans="1:21" s="25" customFormat="1" x14ac:dyDescent="0.25">
      <c r="A472" s="20">
        <v>154</v>
      </c>
      <c r="B472" s="21" t="s">
        <v>13</v>
      </c>
      <c r="C472" s="22" t="s">
        <v>672</v>
      </c>
      <c r="D472" s="17">
        <v>44287</v>
      </c>
      <c r="E472" s="23" t="s">
        <v>23</v>
      </c>
      <c r="F472" s="23"/>
      <c r="G472" s="26" t="s">
        <v>1522</v>
      </c>
      <c r="H472" s="107"/>
      <c r="I472" s="26" t="s">
        <v>1141</v>
      </c>
      <c r="J472" s="26">
        <v>2104</v>
      </c>
      <c r="K472" s="26">
        <v>526</v>
      </c>
      <c r="L472" s="26">
        <v>0.31</v>
      </c>
      <c r="M472" s="26">
        <v>1.2010000000000001</v>
      </c>
      <c r="N472" s="26">
        <v>652.24</v>
      </c>
      <c r="O472" s="26">
        <v>2526.904</v>
      </c>
      <c r="P472" s="21">
        <v>84.79</v>
      </c>
      <c r="Q472" s="21">
        <v>68.2</v>
      </c>
      <c r="R472" s="21">
        <v>220</v>
      </c>
      <c r="S472" s="21">
        <v>143492.79999999999</v>
      </c>
      <c r="T472" s="21"/>
      <c r="U472" s="21"/>
    </row>
    <row r="473" spans="1:21" s="25" customFormat="1" x14ac:dyDescent="0.25">
      <c r="A473" s="20">
        <v>154</v>
      </c>
      <c r="B473" s="21" t="s">
        <v>13</v>
      </c>
      <c r="C473" s="22" t="s">
        <v>672</v>
      </c>
      <c r="D473" s="17">
        <v>44287</v>
      </c>
      <c r="E473" s="23" t="s">
        <v>23</v>
      </c>
      <c r="F473" s="23"/>
      <c r="G473" s="26"/>
      <c r="H473" s="107"/>
      <c r="I473" s="26" t="s">
        <v>1142</v>
      </c>
      <c r="J473" s="26">
        <v>456</v>
      </c>
      <c r="K473" s="26">
        <v>76</v>
      </c>
      <c r="L473" s="26">
        <v>0.31</v>
      </c>
      <c r="M473" s="26">
        <v>1.2010000000000001</v>
      </c>
      <c r="N473" s="26">
        <v>141.36000000000001</v>
      </c>
      <c r="O473" s="26">
        <v>547.65599999999995</v>
      </c>
      <c r="P473" s="21">
        <v>18.38</v>
      </c>
      <c r="Q473" s="21">
        <v>68.2</v>
      </c>
      <c r="R473" s="21">
        <v>220</v>
      </c>
      <c r="S473" s="21">
        <v>31099.200000000001</v>
      </c>
      <c r="T473" s="21"/>
      <c r="U473" s="21"/>
    </row>
    <row r="474" spans="1:21" x14ac:dyDescent="0.25">
      <c r="A474" s="16" t="s">
        <v>1238</v>
      </c>
      <c r="B474" s="13" t="s">
        <v>13</v>
      </c>
      <c r="C474" s="16" t="s">
        <v>1347</v>
      </c>
      <c r="D474" s="17">
        <v>44287</v>
      </c>
      <c r="E474" s="18" t="s">
        <v>677</v>
      </c>
      <c r="F474" s="18"/>
      <c r="G474" s="13"/>
      <c r="H474" s="29"/>
      <c r="I474" s="13" t="s">
        <v>1168</v>
      </c>
      <c r="J474" s="13">
        <v>5265</v>
      </c>
      <c r="K474" s="13">
        <v>1755</v>
      </c>
      <c r="L474" s="13"/>
      <c r="M474" s="13"/>
      <c r="N474" s="13"/>
      <c r="O474" s="13"/>
      <c r="P474" s="13"/>
      <c r="Q474" s="13"/>
      <c r="R474" s="13"/>
      <c r="S474" s="13">
        <v>65812.5</v>
      </c>
      <c r="T474" s="13"/>
      <c r="U474" s="13"/>
    </row>
    <row r="475" spans="1:21" x14ac:dyDescent="0.25">
      <c r="A475" s="16" t="s">
        <v>350</v>
      </c>
      <c r="B475" s="13" t="s">
        <v>13</v>
      </c>
      <c r="C475" s="16" t="s">
        <v>583</v>
      </c>
      <c r="D475" s="29">
        <v>44288</v>
      </c>
      <c r="E475" s="18" t="s">
        <v>23</v>
      </c>
      <c r="F475" s="18"/>
      <c r="G475" s="13"/>
      <c r="H475" s="29">
        <v>44295</v>
      </c>
      <c r="I475" s="13" t="s">
        <v>89</v>
      </c>
      <c r="J475" s="13"/>
      <c r="K475" s="13">
        <v>48</v>
      </c>
      <c r="L475" s="13"/>
      <c r="M475" s="13"/>
      <c r="N475" s="13"/>
      <c r="O475" s="13"/>
      <c r="P475" s="13"/>
      <c r="Q475" s="13"/>
      <c r="R475" s="13"/>
      <c r="S475" s="13">
        <v>34992</v>
      </c>
      <c r="T475" s="13"/>
      <c r="U475" s="13"/>
    </row>
    <row r="476" spans="1:21" x14ac:dyDescent="0.25">
      <c r="A476" s="16">
        <v>156</v>
      </c>
      <c r="B476" s="13" t="s">
        <v>13</v>
      </c>
      <c r="C476" s="16" t="s">
        <v>672</v>
      </c>
      <c r="D476" s="29">
        <v>44291</v>
      </c>
      <c r="E476" s="18" t="s">
        <v>23</v>
      </c>
      <c r="F476" s="18"/>
      <c r="G476" s="13"/>
      <c r="H476" s="29">
        <v>44298</v>
      </c>
      <c r="I476" s="13" t="s">
        <v>669</v>
      </c>
      <c r="J476" s="13">
        <v>576</v>
      </c>
      <c r="K476" s="13" t="s">
        <v>456</v>
      </c>
      <c r="L476" s="13">
        <v>0.29759999999999998</v>
      </c>
      <c r="M476" s="13">
        <v>0.67600000000000005</v>
      </c>
      <c r="N476" s="13">
        <v>171.41759999999999</v>
      </c>
      <c r="O476" s="13">
        <v>389.37599999999998</v>
      </c>
      <c r="P476" s="13">
        <v>22.28</v>
      </c>
      <c r="Q476" s="13">
        <v>61.01</v>
      </c>
      <c r="R476" s="13">
        <v>205</v>
      </c>
      <c r="S476" s="13">
        <v>35140.61</v>
      </c>
      <c r="T476" s="13"/>
      <c r="U476" s="13"/>
    </row>
    <row r="477" spans="1:21" x14ac:dyDescent="0.25">
      <c r="A477" s="16">
        <v>157</v>
      </c>
      <c r="B477" s="13" t="s">
        <v>13</v>
      </c>
      <c r="C477" s="16" t="s">
        <v>672</v>
      </c>
      <c r="D477" s="29">
        <v>44291</v>
      </c>
      <c r="E477" s="18" t="s">
        <v>23</v>
      </c>
      <c r="F477" s="18"/>
      <c r="G477" s="13" t="s">
        <v>1428</v>
      </c>
      <c r="H477" s="29"/>
      <c r="I477" s="13" t="s">
        <v>630</v>
      </c>
      <c r="J477" s="13">
        <v>1274</v>
      </c>
      <c r="K477" s="13" t="s">
        <v>1169</v>
      </c>
      <c r="L477" s="13">
        <v>0.54049999999999998</v>
      </c>
      <c r="M477" s="13">
        <v>2.0990000000000002</v>
      </c>
      <c r="N477" s="13">
        <v>688.59699999999998</v>
      </c>
      <c r="O477" s="13">
        <v>2674.1260000000002</v>
      </c>
      <c r="P477" s="13">
        <v>89.52</v>
      </c>
      <c r="Q477" s="13">
        <v>110.8</v>
      </c>
      <c r="R477" s="13">
        <v>205</v>
      </c>
      <c r="S477" s="13">
        <v>141159.20000000001</v>
      </c>
      <c r="T477" s="13"/>
      <c r="U477" s="13"/>
    </row>
    <row r="478" spans="1:21" s="25" customFormat="1" x14ac:dyDescent="0.25">
      <c r="A478" s="20">
        <v>157</v>
      </c>
      <c r="B478" s="21" t="s">
        <v>13</v>
      </c>
      <c r="C478" s="22" t="s">
        <v>672</v>
      </c>
      <c r="D478" s="17">
        <v>44291</v>
      </c>
      <c r="E478" s="23" t="s">
        <v>23</v>
      </c>
      <c r="F478" s="23"/>
      <c r="G478" s="21"/>
      <c r="H478" s="24">
        <v>44349</v>
      </c>
      <c r="I478" s="21" t="s">
        <v>999</v>
      </c>
      <c r="J478" s="21">
        <v>338</v>
      </c>
      <c r="K478" s="21" t="s">
        <v>302</v>
      </c>
      <c r="L478" s="21">
        <v>0.626</v>
      </c>
      <c r="M478" s="21">
        <v>2.1960000000000002</v>
      </c>
      <c r="N478" s="21">
        <v>211.58799999999999</v>
      </c>
      <c r="O478" s="21">
        <v>742.24800000000005</v>
      </c>
      <c r="P478" s="21">
        <v>27.51</v>
      </c>
      <c r="Q478" s="21">
        <v>128.33000000000001</v>
      </c>
      <c r="R478" s="21">
        <v>205</v>
      </c>
      <c r="S478" s="21">
        <v>43375.54</v>
      </c>
      <c r="T478" s="21"/>
      <c r="U478" s="21"/>
    </row>
    <row r="479" spans="1:21" s="25" customFormat="1" x14ac:dyDescent="0.25">
      <c r="A479" s="20">
        <v>157</v>
      </c>
      <c r="B479" s="21" t="s">
        <v>13</v>
      </c>
      <c r="C479" s="22" t="s">
        <v>672</v>
      </c>
      <c r="D479" s="17">
        <v>44291</v>
      </c>
      <c r="E479" s="23" t="s">
        <v>23</v>
      </c>
      <c r="F479" s="23"/>
      <c r="G479" s="21"/>
      <c r="H479" s="24"/>
      <c r="I479" s="21" t="s">
        <v>1170</v>
      </c>
      <c r="J479" s="21">
        <v>351</v>
      </c>
      <c r="K479" s="21" t="s">
        <v>170</v>
      </c>
      <c r="L479" s="21">
        <v>0.56000000000000005</v>
      </c>
      <c r="M479" s="21">
        <v>2.25</v>
      </c>
      <c r="N479" s="21">
        <v>196.56</v>
      </c>
      <c r="O479" s="21">
        <v>789.75</v>
      </c>
      <c r="P479" s="21">
        <v>25.55</v>
      </c>
      <c r="Q479" s="21">
        <v>114.8</v>
      </c>
      <c r="R479" s="21">
        <v>205</v>
      </c>
      <c r="S479" s="21">
        <v>40294.800000000003</v>
      </c>
      <c r="T479" s="21"/>
      <c r="U479" s="21"/>
    </row>
    <row r="480" spans="1:21" x14ac:dyDescent="0.25">
      <c r="A480" s="16">
        <v>158</v>
      </c>
      <c r="B480" s="13" t="s">
        <v>13</v>
      </c>
      <c r="C480" s="16" t="s">
        <v>625</v>
      </c>
      <c r="D480" s="29">
        <v>44291</v>
      </c>
      <c r="E480" s="18" t="s">
        <v>23</v>
      </c>
      <c r="F480" s="18"/>
      <c r="G480" s="13"/>
      <c r="H480" s="29">
        <v>44298</v>
      </c>
      <c r="I480" s="13" t="s">
        <v>681</v>
      </c>
      <c r="J480" s="13">
        <v>56.4</v>
      </c>
      <c r="K480" s="13" t="s">
        <v>171</v>
      </c>
      <c r="L480" s="13">
        <v>0.34789999999999999</v>
      </c>
      <c r="M480" s="13">
        <v>1.643</v>
      </c>
      <c r="N480" s="13">
        <v>19.621600000000001</v>
      </c>
      <c r="O480" s="13">
        <v>92.665199999999999</v>
      </c>
      <c r="P480" s="13">
        <v>2.5499999999999998</v>
      </c>
      <c r="Q480" s="13">
        <v>66.099999999999994</v>
      </c>
      <c r="R480" s="13">
        <v>190</v>
      </c>
      <c r="S480" s="13">
        <v>3728.1</v>
      </c>
      <c r="T480" s="13"/>
      <c r="U480" s="13"/>
    </row>
    <row r="481" spans="1:23" x14ac:dyDescent="0.25">
      <c r="A481" s="16" t="s">
        <v>353</v>
      </c>
      <c r="B481" s="13" t="s">
        <v>13</v>
      </c>
      <c r="C481" s="16" t="s">
        <v>583</v>
      </c>
      <c r="D481" s="29">
        <v>44291</v>
      </c>
      <c r="E481" s="18" t="s">
        <v>23</v>
      </c>
      <c r="F481" s="18"/>
      <c r="G481" s="13"/>
      <c r="H481" s="29">
        <v>44298</v>
      </c>
      <c r="I481" s="13" t="s">
        <v>89</v>
      </c>
      <c r="J481" s="13"/>
      <c r="K481" s="13">
        <v>48</v>
      </c>
      <c r="L481" s="13"/>
      <c r="M481" s="13"/>
      <c r="N481" s="13"/>
      <c r="O481" s="13"/>
      <c r="P481" s="13"/>
      <c r="Q481" s="13"/>
      <c r="R481" s="13"/>
      <c r="S481" s="13">
        <v>34992</v>
      </c>
      <c r="T481" s="13"/>
      <c r="U481" s="13"/>
    </row>
    <row r="482" spans="1:23" x14ac:dyDescent="0.25">
      <c r="A482" s="16" t="s">
        <v>355</v>
      </c>
      <c r="B482" s="13" t="s">
        <v>13</v>
      </c>
      <c r="C482" s="16" t="s">
        <v>37</v>
      </c>
      <c r="D482" s="29">
        <v>44291</v>
      </c>
      <c r="E482" s="18" t="s">
        <v>23</v>
      </c>
      <c r="F482" s="18"/>
      <c r="G482" s="13"/>
      <c r="H482" s="29">
        <v>44298</v>
      </c>
      <c r="I482" s="13" t="s">
        <v>1152</v>
      </c>
      <c r="J482" s="13"/>
      <c r="K482" s="13">
        <v>60</v>
      </c>
      <c r="L482" s="13"/>
      <c r="M482" s="13"/>
      <c r="N482" s="13"/>
      <c r="O482" s="13"/>
      <c r="P482" s="13"/>
      <c r="Q482" s="13"/>
      <c r="R482" s="13"/>
      <c r="S482" s="13">
        <v>86000</v>
      </c>
      <c r="T482" s="13"/>
      <c r="U482" s="13"/>
    </row>
    <row r="483" spans="1:23" x14ac:dyDescent="0.25">
      <c r="A483" s="16">
        <v>159</v>
      </c>
      <c r="B483" s="13" t="s">
        <v>13</v>
      </c>
      <c r="C483" s="16" t="s">
        <v>674</v>
      </c>
      <c r="D483" s="29">
        <v>44291</v>
      </c>
      <c r="E483" s="18" t="s">
        <v>23</v>
      </c>
      <c r="F483" s="18"/>
      <c r="G483" s="13"/>
      <c r="H483" s="29">
        <v>44298</v>
      </c>
      <c r="I483" s="13" t="s">
        <v>600</v>
      </c>
      <c r="J483" s="13">
        <v>756</v>
      </c>
      <c r="K483" s="13" t="s">
        <v>190</v>
      </c>
      <c r="L483" s="13">
        <v>0.30719999999999997</v>
      </c>
      <c r="M483" s="13">
        <v>0.69199999999999995</v>
      </c>
      <c r="N483" s="13">
        <v>232.2432</v>
      </c>
      <c r="O483" s="13">
        <v>523.15200000000004</v>
      </c>
      <c r="P483" s="13">
        <v>30.19</v>
      </c>
      <c r="Q483" s="13">
        <v>88.47</v>
      </c>
      <c r="R483" s="13">
        <v>288</v>
      </c>
      <c r="S483" s="13">
        <v>66886.039999999994</v>
      </c>
      <c r="T483" s="13"/>
      <c r="U483" s="13"/>
    </row>
    <row r="484" spans="1:23" s="25" customFormat="1" x14ac:dyDescent="0.25">
      <c r="A484" s="22">
        <v>163</v>
      </c>
      <c r="B484" s="21" t="s">
        <v>13</v>
      </c>
      <c r="C484" s="22" t="s">
        <v>1171</v>
      </c>
      <c r="D484" s="17">
        <v>44293</v>
      </c>
      <c r="E484" s="23" t="s">
        <v>23</v>
      </c>
      <c r="F484" s="23"/>
      <c r="G484" s="23" t="s">
        <v>1323</v>
      </c>
      <c r="H484" s="17">
        <v>44300</v>
      </c>
      <c r="I484" s="21" t="s">
        <v>530</v>
      </c>
      <c r="J484" s="21">
        <v>2004</v>
      </c>
      <c r="K484" s="21" t="s">
        <v>515</v>
      </c>
      <c r="L484" s="21">
        <v>0.19259999999999999</v>
      </c>
      <c r="M484" s="21">
        <v>0.33</v>
      </c>
      <c r="N484" s="21">
        <v>385.97039999999998</v>
      </c>
      <c r="O484" s="21">
        <v>661.32</v>
      </c>
      <c r="P484" s="21">
        <v>50.18</v>
      </c>
      <c r="Q484" s="21">
        <v>50.65</v>
      </c>
      <c r="R484" s="21">
        <v>263</v>
      </c>
      <c r="S484" s="21">
        <v>101510.22</v>
      </c>
      <c r="T484" s="21"/>
      <c r="U484" s="21"/>
    </row>
    <row r="485" spans="1:23" x14ac:dyDescent="0.25">
      <c r="A485" s="72" t="s">
        <v>1174</v>
      </c>
      <c r="B485" s="73" t="s">
        <v>13</v>
      </c>
      <c r="C485" s="73" t="s">
        <v>1175</v>
      </c>
      <c r="D485" s="29">
        <v>44293</v>
      </c>
      <c r="E485" s="18" t="s">
        <v>23</v>
      </c>
      <c r="F485" s="18"/>
      <c r="G485" s="13"/>
      <c r="H485" s="29">
        <v>44300</v>
      </c>
      <c r="I485" s="13" t="s">
        <v>1176</v>
      </c>
      <c r="J485" s="13"/>
      <c r="K485" s="13" t="s">
        <v>73</v>
      </c>
      <c r="L485" s="13"/>
      <c r="M485" s="13"/>
      <c r="N485" s="13"/>
      <c r="O485" s="13"/>
      <c r="P485" s="13"/>
      <c r="Q485" s="13"/>
      <c r="R485" s="13"/>
      <c r="S485" s="13">
        <v>45000</v>
      </c>
      <c r="T485" s="13"/>
      <c r="U485" s="13"/>
    </row>
    <row r="486" spans="1:23" x14ac:dyDescent="0.25">
      <c r="A486" s="16" t="s">
        <v>1177</v>
      </c>
      <c r="B486" s="13" t="s">
        <v>34</v>
      </c>
      <c r="C486" s="16" t="s">
        <v>16</v>
      </c>
      <c r="D486" s="29">
        <v>44294</v>
      </c>
      <c r="E486" s="18" t="s">
        <v>23</v>
      </c>
      <c r="F486" s="18"/>
      <c r="G486" s="13"/>
      <c r="H486" s="29"/>
      <c r="I486" s="13" t="s">
        <v>995</v>
      </c>
      <c r="J486" s="13">
        <v>486</v>
      </c>
      <c r="K486" s="13" t="s">
        <v>863</v>
      </c>
      <c r="L486" s="13">
        <v>0.56989999999999996</v>
      </c>
      <c r="M486" s="13">
        <v>1.304</v>
      </c>
      <c r="N486" s="13">
        <v>276.97140000000002</v>
      </c>
      <c r="O486" s="13">
        <v>633.74400000000003</v>
      </c>
      <c r="P486" s="13">
        <v>36.01</v>
      </c>
      <c r="Q486" s="13">
        <v>209.72</v>
      </c>
      <c r="R486" s="13">
        <v>368</v>
      </c>
      <c r="S486" s="13">
        <v>101925.48</v>
      </c>
      <c r="T486" s="13"/>
      <c r="U486" s="63"/>
      <c r="V486" s="13"/>
      <c r="W486" s="13"/>
    </row>
    <row r="487" spans="1:23" s="25" customFormat="1" x14ac:dyDescent="0.25">
      <c r="A487" s="22">
        <v>165</v>
      </c>
      <c r="B487" s="21" t="s">
        <v>13</v>
      </c>
      <c r="C487" s="22" t="s">
        <v>672</v>
      </c>
      <c r="D487" s="17">
        <v>44294</v>
      </c>
      <c r="E487" s="23" t="s">
        <v>23</v>
      </c>
      <c r="F487" s="23"/>
      <c r="G487" s="21"/>
      <c r="H487" s="17">
        <v>44300</v>
      </c>
      <c r="I487" s="21" t="s">
        <v>669</v>
      </c>
      <c r="J487" s="21">
        <v>570</v>
      </c>
      <c r="K487" s="21" t="s">
        <v>1178</v>
      </c>
      <c r="L487" s="21">
        <v>0.29759999999999998</v>
      </c>
      <c r="M487" s="21">
        <v>0.67600000000000005</v>
      </c>
      <c r="N487" s="21">
        <v>169.63200000000001</v>
      </c>
      <c r="O487" s="21">
        <v>385.32</v>
      </c>
      <c r="P487" s="21">
        <v>22.05</v>
      </c>
      <c r="Q487" s="21">
        <v>61.01</v>
      </c>
      <c r="R487" s="21">
        <v>205</v>
      </c>
      <c r="S487" s="21">
        <v>34774.559999999998</v>
      </c>
      <c r="T487" s="21"/>
      <c r="U487" s="21"/>
    </row>
    <row r="488" spans="1:23" x14ac:dyDescent="0.25">
      <c r="A488" s="16">
        <v>166</v>
      </c>
      <c r="B488" s="13" t="s">
        <v>13</v>
      </c>
      <c r="C488" s="16" t="s">
        <v>557</v>
      </c>
      <c r="D488" s="29">
        <v>44294</v>
      </c>
      <c r="E488" s="18" t="s">
        <v>23</v>
      </c>
      <c r="F488" s="18"/>
      <c r="G488" s="13" t="s">
        <v>1190</v>
      </c>
      <c r="H488" s="29">
        <v>44300</v>
      </c>
      <c r="I488" s="13" t="s">
        <v>681</v>
      </c>
      <c r="J488" s="13">
        <v>897.7</v>
      </c>
      <c r="K488" s="13" t="s">
        <v>1179</v>
      </c>
      <c r="L488" s="13">
        <v>0.34789999999999999</v>
      </c>
      <c r="M488" s="13">
        <v>1.643</v>
      </c>
      <c r="N488" s="13">
        <v>312.3098</v>
      </c>
      <c r="O488" s="13">
        <v>1474.9211</v>
      </c>
      <c r="P488" s="13">
        <v>40.6</v>
      </c>
      <c r="Q488" s="13">
        <v>66.099999999999994</v>
      </c>
      <c r="R488" s="13">
        <v>190</v>
      </c>
      <c r="S488" s="13">
        <v>59338.87</v>
      </c>
      <c r="T488" s="13"/>
      <c r="U488" s="13"/>
    </row>
    <row r="489" spans="1:23" x14ac:dyDescent="0.25">
      <c r="A489" s="16">
        <v>167</v>
      </c>
      <c r="B489" s="13" t="s">
        <v>13</v>
      </c>
      <c r="C489" s="16" t="s">
        <v>557</v>
      </c>
      <c r="D489" s="29">
        <v>44294</v>
      </c>
      <c r="E489" s="18" t="s">
        <v>23</v>
      </c>
      <c r="F489" s="18"/>
      <c r="G489" s="13"/>
      <c r="H489" s="29">
        <v>44300</v>
      </c>
      <c r="I489" s="13" t="s">
        <v>1099</v>
      </c>
      <c r="J489" s="13">
        <v>841.3</v>
      </c>
      <c r="K489" s="13" t="s">
        <v>1180</v>
      </c>
      <c r="L489" s="13">
        <v>0.34810000000000002</v>
      </c>
      <c r="M489" s="13">
        <v>1.4930000000000001</v>
      </c>
      <c r="N489" s="13">
        <v>292.85649999999998</v>
      </c>
      <c r="O489" s="13">
        <v>1256.0608999999999</v>
      </c>
      <c r="P489" s="13">
        <v>38.07</v>
      </c>
      <c r="Q489" s="13">
        <v>66.14</v>
      </c>
      <c r="R489" s="13">
        <v>190</v>
      </c>
      <c r="S489" s="13">
        <v>55642.74</v>
      </c>
      <c r="T489" s="13"/>
      <c r="U489" s="13"/>
    </row>
    <row r="490" spans="1:23" s="25" customFormat="1" x14ac:dyDescent="0.25">
      <c r="A490" s="22">
        <v>168</v>
      </c>
      <c r="B490" s="21" t="s">
        <v>13</v>
      </c>
      <c r="C490" s="22" t="s">
        <v>657</v>
      </c>
      <c r="D490" s="17">
        <v>44294</v>
      </c>
      <c r="E490" s="23" t="s">
        <v>23</v>
      </c>
      <c r="F490" s="23"/>
      <c r="G490" s="21"/>
      <c r="H490" s="17">
        <v>44300</v>
      </c>
      <c r="I490" s="21" t="s">
        <v>1181</v>
      </c>
      <c r="J490" s="21">
        <v>106.2</v>
      </c>
      <c r="K490" s="21" t="s">
        <v>303</v>
      </c>
      <c r="L490" s="21">
        <v>0.1724</v>
      </c>
      <c r="M490" s="21">
        <v>0.41499999999999998</v>
      </c>
      <c r="N490" s="21">
        <v>18.308900000000001</v>
      </c>
      <c r="O490" s="21">
        <v>44.073</v>
      </c>
      <c r="P490" s="21">
        <v>2.38</v>
      </c>
      <c r="Q490" s="21">
        <v>45.34</v>
      </c>
      <c r="R490" s="21">
        <v>263</v>
      </c>
      <c r="S490" s="21">
        <v>4815.24</v>
      </c>
      <c r="T490" s="21"/>
      <c r="U490" s="21"/>
    </row>
    <row r="491" spans="1:23" ht="13.9" customHeight="1" x14ac:dyDescent="0.25">
      <c r="A491" s="16">
        <v>169</v>
      </c>
      <c r="B491" s="13" t="s">
        <v>13</v>
      </c>
      <c r="C491" s="16" t="s">
        <v>32</v>
      </c>
      <c r="D491" s="29">
        <v>44294</v>
      </c>
      <c r="E491" s="18" t="s">
        <v>23</v>
      </c>
      <c r="F491" s="18"/>
      <c r="G491" s="13" t="s">
        <v>1348</v>
      </c>
      <c r="H491" s="29">
        <v>44300</v>
      </c>
      <c r="I491" s="13" t="s">
        <v>640</v>
      </c>
      <c r="J491" s="13">
        <v>3494.3</v>
      </c>
      <c r="K491" s="13" t="s">
        <v>1182</v>
      </c>
      <c r="L491" s="13">
        <v>0.12230000000000001</v>
      </c>
      <c r="M491" s="13">
        <v>0.16200000000000001</v>
      </c>
      <c r="N491" s="13">
        <v>427.35289999999998</v>
      </c>
      <c r="O491" s="13">
        <v>566.07659999999998</v>
      </c>
      <c r="P491" s="13">
        <v>55.56</v>
      </c>
      <c r="Q491" s="13">
        <v>45.01</v>
      </c>
      <c r="R491" s="13">
        <v>368</v>
      </c>
      <c r="S491" s="13">
        <v>157265.85999999999</v>
      </c>
      <c r="T491" s="13"/>
      <c r="U491" s="13"/>
    </row>
    <row r="492" spans="1:23" x14ac:dyDescent="0.25">
      <c r="A492" s="16">
        <v>169</v>
      </c>
      <c r="B492" s="13" t="s">
        <v>13</v>
      </c>
      <c r="C492" s="16" t="s">
        <v>32</v>
      </c>
      <c r="D492" s="29">
        <v>44294</v>
      </c>
      <c r="E492" s="18" t="s">
        <v>23</v>
      </c>
      <c r="F492" s="18"/>
      <c r="G492" s="13"/>
      <c r="H492" s="29">
        <v>44300</v>
      </c>
      <c r="I492" s="13" t="s">
        <v>626</v>
      </c>
      <c r="J492" s="13">
        <v>1712.05</v>
      </c>
      <c r="K492" s="13" t="s">
        <v>1183</v>
      </c>
      <c r="L492" s="13">
        <v>0.12230000000000001</v>
      </c>
      <c r="M492" s="13">
        <v>0.16200000000000001</v>
      </c>
      <c r="N492" s="13">
        <v>209.3837</v>
      </c>
      <c r="O492" s="13">
        <v>277.35210000000001</v>
      </c>
      <c r="P492" s="13">
        <v>27.22</v>
      </c>
      <c r="Q492" s="13">
        <v>45.01</v>
      </c>
      <c r="R492" s="13">
        <v>368</v>
      </c>
      <c r="S492" s="13">
        <v>77053.210000000006</v>
      </c>
      <c r="T492" s="13"/>
      <c r="U492" s="13"/>
    </row>
    <row r="493" spans="1:23" x14ac:dyDescent="0.25">
      <c r="A493" s="16">
        <v>170</v>
      </c>
      <c r="B493" s="13" t="s">
        <v>13</v>
      </c>
      <c r="C493" s="16" t="s">
        <v>32</v>
      </c>
      <c r="D493" s="29">
        <v>44294</v>
      </c>
      <c r="E493" s="18" t="s">
        <v>23</v>
      </c>
      <c r="F493" s="18"/>
      <c r="G493" s="13" t="s">
        <v>1335</v>
      </c>
      <c r="H493" s="29">
        <v>44300</v>
      </c>
      <c r="I493" s="13" t="s">
        <v>602</v>
      </c>
      <c r="J493" s="13">
        <v>657.2</v>
      </c>
      <c r="K493" s="13" t="s">
        <v>262</v>
      </c>
      <c r="L493" s="13">
        <v>0.25659999999999999</v>
      </c>
      <c r="M493" s="13">
        <v>0.68899999999999995</v>
      </c>
      <c r="N493" s="13">
        <v>168.63749999999999</v>
      </c>
      <c r="O493" s="13">
        <v>452.81079999999997</v>
      </c>
      <c r="P493" s="13">
        <v>21.92</v>
      </c>
      <c r="Q493" s="13">
        <v>57.99</v>
      </c>
      <c r="R493" s="13">
        <v>226</v>
      </c>
      <c r="S493" s="13">
        <v>38112.080000000002</v>
      </c>
      <c r="T493" s="13"/>
      <c r="U493" s="13"/>
    </row>
    <row r="494" spans="1:23" x14ac:dyDescent="0.25">
      <c r="A494" s="16" t="s">
        <v>1184</v>
      </c>
      <c r="B494" s="13" t="s">
        <v>13</v>
      </c>
      <c r="C494" s="16" t="s">
        <v>15</v>
      </c>
      <c r="D494" s="29">
        <v>44295</v>
      </c>
      <c r="E494" s="18" t="s">
        <v>23</v>
      </c>
      <c r="F494" s="18"/>
      <c r="G494" s="13"/>
      <c r="H494" s="29">
        <v>44302</v>
      </c>
      <c r="I494" s="13" t="s">
        <v>89</v>
      </c>
      <c r="J494" s="13"/>
      <c r="K494" s="13">
        <v>48</v>
      </c>
      <c r="L494" s="13"/>
      <c r="M494" s="13"/>
      <c r="N494" s="13"/>
      <c r="O494" s="13"/>
      <c r="P494" s="13"/>
      <c r="Q494" s="13"/>
      <c r="R494" s="13"/>
      <c r="S494" s="13">
        <v>34992</v>
      </c>
      <c r="T494" s="13"/>
      <c r="U494" s="13"/>
    </row>
    <row r="495" spans="1:23" x14ac:dyDescent="0.25">
      <c r="A495" s="16" t="s">
        <v>363</v>
      </c>
      <c r="B495" s="13" t="s">
        <v>13</v>
      </c>
      <c r="C495" s="16" t="s">
        <v>585</v>
      </c>
      <c r="D495" s="29">
        <v>44295</v>
      </c>
      <c r="E495" s="18" t="s">
        <v>23</v>
      </c>
      <c r="F495" s="18"/>
      <c r="G495" s="13"/>
      <c r="H495" s="29">
        <v>44302</v>
      </c>
      <c r="I495" s="13" t="s">
        <v>710</v>
      </c>
      <c r="J495" s="13"/>
      <c r="K495" s="13" t="s">
        <v>318</v>
      </c>
      <c r="L495" s="13"/>
      <c r="M495" s="13"/>
      <c r="N495" s="13"/>
      <c r="O495" s="13"/>
      <c r="P495" s="13"/>
      <c r="Q495" s="13"/>
      <c r="R495" s="13"/>
      <c r="S495" s="13" t="s">
        <v>266</v>
      </c>
      <c r="T495" s="13"/>
      <c r="U495" s="13"/>
    </row>
    <row r="496" spans="1:23" x14ac:dyDescent="0.25">
      <c r="A496" s="16" t="s">
        <v>363</v>
      </c>
      <c r="B496" s="13" t="s">
        <v>13</v>
      </c>
      <c r="C496" s="16" t="s">
        <v>585</v>
      </c>
      <c r="D496" s="29">
        <v>44295</v>
      </c>
      <c r="E496" s="18" t="s">
        <v>23</v>
      </c>
      <c r="F496" s="18"/>
      <c r="G496" s="13"/>
      <c r="H496" s="29">
        <v>44302</v>
      </c>
      <c r="I496" s="13" t="s">
        <v>711</v>
      </c>
      <c r="J496" s="13"/>
      <c r="K496" s="13" t="s">
        <v>318</v>
      </c>
      <c r="L496" s="13"/>
      <c r="M496" s="13"/>
      <c r="N496" s="13"/>
      <c r="O496" s="13"/>
      <c r="P496" s="13"/>
      <c r="Q496" s="13"/>
      <c r="R496" s="13"/>
      <c r="S496" s="13" t="s">
        <v>266</v>
      </c>
      <c r="T496" s="13"/>
      <c r="U496" s="13"/>
    </row>
    <row r="497" spans="1:23" x14ac:dyDescent="0.25">
      <c r="A497" s="16" t="s">
        <v>363</v>
      </c>
      <c r="B497" s="13" t="s">
        <v>13</v>
      </c>
      <c r="C497" s="16" t="s">
        <v>585</v>
      </c>
      <c r="D497" s="29">
        <v>44295</v>
      </c>
      <c r="E497" s="18" t="s">
        <v>23</v>
      </c>
      <c r="F497" s="18"/>
      <c r="G497" s="13"/>
      <c r="H497" s="29">
        <v>44302</v>
      </c>
      <c r="I497" s="13" t="s">
        <v>712</v>
      </c>
      <c r="J497" s="13"/>
      <c r="K497" s="13" t="s">
        <v>318</v>
      </c>
      <c r="L497" s="13"/>
      <c r="M497" s="13"/>
      <c r="N497" s="13"/>
      <c r="O497" s="13"/>
      <c r="P497" s="13"/>
      <c r="Q497" s="13"/>
      <c r="R497" s="13"/>
      <c r="S497" s="13" t="s">
        <v>1185</v>
      </c>
      <c r="T497" s="13"/>
      <c r="U497" s="13"/>
    </row>
    <row r="498" spans="1:23" x14ac:dyDescent="0.25">
      <c r="A498" s="16" t="s">
        <v>363</v>
      </c>
      <c r="B498" s="13" t="s">
        <v>13</v>
      </c>
      <c r="C498" s="16" t="s">
        <v>585</v>
      </c>
      <c r="D498" s="29">
        <v>44295</v>
      </c>
      <c r="E498" s="18" t="s">
        <v>23</v>
      </c>
      <c r="F498" s="18"/>
      <c r="G498" s="13"/>
      <c r="H498" s="29">
        <v>44302</v>
      </c>
      <c r="I498" s="13" t="s">
        <v>870</v>
      </c>
      <c r="J498" s="13"/>
      <c r="K498" s="13" t="s">
        <v>318</v>
      </c>
      <c r="L498" s="13"/>
      <c r="M498" s="13"/>
      <c r="N498" s="13"/>
      <c r="O498" s="13"/>
      <c r="P498" s="13"/>
      <c r="Q498" s="13"/>
      <c r="R498" s="13"/>
      <c r="S498" s="13" t="s">
        <v>1185</v>
      </c>
      <c r="T498" s="13"/>
      <c r="U498" s="13"/>
    </row>
    <row r="499" spans="1:23" x14ac:dyDescent="0.25">
      <c r="A499" s="16" t="s">
        <v>363</v>
      </c>
      <c r="B499" s="13" t="s">
        <v>13</v>
      </c>
      <c r="C499" s="16" t="s">
        <v>585</v>
      </c>
      <c r="D499" s="29">
        <v>44295</v>
      </c>
      <c r="E499" s="18" t="s">
        <v>23</v>
      </c>
      <c r="F499" s="18"/>
      <c r="G499" s="13"/>
      <c r="H499" s="29">
        <v>44302</v>
      </c>
      <c r="I499" s="13" t="s">
        <v>713</v>
      </c>
      <c r="J499" s="13"/>
      <c r="K499" s="13" t="s">
        <v>125</v>
      </c>
      <c r="L499" s="13"/>
      <c r="M499" s="13"/>
      <c r="N499" s="13"/>
      <c r="O499" s="13"/>
      <c r="P499" s="13"/>
      <c r="Q499" s="13"/>
      <c r="R499" s="13"/>
      <c r="S499" s="13" t="s">
        <v>486</v>
      </c>
      <c r="T499" s="13"/>
      <c r="U499" s="13"/>
    </row>
    <row r="500" spans="1:23" x14ac:dyDescent="0.25">
      <c r="A500" s="16" t="s">
        <v>363</v>
      </c>
      <c r="B500" s="13" t="s">
        <v>13</v>
      </c>
      <c r="C500" s="16" t="s">
        <v>585</v>
      </c>
      <c r="D500" s="29">
        <v>44295</v>
      </c>
      <c r="E500" s="18" t="s">
        <v>23</v>
      </c>
      <c r="F500" s="18"/>
      <c r="G500" s="13"/>
      <c r="H500" s="29">
        <v>44302</v>
      </c>
      <c r="I500" s="13" t="s">
        <v>714</v>
      </c>
      <c r="J500" s="13"/>
      <c r="K500" s="13" t="s">
        <v>318</v>
      </c>
      <c r="L500" s="13"/>
      <c r="M500" s="13"/>
      <c r="N500" s="13"/>
      <c r="O500" s="13"/>
      <c r="P500" s="13"/>
      <c r="Q500" s="13"/>
      <c r="R500" s="13"/>
      <c r="S500" s="13" t="s">
        <v>1186</v>
      </c>
      <c r="T500" s="13"/>
      <c r="U500" s="13"/>
    </row>
    <row r="501" spans="1:23" x14ac:dyDescent="0.25">
      <c r="A501" s="16" t="s">
        <v>363</v>
      </c>
      <c r="B501" s="13" t="s">
        <v>13</v>
      </c>
      <c r="C501" s="16" t="s">
        <v>585</v>
      </c>
      <c r="D501" s="29">
        <v>44295</v>
      </c>
      <c r="E501" s="18" t="s">
        <v>23</v>
      </c>
      <c r="F501" s="18"/>
      <c r="G501" s="13"/>
      <c r="H501" s="29">
        <v>44302</v>
      </c>
      <c r="I501" s="13" t="s">
        <v>715</v>
      </c>
      <c r="J501" s="13"/>
      <c r="K501" s="13" t="s">
        <v>318</v>
      </c>
      <c r="L501" s="13"/>
      <c r="M501" s="13"/>
      <c r="N501" s="13"/>
      <c r="O501" s="13"/>
      <c r="P501" s="13"/>
      <c r="Q501" s="13"/>
      <c r="R501" s="13"/>
      <c r="S501" s="13" t="s">
        <v>1186</v>
      </c>
      <c r="T501" s="13"/>
      <c r="U501" s="13"/>
    </row>
    <row r="502" spans="1:23" x14ac:dyDescent="0.25">
      <c r="A502" s="16" t="s">
        <v>363</v>
      </c>
      <c r="B502" s="13" t="s">
        <v>13</v>
      </c>
      <c r="C502" s="16" t="s">
        <v>585</v>
      </c>
      <c r="D502" s="29">
        <v>44295</v>
      </c>
      <c r="E502" s="18" t="s">
        <v>23</v>
      </c>
      <c r="F502" s="18"/>
      <c r="G502" s="13"/>
      <c r="H502" s="29">
        <v>44302</v>
      </c>
      <c r="I502" s="13" t="s">
        <v>716</v>
      </c>
      <c r="J502" s="13"/>
      <c r="K502" s="13" t="s">
        <v>318</v>
      </c>
      <c r="L502" s="13"/>
      <c r="M502" s="13"/>
      <c r="N502" s="13"/>
      <c r="O502" s="13"/>
      <c r="P502" s="13"/>
      <c r="Q502" s="13"/>
      <c r="R502" s="13"/>
      <c r="S502" s="13" t="s">
        <v>1187</v>
      </c>
      <c r="T502" s="13"/>
      <c r="U502" s="13"/>
    </row>
    <row r="503" spans="1:23" x14ac:dyDescent="0.25">
      <c r="A503" s="16" t="s">
        <v>363</v>
      </c>
      <c r="B503" s="13" t="s">
        <v>13</v>
      </c>
      <c r="C503" s="16" t="s">
        <v>585</v>
      </c>
      <c r="D503" s="29">
        <v>44295</v>
      </c>
      <c r="E503" s="18" t="s">
        <v>23</v>
      </c>
      <c r="F503" s="18"/>
      <c r="G503" s="13"/>
      <c r="H503" s="29">
        <v>44302</v>
      </c>
      <c r="I503" s="13" t="s">
        <v>717</v>
      </c>
      <c r="J503" s="13"/>
      <c r="K503" s="13" t="s">
        <v>318</v>
      </c>
      <c r="L503" s="13"/>
      <c r="M503" s="13"/>
      <c r="N503" s="13"/>
      <c r="O503" s="13"/>
      <c r="P503" s="13"/>
      <c r="Q503" s="13"/>
      <c r="R503" s="13"/>
      <c r="S503" s="13" t="s">
        <v>1187</v>
      </c>
      <c r="T503" s="13"/>
      <c r="U503" s="13"/>
    </row>
    <row r="504" spans="1:23" ht="45.75" x14ac:dyDescent="0.25">
      <c r="A504" s="16" t="s">
        <v>365</v>
      </c>
      <c r="B504" s="13" t="s">
        <v>34</v>
      </c>
      <c r="C504" s="16" t="s">
        <v>861</v>
      </c>
      <c r="D504" s="29">
        <v>44298</v>
      </c>
      <c r="E504" s="18" t="s">
        <v>23</v>
      </c>
      <c r="F504" s="18"/>
      <c r="G504" s="13" t="s">
        <v>1188</v>
      </c>
      <c r="H504" s="29">
        <v>44302</v>
      </c>
      <c r="I504" s="74" t="s">
        <v>1343</v>
      </c>
      <c r="J504" s="13"/>
      <c r="K504" s="13"/>
      <c r="L504" s="13"/>
      <c r="M504" s="13"/>
      <c r="N504" s="13"/>
      <c r="O504" s="13"/>
      <c r="P504" s="13"/>
      <c r="Q504" s="13"/>
      <c r="R504" s="13"/>
      <c r="S504" s="13">
        <v>26100</v>
      </c>
      <c r="T504" s="13"/>
      <c r="U504" s="13"/>
    </row>
    <row r="505" spans="1:23" x14ac:dyDescent="0.25">
      <c r="A505" s="16" t="s">
        <v>1191</v>
      </c>
      <c r="B505" s="13" t="s">
        <v>34</v>
      </c>
      <c r="C505" s="16" t="s">
        <v>16</v>
      </c>
      <c r="D505" s="29">
        <v>44299</v>
      </c>
      <c r="E505" s="18" t="s">
        <v>23</v>
      </c>
      <c r="F505" s="18"/>
      <c r="G505" s="13" t="s">
        <v>1415</v>
      </c>
      <c r="H505" s="29"/>
      <c r="I505" s="13" t="s">
        <v>862</v>
      </c>
      <c r="J505" s="13">
        <v>1170</v>
      </c>
      <c r="K505" s="13" t="s">
        <v>550</v>
      </c>
      <c r="L505" s="13">
        <v>0.29970000000000002</v>
      </c>
      <c r="M505" s="13">
        <v>1.6739999999999999</v>
      </c>
      <c r="N505" s="13">
        <v>350.649</v>
      </c>
      <c r="O505" s="13">
        <v>1958.58</v>
      </c>
      <c r="P505" s="13">
        <v>45.58</v>
      </c>
      <c r="Q505" s="13">
        <v>86.31</v>
      </c>
      <c r="R505" s="13">
        <v>288</v>
      </c>
      <c r="S505" s="13">
        <v>100986.91</v>
      </c>
      <c r="T505" s="13" t="s">
        <v>1487</v>
      </c>
      <c r="U505" s="63"/>
      <c r="V505" s="13"/>
      <c r="W505" s="13"/>
    </row>
    <row r="506" spans="1:23" s="25" customFormat="1" x14ac:dyDescent="0.25">
      <c r="A506" s="20">
        <v>173</v>
      </c>
      <c r="B506" s="21" t="s">
        <v>13</v>
      </c>
      <c r="C506" s="22" t="s">
        <v>1192</v>
      </c>
      <c r="D506" s="17">
        <v>44299</v>
      </c>
      <c r="E506" s="23" t="s">
        <v>23</v>
      </c>
      <c r="F506" s="23"/>
      <c r="G506" s="21"/>
      <c r="H506" s="24">
        <v>44383</v>
      </c>
      <c r="I506" s="21" t="s">
        <v>1193</v>
      </c>
      <c r="J506" s="21">
        <v>24</v>
      </c>
      <c r="K506" s="21" t="s">
        <v>558</v>
      </c>
      <c r="L506" s="21">
        <v>0.34</v>
      </c>
      <c r="M506" s="21">
        <v>3.024</v>
      </c>
      <c r="N506" s="21">
        <v>8.16</v>
      </c>
      <c r="O506" s="21">
        <v>72.575999999999993</v>
      </c>
      <c r="P506" s="21">
        <v>1.06</v>
      </c>
      <c r="Q506" s="21">
        <v>291.67</v>
      </c>
      <c r="R506" s="21">
        <v>857.84</v>
      </c>
      <c r="S506" s="21">
        <v>7000</v>
      </c>
      <c r="T506" s="21"/>
      <c r="U506" s="21"/>
    </row>
    <row r="507" spans="1:23" s="25" customFormat="1" x14ac:dyDescent="0.25">
      <c r="A507" s="20" t="s">
        <v>509</v>
      </c>
      <c r="B507" s="21" t="s">
        <v>13</v>
      </c>
      <c r="C507" s="22" t="s">
        <v>585</v>
      </c>
      <c r="D507" s="17">
        <v>44343</v>
      </c>
      <c r="E507" s="23" t="s">
        <v>23</v>
      </c>
      <c r="F507" s="23"/>
      <c r="G507" s="21"/>
      <c r="H507" s="24"/>
      <c r="I507" s="21" t="s">
        <v>206</v>
      </c>
      <c r="J507" s="21"/>
      <c r="K507" s="21" t="s">
        <v>1439</v>
      </c>
      <c r="L507" s="21"/>
      <c r="M507" s="21"/>
      <c r="N507" s="21"/>
      <c r="O507" s="21"/>
      <c r="P507" s="21"/>
      <c r="Q507" s="21"/>
      <c r="R507" s="21"/>
      <c r="S507" s="21">
        <v>51500</v>
      </c>
      <c r="T507" s="21"/>
      <c r="U507" s="21"/>
    </row>
    <row r="508" spans="1:23" x14ac:dyDescent="0.25">
      <c r="A508" s="16" t="s">
        <v>366</v>
      </c>
      <c r="B508" s="13" t="s">
        <v>13</v>
      </c>
      <c r="C508" s="16" t="s">
        <v>43</v>
      </c>
      <c r="D508" s="29">
        <v>44299</v>
      </c>
      <c r="E508" s="18" t="s">
        <v>23</v>
      </c>
      <c r="F508" s="18"/>
      <c r="G508" s="13"/>
      <c r="H508" s="29">
        <v>44306</v>
      </c>
      <c r="I508" s="13" t="s">
        <v>1196</v>
      </c>
      <c r="J508" s="13" t="s">
        <v>1198</v>
      </c>
      <c r="K508" s="13"/>
      <c r="L508" s="13"/>
      <c r="M508" s="13"/>
      <c r="N508" s="13"/>
      <c r="O508" s="13"/>
      <c r="P508" s="13"/>
      <c r="Q508" s="13" t="s">
        <v>1200</v>
      </c>
      <c r="R508" s="13"/>
      <c r="S508" s="13" t="s">
        <v>1201</v>
      </c>
      <c r="T508" s="13"/>
      <c r="U508" s="13"/>
    </row>
    <row r="509" spans="1:23" x14ac:dyDescent="0.25">
      <c r="A509" s="16" t="s">
        <v>366</v>
      </c>
      <c r="B509" s="13" t="s">
        <v>13</v>
      </c>
      <c r="C509" s="16" t="s">
        <v>43</v>
      </c>
      <c r="D509" s="29">
        <v>44299</v>
      </c>
      <c r="E509" s="18" t="s">
        <v>23</v>
      </c>
      <c r="F509" s="18"/>
      <c r="G509" s="13" t="s">
        <v>1324</v>
      </c>
      <c r="H509" s="29">
        <v>44306</v>
      </c>
      <c r="I509" s="13" t="s">
        <v>545</v>
      </c>
      <c r="J509" s="13" t="s">
        <v>277</v>
      </c>
      <c r="K509" s="13"/>
      <c r="L509" s="13"/>
      <c r="M509" s="13"/>
      <c r="N509" s="13"/>
      <c r="O509" s="13"/>
      <c r="P509" s="13"/>
      <c r="Q509" s="13" t="s">
        <v>1202</v>
      </c>
      <c r="R509" s="13"/>
      <c r="S509" s="13" t="s">
        <v>1203</v>
      </c>
      <c r="T509" s="13"/>
      <c r="U509" s="13"/>
    </row>
    <row r="510" spans="1:23" x14ac:dyDescent="0.25">
      <c r="A510" s="16" t="s">
        <v>366</v>
      </c>
      <c r="B510" s="13" t="s">
        <v>13</v>
      </c>
      <c r="C510" s="16" t="s">
        <v>43</v>
      </c>
      <c r="D510" s="29">
        <v>44299</v>
      </c>
      <c r="E510" s="18" t="s">
        <v>23</v>
      </c>
      <c r="F510" s="18"/>
      <c r="G510" s="13"/>
      <c r="H510" s="29">
        <v>44306</v>
      </c>
      <c r="I510" s="13" t="s">
        <v>1197</v>
      </c>
      <c r="J510" s="13" t="s">
        <v>1199</v>
      </c>
      <c r="K510" s="13"/>
      <c r="L510" s="13"/>
      <c r="M510" s="13"/>
      <c r="N510" s="13"/>
      <c r="O510" s="13"/>
      <c r="P510" s="13"/>
      <c r="Q510" s="13" t="s">
        <v>1204</v>
      </c>
      <c r="R510" s="13"/>
      <c r="S510" s="13" t="s">
        <v>1205</v>
      </c>
      <c r="T510" s="13"/>
      <c r="U510" s="13"/>
    </row>
    <row r="511" spans="1:23" s="25" customFormat="1" x14ac:dyDescent="0.25">
      <c r="A511" s="22">
        <v>176</v>
      </c>
      <c r="B511" s="21" t="s">
        <v>13</v>
      </c>
      <c r="C511" s="22" t="s">
        <v>292</v>
      </c>
      <c r="D511" s="17">
        <v>44301</v>
      </c>
      <c r="E511" s="23" t="s">
        <v>23</v>
      </c>
      <c r="F511" s="23"/>
      <c r="G511" s="21" t="s">
        <v>1387</v>
      </c>
      <c r="H511" s="17">
        <v>44308</v>
      </c>
      <c r="I511" s="21" t="s">
        <v>291</v>
      </c>
      <c r="J511" s="21">
        <v>1549.8</v>
      </c>
      <c r="K511" s="21" t="s">
        <v>1206</v>
      </c>
      <c r="L511" s="21">
        <v>0.3266</v>
      </c>
      <c r="M511" s="21">
        <v>0.84099999999999997</v>
      </c>
      <c r="N511" s="21">
        <v>506.16469999999998</v>
      </c>
      <c r="O511" s="21">
        <v>1303.3818000000001</v>
      </c>
      <c r="P511" s="21">
        <v>65.8</v>
      </c>
      <c r="Q511" s="21">
        <v>94.06</v>
      </c>
      <c r="R511" s="21">
        <v>288</v>
      </c>
      <c r="S511" s="21">
        <v>145775.43</v>
      </c>
      <c r="T511" s="21"/>
      <c r="U511" s="21"/>
    </row>
    <row r="512" spans="1:23" x14ac:dyDescent="0.25">
      <c r="A512" s="16" t="s">
        <v>1211</v>
      </c>
      <c r="B512" s="13" t="s">
        <v>13</v>
      </c>
      <c r="C512" s="16" t="s">
        <v>1216</v>
      </c>
      <c r="D512" s="29">
        <v>44299</v>
      </c>
      <c r="E512" s="18" t="s">
        <v>677</v>
      </c>
      <c r="F512" s="18"/>
      <c r="G512" s="13"/>
      <c r="H512" s="29"/>
      <c r="I512" s="13" t="s">
        <v>1208</v>
      </c>
      <c r="J512" s="13" t="s">
        <v>1210</v>
      </c>
      <c r="K512" s="13"/>
      <c r="L512" s="13"/>
      <c r="M512" s="13"/>
      <c r="N512" s="13"/>
      <c r="O512" s="13"/>
      <c r="P512" s="13"/>
      <c r="Q512" s="13"/>
      <c r="R512" s="13"/>
      <c r="S512" s="13" t="s">
        <v>1212</v>
      </c>
      <c r="T512" s="13"/>
      <c r="U512" s="13"/>
    </row>
    <row r="513" spans="1:21" x14ac:dyDescent="0.25">
      <c r="A513" s="16" t="s">
        <v>1211</v>
      </c>
      <c r="B513" s="13" t="s">
        <v>13</v>
      </c>
      <c r="C513" s="16" t="s">
        <v>1216</v>
      </c>
      <c r="D513" s="29">
        <v>44299</v>
      </c>
      <c r="E513" s="18" t="s">
        <v>677</v>
      </c>
      <c r="F513" s="18"/>
      <c r="G513" s="13"/>
      <c r="H513" s="29"/>
      <c r="I513" s="13" t="s">
        <v>1209</v>
      </c>
      <c r="J513" s="13" t="s">
        <v>490</v>
      </c>
      <c r="K513" s="13"/>
      <c r="L513" s="13"/>
      <c r="M513" s="13"/>
      <c r="N513" s="13"/>
      <c r="O513" s="13"/>
      <c r="P513" s="13"/>
      <c r="Q513" s="13"/>
      <c r="R513" s="13"/>
      <c r="S513" s="13" t="s">
        <v>1213</v>
      </c>
      <c r="T513" s="13"/>
      <c r="U513" s="13"/>
    </row>
    <row r="514" spans="1:21" x14ac:dyDescent="0.25">
      <c r="A514" s="16" t="s">
        <v>1211</v>
      </c>
      <c r="B514" s="13" t="s">
        <v>13</v>
      </c>
      <c r="C514" s="16" t="s">
        <v>1216</v>
      </c>
      <c r="D514" s="29">
        <v>44299</v>
      </c>
      <c r="E514" s="18" t="s">
        <v>677</v>
      </c>
      <c r="F514" s="18"/>
      <c r="G514" s="13"/>
      <c r="H514" s="29"/>
      <c r="I514" s="13" t="s">
        <v>1214</v>
      </c>
      <c r="J514" s="13" t="s">
        <v>1215</v>
      </c>
      <c r="K514" s="13"/>
      <c r="L514" s="13"/>
      <c r="M514" s="13"/>
      <c r="N514" s="13"/>
      <c r="O514" s="13"/>
      <c r="P514" s="13"/>
      <c r="Q514" s="13"/>
      <c r="R514" s="13"/>
      <c r="S514" s="13">
        <v>18000</v>
      </c>
      <c r="T514" s="13"/>
      <c r="U514" s="13"/>
    </row>
    <row r="515" spans="1:21" x14ac:dyDescent="0.25">
      <c r="A515" s="16">
        <v>177</v>
      </c>
      <c r="B515" s="13" t="s">
        <v>13</v>
      </c>
      <c r="C515" s="16" t="s">
        <v>557</v>
      </c>
      <c r="D515" s="29">
        <v>44300</v>
      </c>
      <c r="E515" s="18" t="s">
        <v>23</v>
      </c>
      <c r="F515" s="18"/>
      <c r="G515" s="13"/>
      <c r="H515" s="29">
        <v>44307</v>
      </c>
      <c r="I515" s="13" t="s">
        <v>681</v>
      </c>
      <c r="J515" s="13">
        <v>150.4</v>
      </c>
      <c r="K515" s="13">
        <v>32</v>
      </c>
      <c r="L515" s="13">
        <v>0.34789999999999999</v>
      </c>
      <c r="M515" s="13">
        <v>1.643</v>
      </c>
      <c r="N515" s="13">
        <v>52.324199999999998</v>
      </c>
      <c r="O515" s="13">
        <v>247.10720000000001</v>
      </c>
      <c r="P515" s="13">
        <v>6.8</v>
      </c>
      <c r="Q515" s="13">
        <v>71.319999999999993</v>
      </c>
      <c r="R515" s="13">
        <v>205</v>
      </c>
      <c r="S515" s="13">
        <v>10726.45</v>
      </c>
      <c r="T515" s="13"/>
      <c r="U515" s="13"/>
    </row>
    <row r="516" spans="1:21" s="25" customFormat="1" x14ac:dyDescent="0.25">
      <c r="A516" s="22">
        <v>178</v>
      </c>
      <c r="B516" s="21" t="s">
        <v>13</v>
      </c>
      <c r="C516" s="22" t="s">
        <v>657</v>
      </c>
      <c r="D516" s="17">
        <v>44300</v>
      </c>
      <c r="E516" s="23" t="s">
        <v>23</v>
      </c>
      <c r="F516" s="23"/>
      <c r="G516" s="21"/>
      <c r="H516" s="17">
        <v>44307</v>
      </c>
      <c r="I516" s="21" t="s">
        <v>1181</v>
      </c>
      <c r="J516" s="21">
        <v>1115.0999999999999</v>
      </c>
      <c r="K516" s="21" t="s">
        <v>666</v>
      </c>
      <c r="L516" s="21">
        <v>0.1724</v>
      </c>
      <c r="M516" s="21">
        <v>0.41499999999999998</v>
      </c>
      <c r="N516" s="21">
        <v>192.2432</v>
      </c>
      <c r="O516" s="21">
        <v>462.76650000000001</v>
      </c>
      <c r="P516" s="21">
        <v>24.99</v>
      </c>
      <c r="Q516" s="21">
        <v>45.34</v>
      </c>
      <c r="R516" s="21">
        <v>263</v>
      </c>
      <c r="S516" s="21">
        <v>50559.97</v>
      </c>
      <c r="T516" s="21"/>
      <c r="U516" s="21"/>
    </row>
    <row r="517" spans="1:21" s="25" customFormat="1" x14ac:dyDescent="0.25">
      <c r="A517" s="22">
        <v>178</v>
      </c>
      <c r="B517" s="21" t="s">
        <v>13</v>
      </c>
      <c r="C517" s="22" t="s">
        <v>657</v>
      </c>
      <c r="D517" s="17">
        <v>44300</v>
      </c>
      <c r="E517" s="23" t="s">
        <v>23</v>
      </c>
      <c r="F517" s="23"/>
      <c r="G517" s="21"/>
      <c r="H517" s="17">
        <v>44307</v>
      </c>
      <c r="I517" s="21" t="s">
        <v>1217</v>
      </c>
      <c r="J517" s="21">
        <v>1739.1</v>
      </c>
      <c r="K517" s="21" t="s">
        <v>44</v>
      </c>
      <c r="L517" s="21">
        <v>0.1149</v>
      </c>
      <c r="M517" s="21">
        <v>0.3</v>
      </c>
      <c r="N517" s="21">
        <v>199.82259999999999</v>
      </c>
      <c r="O517" s="21">
        <v>521.73</v>
      </c>
      <c r="P517" s="21">
        <v>25.98</v>
      </c>
      <c r="Q517" s="21">
        <v>30.22</v>
      </c>
      <c r="R517" s="21">
        <v>263</v>
      </c>
      <c r="S517" s="21">
        <v>52553.34</v>
      </c>
      <c r="T517" s="21"/>
      <c r="U517" s="21"/>
    </row>
    <row r="518" spans="1:21" x14ac:dyDescent="0.25">
      <c r="A518" s="16">
        <v>179</v>
      </c>
      <c r="B518" s="13" t="s">
        <v>13</v>
      </c>
      <c r="C518" s="16" t="s">
        <v>32</v>
      </c>
      <c r="D518" s="29">
        <v>44300</v>
      </c>
      <c r="E518" s="18" t="s">
        <v>23</v>
      </c>
      <c r="F518" s="18"/>
      <c r="G518" s="13"/>
      <c r="H518" s="29">
        <v>44307</v>
      </c>
      <c r="I518" s="13" t="s">
        <v>1218</v>
      </c>
      <c r="J518" s="13">
        <v>31.8</v>
      </c>
      <c r="K518" s="13" t="s">
        <v>457</v>
      </c>
      <c r="L518" s="13">
        <v>0.2651</v>
      </c>
      <c r="M518" s="13">
        <v>0.82099999999999995</v>
      </c>
      <c r="N518" s="13">
        <v>8.4301999999999992</v>
      </c>
      <c r="O518" s="13">
        <v>26.107800000000001</v>
      </c>
      <c r="P518" s="13">
        <v>1.1000000000000001</v>
      </c>
      <c r="Q518" s="13">
        <v>188.68</v>
      </c>
      <c r="R518" s="13">
        <v>711.73</v>
      </c>
      <c r="S518" s="13">
        <v>6000</v>
      </c>
      <c r="T518" s="13"/>
      <c r="U518" s="13"/>
    </row>
    <row r="519" spans="1:21" s="25" customFormat="1" x14ac:dyDescent="0.25">
      <c r="A519" s="22" t="s">
        <v>368</v>
      </c>
      <c r="B519" s="21" t="s">
        <v>13</v>
      </c>
      <c r="C519" s="22" t="s">
        <v>548</v>
      </c>
      <c r="D519" s="17">
        <v>44301</v>
      </c>
      <c r="E519" s="23" t="s">
        <v>23</v>
      </c>
      <c r="F519" s="23"/>
      <c r="G519" s="21"/>
      <c r="H519" s="17">
        <v>44308</v>
      </c>
      <c r="I519" s="21" t="s">
        <v>1221</v>
      </c>
      <c r="J519" s="21" t="s">
        <v>1267</v>
      </c>
      <c r="K519" s="21"/>
      <c r="L519" s="21"/>
      <c r="M519" s="21"/>
      <c r="N519" s="21"/>
      <c r="O519" s="21"/>
      <c r="P519" s="21"/>
      <c r="Q519" s="21" t="s">
        <v>1228</v>
      </c>
      <c r="R519" s="21"/>
      <c r="S519" s="21" t="s">
        <v>1270</v>
      </c>
      <c r="T519" s="21"/>
      <c r="U519" s="21"/>
    </row>
    <row r="520" spans="1:21" s="25" customFormat="1" x14ac:dyDescent="0.25">
      <c r="A520" s="22" t="s">
        <v>368</v>
      </c>
      <c r="B520" s="21" t="s">
        <v>13</v>
      </c>
      <c r="C520" s="22" t="s">
        <v>548</v>
      </c>
      <c r="D520" s="17">
        <v>44301</v>
      </c>
      <c r="E520" s="23" t="s">
        <v>23</v>
      </c>
      <c r="F520" s="23"/>
      <c r="G520" s="21"/>
      <c r="H520" s="17">
        <v>44308</v>
      </c>
      <c r="I520" s="21" t="s">
        <v>1222</v>
      </c>
      <c r="J520" s="21" t="s">
        <v>834</v>
      </c>
      <c r="K520" s="21"/>
      <c r="L520" s="21"/>
      <c r="M520" s="21"/>
      <c r="N520" s="21"/>
      <c r="O520" s="21"/>
      <c r="P520" s="21"/>
      <c r="Q520" s="21" t="s">
        <v>1229</v>
      </c>
      <c r="R520" s="21"/>
      <c r="S520" s="21" t="s">
        <v>1271</v>
      </c>
      <c r="T520" s="21"/>
      <c r="U520" s="21"/>
    </row>
    <row r="521" spans="1:21" s="25" customFormat="1" x14ac:dyDescent="0.25">
      <c r="A521" s="22" t="s">
        <v>368</v>
      </c>
      <c r="B521" s="21" t="s">
        <v>13</v>
      </c>
      <c r="C521" s="22" t="s">
        <v>548</v>
      </c>
      <c r="D521" s="17">
        <v>44301</v>
      </c>
      <c r="E521" s="23" t="s">
        <v>23</v>
      </c>
      <c r="F521" s="23"/>
      <c r="G521" s="21"/>
      <c r="H521" s="17">
        <v>44308</v>
      </c>
      <c r="I521" s="21" t="s">
        <v>1223</v>
      </c>
      <c r="J521" s="21" t="s">
        <v>70</v>
      </c>
      <c r="K521" s="21"/>
      <c r="L521" s="21"/>
      <c r="M521" s="21"/>
      <c r="N521" s="21"/>
      <c r="O521" s="21"/>
      <c r="P521" s="21"/>
      <c r="Q521" s="21" t="s">
        <v>1230</v>
      </c>
      <c r="R521" s="21"/>
      <c r="S521" s="21" t="s">
        <v>1272</v>
      </c>
      <c r="T521" s="21"/>
      <c r="U521" s="21"/>
    </row>
    <row r="522" spans="1:21" x14ac:dyDescent="0.25">
      <c r="A522" s="16" t="s">
        <v>368</v>
      </c>
      <c r="B522" s="13" t="s">
        <v>13</v>
      </c>
      <c r="C522" s="16" t="s">
        <v>548</v>
      </c>
      <c r="D522" s="29">
        <v>44301</v>
      </c>
      <c r="E522" s="18" t="s">
        <v>23</v>
      </c>
      <c r="F522" s="18"/>
      <c r="G522" s="13" t="s">
        <v>1384</v>
      </c>
      <c r="H522" s="29">
        <v>44308</v>
      </c>
      <c r="I522" s="13" t="s">
        <v>1224</v>
      </c>
      <c r="J522" s="13" t="s">
        <v>1268</v>
      </c>
      <c r="K522" s="13"/>
      <c r="L522" s="13"/>
      <c r="M522" s="13"/>
      <c r="N522" s="13"/>
      <c r="O522" s="13"/>
      <c r="P522" s="13"/>
      <c r="Q522" s="13" t="s">
        <v>1231</v>
      </c>
      <c r="R522" s="13"/>
      <c r="S522" s="13" t="s">
        <v>1273</v>
      </c>
      <c r="T522" s="13"/>
      <c r="U522" s="13"/>
    </row>
    <row r="523" spans="1:21" x14ac:dyDescent="0.25">
      <c r="A523" s="15" t="s">
        <v>368</v>
      </c>
      <c r="B523" s="13" t="s">
        <v>13</v>
      </c>
      <c r="C523" s="16" t="s">
        <v>548</v>
      </c>
      <c r="D523" s="29">
        <v>44301</v>
      </c>
      <c r="E523" s="18" t="s">
        <v>23</v>
      </c>
      <c r="F523" s="18"/>
      <c r="G523" s="13"/>
      <c r="H523" s="19">
        <v>44354</v>
      </c>
      <c r="I523" s="13" t="s">
        <v>1225</v>
      </c>
      <c r="J523" s="13">
        <v>300</v>
      </c>
      <c r="K523" s="13">
        <f>J523/6</f>
        <v>50</v>
      </c>
      <c r="L523" s="13"/>
      <c r="M523" s="13"/>
      <c r="N523" s="13"/>
      <c r="O523" s="13"/>
      <c r="P523" s="13"/>
      <c r="Q523" s="13" t="s">
        <v>1232</v>
      </c>
      <c r="R523" s="13"/>
      <c r="S523" s="13" t="s">
        <v>1274</v>
      </c>
      <c r="T523" s="13"/>
      <c r="U523" s="13"/>
    </row>
    <row r="524" spans="1:21" x14ac:dyDescent="0.25">
      <c r="A524" s="16" t="s">
        <v>368</v>
      </c>
      <c r="B524" s="13" t="s">
        <v>13</v>
      </c>
      <c r="C524" s="16" t="s">
        <v>548</v>
      </c>
      <c r="D524" s="29">
        <v>44301</v>
      </c>
      <c r="E524" s="18" t="s">
        <v>23</v>
      </c>
      <c r="F524" s="18"/>
      <c r="G524" s="13"/>
      <c r="H524" s="29">
        <v>44308</v>
      </c>
      <c r="I524" s="13" t="s">
        <v>1226</v>
      </c>
      <c r="J524" s="13" t="s">
        <v>1227</v>
      </c>
      <c r="K524" s="13"/>
      <c r="L524" s="13"/>
      <c r="M524" s="13"/>
      <c r="N524" s="13"/>
      <c r="O524" s="13"/>
      <c r="P524" s="13"/>
      <c r="Q524" s="13" t="s">
        <v>1233</v>
      </c>
      <c r="R524" s="13"/>
      <c r="S524" s="13" t="s">
        <v>1234</v>
      </c>
      <c r="T524" s="13"/>
      <c r="U524" s="13"/>
    </row>
    <row r="525" spans="1:21" x14ac:dyDescent="0.25">
      <c r="A525" s="75" t="s">
        <v>368</v>
      </c>
      <c r="B525" s="13" t="s">
        <v>13</v>
      </c>
      <c r="C525" s="16" t="s">
        <v>548</v>
      </c>
      <c r="D525" s="29">
        <v>44301</v>
      </c>
      <c r="E525" s="18" t="s">
        <v>23</v>
      </c>
      <c r="F525" s="18"/>
      <c r="G525" s="13" t="s">
        <v>1458</v>
      </c>
      <c r="H525" s="76">
        <v>44348</v>
      </c>
      <c r="I525" s="13" t="s">
        <v>773</v>
      </c>
      <c r="J525" s="13">
        <v>24415</v>
      </c>
      <c r="K525" s="13">
        <f>J525/5</f>
        <v>4883</v>
      </c>
      <c r="L525" s="13"/>
      <c r="M525" s="13"/>
      <c r="N525" s="13"/>
      <c r="O525" s="13"/>
      <c r="P525" s="13"/>
      <c r="Q525" s="13" t="s">
        <v>779</v>
      </c>
      <c r="R525" s="13"/>
      <c r="S525" s="13" t="s">
        <v>1275</v>
      </c>
      <c r="T525" s="13"/>
      <c r="U525" s="13"/>
    </row>
    <row r="526" spans="1:21" x14ac:dyDescent="0.25">
      <c r="A526" s="75" t="s">
        <v>368</v>
      </c>
      <c r="B526" s="13" t="s">
        <v>13</v>
      </c>
      <c r="C526" s="16" t="s">
        <v>548</v>
      </c>
      <c r="D526" s="29">
        <v>44301</v>
      </c>
      <c r="E526" s="18" t="s">
        <v>23</v>
      </c>
      <c r="F526" s="18"/>
      <c r="G526" s="96" t="s">
        <v>1597</v>
      </c>
      <c r="H526" s="76">
        <v>44348</v>
      </c>
      <c r="I526" s="13" t="s">
        <v>1075</v>
      </c>
      <c r="J526" s="13">
        <v>35990</v>
      </c>
      <c r="K526" s="13">
        <f>J526/5</f>
        <v>7198</v>
      </c>
      <c r="L526" s="13"/>
      <c r="M526" s="13"/>
      <c r="N526" s="13"/>
      <c r="O526" s="13"/>
      <c r="P526" s="13"/>
      <c r="Q526" s="13" t="s">
        <v>1085</v>
      </c>
      <c r="R526" s="13"/>
      <c r="S526" s="13" t="s">
        <v>1235</v>
      </c>
      <c r="T526" s="13"/>
      <c r="U526" s="13"/>
    </row>
    <row r="527" spans="1:21" x14ac:dyDescent="0.25">
      <c r="A527" s="15" t="s">
        <v>368</v>
      </c>
      <c r="B527" s="13" t="s">
        <v>13</v>
      </c>
      <c r="C527" s="16" t="s">
        <v>548</v>
      </c>
      <c r="D527" s="29">
        <v>44301</v>
      </c>
      <c r="E527" s="18" t="s">
        <v>23</v>
      </c>
      <c r="F527" s="18"/>
      <c r="G527" s="13"/>
      <c r="H527" s="19">
        <v>44354</v>
      </c>
      <c r="I527" s="13" t="s">
        <v>1266</v>
      </c>
      <c r="J527" s="13">
        <v>216</v>
      </c>
      <c r="K527" s="13"/>
      <c r="L527" s="13"/>
      <c r="M527" s="13"/>
      <c r="N527" s="13"/>
      <c r="O527" s="13"/>
      <c r="P527" s="13"/>
      <c r="Q527" s="13" t="s">
        <v>605</v>
      </c>
      <c r="R527" s="13"/>
      <c r="S527" s="13" t="s">
        <v>1276</v>
      </c>
      <c r="T527" s="13"/>
      <c r="U527" s="13"/>
    </row>
    <row r="528" spans="1:21" x14ac:dyDescent="0.25">
      <c r="A528" s="16" t="s">
        <v>368</v>
      </c>
      <c r="B528" s="13" t="s">
        <v>13</v>
      </c>
      <c r="C528" s="16" t="s">
        <v>548</v>
      </c>
      <c r="D528" s="29">
        <v>44301</v>
      </c>
      <c r="E528" s="18" t="s">
        <v>23</v>
      </c>
      <c r="F528" s="18"/>
      <c r="G528" s="13"/>
      <c r="H528" s="29">
        <v>44308</v>
      </c>
      <c r="I528" s="13" t="s">
        <v>821</v>
      </c>
      <c r="J528" s="13" t="s">
        <v>1269</v>
      </c>
      <c r="K528" s="13"/>
      <c r="L528" s="13"/>
      <c r="M528" s="13"/>
      <c r="N528" s="13"/>
      <c r="O528" s="13"/>
      <c r="P528" s="13"/>
      <c r="Q528" s="13" t="s">
        <v>958</v>
      </c>
      <c r="R528" s="13"/>
      <c r="S528" s="13" t="s">
        <v>1277</v>
      </c>
      <c r="T528" s="13"/>
      <c r="U528" s="13"/>
    </row>
    <row r="529" spans="1:23" x14ac:dyDescent="0.25">
      <c r="A529" s="16" t="s">
        <v>372</v>
      </c>
      <c r="B529" s="13" t="s">
        <v>13</v>
      </c>
      <c r="C529" s="16" t="s">
        <v>583</v>
      </c>
      <c r="D529" s="29">
        <v>44301</v>
      </c>
      <c r="E529" s="18" t="s">
        <v>23</v>
      </c>
      <c r="F529" s="18"/>
      <c r="G529" s="13"/>
      <c r="H529" s="29">
        <v>44308</v>
      </c>
      <c r="I529" s="13" t="s">
        <v>89</v>
      </c>
      <c r="J529" s="13"/>
      <c r="K529" s="13" t="s">
        <v>90</v>
      </c>
      <c r="L529" s="13"/>
      <c r="M529" s="13"/>
      <c r="N529" s="13"/>
      <c r="O529" s="13"/>
      <c r="P529" s="13"/>
      <c r="Q529" s="13"/>
      <c r="R529" s="13"/>
      <c r="S529" s="13" t="s">
        <v>91</v>
      </c>
      <c r="T529" s="13"/>
      <c r="U529" s="13"/>
    </row>
    <row r="530" spans="1:23" x14ac:dyDescent="0.25">
      <c r="A530" s="16" t="s">
        <v>380</v>
      </c>
      <c r="B530" s="13" t="s">
        <v>13</v>
      </c>
      <c r="C530" s="16" t="s">
        <v>1175</v>
      </c>
      <c r="D530" s="29">
        <v>44302</v>
      </c>
      <c r="E530" s="18" t="s">
        <v>23</v>
      </c>
      <c r="F530" s="18"/>
      <c r="G530" s="13"/>
      <c r="H530" s="29">
        <v>44309</v>
      </c>
      <c r="I530" s="13" t="s">
        <v>290</v>
      </c>
      <c r="J530" s="13"/>
      <c r="K530" s="13">
        <v>1</v>
      </c>
      <c r="L530" s="13"/>
      <c r="M530" s="13"/>
      <c r="N530" s="13"/>
      <c r="O530" s="13"/>
      <c r="P530" s="13"/>
      <c r="Q530" s="13"/>
      <c r="R530" s="13"/>
      <c r="S530" s="13">
        <v>3150</v>
      </c>
      <c r="T530" s="13"/>
      <c r="U530" s="13"/>
    </row>
    <row r="531" spans="1:23" s="25" customFormat="1" x14ac:dyDescent="0.25">
      <c r="A531" s="22" t="s">
        <v>373</v>
      </c>
      <c r="B531" s="21" t="s">
        <v>13</v>
      </c>
      <c r="C531" s="22" t="s">
        <v>458</v>
      </c>
      <c r="D531" s="17">
        <v>44301</v>
      </c>
      <c r="E531" s="23" t="s">
        <v>23</v>
      </c>
      <c r="F531" s="23"/>
      <c r="G531" s="21" t="s">
        <v>1334</v>
      </c>
      <c r="H531" s="17">
        <v>44308</v>
      </c>
      <c r="I531" s="21" t="s">
        <v>555</v>
      </c>
      <c r="J531" s="21" t="s">
        <v>1236</v>
      </c>
      <c r="K531" s="21"/>
      <c r="L531" s="21"/>
      <c r="M531" s="21"/>
      <c r="N531" s="21"/>
      <c r="O531" s="21"/>
      <c r="P531" s="21"/>
      <c r="Q531" s="21"/>
      <c r="R531" s="21"/>
      <c r="S531" s="21" t="s">
        <v>1237</v>
      </c>
      <c r="T531" s="21"/>
      <c r="U531" s="21"/>
    </row>
    <row r="532" spans="1:23" s="71" customFormat="1" x14ac:dyDescent="0.25">
      <c r="A532" s="67">
        <v>181</v>
      </c>
      <c r="B532" s="68" t="s">
        <v>13</v>
      </c>
      <c r="C532" s="67" t="s">
        <v>292</v>
      </c>
      <c r="D532" s="69">
        <v>44305</v>
      </c>
      <c r="E532" s="70" t="s">
        <v>677</v>
      </c>
      <c r="F532" s="70"/>
      <c r="G532" s="68" t="s">
        <v>1385</v>
      </c>
      <c r="H532" s="69">
        <v>44312</v>
      </c>
      <c r="I532" s="68" t="s">
        <v>291</v>
      </c>
      <c r="J532" s="68">
        <v>142.80000000000001</v>
      </c>
      <c r="K532" s="68" t="s">
        <v>1239</v>
      </c>
      <c r="L532" s="68">
        <v>0.3266</v>
      </c>
      <c r="M532" s="68">
        <v>0.84099999999999997</v>
      </c>
      <c r="N532" s="68">
        <v>46.638500000000001</v>
      </c>
      <c r="O532" s="68">
        <v>120.09480000000001</v>
      </c>
      <c r="P532" s="68">
        <v>6.06</v>
      </c>
      <c r="Q532" s="68">
        <v>94.06</v>
      </c>
      <c r="R532" s="68">
        <v>288</v>
      </c>
      <c r="S532" s="68">
        <v>13431.88</v>
      </c>
      <c r="T532" s="68"/>
      <c r="U532" s="68"/>
    </row>
    <row r="533" spans="1:23" x14ac:dyDescent="0.25">
      <c r="A533" s="16" t="s">
        <v>385</v>
      </c>
      <c r="B533" s="13" t="s">
        <v>13</v>
      </c>
      <c r="C533" s="16" t="s">
        <v>15</v>
      </c>
      <c r="D533" s="29">
        <v>44305</v>
      </c>
      <c r="E533" s="18" t="s">
        <v>23</v>
      </c>
      <c r="F533" s="18"/>
      <c r="G533" s="13"/>
      <c r="H533" s="29">
        <v>44312</v>
      </c>
      <c r="I533" s="13" t="s">
        <v>89</v>
      </c>
      <c r="J533" s="13"/>
      <c r="K533" s="13">
        <v>48</v>
      </c>
      <c r="L533" s="13"/>
      <c r="M533" s="13"/>
      <c r="N533" s="13"/>
      <c r="O533" s="13"/>
      <c r="P533" s="13"/>
      <c r="Q533" s="13"/>
      <c r="R533" s="13"/>
      <c r="S533" s="13">
        <v>34992</v>
      </c>
      <c r="T533" s="13"/>
      <c r="U533" s="13"/>
    </row>
    <row r="534" spans="1:23" x14ac:dyDescent="0.25">
      <c r="A534" s="16" t="s">
        <v>2829</v>
      </c>
      <c r="B534" s="13" t="s">
        <v>34</v>
      </c>
      <c r="C534" s="16" t="s">
        <v>541</v>
      </c>
      <c r="D534" s="29">
        <v>44305</v>
      </c>
      <c r="E534" s="18" t="s">
        <v>23</v>
      </c>
      <c r="F534" s="18"/>
      <c r="G534" s="13" t="s">
        <v>1301</v>
      </c>
      <c r="H534" s="29">
        <v>44312</v>
      </c>
      <c r="I534" s="13" t="s">
        <v>1241</v>
      </c>
      <c r="J534" s="13">
        <v>3611.2</v>
      </c>
      <c r="K534" s="13"/>
      <c r="L534" s="13"/>
      <c r="M534" s="13"/>
      <c r="N534" s="13"/>
      <c r="O534" s="13"/>
      <c r="P534" s="13"/>
      <c r="Q534" s="13"/>
      <c r="R534" s="13"/>
      <c r="S534" s="13" t="s">
        <v>1264</v>
      </c>
      <c r="T534" s="13"/>
      <c r="U534" s="13"/>
    </row>
    <row r="535" spans="1:23" x14ac:dyDescent="0.25">
      <c r="A535" s="16">
        <v>182</v>
      </c>
      <c r="B535" s="13" t="s">
        <v>13</v>
      </c>
      <c r="C535" s="16" t="s">
        <v>32</v>
      </c>
      <c r="D535" s="29">
        <v>44305</v>
      </c>
      <c r="E535" s="18" t="s">
        <v>23</v>
      </c>
      <c r="F535" s="18"/>
      <c r="G535" s="13"/>
      <c r="H535" s="29">
        <v>44312</v>
      </c>
      <c r="I535" s="13" t="s">
        <v>602</v>
      </c>
      <c r="J535" s="13">
        <v>763.2</v>
      </c>
      <c r="K535" s="13" t="s">
        <v>465</v>
      </c>
      <c r="L535" s="13">
        <v>0.25659999999999999</v>
      </c>
      <c r="M535" s="13">
        <v>0.68899999999999995</v>
      </c>
      <c r="N535" s="13">
        <v>195.83709999999999</v>
      </c>
      <c r="O535" s="13">
        <v>525.84479999999996</v>
      </c>
      <c r="P535" s="13">
        <v>25.46</v>
      </c>
      <c r="Q535" s="13">
        <v>57.99</v>
      </c>
      <c r="R535" s="13">
        <v>226</v>
      </c>
      <c r="S535" s="13">
        <v>44259.19</v>
      </c>
      <c r="T535" s="13"/>
      <c r="U535" s="13"/>
    </row>
    <row r="536" spans="1:23" x14ac:dyDescent="0.25">
      <c r="A536" s="16">
        <v>183</v>
      </c>
      <c r="B536" s="13" t="s">
        <v>13</v>
      </c>
      <c r="C536" s="16" t="s">
        <v>557</v>
      </c>
      <c r="D536" s="29">
        <v>44305</v>
      </c>
      <c r="E536" s="18" t="s">
        <v>23</v>
      </c>
      <c r="F536" s="18"/>
      <c r="G536" s="13"/>
      <c r="H536" s="29">
        <v>44312</v>
      </c>
      <c r="I536" s="13" t="s">
        <v>681</v>
      </c>
      <c r="J536" s="13">
        <v>272.60000000000002</v>
      </c>
      <c r="K536" s="13">
        <v>58</v>
      </c>
      <c r="L536" s="13">
        <v>0.34789999999999999</v>
      </c>
      <c r="M536" s="13">
        <v>1.643</v>
      </c>
      <c r="N536" s="13">
        <v>94.837500000000006</v>
      </c>
      <c r="O536" s="13">
        <v>447.8818</v>
      </c>
      <c r="P536" s="13">
        <v>12.33</v>
      </c>
      <c r="Q536" s="13">
        <v>66.099999999999994</v>
      </c>
      <c r="R536" s="13">
        <v>190</v>
      </c>
      <c r="S536" s="13">
        <v>18019.13</v>
      </c>
      <c r="T536" s="13"/>
      <c r="U536" s="13"/>
    </row>
    <row r="537" spans="1:23" s="28" customFormat="1" x14ac:dyDescent="0.25">
      <c r="A537" s="27">
        <v>185</v>
      </c>
      <c r="B537" s="26" t="s">
        <v>13</v>
      </c>
      <c r="C537" s="27" t="s">
        <v>32</v>
      </c>
      <c r="D537" s="105">
        <v>44305</v>
      </c>
      <c r="E537" s="106" t="s">
        <v>23</v>
      </c>
      <c r="F537" s="106"/>
      <c r="G537" s="26"/>
      <c r="H537" s="105">
        <v>44312</v>
      </c>
      <c r="I537" s="26" t="s">
        <v>1242</v>
      </c>
      <c r="J537" s="26">
        <v>87.3</v>
      </c>
      <c r="K537" s="26" t="s">
        <v>303</v>
      </c>
      <c r="L537" s="106">
        <v>0.95599999999999996</v>
      </c>
      <c r="M537" s="26">
        <v>0.16</v>
      </c>
      <c r="N537" s="26">
        <v>83.458799999999997</v>
      </c>
      <c r="O537" s="26">
        <v>13.968</v>
      </c>
      <c r="P537" s="26">
        <v>10.85</v>
      </c>
      <c r="Q537" s="26">
        <v>196.94</v>
      </c>
      <c r="R537" s="26">
        <v>206</v>
      </c>
      <c r="S537" s="26">
        <v>17192.509999999998</v>
      </c>
      <c r="T537" s="26"/>
      <c r="U537" s="26"/>
    </row>
    <row r="538" spans="1:23" x14ac:dyDescent="0.25">
      <c r="A538" s="16" t="s">
        <v>1244</v>
      </c>
      <c r="B538" s="13" t="s">
        <v>13</v>
      </c>
      <c r="C538" s="16" t="s">
        <v>585</v>
      </c>
      <c r="D538" s="29">
        <v>44305</v>
      </c>
      <c r="E538" s="18" t="s">
        <v>23</v>
      </c>
      <c r="F538" s="18"/>
      <c r="G538" s="13"/>
      <c r="H538" s="29">
        <v>44312</v>
      </c>
      <c r="I538" s="13" t="s">
        <v>568</v>
      </c>
      <c r="J538" s="13"/>
      <c r="K538" s="13" t="s">
        <v>108</v>
      </c>
      <c r="L538" s="13"/>
      <c r="M538" s="13"/>
      <c r="N538" s="13"/>
      <c r="O538" s="13"/>
      <c r="P538" s="13"/>
      <c r="Q538" s="13"/>
      <c r="R538" s="13"/>
      <c r="S538" s="13" t="s">
        <v>334</v>
      </c>
      <c r="T538" s="13"/>
      <c r="U538" s="13"/>
    </row>
    <row r="539" spans="1:23" x14ac:dyDescent="0.25">
      <c r="A539" s="16" t="s">
        <v>1244</v>
      </c>
      <c r="B539" s="13" t="s">
        <v>13</v>
      </c>
      <c r="C539" s="16" t="s">
        <v>585</v>
      </c>
      <c r="D539" s="29">
        <v>44305</v>
      </c>
      <c r="E539" s="18" t="s">
        <v>23</v>
      </c>
      <c r="F539" s="18"/>
      <c r="G539" s="13"/>
      <c r="H539" s="29">
        <v>44312</v>
      </c>
      <c r="I539" s="13" t="s">
        <v>742</v>
      </c>
      <c r="J539" s="13"/>
      <c r="K539" s="13" t="s">
        <v>361</v>
      </c>
      <c r="L539" s="13"/>
      <c r="M539" s="13"/>
      <c r="N539" s="13"/>
      <c r="O539" s="13"/>
      <c r="P539" s="13"/>
      <c r="Q539" s="13"/>
      <c r="R539" s="13"/>
      <c r="S539" s="13" t="s">
        <v>1246</v>
      </c>
      <c r="T539" s="13"/>
      <c r="U539" s="13"/>
    </row>
    <row r="540" spans="1:23" x14ac:dyDescent="0.25">
      <c r="A540" s="16" t="s">
        <v>1244</v>
      </c>
      <c r="B540" s="13" t="s">
        <v>13</v>
      </c>
      <c r="C540" s="16" t="s">
        <v>585</v>
      </c>
      <c r="D540" s="29">
        <v>44305</v>
      </c>
      <c r="E540" s="18" t="s">
        <v>23</v>
      </c>
      <c r="F540" s="18"/>
      <c r="G540" s="13"/>
      <c r="H540" s="29">
        <v>44312</v>
      </c>
      <c r="I540" s="13" t="s">
        <v>730</v>
      </c>
      <c r="J540" s="13"/>
      <c r="K540" s="13" t="s">
        <v>369</v>
      </c>
      <c r="L540" s="13"/>
      <c r="M540" s="13"/>
      <c r="N540" s="13"/>
      <c r="O540" s="13"/>
      <c r="P540" s="13"/>
      <c r="Q540" s="13"/>
      <c r="R540" s="13"/>
      <c r="S540" s="13" t="s">
        <v>885</v>
      </c>
      <c r="T540" s="13"/>
      <c r="U540" s="13"/>
    </row>
    <row r="541" spans="1:23" x14ac:dyDescent="0.25">
      <c r="A541" s="16" t="s">
        <v>1244</v>
      </c>
      <c r="B541" s="13" t="s">
        <v>13</v>
      </c>
      <c r="C541" s="16" t="s">
        <v>585</v>
      </c>
      <c r="D541" s="29">
        <v>44305</v>
      </c>
      <c r="E541" s="18" t="s">
        <v>23</v>
      </c>
      <c r="F541" s="18"/>
      <c r="G541" s="13"/>
      <c r="H541" s="29">
        <v>44312</v>
      </c>
      <c r="I541" s="13" t="s">
        <v>731</v>
      </c>
      <c r="J541" s="13"/>
      <c r="K541" s="13" t="s">
        <v>103</v>
      </c>
      <c r="L541" s="13"/>
      <c r="M541" s="13"/>
      <c r="N541" s="13"/>
      <c r="O541" s="13"/>
      <c r="P541" s="13"/>
      <c r="Q541" s="13"/>
      <c r="R541" s="13"/>
      <c r="S541" s="13" t="s">
        <v>1247</v>
      </c>
      <c r="T541" s="13"/>
      <c r="U541" s="13"/>
    </row>
    <row r="542" spans="1:23" x14ac:dyDescent="0.25">
      <c r="A542" s="16" t="s">
        <v>1244</v>
      </c>
      <c r="B542" s="13" t="s">
        <v>13</v>
      </c>
      <c r="C542" s="16" t="s">
        <v>585</v>
      </c>
      <c r="D542" s="29">
        <v>44305</v>
      </c>
      <c r="E542" s="18" t="s">
        <v>23</v>
      </c>
      <c r="F542" s="18"/>
      <c r="G542" s="13"/>
      <c r="H542" s="29">
        <v>44312</v>
      </c>
      <c r="I542" s="13" t="s">
        <v>732</v>
      </c>
      <c r="J542" s="13"/>
      <c r="K542" s="13" t="s">
        <v>369</v>
      </c>
      <c r="L542" s="13"/>
      <c r="M542" s="13"/>
      <c r="N542" s="13"/>
      <c r="O542" s="13"/>
      <c r="P542" s="13"/>
      <c r="Q542" s="13"/>
      <c r="R542" s="13"/>
      <c r="S542" s="13" t="s">
        <v>569</v>
      </c>
      <c r="T542" s="13"/>
      <c r="U542" s="13"/>
      <c r="V542" s="13"/>
      <c r="W542" s="13"/>
    </row>
    <row r="543" spans="1:23" x14ac:dyDescent="0.25">
      <c r="A543" s="16" t="s">
        <v>1244</v>
      </c>
      <c r="B543" s="13" t="s">
        <v>13</v>
      </c>
      <c r="C543" s="16" t="s">
        <v>585</v>
      </c>
      <c r="D543" s="29">
        <v>44305</v>
      </c>
      <c r="E543" s="18" t="s">
        <v>23</v>
      </c>
      <c r="F543" s="18"/>
      <c r="G543" s="13"/>
      <c r="H543" s="29">
        <v>44312</v>
      </c>
      <c r="I543" s="13" t="s">
        <v>440</v>
      </c>
      <c r="J543" s="13"/>
      <c r="K543" s="13" t="s">
        <v>369</v>
      </c>
      <c r="L543" s="13"/>
      <c r="M543" s="13"/>
      <c r="N543" s="13"/>
      <c r="O543" s="13"/>
      <c r="P543" s="13"/>
      <c r="Q543" s="13"/>
      <c r="R543" s="13"/>
      <c r="S543" s="13" t="s">
        <v>1315</v>
      </c>
      <c r="T543" s="13"/>
      <c r="U543" s="13"/>
      <c r="V543" s="13"/>
      <c r="W543" s="13"/>
    </row>
    <row r="544" spans="1:23" x14ac:dyDescent="0.25">
      <c r="A544" s="16" t="s">
        <v>1244</v>
      </c>
      <c r="B544" s="13" t="s">
        <v>13</v>
      </c>
      <c r="C544" s="16" t="s">
        <v>585</v>
      </c>
      <c r="D544" s="29">
        <v>44305</v>
      </c>
      <c r="E544" s="18" t="s">
        <v>23</v>
      </c>
      <c r="F544" s="18"/>
      <c r="G544" s="13"/>
      <c r="H544" s="29">
        <v>44312</v>
      </c>
      <c r="I544" s="13" t="s">
        <v>743</v>
      </c>
      <c r="J544" s="13"/>
      <c r="K544" s="13" t="s">
        <v>369</v>
      </c>
      <c r="L544" s="13"/>
      <c r="M544" s="13"/>
      <c r="N544" s="13"/>
      <c r="O544" s="13"/>
      <c r="P544" s="13"/>
      <c r="Q544" s="13"/>
      <c r="R544" s="13"/>
      <c r="S544" s="13" t="s">
        <v>1316</v>
      </c>
      <c r="T544" s="13"/>
      <c r="U544" s="13"/>
      <c r="V544" s="13"/>
      <c r="W544" s="13"/>
    </row>
    <row r="545" spans="1:23" x14ac:dyDescent="0.25">
      <c r="A545" s="16" t="s">
        <v>1244</v>
      </c>
      <c r="B545" s="13" t="s">
        <v>13</v>
      </c>
      <c r="C545" s="16" t="s">
        <v>585</v>
      </c>
      <c r="D545" s="29">
        <v>44305</v>
      </c>
      <c r="E545" s="18" t="s">
        <v>23</v>
      </c>
      <c r="F545" s="18"/>
      <c r="G545" s="13"/>
      <c r="H545" s="29">
        <v>44312</v>
      </c>
      <c r="I545" s="13" t="s">
        <v>744</v>
      </c>
      <c r="J545" s="13"/>
      <c r="K545" s="13" t="s">
        <v>397</v>
      </c>
      <c r="L545" s="13"/>
      <c r="M545" s="13"/>
      <c r="N545" s="13"/>
      <c r="O545" s="13"/>
      <c r="P545" s="13"/>
      <c r="Q545" s="13"/>
      <c r="R545" s="13"/>
      <c r="S545" s="13" t="s">
        <v>1248</v>
      </c>
      <c r="T545" s="13"/>
      <c r="U545" s="13"/>
      <c r="V545" s="13"/>
      <c r="W545" s="13"/>
    </row>
    <row r="546" spans="1:23" x14ac:dyDescent="0.25">
      <c r="A546" s="16" t="s">
        <v>1244</v>
      </c>
      <c r="B546" s="13" t="s">
        <v>13</v>
      </c>
      <c r="C546" s="16" t="s">
        <v>585</v>
      </c>
      <c r="D546" s="29">
        <v>44305</v>
      </c>
      <c r="E546" s="18" t="s">
        <v>23</v>
      </c>
      <c r="F546" s="18"/>
      <c r="G546" s="13"/>
      <c r="H546" s="29">
        <v>44312</v>
      </c>
      <c r="I546" s="13" t="s">
        <v>733</v>
      </c>
      <c r="J546" s="13"/>
      <c r="K546" s="13" t="s">
        <v>411</v>
      </c>
      <c r="L546" s="13"/>
      <c r="M546" s="13"/>
      <c r="N546" s="13"/>
      <c r="O546" s="13"/>
      <c r="P546" s="13"/>
      <c r="Q546" s="13"/>
      <c r="R546" s="13"/>
      <c r="S546" s="13" t="s">
        <v>1249</v>
      </c>
      <c r="T546" s="13"/>
      <c r="U546" s="13"/>
      <c r="V546" s="13"/>
      <c r="W546" s="13"/>
    </row>
    <row r="547" spans="1:23" x14ac:dyDescent="0.25">
      <c r="A547" s="16" t="s">
        <v>1244</v>
      </c>
      <c r="B547" s="13" t="s">
        <v>13</v>
      </c>
      <c r="C547" s="16" t="s">
        <v>585</v>
      </c>
      <c r="D547" s="29">
        <v>44305</v>
      </c>
      <c r="E547" s="18" t="s">
        <v>23</v>
      </c>
      <c r="F547" s="18"/>
      <c r="G547" s="13"/>
      <c r="H547" s="29">
        <v>44312</v>
      </c>
      <c r="I547" s="13" t="s">
        <v>734</v>
      </c>
      <c r="J547" s="13"/>
      <c r="K547" s="13" t="s">
        <v>108</v>
      </c>
      <c r="L547" s="13"/>
      <c r="M547" s="13"/>
      <c r="N547" s="13"/>
      <c r="O547" s="13"/>
      <c r="P547" s="13"/>
      <c r="Q547" s="13"/>
      <c r="R547" s="13"/>
      <c r="S547" s="13" t="s">
        <v>856</v>
      </c>
      <c r="T547" s="13"/>
      <c r="U547" s="13"/>
      <c r="V547" s="13"/>
      <c r="W547" s="13"/>
    </row>
    <row r="548" spans="1:23" x14ac:dyDescent="0.25">
      <c r="A548" s="16" t="s">
        <v>1244</v>
      </c>
      <c r="B548" s="13" t="s">
        <v>13</v>
      </c>
      <c r="C548" s="16" t="s">
        <v>585</v>
      </c>
      <c r="D548" s="29">
        <v>44305</v>
      </c>
      <c r="E548" s="18" t="s">
        <v>23</v>
      </c>
      <c r="F548" s="18"/>
      <c r="G548" s="13"/>
      <c r="H548" s="29">
        <v>44312</v>
      </c>
      <c r="I548" s="13" t="s">
        <v>735</v>
      </c>
      <c r="J548" s="13"/>
      <c r="K548" s="13" t="s">
        <v>108</v>
      </c>
      <c r="L548" s="13"/>
      <c r="M548" s="13"/>
      <c r="N548" s="13"/>
      <c r="O548" s="13"/>
      <c r="P548" s="13"/>
      <c r="Q548" s="13"/>
      <c r="R548" s="13"/>
      <c r="S548" s="13" t="s">
        <v>429</v>
      </c>
      <c r="T548" s="13"/>
      <c r="U548" s="13"/>
      <c r="V548" s="13"/>
      <c r="W548" s="13"/>
    </row>
    <row r="549" spans="1:23" x14ac:dyDescent="0.25">
      <c r="A549" s="16" t="s">
        <v>1244</v>
      </c>
      <c r="B549" s="13" t="s">
        <v>13</v>
      </c>
      <c r="C549" s="16" t="s">
        <v>585</v>
      </c>
      <c r="D549" s="29">
        <v>44305</v>
      </c>
      <c r="E549" s="18" t="s">
        <v>23</v>
      </c>
      <c r="F549" s="18"/>
      <c r="G549" s="13"/>
      <c r="H549" s="29">
        <v>44312</v>
      </c>
      <c r="I549" s="13" t="s">
        <v>736</v>
      </c>
      <c r="J549" s="13"/>
      <c r="K549" s="13" t="s">
        <v>369</v>
      </c>
      <c r="L549" s="13"/>
      <c r="M549" s="13"/>
      <c r="N549" s="13"/>
      <c r="O549" s="13"/>
      <c r="P549" s="13"/>
      <c r="Q549" s="13"/>
      <c r="R549" s="13"/>
      <c r="S549" s="13" t="s">
        <v>1317</v>
      </c>
      <c r="T549" s="13"/>
      <c r="U549" s="13"/>
      <c r="V549" s="13"/>
      <c r="W549" s="13"/>
    </row>
    <row r="550" spans="1:23" x14ac:dyDescent="0.25">
      <c r="A550" s="16" t="s">
        <v>1244</v>
      </c>
      <c r="B550" s="13" t="s">
        <v>13</v>
      </c>
      <c r="C550" s="16" t="s">
        <v>585</v>
      </c>
      <c r="D550" s="29">
        <v>44305</v>
      </c>
      <c r="E550" s="18" t="s">
        <v>23</v>
      </c>
      <c r="F550" s="18"/>
      <c r="G550" s="13"/>
      <c r="H550" s="29">
        <v>44312</v>
      </c>
      <c r="I550" s="13" t="s">
        <v>737</v>
      </c>
      <c r="J550" s="13"/>
      <c r="K550" s="13" t="s">
        <v>123</v>
      </c>
      <c r="L550" s="13"/>
      <c r="M550" s="13"/>
      <c r="N550" s="13"/>
      <c r="O550" s="13"/>
      <c r="P550" s="13"/>
      <c r="Q550" s="13"/>
      <c r="R550" s="13"/>
      <c r="S550" s="13" t="s">
        <v>180</v>
      </c>
      <c r="T550" s="13"/>
      <c r="U550" s="13"/>
      <c r="V550" s="13"/>
      <c r="W550" s="13"/>
    </row>
    <row r="551" spans="1:23" x14ac:dyDescent="0.25">
      <c r="A551" s="16" t="s">
        <v>1244</v>
      </c>
      <c r="B551" s="13" t="s">
        <v>13</v>
      </c>
      <c r="C551" s="16" t="s">
        <v>585</v>
      </c>
      <c r="D551" s="29">
        <v>44305</v>
      </c>
      <c r="E551" s="18" t="s">
        <v>23</v>
      </c>
      <c r="F551" s="18"/>
      <c r="G551" s="13"/>
      <c r="H551" s="29">
        <v>44312</v>
      </c>
      <c r="I551" s="13" t="s">
        <v>738</v>
      </c>
      <c r="J551" s="13"/>
      <c r="K551" s="13" t="s">
        <v>369</v>
      </c>
      <c r="L551" s="13"/>
      <c r="M551" s="13"/>
      <c r="N551" s="13"/>
      <c r="O551" s="13"/>
      <c r="P551" s="13"/>
      <c r="Q551" s="13"/>
      <c r="R551" s="13"/>
      <c r="S551" s="13" t="s">
        <v>1318</v>
      </c>
      <c r="T551" s="13"/>
      <c r="U551" s="13"/>
      <c r="V551" s="13"/>
      <c r="W551" s="13"/>
    </row>
    <row r="552" spans="1:23" x14ac:dyDescent="0.25">
      <c r="A552" s="16" t="s">
        <v>1244</v>
      </c>
      <c r="B552" s="13" t="s">
        <v>13</v>
      </c>
      <c r="C552" s="16" t="s">
        <v>585</v>
      </c>
      <c r="D552" s="29">
        <v>44305</v>
      </c>
      <c r="E552" s="18" t="s">
        <v>23</v>
      </c>
      <c r="F552" s="18"/>
      <c r="G552" s="13"/>
      <c r="H552" s="29">
        <v>44312</v>
      </c>
      <c r="I552" s="13" t="s">
        <v>282</v>
      </c>
      <c r="J552" s="13"/>
      <c r="K552" s="13" t="s">
        <v>369</v>
      </c>
      <c r="L552" s="13"/>
      <c r="M552" s="13"/>
      <c r="N552" s="13"/>
      <c r="O552" s="13"/>
      <c r="P552" s="13"/>
      <c r="Q552" s="13"/>
      <c r="R552" s="13"/>
      <c r="S552" s="13" t="s">
        <v>1319</v>
      </c>
      <c r="T552" s="13"/>
      <c r="U552" s="13"/>
      <c r="V552" s="13"/>
      <c r="W552" s="13"/>
    </row>
    <row r="553" spans="1:23" x14ac:dyDescent="0.25">
      <c r="A553" s="16" t="s">
        <v>1244</v>
      </c>
      <c r="B553" s="13" t="s">
        <v>13</v>
      </c>
      <c r="C553" s="16" t="s">
        <v>585</v>
      </c>
      <c r="D553" s="29">
        <v>44305</v>
      </c>
      <c r="E553" s="18" t="s">
        <v>23</v>
      </c>
      <c r="F553" s="18"/>
      <c r="G553" s="13"/>
      <c r="H553" s="29">
        <v>44312</v>
      </c>
      <c r="I553" s="13" t="s">
        <v>739</v>
      </c>
      <c r="J553" s="13"/>
      <c r="K553" s="13" t="s">
        <v>123</v>
      </c>
      <c r="L553" s="13"/>
      <c r="M553" s="13"/>
      <c r="N553" s="13"/>
      <c r="O553" s="13"/>
      <c r="P553" s="13"/>
      <c r="Q553" s="13"/>
      <c r="R553" s="13"/>
      <c r="S553" s="13" t="s">
        <v>617</v>
      </c>
      <c r="T553" s="13"/>
      <c r="U553" s="13"/>
      <c r="V553" s="13"/>
      <c r="W553" s="13"/>
    </row>
    <row r="554" spans="1:23" x14ac:dyDescent="0.25">
      <c r="A554" s="16" t="s">
        <v>1244</v>
      </c>
      <c r="B554" s="13" t="s">
        <v>13</v>
      </c>
      <c r="C554" s="16" t="s">
        <v>585</v>
      </c>
      <c r="D554" s="29">
        <v>44305</v>
      </c>
      <c r="E554" s="18" t="s">
        <v>23</v>
      </c>
      <c r="F554" s="18"/>
      <c r="G554" s="13"/>
      <c r="H554" s="29">
        <v>44312</v>
      </c>
      <c r="I554" s="13" t="s">
        <v>740</v>
      </c>
      <c r="J554" s="13"/>
      <c r="K554" s="13" t="s">
        <v>1314</v>
      </c>
      <c r="L554" s="13"/>
      <c r="M554" s="13"/>
      <c r="N554" s="13"/>
      <c r="O554" s="13"/>
      <c r="P554" s="13"/>
      <c r="Q554" s="13"/>
      <c r="R554" s="13"/>
      <c r="S554" s="13" t="s">
        <v>1320</v>
      </c>
      <c r="T554" s="13"/>
      <c r="U554" s="13"/>
      <c r="V554" s="13"/>
      <c r="W554" s="13"/>
    </row>
    <row r="555" spans="1:23" x14ac:dyDescent="0.25">
      <c r="A555" s="16" t="s">
        <v>1244</v>
      </c>
      <c r="B555" s="13" t="s">
        <v>13</v>
      </c>
      <c r="C555" s="16" t="s">
        <v>585</v>
      </c>
      <c r="D555" s="29">
        <v>44305</v>
      </c>
      <c r="E555" s="18" t="s">
        <v>23</v>
      </c>
      <c r="F555" s="18"/>
      <c r="G555" s="13"/>
      <c r="H555" s="29">
        <v>44312</v>
      </c>
      <c r="I555" s="13" t="s">
        <v>741</v>
      </c>
      <c r="J555" s="13"/>
      <c r="K555" s="13" t="s">
        <v>36</v>
      </c>
      <c r="L555" s="13"/>
      <c r="M555" s="13"/>
      <c r="N555" s="13"/>
      <c r="O555" s="13"/>
      <c r="P555" s="13"/>
      <c r="Q555" s="13"/>
      <c r="R555" s="13"/>
      <c r="S555" s="13" t="s">
        <v>501</v>
      </c>
      <c r="T555" s="13"/>
      <c r="U555" s="13"/>
      <c r="V555" s="13"/>
      <c r="W555" s="13"/>
    </row>
    <row r="556" spans="1:23" x14ac:dyDescent="0.25">
      <c r="A556" s="16" t="s">
        <v>1244</v>
      </c>
      <c r="B556" s="13" t="s">
        <v>13</v>
      </c>
      <c r="C556" s="16" t="s">
        <v>585</v>
      </c>
      <c r="D556" s="29">
        <v>44305</v>
      </c>
      <c r="E556" s="18" t="s">
        <v>23</v>
      </c>
      <c r="F556" s="18"/>
      <c r="G556" s="13"/>
      <c r="H556" s="29">
        <v>44312</v>
      </c>
      <c r="I556" s="13" t="s">
        <v>745</v>
      </c>
      <c r="J556" s="13"/>
      <c r="K556" s="13" t="s">
        <v>1245</v>
      </c>
      <c r="L556" s="13"/>
      <c r="M556" s="13"/>
      <c r="N556" s="13"/>
      <c r="O556" s="13"/>
      <c r="P556" s="13"/>
      <c r="Q556" s="13"/>
      <c r="R556" s="13"/>
      <c r="S556" s="13" t="s">
        <v>1250</v>
      </c>
      <c r="T556" s="13"/>
      <c r="U556" s="13"/>
      <c r="V556" s="13"/>
      <c r="W556" s="13"/>
    </row>
    <row r="557" spans="1:23" x14ac:dyDescent="0.25">
      <c r="A557" s="16" t="s">
        <v>378</v>
      </c>
      <c r="B557" s="13" t="s">
        <v>13</v>
      </c>
      <c r="C557" s="16" t="s">
        <v>585</v>
      </c>
      <c r="D557" s="29">
        <v>44305</v>
      </c>
      <c r="E557" s="18" t="s">
        <v>23</v>
      </c>
      <c r="F557" s="18"/>
      <c r="G557" s="13"/>
      <c r="H557" s="29">
        <v>44312</v>
      </c>
      <c r="I557" s="13" t="s">
        <v>206</v>
      </c>
      <c r="J557" s="13"/>
      <c r="K557" s="16">
        <v>263</v>
      </c>
      <c r="L557" s="13"/>
      <c r="M557" s="13"/>
      <c r="N557" s="13"/>
      <c r="O557" s="13"/>
      <c r="P557" s="13"/>
      <c r="Q557" s="13"/>
      <c r="R557" s="13"/>
      <c r="S557" s="16">
        <v>70000</v>
      </c>
      <c r="T557" s="13"/>
      <c r="U557" s="13"/>
      <c r="V557" s="13"/>
      <c r="W557" s="13"/>
    </row>
    <row r="558" spans="1:23" x14ac:dyDescent="0.25">
      <c r="A558" s="16" t="s">
        <v>376</v>
      </c>
      <c r="B558" s="13" t="s">
        <v>13</v>
      </c>
      <c r="C558" s="16" t="s">
        <v>585</v>
      </c>
      <c r="D558" s="29">
        <v>44305</v>
      </c>
      <c r="E558" s="18" t="s">
        <v>23</v>
      </c>
      <c r="F558" s="18"/>
      <c r="G558" s="13"/>
      <c r="H558" s="29">
        <v>44312</v>
      </c>
      <c r="I558" s="13" t="s">
        <v>92</v>
      </c>
      <c r="J558" s="13"/>
      <c r="K558" s="13" t="s">
        <v>226</v>
      </c>
      <c r="L558" s="13"/>
      <c r="M558" s="13"/>
      <c r="N558" s="13"/>
      <c r="O558" s="13"/>
      <c r="P558" s="13"/>
      <c r="Q558" s="13"/>
      <c r="R558" s="13"/>
      <c r="S558" s="13" t="s">
        <v>1036</v>
      </c>
      <c r="T558" s="13"/>
      <c r="U558" s="13"/>
      <c r="V558" s="13"/>
      <c r="W558" s="13"/>
    </row>
    <row r="559" spans="1:23" x14ac:dyDescent="0.25">
      <c r="A559" s="16" t="s">
        <v>376</v>
      </c>
      <c r="B559" s="13" t="s">
        <v>13</v>
      </c>
      <c r="C559" s="16" t="s">
        <v>585</v>
      </c>
      <c r="D559" s="29">
        <v>44305</v>
      </c>
      <c r="E559" s="18" t="s">
        <v>23</v>
      </c>
      <c r="F559" s="18"/>
      <c r="G559" s="13"/>
      <c r="H559" s="29">
        <v>44312</v>
      </c>
      <c r="I559" s="13" t="s">
        <v>94</v>
      </c>
      <c r="J559" s="13"/>
      <c r="K559" s="13" t="s">
        <v>226</v>
      </c>
      <c r="L559" s="13"/>
      <c r="M559" s="13"/>
      <c r="N559" s="13"/>
      <c r="O559" s="13"/>
      <c r="P559" s="13"/>
      <c r="Q559" s="13"/>
      <c r="R559" s="13"/>
      <c r="S559" s="13" t="s">
        <v>1036</v>
      </c>
      <c r="T559" s="13"/>
      <c r="U559" s="13"/>
      <c r="V559" s="13"/>
      <c r="W559" s="13"/>
    </row>
    <row r="560" spans="1:23" x14ac:dyDescent="0.25">
      <c r="A560" s="16" t="s">
        <v>376</v>
      </c>
      <c r="B560" s="13" t="s">
        <v>13</v>
      </c>
      <c r="C560" s="16" t="s">
        <v>585</v>
      </c>
      <c r="D560" s="29">
        <v>44305</v>
      </c>
      <c r="E560" s="18" t="s">
        <v>23</v>
      </c>
      <c r="F560" s="18"/>
      <c r="G560" s="13"/>
      <c r="H560" s="29">
        <v>44312</v>
      </c>
      <c r="I560" s="13" t="s">
        <v>95</v>
      </c>
      <c r="J560" s="13"/>
      <c r="K560" s="13" t="s">
        <v>54</v>
      </c>
      <c r="L560" s="13"/>
      <c r="M560" s="13"/>
      <c r="N560" s="13"/>
      <c r="O560" s="13"/>
      <c r="P560" s="13"/>
      <c r="Q560" s="13"/>
      <c r="R560" s="13"/>
      <c r="S560" s="13" t="s">
        <v>105</v>
      </c>
      <c r="T560" s="13"/>
      <c r="U560" s="13"/>
      <c r="V560" s="13"/>
      <c r="W560" s="13"/>
    </row>
    <row r="561" spans="1:23" x14ac:dyDescent="0.25">
      <c r="A561" s="16" t="s">
        <v>376</v>
      </c>
      <c r="B561" s="13" t="s">
        <v>13</v>
      </c>
      <c r="C561" s="16" t="s">
        <v>585</v>
      </c>
      <c r="D561" s="29">
        <v>44305</v>
      </c>
      <c r="E561" s="18" t="s">
        <v>23</v>
      </c>
      <c r="F561" s="18"/>
      <c r="G561" s="13"/>
      <c r="H561" s="29">
        <v>44312</v>
      </c>
      <c r="I561" s="13" t="s">
        <v>98</v>
      </c>
      <c r="J561" s="13"/>
      <c r="K561" s="13" t="s">
        <v>54</v>
      </c>
      <c r="L561" s="13"/>
      <c r="M561" s="13"/>
      <c r="N561" s="13"/>
      <c r="O561" s="13"/>
      <c r="P561" s="13"/>
      <c r="Q561" s="13"/>
      <c r="R561" s="13"/>
      <c r="S561" s="13" t="s">
        <v>105</v>
      </c>
      <c r="T561" s="13"/>
      <c r="U561" s="13"/>
      <c r="V561" s="13"/>
      <c r="W561" s="13"/>
    </row>
    <row r="562" spans="1:23" x14ac:dyDescent="0.25">
      <c r="A562" s="16" t="s">
        <v>376</v>
      </c>
      <c r="B562" s="13" t="s">
        <v>13</v>
      </c>
      <c r="C562" s="16" t="s">
        <v>585</v>
      </c>
      <c r="D562" s="29">
        <v>44305</v>
      </c>
      <c r="E562" s="18" t="s">
        <v>23</v>
      </c>
      <c r="F562" s="18"/>
      <c r="G562" s="13"/>
      <c r="H562" s="29">
        <v>44312</v>
      </c>
      <c r="I562" s="13" t="s">
        <v>99</v>
      </c>
      <c r="J562" s="13"/>
      <c r="K562" s="13" t="s">
        <v>884</v>
      </c>
      <c r="L562" s="13"/>
      <c r="M562" s="13"/>
      <c r="N562" s="13"/>
      <c r="O562" s="13"/>
      <c r="P562" s="13"/>
      <c r="Q562" s="13"/>
      <c r="R562" s="13"/>
      <c r="S562" s="13" t="s">
        <v>319</v>
      </c>
      <c r="T562" s="13"/>
      <c r="U562" s="13"/>
      <c r="V562" s="13"/>
      <c r="W562" s="13"/>
    </row>
    <row r="563" spans="1:23" x14ac:dyDescent="0.25">
      <c r="A563" s="16" t="s">
        <v>376</v>
      </c>
      <c r="B563" s="13" t="s">
        <v>13</v>
      </c>
      <c r="C563" s="16" t="s">
        <v>585</v>
      </c>
      <c r="D563" s="29">
        <v>44305</v>
      </c>
      <c r="E563" s="18" t="s">
        <v>23</v>
      </c>
      <c r="F563" s="18"/>
      <c r="G563" s="13"/>
      <c r="H563" s="29">
        <v>44312</v>
      </c>
      <c r="I563" s="13" t="s">
        <v>102</v>
      </c>
      <c r="J563" s="13"/>
      <c r="K563" s="13" t="s">
        <v>884</v>
      </c>
      <c r="L563" s="13"/>
      <c r="M563" s="13"/>
      <c r="N563" s="13"/>
      <c r="O563" s="13"/>
      <c r="P563" s="13"/>
      <c r="Q563" s="13"/>
      <c r="R563" s="13"/>
      <c r="S563" s="13" t="s">
        <v>319</v>
      </c>
      <c r="T563" s="13"/>
      <c r="U563" s="13"/>
      <c r="V563" s="13"/>
      <c r="W563" s="13"/>
    </row>
    <row r="564" spans="1:23" x14ac:dyDescent="0.25">
      <c r="A564" s="16" t="s">
        <v>1252</v>
      </c>
      <c r="B564" s="13" t="s">
        <v>13</v>
      </c>
      <c r="C564" s="16" t="s">
        <v>585</v>
      </c>
      <c r="D564" s="29">
        <v>44305</v>
      </c>
      <c r="E564" s="18" t="s">
        <v>23</v>
      </c>
      <c r="F564" s="18"/>
      <c r="G564" s="13"/>
      <c r="H564" s="29">
        <v>44312</v>
      </c>
      <c r="I564" s="13" t="s">
        <v>92</v>
      </c>
      <c r="J564" s="13"/>
      <c r="K564" s="13" t="s">
        <v>75</v>
      </c>
      <c r="L564" s="13"/>
      <c r="M564" s="13"/>
      <c r="N564" s="13"/>
      <c r="O564" s="13"/>
      <c r="P564" s="13"/>
      <c r="Q564" s="13"/>
      <c r="R564" s="13"/>
      <c r="S564" s="13" t="s">
        <v>186</v>
      </c>
      <c r="T564" s="13"/>
      <c r="U564" s="13"/>
      <c r="V564" s="13"/>
      <c r="W564" s="13"/>
    </row>
    <row r="565" spans="1:23" x14ac:dyDescent="0.25">
      <c r="A565" s="16" t="s">
        <v>1252</v>
      </c>
      <c r="B565" s="13" t="s">
        <v>13</v>
      </c>
      <c r="C565" s="16" t="s">
        <v>585</v>
      </c>
      <c r="D565" s="29">
        <v>44305</v>
      </c>
      <c r="E565" s="18" t="s">
        <v>23</v>
      </c>
      <c r="F565" s="18"/>
      <c r="G565" s="13"/>
      <c r="H565" s="29">
        <v>44312</v>
      </c>
      <c r="I565" s="13" t="s">
        <v>94</v>
      </c>
      <c r="J565" s="13"/>
      <c r="K565" s="13" t="s">
        <v>75</v>
      </c>
      <c r="L565" s="13"/>
      <c r="M565" s="13"/>
      <c r="N565" s="13"/>
      <c r="O565" s="13"/>
      <c r="P565" s="13"/>
      <c r="Q565" s="13"/>
      <c r="R565" s="13"/>
      <c r="S565" s="13" t="s">
        <v>186</v>
      </c>
      <c r="T565" s="13"/>
      <c r="U565" s="13"/>
      <c r="V565" s="13"/>
      <c r="W565" s="13"/>
    </row>
    <row r="566" spans="1:23" x14ac:dyDescent="0.25">
      <c r="A566" s="16" t="s">
        <v>1252</v>
      </c>
      <c r="B566" s="13" t="s">
        <v>13</v>
      </c>
      <c r="C566" s="16" t="s">
        <v>585</v>
      </c>
      <c r="D566" s="29">
        <v>44305</v>
      </c>
      <c r="E566" s="18" t="s">
        <v>23</v>
      </c>
      <c r="F566" s="18"/>
      <c r="G566" s="13"/>
      <c r="H566" s="29">
        <v>44312</v>
      </c>
      <c r="I566" s="13" t="s">
        <v>95</v>
      </c>
      <c r="J566" s="13"/>
      <c r="K566" s="13" t="s">
        <v>108</v>
      </c>
      <c r="L566" s="13"/>
      <c r="M566" s="13"/>
      <c r="N566" s="13"/>
      <c r="O566" s="13"/>
      <c r="P566" s="13"/>
      <c r="Q566" s="13"/>
      <c r="R566" s="13"/>
      <c r="S566" s="13" t="s">
        <v>387</v>
      </c>
      <c r="T566" s="13"/>
      <c r="U566" s="13"/>
      <c r="V566" s="13"/>
      <c r="W566" s="13"/>
    </row>
    <row r="567" spans="1:23" x14ac:dyDescent="0.25">
      <c r="A567" s="16" t="s">
        <v>1252</v>
      </c>
      <c r="B567" s="13" t="s">
        <v>13</v>
      </c>
      <c r="C567" s="16" t="s">
        <v>585</v>
      </c>
      <c r="D567" s="29">
        <v>44305</v>
      </c>
      <c r="E567" s="18" t="s">
        <v>23</v>
      </c>
      <c r="F567" s="18"/>
      <c r="G567" s="13"/>
      <c r="H567" s="29">
        <v>44312</v>
      </c>
      <c r="I567" s="13" t="s">
        <v>98</v>
      </c>
      <c r="J567" s="13"/>
      <c r="K567" s="13" t="s">
        <v>108</v>
      </c>
      <c r="L567" s="13"/>
      <c r="M567" s="13"/>
      <c r="N567" s="13"/>
      <c r="O567" s="13"/>
      <c r="P567" s="13"/>
      <c r="Q567" s="13"/>
      <c r="R567" s="13"/>
      <c r="S567" s="13" t="s">
        <v>387</v>
      </c>
      <c r="T567" s="13"/>
      <c r="U567" s="13"/>
      <c r="V567" s="13"/>
      <c r="W567" s="13"/>
    </row>
    <row r="568" spans="1:23" x14ac:dyDescent="0.25">
      <c r="A568" s="16" t="s">
        <v>1252</v>
      </c>
      <c r="B568" s="13" t="s">
        <v>13</v>
      </c>
      <c r="C568" s="16" t="s">
        <v>585</v>
      </c>
      <c r="D568" s="29">
        <v>44305</v>
      </c>
      <c r="E568" s="18" t="s">
        <v>23</v>
      </c>
      <c r="F568" s="18"/>
      <c r="G568" s="13"/>
      <c r="H568" s="29">
        <v>44312</v>
      </c>
      <c r="I568" s="13" t="s">
        <v>99</v>
      </c>
      <c r="J568" s="13"/>
      <c r="K568" s="13" t="s">
        <v>125</v>
      </c>
      <c r="L568" s="13"/>
      <c r="M568" s="13"/>
      <c r="N568" s="13"/>
      <c r="O568" s="13"/>
      <c r="P568" s="13"/>
      <c r="Q568" s="13"/>
      <c r="R568" s="13"/>
      <c r="S568" s="13" t="s">
        <v>1253</v>
      </c>
      <c r="T568" s="13"/>
      <c r="U568" s="13"/>
      <c r="V568" s="13"/>
      <c r="W568" s="13"/>
    </row>
    <row r="569" spans="1:23" x14ac:dyDescent="0.25">
      <c r="A569" s="16" t="s">
        <v>1252</v>
      </c>
      <c r="B569" s="13" t="s">
        <v>13</v>
      </c>
      <c r="C569" s="16" t="s">
        <v>585</v>
      </c>
      <c r="D569" s="29">
        <v>44305</v>
      </c>
      <c r="E569" s="18" t="s">
        <v>23</v>
      </c>
      <c r="F569" s="18"/>
      <c r="G569" s="13"/>
      <c r="H569" s="29">
        <v>44312</v>
      </c>
      <c r="I569" s="13" t="s">
        <v>102</v>
      </c>
      <c r="J569" s="13"/>
      <c r="K569" s="13" t="s">
        <v>125</v>
      </c>
      <c r="L569" s="13"/>
      <c r="M569" s="13"/>
      <c r="N569" s="13"/>
      <c r="O569" s="13"/>
      <c r="P569" s="13"/>
      <c r="Q569" s="13"/>
      <c r="R569" s="13"/>
      <c r="S569" s="13" t="s">
        <v>1253</v>
      </c>
      <c r="T569" s="13"/>
      <c r="U569" s="13"/>
      <c r="V569" s="13"/>
      <c r="W569" s="13"/>
    </row>
    <row r="570" spans="1:23" x14ac:dyDescent="0.25">
      <c r="A570" s="16" t="s">
        <v>1252</v>
      </c>
      <c r="B570" s="13" t="s">
        <v>13</v>
      </c>
      <c r="C570" s="16" t="s">
        <v>585</v>
      </c>
      <c r="D570" s="29">
        <v>44305</v>
      </c>
      <c r="E570" s="18" t="s">
        <v>23</v>
      </c>
      <c r="F570" s="18"/>
      <c r="G570" s="13"/>
      <c r="H570" s="29">
        <v>44312</v>
      </c>
      <c r="I570" s="13" t="s">
        <v>206</v>
      </c>
      <c r="J570" s="13"/>
      <c r="K570" s="13" t="s">
        <v>1251</v>
      </c>
      <c r="L570" s="13"/>
      <c r="M570" s="13"/>
      <c r="N570" s="13"/>
      <c r="O570" s="13"/>
      <c r="P570" s="13"/>
      <c r="Q570" s="13"/>
      <c r="R570" s="13"/>
      <c r="S570" s="13" t="s">
        <v>1254</v>
      </c>
      <c r="T570" s="13"/>
      <c r="U570" s="13"/>
      <c r="V570" s="13"/>
      <c r="W570" s="13"/>
    </row>
    <row r="571" spans="1:23" x14ac:dyDescent="0.25">
      <c r="A571" s="16" t="s">
        <v>383</v>
      </c>
      <c r="B571" s="13" t="s">
        <v>13</v>
      </c>
      <c r="C571" s="16" t="s">
        <v>585</v>
      </c>
      <c r="D571" s="29">
        <v>44305</v>
      </c>
      <c r="E571" s="18" t="s">
        <v>23</v>
      </c>
      <c r="F571" s="18"/>
      <c r="G571" s="13"/>
      <c r="H571" s="29">
        <v>44312</v>
      </c>
      <c r="I571" s="13" t="s">
        <v>742</v>
      </c>
      <c r="J571" s="13"/>
      <c r="K571" s="13" t="s">
        <v>123</v>
      </c>
      <c r="L571" s="13"/>
      <c r="M571" s="13"/>
      <c r="N571" s="13"/>
      <c r="O571" s="13"/>
      <c r="P571" s="13"/>
      <c r="Q571" s="13"/>
      <c r="R571" s="13"/>
      <c r="S571" s="13" t="s">
        <v>437</v>
      </c>
      <c r="T571" s="13"/>
      <c r="U571" s="13"/>
      <c r="V571" s="13"/>
      <c r="W571" s="13"/>
    </row>
    <row r="572" spans="1:23" x14ac:dyDescent="0.25">
      <c r="A572" s="16" t="s">
        <v>383</v>
      </c>
      <c r="B572" s="13" t="s">
        <v>13</v>
      </c>
      <c r="C572" s="16" t="s">
        <v>585</v>
      </c>
      <c r="D572" s="29">
        <v>44305</v>
      </c>
      <c r="E572" s="18" t="s">
        <v>23</v>
      </c>
      <c r="F572" s="18"/>
      <c r="G572" s="13"/>
      <c r="H572" s="29">
        <v>44312</v>
      </c>
      <c r="I572" s="13" t="s">
        <v>731</v>
      </c>
      <c r="J572" s="13"/>
      <c r="K572" s="13" t="s">
        <v>318</v>
      </c>
      <c r="L572" s="13"/>
      <c r="M572" s="13"/>
      <c r="N572" s="13"/>
      <c r="O572" s="13"/>
      <c r="P572" s="13"/>
      <c r="Q572" s="13"/>
      <c r="R572" s="13"/>
      <c r="S572" s="13" t="s">
        <v>1256</v>
      </c>
      <c r="T572" s="13"/>
      <c r="U572" s="13"/>
      <c r="V572" s="13"/>
      <c r="W572" s="13"/>
    </row>
    <row r="573" spans="1:23" x14ac:dyDescent="0.25">
      <c r="A573" s="16" t="s">
        <v>383</v>
      </c>
      <c r="B573" s="13" t="s">
        <v>13</v>
      </c>
      <c r="C573" s="16" t="s">
        <v>585</v>
      </c>
      <c r="D573" s="29">
        <v>44305</v>
      </c>
      <c r="E573" s="18" t="s">
        <v>23</v>
      </c>
      <c r="F573" s="18"/>
      <c r="G573" s="13"/>
      <c r="H573" s="29">
        <v>44312</v>
      </c>
      <c r="I573" s="13" t="s">
        <v>744</v>
      </c>
      <c r="J573" s="13"/>
      <c r="K573" s="13" t="s">
        <v>226</v>
      </c>
      <c r="L573" s="13"/>
      <c r="M573" s="13"/>
      <c r="N573" s="13"/>
      <c r="O573" s="13"/>
      <c r="P573" s="13"/>
      <c r="Q573" s="13"/>
      <c r="R573" s="13"/>
      <c r="S573" s="13" t="s">
        <v>805</v>
      </c>
      <c r="T573" s="13"/>
      <c r="U573" s="13"/>
      <c r="V573" s="13"/>
      <c r="W573" s="13"/>
    </row>
    <row r="574" spans="1:23" x14ac:dyDescent="0.25">
      <c r="A574" s="16" t="s">
        <v>383</v>
      </c>
      <c r="B574" s="13" t="s">
        <v>13</v>
      </c>
      <c r="C574" s="16" t="s">
        <v>585</v>
      </c>
      <c r="D574" s="29">
        <v>44305</v>
      </c>
      <c r="E574" s="18" t="s">
        <v>23</v>
      </c>
      <c r="F574" s="18"/>
      <c r="G574" s="13"/>
      <c r="H574" s="29">
        <v>44312</v>
      </c>
      <c r="I574" s="13" t="s">
        <v>733</v>
      </c>
      <c r="J574" s="13"/>
      <c r="K574" s="13" t="s">
        <v>123</v>
      </c>
      <c r="L574" s="13"/>
      <c r="M574" s="13"/>
      <c r="N574" s="13"/>
      <c r="O574" s="13"/>
      <c r="P574" s="13"/>
      <c r="Q574" s="13"/>
      <c r="R574" s="13"/>
      <c r="S574" s="13" t="s">
        <v>444</v>
      </c>
      <c r="T574" s="13"/>
      <c r="U574" s="13"/>
      <c r="V574" s="13"/>
      <c r="W574" s="13"/>
    </row>
    <row r="575" spans="1:23" x14ac:dyDescent="0.25">
      <c r="A575" s="16" t="s">
        <v>383</v>
      </c>
      <c r="B575" s="13" t="s">
        <v>13</v>
      </c>
      <c r="C575" s="16" t="s">
        <v>585</v>
      </c>
      <c r="D575" s="29">
        <v>44305</v>
      </c>
      <c r="E575" s="18" t="s">
        <v>23</v>
      </c>
      <c r="F575" s="18"/>
      <c r="G575" s="13"/>
      <c r="H575" s="29">
        <v>44312</v>
      </c>
      <c r="I575" s="13" t="s">
        <v>1255</v>
      </c>
      <c r="J575" s="13"/>
      <c r="K575" s="13" t="s">
        <v>123</v>
      </c>
      <c r="L575" s="13"/>
      <c r="M575" s="13"/>
      <c r="N575" s="13"/>
      <c r="O575" s="13"/>
      <c r="P575" s="13"/>
      <c r="Q575" s="13"/>
      <c r="R575" s="13"/>
      <c r="S575" s="13" t="s">
        <v>128</v>
      </c>
      <c r="T575" s="13"/>
      <c r="U575" s="13"/>
      <c r="V575" s="13"/>
      <c r="W575" s="13"/>
    </row>
    <row r="576" spans="1:23" x14ac:dyDescent="0.25">
      <c r="A576" s="16" t="s">
        <v>383</v>
      </c>
      <c r="B576" s="13" t="s">
        <v>13</v>
      </c>
      <c r="C576" s="16" t="s">
        <v>585</v>
      </c>
      <c r="D576" s="29">
        <v>44305</v>
      </c>
      <c r="E576" s="18" t="s">
        <v>23</v>
      </c>
      <c r="F576" s="18"/>
      <c r="G576" s="13"/>
      <c r="H576" s="29">
        <v>44312</v>
      </c>
      <c r="I576" s="13" t="s">
        <v>739</v>
      </c>
      <c r="J576" s="13"/>
      <c r="K576" s="13" t="s">
        <v>108</v>
      </c>
      <c r="L576" s="13"/>
      <c r="M576" s="13"/>
      <c r="N576" s="13"/>
      <c r="O576" s="13"/>
      <c r="P576" s="13"/>
      <c r="Q576" s="13"/>
      <c r="R576" s="13"/>
      <c r="S576" s="13" t="s">
        <v>574</v>
      </c>
      <c r="T576" s="13"/>
      <c r="U576" s="13"/>
      <c r="V576" s="13"/>
      <c r="W576" s="13"/>
    </row>
    <row r="577" spans="1:23" x14ac:dyDescent="0.25">
      <c r="A577" s="16" t="s">
        <v>383</v>
      </c>
      <c r="B577" s="13" t="s">
        <v>13</v>
      </c>
      <c r="C577" s="16" t="s">
        <v>585</v>
      </c>
      <c r="D577" s="29">
        <v>44305</v>
      </c>
      <c r="E577" s="18" t="s">
        <v>23</v>
      </c>
      <c r="H577" s="29">
        <v>44312</v>
      </c>
      <c r="I577" s="13" t="s">
        <v>740</v>
      </c>
      <c r="J577" s="13"/>
      <c r="K577" s="13" t="s">
        <v>268</v>
      </c>
      <c r="L577" s="13"/>
      <c r="M577" s="13"/>
      <c r="N577" s="13"/>
      <c r="O577" s="13"/>
      <c r="P577" s="13"/>
      <c r="Q577" s="13"/>
      <c r="R577" s="13"/>
      <c r="S577" s="13" t="s">
        <v>101</v>
      </c>
      <c r="T577" s="13"/>
      <c r="U577" s="13"/>
      <c r="V577" s="13"/>
      <c r="W577" s="13"/>
    </row>
    <row r="578" spans="1:23" x14ac:dyDescent="0.25">
      <c r="A578" s="16" t="s">
        <v>383</v>
      </c>
      <c r="B578" s="13" t="s">
        <v>13</v>
      </c>
      <c r="C578" s="16" t="s">
        <v>585</v>
      </c>
      <c r="D578" s="29">
        <v>44305</v>
      </c>
      <c r="E578" s="18" t="s">
        <v>23</v>
      </c>
      <c r="F578" s="18"/>
      <c r="G578" s="13"/>
      <c r="H578" s="29">
        <v>44312</v>
      </c>
      <c r="I578" s="13" t="s">
        <v>741</v>
      </c>
      <c r="J578" s="13"/>
      <c r="K578" s="13" t="s">
        <v>96</v>
      </c>
      <c r="L578" s="13"/>
      <c r="M578" s="13"/>
      <c r="N578" s="13"/>
      <c r="O578" s="13"/>
      <c r="P578" s="13"/>
      <c r="Q578" s="13"/>
      <c r="R578" s="13"/>
      <c r="S578" s="13" t="s">
        <v>1312</v>
      </c>
      <c r="T578" s="13"/>
      <c r="U578" s="13"/>
      <c r="V578" s="13"/>
      <c r="W578" s="13"/>
    </row>
    <row r="579" spans="1:23" x14ac:dyDescent="0.25">
      <c r="A579" s="16" t="s">
        <v>383</v>
      </c>
      <c r="B579" s="13" t="s">
        <v>13</v>
      </c>
      <c r="C579" s="16" t="s">
        <v>585</v>
      </c>
      <c r="D579" s="29">
        <v>44305</v>
      </c>
      <c r="E579" s="18" t="s">
        <v>23</v>
      </c>
      <c r="F579" s="18"/>
      <c r="G579" s="13"/>
      <c r="H579" s="29">
        <v>44312</v>
      </c>
      <c r="I579" s="13" t="s">
        <v>1243</v>
      </c>
      <c r="J579" s="13"/>
      <c r="K579" s="13" t="s">
        <v>108</v>
      </c>
      <c r="L579" s="13"/>
      <c r="M579" s="13"/>
      <c r="N579" s="13"/>
      <c r="O579" s="13"/>
      <c r="P579" s="13"/>
      <c r="Q579" s="13"/>
      <c r="R579" s="13"/>
      <c r="S579" s="13" t="s">
        <v>1313</v>
      </c>
      <c r="T579" s="13"/>
      <c r="U579" s="13"/>
      <c r="V579" s="13"/>
      <c r="W579" s="13"/>
    </row>
    <row r="580" spans="1:23" s="25" customFormat="1" x14ac:dyDescent="0.25">
      <c r="A580" s="22" t="s">
        <v>386</v>
      </c>
      <c r="B580" s="21" t="s">
        <v>13</v>
      </c>
      <c r="C580" s="16" t="s">
        <v>883</v>
      </c>
      <c r="D580" s="17">
        <v>44305</v>
      </c>
      <c r="E580" s="23" t="s">
        <v>23</v>
      </c>
      <c r="F580" s="23"/>
      <c r="G580" s="21"/>
      <c r="H580" s="17">
        <v>44312</v>
      </c>
      <c r="I580" s="21" t="s">
        <v>803</v>
      </c>
      <c r="J580" s="21"/>
      <c r="K580" s="21" t="s">
        <v>1259</v>
      </c>
      <c r="L580" s="21"/>
      <c r="M580" s="21"/>
      <c r="N580" s="21"/>
      <c r="O580" s="21"/>
      <c r="P580" s="21"/>
      <c r="Q580" s="21"/>
      <c r="R580" s="21"/>
      <c r="S580" s="21" t="s">
        <v>1260</v>
      </c>
      <c r="T580" s="21"/>
      <c r="U580" s="21"/>
      <c r="V580" s="21"/>
      <c r="W580" s="21"/>
    </row>
    <row r="581" spans="1:23" s="25" customFormat="1" x14ac:dyDescent="0.25">
      <c r="A581" s="22" t="s">
        <v>386</v>
      </c>
      <c r="B581" s="21" t="s">
        <v>13</v>
      </c>
      <c r="C581" s="16" t="s">
        <v>883</v>
      </c>
      <c r="D581" s="17">
        <v>44305</v>
      </c>
      <c r="E581" s="23" t="s">
        <v>23</v>
      </c>
      <c r="F581" s="23"/>
      <c r="G581" s="21"/>
      <c r="H581" s="17">
        <v>44312</v>
      </c>
      <c r="I581" s="21" t="s">
        <v>1257</v>
      </c>
      <c r="J581" s="21"/>
      <c r="K581" s="21" t="s">
        <v>362</v>
      </c>
      <c r="L581" s="21"/>
      <c r="M581" s="21"/>
      <c r="N581" s="21"/>
      <c r="O581" s="21"/>
      <c r="P581" s="21"/>
      <c r="Q581" s="21"/>
      <c r="R581" s="21"/>
      <c r="S581" s="21" t="s">
        <v>577</v>
      </c>
      <c r="T581" s="21"/>
      <c r="U581" s="21"/>
      <c r="V581" s="21"/>
      <c r="W581" s="21"/>
    </row>
    <row r="582" spans="1:23" s="25" customFormat="1" x14ac:dyDescent="0.25">
      <c r="A582" s="22" t="s">
        <v>386</v>
      </c>
      <c r="B582" s="21" t="s">
        <v>13</v>
      </c>
      <c r="C582" s="16" t="s">
        <v>883</v>
      </c>
      <c r="D582" s="17">
        <v>44305</v>
      </c>
      <c r="E582" s="23" t="s">
        <v>23</v>
      </c>
      <c r="F582" s="23"/>
      <c r="G582" s="21"/>
      <c r="H582" s="17">
        <v>44312</v>
      </c>
      <c r="I582" s="21" t="s">
        <v>1258</v>
      </c>
      <c r="J582" s="21"/>
      <c r="K582" s="21" t="s">
        <v>379</v>
      </c>
      <c r="L582" s="21"/>
      <c r="M582" s="21"/>
      <c r="N582" s="21"/>
      <c r="O582" s="21"/>
      <c r="P582" s="21"/>
      <c r="Q582" s="21"/>
      <c r="R582" s="21"/>
      <c r="S582" s="21" t="s">
        <v>1187</v>
      </c>
      <c r="T582" s="21"/>
      <c r="U582" s="21"/>
      <c r="V582" s="21"/>
      <c r="W582" s="21"/>
    </row>
    <row r="583" spans="1:23" x14ac:dyDescent="0.25">
      <c r="A583" s="16" t="s">
        <v>388</v>
      </c>
      <c r="B583" s="13" t="s">
        <v>13</v>
      </c>
      <c r="C583" s="16" t="s">
        <v>548</v>
      </c>
      <c r="D583" s="29">
        <v>44306</v>
      </c>
      <c r="E583" s="18" t="s">
        <v>23</v>
      </c>
      <c r="F583" s="18"/>
      <c r="G583" s="13"/>
      <c r="H583" s="29">
        <v>44313</v>
      </c>
      <c r="I583" s="13" t="s">
        <v>1222</v>
      </c>
      <c r="J583" s="13" t="s">
        <v>613</v>
      </c>
      <c r="K583" s="13"/>
      <c r="L583" s="13"/>
      <c r="M583" s="13"/>
      <c r="N583" s="13"/>
      <c r="O583" s="13"/>
      <c r="P583" s="13"/>
      <c r="Q583" s="13" t="s">
        <v>1229</v>
      </c>
      <c r="R583" s="13"/>
      <c r="S583" s="13" t="s">
        <v>1262</v>
      </c>
      <c r="T583" s="13"/>
      <c r="U583" s="13"/>
      <c r="V583" s="13"/>
      <c r="W583" s="13"/>
    </row>
    <row r="584" spans="1:23" x14ac:dyDescent="0.25">
      <c r="A584" s="16" t="s">
        <v>388</v>
      </c>
      <c r="B584" s="13" t="s">
        <v>13</v>
      </c>
      <c r="C584" s="16" t="s">
        <v>548</v>
      </c>
      <c r="D584" s="29">
        <v>44306</v>
      </c>
      <c r="E584" s="18" t="s">
        <v>23</v>
      </c>
      <c r="F584" s="18"/>
      <c r="G584" s="13" t="s">
        <v>17</v>
      </c>
      <c r="H584" s="29">
        <v>44313</v>
      </c>
      <c r="I584" s="13" t="s">
        <v>1304</v>
      </c>
      <c r="J584" s="13" t="s">
        <v>1305</v>
      </c>
      <c r="K584" s="13"/>
      <c r="L584" s="13"/>
      <c r="M584" s="13"/>
      <c r="N584" s="13"/>
      <c r="O584" s="13"/>
      <c r="P584" s="13"/>
      <c r="Q584" s="13" t="s">
        <v>1306</v>
      </c>
      <c r="R584" s="13"/>
      <c r="S584" s="13" t="s">
        <v>1307</v>
      </c>
      <c r="T584" s="13"/>
      <c r="U584" s="13"/>
      <c r="V584" s="13"/>
      <c r="W584" s="13"/>
    </row>
    <row r="585" spans="1:23" x14ac:dyDescent="0.25">
      <c r="A585" s="16" t="s">
        <v>388</v>
      </c>
      <c r="B585" s="13" t="s">
        <v>13</v>
      </c>
      <c r="C585" s="16" t="s">
        <v>548</v>
      </c>
      <c r="D585" s="29">
        <v>44306</v>
      </c>
      <c r="E585" s="18" t="s">
        <v>23</v>
      </c>
      <c r="F585" s="18"/>
      <c r="G585" s="13"/>
      <c r="H585" s="29">
        <v>44313</v>
      </c>
      <c r="I585" s="13" t="s">
        <v>1223</v>
      </c>
      <c r="J585" s="13" t="s">
        <v>1261</v>
      </c>
      <c r="K585" s="13"/>
      <c r="L585" s="13"/>
      <c r="M585" s="13"/>
      <c r="N585" s="13"/>
      <c r="O585" s="13"/>
      <c r="P585" s="13"/>
      <c r="Q585" s="13" t="s">
        <v>1230</v>
      </c>
      <c r="R585" s="13"/>
      <c r="S585" s="13" t="s">
        <v>1263</v>
      </c>
      <c r="T585" s="13"/>
      <c r="U585" s="13"/>
      <c r="V585" s="13"/>
      <c r="W585" s="13"/>
    </row>
    <row r="586" spans="1:23" s="25" customFormat="1" x14ac:dyDescent="0.25">
      <c r="A586" s="20">
        <v>175</v>
      </c>
      <c r="B586" s="21" t="s">
        <v>13</v>
      </c>
      <c r="C586" s="22" t="s">
        <v>672</v>
      </c>
      <c r="D586" s="17">
        <v>44299</v>
      </c>
      <c r="E586" s="23" t="s">
        <v>23</v>
      </c>
      <c r="F586" s="23"/>
      <c r="G586" s="26" t="s">
        <v>1668</v>
      </c>
      <c r="H586" s="107">
        <v>44389</v>
      </c>
      <c r="I586" s="26" t="s">
        <v>1142</v>
      </c>
      <c r="J586" s="26">
        <v>3018</v>
      </c>
      <c r="K586" s="26">
        <v>503</v>
      </c>
      <c r="L586" s="26">
        <v>0.31</v>
      </c>
      <c r="M586" s="26">
        <v>1.2010000000000001</v>
      </c>
      <c r="N586" s="26">
        <v>935.58</v>
      </c>
      <c r="O586" s="26">
        <v>3624.6179999999999</v>
      </c>
      <c r="P586" s="21">
        <v>121.63</v>
      </c>
      <c r="Q586" s="21">
        <v>68.2</v>
      </c>
      <c r="R586" s="21">
        <v>220</v>
      </c>
      <c r="S586" s="21">
        <v>205827.6</v>
      </c>
      <c r="T586" s="21"/>
      <c r="U586" s="21"/>
      <c r="V586" s="21"/>
      <c r="W586" s="21"/>
    </row>
    <row r="587" spans="1:23" x14ac:dyDescent="0.25">
      <c r="A587" s="16">
        <v>188</v>
      </c>
      <c r="B587" s="13" t="s">
        <v>34</v>
      </c>
      <c r="C587" s="16" t="s">
        <v>802</v>
      </c>
      <c r="D587" s="29">
        <v>44306</v>
      </c>
      <c r="E587" s="18" t="s">
        <v>23</v>
      </c>
      <c r="F587" s="18"/>
      <c r="G587" s="13"/>
      <c r="H587" s="29">
        <v>44313</v>
      </c>
      <c r="I587" s="13" t="s">
        <v>801</v>
      </c>
      <c r="J587" s="13">
        <v>461.5</v>
      </c>
      <c r="K587" s="13" t="s">
        <v>342</v>
      </c>
      <c r="L587" s="13">
        <v>0.19389999999999999</v>
      </c>
      <c r="M587" s="13">
        <v>1.6719999999999999</v>
      </c>
      <c r="N587" s="13">
        <v>89.484899999999996</v>
      </c>
      <c r="O587" s="13">
        <v>771.62800000000004</v>
      </c>
      <c r="P587" s="13">
        <v>11.63</v>
      </c>
      <c r="Q587" s="13">
        <v>55.84</v>
      </c>
      <c r="R587" s="13">
        <v>288</v>
      </c>
      <c r="S587" s="13">
        <v>25771.64</v>
      </c>
      <c r="T587" s="13"/>
      <c r="U587" s="13"/>
      <c r="V587" s="13"/>
      <c r="W587" s="13"/>
    </row>
    <row r="588" spans="1:23" s="83" customFormat="1" x14ac:dyDescent="0.25">
      <c r="A588" s="77">
        <v>189</v>
      </c>
      <c r="B588" s="78" t="s">
        <v>13</v>
      </c>
      <c r="C588" s="79" t="s">
        <v>32</v>
      </c>
      <c r="D588" s="80">
        <v>44307</v>
      </c>
      <c r="E588" s="81" t="s">
        <v>23</v>
      </c>
      <c r="F588" s="81"/>
      <c r="G588" s="78" t="s">
        <v>1419</v>
      </c>
      <c r="H588" s="82" t="s">
        <v>1411</v>
      </c>
      <c r="I588" s="78" t="s">
        <v>640</v>
      </c>
      <c r="J588" s="78">
        <v>70.55</v>
      </c>
      <c r="K588" s="78" t="s">
        <v>1278</v>
      </c>
      <c r="L588" s="78">
        <v>0.12230000000000001</v>
      </c>
      <c r="M588" s="78">
        <v>0.16200000000000001</v>
      </c>
      <c r="N588" s="78">
        <v>8.6282999999999994</v>
      </c>
      <c r="O588" s="78">
        <v>11.4291</v>
      </c>
      <c r="P588" s="78">
        <v>1.1200000000000001</v>
      </c>
      <c r="Q588" s="78">
        <v>45.01</v>
      </c>
      <c r="R588" s="78">
        <v>368</v>
      </c>
      <c r="S588" s="78">
        <v>3175.46</v>
      </c>
      <c r="T588" s="78"/>
      <c r="U588" s="78"/>
      <c r="V588" s="78"/>
      <c r="W588" s="78"/>
    </row>
    <row r="589" spans="1:23" s="83" customFormat="1" x14ac:dyDescent="0.25">
      <c r="A589" s="77">
        <v>189</v>
      </c>
      <c r="B589" s="78" t="s">
        <v>13</v>
      </c>
      <c r="C589" s="79" t="s">
        <v>32</v>
      </c>
      <c r="D589" s="80">
        <v>44307</v>
      </c>
      <c r="E589" s="81" t="s">
        <v>23</v>
      </c>
      <c r="F589" s="81"/>
      <c r="G589" s="78" t="s">
        <v>1420</v>
      </c>
      <c r="H589" s="82" t="s">
        <v>1411</v>
      </c>
      <c r="I589" s="78" t="s">
        <v>626</v>
      </c>
      <c r="J589" s="78">
        <v>455.9</v>
      </c>
      <c r="K589" s="78" t="s">
        <v>1279</v>
      </c>
      <c r="L589" s="78">
        <v>0.12230000000000001</v>
      </c>
      <c r="M589" s="78">
        <v>0.16200000000000001</v>
      </c>
      <c r="N589" s="78">
        <v>55.756599999999999</v>
      </c>
      <c r="O589" s="78">
        <v>73.855800000000002</v>
      </c>
      <c r="P589" s="78">
        <v>7.25</v>
      </c>
      <c r="Q589" s="78">
        <v>45.01</v>
      </c>
      <c r="R589" s="78">
        <v>368</v>
      </c>
      <c r="S589" s="78">
        <v>20520.060000000001</v>
      </c>
      <c r="T589" s="78"/>
      <c r="U589" s="78"/>
      <c r="V589" s="78"/>
      <c r="W589" s="78"/>
    </row>
    <row r="590" spans="1:23" s="25" customFormat="1" x14ac:dyDescent="0.25">
      <c r="A590" s="22" t="s">
        <v>391</v>
      </c>
      <c r="B590" s="21" t="s">
        <v>13</v>
      </c>
      <c r="C590" s="22" t="s">
        <v>284</v>
      </c>
      <c r="D590" s="17">
        <v>44307</v>
      </c>
      <c r="E590" s="23" t="s">
        <v>23</v>
      </c>
      <c r="F590" s="23"/>
      <c r="G590" s="21"/>
      <c r="H590" s="17">
        <v>44314</v>
      </c>
      <c r="I590" s="21" t="s">
        <v>1280</v>
      </c>
      <c r="J590" s="21" t="s">
        <v>1282</v>
      </c>
      <c r="K590" s="21"/>
      <c r="L590" s="21"/>
      <c r="M590" s="21"/>
      <c r="N590" s="21"/>
      <c r="O590" s="21"/>
      <c r="P590" s="21"/>
      <c r="Q590" s="21"/>
      <c r="R590" s="21"/>
      <c r="S590" s="21" t="s">
        <v>858</v>
      </c>
      <c r="T590" s="21"/>
      <c r="U590" s="21"/>
      <c r="V590" s="21"/>
      <c r="W590" s="21"/>
    </row>
    <row r="591" spans="1:23" s="25" customFormat="1" x14ac:dyDescent="0.25">
      <c r="A591" s="22" t="s">
        <v>1287</v>
      </c>
      <c r="B591" s="21" t="s">
        <v>13</v>
      </c>
      <c r="C591" s="22" t="s">
        <v>284</v>
      </c>
      <c r="D591" s="17">
        <v>44307</v>
      </c>
      <c r="E591" s="23" t="s">
        <v>23</v>
      </c>
      <c r="F591" s="23"/>
      <c r="G591" s="21"/>
      <c r="H591" s="17">
        <v>44314</v>
      </c>
      <c r="I591" s="21" t="s">
        <v>1281</v>
      </c>
      <c r="J591" s="21" t="s">
        <v>624</v>
      </c>
      <c r="K591" s="21"/>
      <c r="L591" s="21"/>
      <c r="M591" s="21"/>
      <c r="N591" s="21"/>
      <c r="O591" s="21"/>
      <c r="P591" s="21"/>
      <c r="Q591" s="21"/>
      <c r="R591" s="21"/>
      <c r="S591" s="21" t="s">
        <v>1284</v>
      </c>
      <c r="T591" s="21"/>
      <c r="U591" s="21"/>
      <c r="V591" s="21"/>
      <c r="W591" s="21"/>
    </row>
    <row r="592" spans="1:23" s="25" customFormat="1" x14ac:dyDescent="0.25">
      <c r="A592" s="22" t="s">
        <v>391</v>
      </c>
      <c r="B592" s="21" t="s">
        <v>13</v>
      </c>
      <c r="C592" s="22" t="s">
        <v>284</v>
      </c>
      <c r="D592" s="17">
        <v>44307</v>
      </c>
      <c r="E592" s="23" t="s">
        <v>23</v>
      </c>
      <c r="F592" s="23"/>
      <c r="G592" s="21"/>
      <c r="H592" s="17">
        <v>44314</v>
      </c>
      <c r="I592" s="21" t="s">
        <v>63</v>
      </c>
      <c r="J592" s="21" t="s">
        <v>977</v>
      </c>
      <c r="K592" s="21"/>
      <c r="L592" s="21"/>
      <c r="M592" s="21"/>
      <c r="N592" s="21"/>
      <c r="O592" s="21"/>
      <c r="P592" s="21"/>
      <c r="Q592" s="21"/>
      <c r="R592" s="21"/>
      <c r="S592" s="21" t="s">
        <v>858</v>
      </c>
      <c r="T592" s="21"/>
      <c r="U592" s="21"/>
      <c r="V592" s="21"/>
      <c r="W592" s="21"/>
    </row>
    <row r="593" spans="1:23" s="25" customFormat="1" x14ac:dyDescent="0.25">
      <c r="A593" s="22" t="s">
        <v>391</v>
      </c>
      <c r="B593" s="21" t="s">
        <v>13</v>
      </c>
      <c r="C593" s="22" t="s">
        <v>284</v>
      </c>
      <c r="D593" s="17">
        <v>44307</v>
      </c>
      <c r="E593" s="23" t="s">
        <v>23</v>
      </c>
      <c r="F593" s="23"/>
      <c r="G593" s="21"/>
      <c r="H593" s="17">
        <v>44314</v>
      </c>
      <c r="I593" s="21" t="s">
        <v>169</v>
      </c>
      <c r="J593" s="21" t="s">
        <v>1283</v>
      </c>
      <c r="K593" s="21"/>
      <c r="L593" s="21"/>
      <c r="M593" s="21"/>
      <c r="N593" s="21"/>
      <c r="O593" s="21"/>
      <c r="P593" s="21"/>
      <c r="Q593" s="21"/>
      <c r="R593" s="21"/>
      <c r="S593" s="21" t="s">
        <v>858</v>
      </c>
      <c r="T593" s="21"/>
      <c r="U593" s="21"/>
      <c r="V593" s="21"/>
      <c r="W593" s="21"/>
    </row>
    <row r="594" spans="1:23" x14ac:dyDescent="0.25">
      <c r="A594" s="16" t="s">
        <v>391</v>
      </c>
      <c r="B594" s="13" t="s">
        <v>13</v>
      </c>
      <c r="C594" s="16" t="s">
        <v>284</v>
      </c>
      <c r="D594" s="29">
        <v>44307</v>
      </c>
      <c r="E594" s="18" t="s">
        <v>23</v>
      </c>
      <c r="F594" s="18"/>
      <c r="G594" s="13"/>
      <c r="H594" s="29">
        <v>44314</v>
      </c>
      <c r="I594" s="13" t="s">
        <v>29</v>
      </c>
      <c r="J594" s="13" t="s">
        <v>623</v>
      </c>
      <c r="K594" s="13"/>
      <c r="L594" s="13"/>
      <c r="M594" s="13"/>
      <c r="N594" s="13"/>
      <c r="O594" s="13"/>
      <c r="P594" s="13"/>
      <c r="Q594" s="13"/>
      <c r="R594" s="13"/>
      <c r="S594" s="13" t="s">
        <v>1285</v>
      </c>
      <c r="T594" s="13"/>
      <c r="U594" s="13"/>
      <c r="V594" s="13"/>
      <c r="W594" s="13"/>
    </row>
    <row r="595" spans="1:23" s="25" customFormat="1" x14ac:dyDescent="0.25">
      <c r="A595" s="20" t="s">
        <v>1288</v>
      </c>
      <c r="B595" s="21" t="s">
        <v>13</v>
      </c>
      <c r="C595" s="22" t="s">
        <v>37</v>
      </c>
      <c r="D595" s="17">
        <v>44307</v>
      </c>
      <c r="E595" s="23" t="s">
        <v>23</v>
      </c>
      <c r="F595" s="23"/>
      <c r="G595" s="21"/>
      <c r="H595" s="24"/>
      <c r="I595" s="21" t="s">
        <v>1396</v>
      </c>
      <c r="J595" s="21">
        <v>12</v>
      </c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</row>
    <row r="596" spans="1:23" s="25" customFormat="1" x14ac:dyDescent="0.25">
      <c r="A596" s="20" t="s">
        <v>1288</v>
      </c>
      <c r="B596" s="21" t="s">
        <v>13</v>
      </c>
      <c r="C596" s="22" t="s">
        <v>37</v>
      </c>
      <c r="D596" s="17">
        <v>44307</v>
      </c>
      <c r="E596" s="23" t="s">
        <v>23</v>
      </c>
      <c r="F596" s="23"/>
      <c r="G596" s="21"/>
      <c r="H596" s="24"/>
      <c r="I596" s="21" t="s">
        <v>1152</v>
      </c>
      <c r="J596" s="21">
        <v>84</v>
      </c>
      <c r="K596" s="21"/>
      <c r="L596" s="21"/>
      <c r="M596" s="21"/>
      <c r="N596" s="21"/>
      <c r="O596" s="21"/>
      <c r="P596" s="21"/>
      <c r="Q596" s="21"/>
      <c r="R596" s="21"/>
      <c r="S596" s="21" t="s">
        <v>1286</v>
      </c>
      <c r="T596" s="21"/>
      <c r="U596" s="21"/>
      <c r="V596" s="21"/>
      <c r="W596" s="21"/>
    </row>
    <row r="597" spans="1:23" x14ac:dyDescent="0.25">
      <c r="A597" s="16" t="s">
        <v>392</v>
      </c>
      <c r="B597" s="13" t="s">
        <v>13</v>
      </c>
      <c r="C597" s="16" t="s">
        <v>891</v>
      </c>
      <c r="D597" s="29">
        <v>44307</v>
      </c>
      <c r="E597" s="18" t="s">
        <v>23</v>
      </c>
      <c r="F597" s="18"/>
      <c r="G597" s="13"/>
      <c r="H597" s="29">
        <v>44314</v>
      </c>
      <c r="I597" s="13" t="s">
        <v>890</v>
      </c>
      <c r="J597" s="13" t="s">
        <v>1289</v>
      </c>
      <c r="K597" s="13">
        <v>154</v>
      </c>
      <c r="L597" s="13"/>
      <c r="M597" s="13"/>
      <c r="N597" s="13"/>
      <c r="O597" s="13"/>
      <c r="P597" s="13"/>
      <c r="Q597" s="13"/>
      <c r="R597" s="13"/>
      <c r="S597" s="16">
        <v>30492</v>
      </c>
      <c r="T597" s="13"/>
      <c r="U597" s="13"/>
      <c r="V597" s="13"/>
      <c r="W597" s="13"/>
    </row>
    <row r="598" spans="1:23" x14ac:dyDescent="0.25">
      <c r="A598" s="16" t="s">
        <v>1290</v>
      </c>
      <c r="B598" s="13" t="s">
        <v>13</v>
      </c>
      <c r="C598" s="16" t="s">
        <v>15</v>
      </c>
      <c r="D598" s="29">
        <v>44307</v>
      </c>
      <c r="E598" s="18" t="s">
        <v>23</v>
      </c>
      <c r="F598" s="18"/>
      <c r="G598" s="13"/>
      <c r="H598" s="29">
        <v>44314</v>
      </c>
      <c r="I598" s="13" t="s">
        <v>89</v>
      </c>
      <c r="J598" s="13"/>
      <c r="K598" s="13">
        <v>48</v>
      </c>
      <c r="L598" s="13"/>
      <c r="M598" s="13"/>
      <c r="N598" s="13"/>
      <c r="O598" s="13"/>
      <c r="P598" s="13"/>
      <c r="Q598" s="13"/>
      <c r="R598" s="13"/>
      <c r="S598" s="13">
        <v>34992</v>
      </c>
      <c r="T598" s="13"/>
      <c r="U598" s="13"/>
      <c r="V598" s="13"/>
      <c r="W598" s="13"/>
    </row>
    <row r="599" spans="1:23" s="25" customFormat="1" x14ac:dyDescent="0.25">
      <c r="A599" s="22" t="s">
        <v>1296</v>
      </c>
      <c r="B599" s="21" t="s">
        <v>13</v>
      </c>
      <c r="C599" s="22" t="s">
        <v>621</v>
      </c>
      <c r="D599" s="17">
        <v>44307</v>
      </c>
      <c r="E599" s="23" t="s">
        <v>23</v>
      </c>
      <c r="F599" s="23"/>
      <c r="G599" s="21"/>
      <c r="H599" s="17"/>
      <c r="I599" s="21" t="s">
        <v>620</v>
      </c>
      <c r="J599" s="21" t="s">
        <v>624</v>
      </c>
      <c r="K599" s="21"/>
      <c r="L599" s="21"/>
      <c r="M599" s="21"/>
      <c r="N599" s="21"/>
      <c r="O599" s="21"/>
      <c r="P599" s="21"/>
      <c r="Q599" s="21"/>
      <c r="R599" s="21"/>
      <c r="S599" s="21" t="s">
        <v>1297</v>
      </c>
      <c r="T599" s="21"/>
      <c r="U599" s="21"/>
      <c r="V599" s="21"/>
      <c r="W599" s="21"/>
    </row>
    <row r="600" spans="1:23" s="25" customFormat="1" x14ac:dyDescent="0.25">
      <c r="A600" s="22" t="s">
        <v>1296</v>
      </c>
      <c r="B600" s="21" t="s">
        <v>13</v>
      </c>
      <c r="C600" s="22" t="s">
        <v>621</v>
      </c>
      <c r="D600" s="17">
        <v>44307</v>
      </c>
      <c r="E600" s="23" t="s">
        <v>23</v>
      </c>
      <c r="F600" s="23"/>
      <c r="G600" s="21"/>
      <c r="H600" s="17"/>
      <c r="I600" s="21" t="s">
        <v>1291</v>
      </c>
      <c r="J600" s="21" t="s">
        <v>1294</v>
      </c>
      <c r="K600" s="21"/>
      <c r="L600" s="21"/>
      <c r="M600" s="21"/>
      <c r="N600" s="21"/>
      <c r="O600" s="21"/>
      <c r="P600" s="21"/>
      <c r="Q600" s="21"/>
      <c r="R600" s="21"/>
      <c r="S600" s="21" t="s">
        <v>1298</v>
      </c>
      <c r="T600" s="21"/>
      <c r="U600" s="21"/>
      <c r="V600" s="21"/>
      <c r="W600" s="21"/>
    </row>
    <row r="601" spans="1:23" s="25" customFormat="1" x14ac:dyDescent="0.25">
      <c r="A601" s="22" t="s">
        <v>1296</v>
      </c>
      <c r="B601" s="21" t="s">
        <v>13</v>
      </c>
      <c r="C601" s="22" t="s">
        <v>621</v>
      </c>
      <c r="D601" s="17">
        <v>44307</v>
      </c>
      <c r="E601" s="23" t="s">
        <v>23</v>
      </c>
      <c r="F601" s="23"/>
      <c r="G601" s="21"/>
      <c r="H601" s="17"/>
      <c r="I601" s="21" t="s">
        <v>1292</v>
      </c>
      <c r="J601" s="21" t="s">
        <v>1295</v>
      </c>
      <c r="K601" s="21"/>
      <c r="L601" s="21"/>
      <c r="M601" s="21"/>
      <c r="N601" s="21"/>
      <c r="O601" s="21"/>
      <c r="P601" s="21"/>
      <c r="Q601" s="21"/>
      <c r="R601" s="21"/>
      <c r="S601" s="21" t="s">
        <v>1299</v>
      </c>
      <c r="T601" s="21"/>
      <c r="U601" s="21"/>
      <c r="V601" s="21"/>
      <c r="W601" s="21"/>
    </row>
    <row r="602" spans="1:23" s="25" customFormat="1" x14ac:dyDescent="0.25">
      <c r="A602" s="22" t="s">
        <v>1296</v>
      </c>
      <c r="B602" s="21" t="s">
        <v>13</v>
      </c>
      <c r="C602" s="22" t="s">
        <v>621</v>
      </c>
      <c r="D602" s="17">
        <v>44307</v>
      </c>
      <c r="E602" s="23" t="s">
        <v>23</v>
      </c>
      <c r="F602" s="23"/>
      <c r="G602" s="21"/>
      <c r="H602" s="17"/>
      <c r="I602" s="21" t="s">
        <v>1293</v>
      </c>
      <c r="J602" s="21" t="s">
        <v>248</v>
      </c>
      <c r="K602" s="21"/>
      <c r="L602" s="21"/>
      <c r="M602" s="21"/>
      <c r="N602" s="21"/>
      <c r="O602" s="21"/>
      <c r="P602" s="21"/>
      <c r="Q602" s="21"/>
      <c r="R602" s="21"/>
      <c r="S602" s="21">
        <v>6120</v>
      </c>
      <c r="T602" s="21"/>
      <c r="U602" s="21"/>
      <c r="V602" s="21"/>
      <c r="W602" s="21"/>
    </row>
    <row r="603" spans="1:23" s="25" customFormat="1" x14ac:dyDescent="0.25">
      <c r="A603" s="22" t="s">
        <v>1296</v>
      </c>
      <c r="B603" s="21" t="s">
        <v>13</v>
      </c>
      <c r="C603" s="22" t="s">
        <v>621</v>
      </c>
      <c r="D603" s="17">
        <v>44307</v>
      </c>
      <c r="E603" s="23" t="s">
        <v>23</v>
      </c>
      <c r="F603" s="23"/>
      <c r="G603" s="21"/>
      <c r="H603" s="17"/>
      <c r="I603" s="21" t="s">
        <v>25</v>
      </c>
      <c r="J603" s="21" t="s">
        <v>26</v>
      </c>
      <c r="K603" s="21"/>
      <c r="L603" s="21"/>
      <c r="M603" s="21"/>
      <c r="N603" s="21"/>
      <c r="O603" s="21"/>
      <c r="P603" s="21"/>
      <c r="Q603" s="21"/>
      <c r="R603" s="21"/>
      <c r="S603" s="21">
        <v>52000</v>
      </c>
      <c r="T603" s="21"/>
      <c r="U603" s="21"/>
      <c r="V603" s="21"/>
      <c r="W603" s="21"/>
    </row>
    <row r="604" spans="1:23" x14ac:dyDescent="0.25">
      <c r="A604" s="16">
        <v>192</v>
      </c>
      <c r="B604" s="13" t="s">
        <v>13</v>
      </c>
      <c r="C604" s="16" t="s">
        <v>32</v>
      </c>
      <c r="D604" s="29">
        <v>44307</v>
      </c>
      <c r="E604" s="18" t="s">
        <v>23</v>
      </c>
      <c r="F604" s="18"/>
      <c r="G604" s="13"/>
      <c r="H604" s="29">
        <v>44314</v>
      </c>
      <c r="I604" s="13" t="s">
        <v>1300</v>
      </c>
      <c r="J604" s="13">
        <v>77.25</v>
      </c>
      <c r="K604" s="13" t="s">
        <v>49</v>
      </c>
      <c r="L604" s="13">
        <v>0.15790000000000001</v>
      </c>
      <c r="M604" s="13">
        <v>0.309</v>
      </c>
      <c r="N604" s="13">
        <v>12.197800000000001</v>
      </c>
      <c r="O604" s="13">
        <v>23.8703</v>
      </c>
      <c r="P604" s="13">
        <v>1.59</v>
      </c>
      <c r="Q604" s="13">
        <v>32.53</v>
      </c>
      <c r="R604" s="13">
        <v>206</v>
      </c>
      <c r="S604" s="13">
        <v>2512.7399999999998</v>
      </c>
      <c r="T604" s="13"/>
      <c r="U604" s="13"/>
      <c r="V604" s="13"/>
      <c r="W604" s="13"/>
    </row>
    <row r="605" spans="1:23" x14ac:dyDescent="0.25">
      <c r="A605" s="15">
        <v>193</v>
      </c>
      <c r="B605" s="13" t="s">
        <v>13</v>
      </c>
      <c r="C605" s="16" t="s">
        <v>32</v>
      </c>
      <c r="D605" s="29">
        <v>44308</v>
      </c>
      <c r="E605" s="18" t="s">
        <v>23</v>
      </c>
      <c r="F605" s="18"/>
      <c r="G605" s="13">
        <v>60</v>
      </c>
      <c r="H605" s="19" t="s">
        <v>1411</v>
      </c>
      <c r="I605" s="13" t="s">
        <v>602</v>
      </c>
      <c r="J605" s="13">
        <v>1643</v>
      </c>
      <c r="K605" s="13" t="s">
        <v>1302</v>
      </c>
      <c r="L605" s="13">
        <v>0.25659999999999999</v>
      </c>
      <c r="M605" s="13">
        <v>0.68899999999999995</v>
      </c>
      <c r="N605" s="13">
        <v>421.59379999999999</v>
      </c>
      <c r="O605" s="13">
        <v>1132.027</v>
      </c>
      <c r="P605" s="13">
        <v>54.81</v>
      </c>
      <c r="Q605" s="13">
        <v>57.99</v>
      </c>
      <c r="R605" s="13">
        <v>226</v>
      </c>
      <c r="S605" s="13">
        <v>95280.2</v>
      </c>
      <c r="T605" s="13"/>
      <c r="U605" s="13"/>
      <c r="V605" s="13"/>
      <c r="W605" s="13"/>
    </row>
    <row r="606" spans="1:23" s="25" customFormat="1" x14ac:dyDescent="0.25">
      <c r="A606" s="22" t="s">
        <v>398</v>
      </c>
      <c r="B606" s="21" t="s">
        <v>13</v>
      </c>
      <c r="C606" s="22" t="s">
        <v>1303</v>
      </c>
      <c r="D606" s="17">
        <v>44308</v>
      </c>
      <c r="E606" s="23" t="s">
        <v>23</v>
      </c>
      <c r="F606" s="23"/>
      <c r="G606" s="21"/>
      <c r="H606" s="17">
        <v>44315</v>
      </c>
      <c r="I606" s="21" t="s">
        <v>668</v>
      </c>
      <c r="J606" s="21">
        <v>1</v>
      </c>
      <c r="K606" s="21"/>
      <c r="L606" s="21"/>
      <c r="M606" s="21"/>
      <c r="N606" s="21"/>
      <c r="O606" s="21"/>
      <c r="P606" s="21"/>
      <c r="Q606" s="21"/>
      <c r="R606" s="21"/>
      <c r="S606" s="21">
        <v>4000</v>
      </c>
      <c r="T606" s="21"/>
      <c r="U606" s="21"/>
      <c r="V606" s="21"/>
      <c r="W606" s="21"/>
    </row>
    <row r="607" spans="1:23" x14ac:dyDescent="0.25">
      <c r="A607" s="16" t="s">
        <v>400</v>
      </c>
      <c r="B607" s="13" t="s">
        <v>13</v>
      </c>
      <c r="C607" s="16" t="s">
        <v>1309</v>
      </c>
      <c r="D607" s="29">
        <v>44308</v>
      </c>
      <c r="E607" s="18" t="s">
        <v>23</v>
      </c>
      <c r="F607" s="18"/>
      <c r="G607" s="13"/>
      <c r="H607" s="29">
        <v>44315</v>
      </c>
      <c r="I607" s="13" t="s">
        <v>1308</v>
      </c>
      <c r="J607" s="13">
        <v>193</v>
      </c>
      <c r="K607" s="13"/>
      <c r="L607" s="13"/>
      <c r="M607" s="13"/>
      <c r="N607" s="13"/>
      <c r="O607" s="13"/>
      <c r="P607" s="13"/>
      <c r="Q607" s="13"/>
      <c r="R607" s="13"/>
      <c r="S607" s="13">
        <v>27000</v>
      </c>
      <c r="T607" s="13"/>
      <c r="U607" s="13"/>
      <c r="V607" s="13"/>
      <c r="W607" s="13"/>
    </row>
    <row r="608" spans="1:23" x14ac:dyDescent="0.25">
      <c r="A608" s="16" t="s">
        <v>405</v>
      </c>
      <c r="B608" s="13" t="s">
        <v>13</v>
      </c>
      <c r="C608" s="16" t="s">
        <v>1310</v>
      </c>
      <c r="D608" s="29">
        <v>44308</v>
      </c>
      <c r="E608" s="18" t="s">
        <v>23</v>
      </c>
      <c r="F608" s="18"/>
      <c r="G608" s="13"/>
      <c r="H608" s="29">
        <v>44321</v>
      </c>
      <c r="I608" s="13" t="s">
        <v>1311</v>
      </c>
      <c r="J608" s="13"/>
      <c r="K608" s="13">
        <v>50</v>
      </c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</row>
    <row r="609" spans="1:23" s="25" customFormat="1" x14ac:dyDescent="0.25">
      <c r="A609" s="22" t="s">
        <v>403</v>
      </c>
      <c r="B609" s="21" t="s">
        <v>13</v>
      </c>
      <c r="C609" s="22" t="s">
        <v>32</v>
      </c>
      <c r="D609" s="17">
        <v>44308</v>
      </c>
      <c r="E609" s="23" t="s">
        <v>23</v>
      </c>
      <c r="F609" s="23"/>
      <c r="G609" s="21"/>
      <c r="H609" s="17">
        <v>44321</v>
      </c>
      <c r="I609" s="21" t="s">
        <v>1332</v>
      </c>
      <c r="J609" s="21"/>
      <c r="K609" s="21">
        <v>50</v>
      </c>
      <c r="L609" s="21"/>
      <c r="M609" s="21"/>
      <c r="N609" s="21"/>
      <c r="O609" s="21"/>
      <c r="P609" s="21"/>
      <c r="Q609" s="21"/>
      <c r="R609" s="21"/>
      <c r="S609" s="21" t="s">
        <v>1333</v>
      </c>
      <c r="T609" s="21"/>
      <c r="U609" s="21"/>
      <c r="V609" s="21"/>
      <c r="W609" s="21"/>
    </row>
    <row r="610" spans="1:23" x14ac:dyDescent="0.25">
      <c r="A610" s="16" t="s">
        <v>401</v>
      </c>
      <c r="B610" s="13" t="s">
        <v>13</v>
      </c>
      <c r="C610" s="16" t="s">
        <v>292</v>
      </c>
      <c r="D610" s="29">
        <v>44309</v>
      </c>
      <c r="E610" s="18" t="s">
        <v>23</v>
      </c>
      <c r="F610" s="18"/>
      <c r="G610" s="13"/>
      <c r="H610" s="29">
        <v>44322</v>
      </c>
      <c r="I610" s="13" t="s">
        <v>1325</v>
      </c>
      <c r="J610" s="13">
        <v>5250</v>
      </c>
      <c r="K610" s="13"/>
      <c r="L610" s="13"/>
      <c r="M610" s="13"/>
      <c r="N610" s="13"/>
      <c r="O610" s="13"/>
      <c r="P610" s="13"/>
      <c r="Q610" s="13"/>
      <c r="R610" s="13"/>
      <c r="S610" s="13">
        <v>147000</v>
      </c>
      <c r="T610" s="13"/>
      <c r="U610" s="13"/>
      <c r="V610" s="13"/>
      <c r="W610" s="13"/>
    </row>
    <row r="611" spans="1:23" x14ac:dyDescent="0.25">
      <c r="A611" s="16" t="s">
        <v>402</v>
      </c>
      <c r="B611" s="13" t="s">
        <v>13</v>
      </c>
      <c r="C611" s="16" t="s">
        <v>15</v>
      </c>
      <c r="D611" s="29">
        <v>44312</v>
      </c>
      <c r="E611" s="18" t="s">
        <v>23</v>
      </c>
      <c r="F611" s="18"/>
      <c r="G611" s="13"/>
      <c r="H611" s="29">
        <v>44320</v>
      </c>
      <c r="I611" s="13" t="s">
        <v>89</v>
      </c>
      <c r="J611" s="13"/>
      <c r="K611" s="13">
        <v>48</v>
      </c>
      <c r="L611" s="13"/>
      <c r="M611" s="13"/>
      <c r="N611" s="13"/>
      <c r="O611" s="13"/>
      <c r="P611" s="13"/>
      <c r="Q611" s="13"/>
      <c r="R611" s="13"/>
      <c r="S611" s="13">
        <v>34992</v>
      </c>
      <c r="T611" s="13"/>
      <c r="U611" s="13"/>
      <c r="V611" s="13"/>
      <c r="W611" s="13"/>
    </row>
    <row r="612" spans="1:23" s="25" customFormat="1" x14ac:dyDescent="0.25">
      <c r="A612" s="22">
        <v>194</v>
      </c>
      <c r="B612" s="21" t="s">
        <v>13</v>
      </c>
      <c r="C612" s="22" t="s">
        <v>1327</v>
      </c>
      <c r="D612" s="17">
        <v>44312</v>
      </c>
      <c r="E612" s="23" t="s">
        <v>23</v>
      </c>
      <c r="F612" s="23"/>
      <c r="G612" s="21"/>
      <c r="H612" s="17">
        <v>44320</v>
      </c>
      <c r="I612" s="21" t="s">
        <v>1326</v>
      </c>
      <c r="J612" s="21">
        <v>54</v>
      </c>
      <c r="K612" s="21">
        <v>9</v>
      </c>
      <c r="L612" s="21">
        <v>0.2631</v>
      </c>
      <c r="M612" s="21">
        <v>0.48099999999999998</v>
      </c>
      <c r="N612" s="21">
        <v>14.2074</v>
      </c>
      <c r="O612" s="21">
        <v>25.974</v>
      </c>
      <c r="P612" s="21">
        <v>1.85</v>
      </c>
      <c r="Q612" s="21">
        <v>120.37</v>
      </c>
      <c r="R612" s="21">
        <v>457.51</v>
      </c>
      <c r="S612" s="21">
        <v>6500</v>
      </c>
      <c r="T612" s="21"/>
      <c r="U612" s="21"/>
      <c r="V612" s="21"/>
      <c r="W612" s="21"/>
    </row>
    <row r="613" spans="1:23" x14ac:dyDescent="0.25">
      <c r="A613" s="16" t="s">
        <v>413</v>
      </c>
      <c r="B613" s="13" t="s">
        <v>13</v>
      </c>
      <c r="C613" s="16" t="s">
        <v>1331</v>
      </c>
      <c r="D613" s="29">
        <v>44312</v>
      </c>
      <c r="E613" s="18" t="s">
        <v>23</v>
      </c>
      <c r="F613" s="18"/>
      <c r="G613" s="13"/>
      <c r="H613" s="29">
        <v>44323</v>
      </c>
      <c r="I613" s="13" t="s">
        <v>1328</v>
      </c>
      <c r="J613" s="13">
        <v>36</v>
      </c>
      <c r="K613" s="13"/>
      <c r="L613" s="13"/>
      <c r="M613" s="13"/>
      <c r="N613" s="13"/>
      <c r="O613" s="13"/>
      <c r="P613" s="13"/>
      <c r="Q613" s="13"/>
      <c r="R613" s="13"/>
      <c r="S613" s="13">
        <v>3240</v>
      </c>
      <c r="T613" s="13"/>
      <c r="U613" s="13"/>
      <c r="V613" s="13"/>
      <c r="W613" s="13"/>
    </row>
    <row r="614" spans="1:23" x14ac:dyDescent="0.25">
      <c r="A614" s="16" t="s">
        <v>413</v>
      </c>
      <c r="B614" s="13" t="s">
        <v>13</v>
      </c>
      <c r="C614" s="16" t="s">
        <v>1331</v>
      </c>
      <c r="D614" s="29">
        <v>44312</v>
      </c>
      <c r="E614" s="18" t="s">
        <v>23</v>
      </c>
      <c r="F614" s="18"/>
      <c r="G614" s="13"/>
      <c r="H614" s="29">
        <v>44324</v>
      </c>
      <c r="I614" s="13" t="s">
        <v>1329</v>
      </c>
      <c r="J614" s="13">
        <v>18</v>
      </c>
      <c r="K614" s="13"/>
      <c r="L614" s="13"/>
      <c r="M614" s="13"/>
      <c r="N614" s="13"/>
      <c r="O614" s="13"/>
      <c r="P614" s="13"/>
      <c r="Q614" s="13"/>
      <c r="R614" s="13"/>
      <c r="S614" s="13">
        <v>1620</v>
      </c>
      <c r="T614" s="13"/>
      <c r="U614" s="13"/>
      <c r="V614" s="13"/>
      <c r="W614" s="13"/>
    </row>
    <row r="615" spans="1:23" x14ac:dyDescent="0.25">
      <c r="A615" s="16" t="s">
        <v>413</v>
      </c>
      <c r="B615" s="13" t="s">
        <v>13</v>
      </c>
      <c r="C615" s="16" t="s">
        <v>1331</v>
      </c>
      <c r="D615" s="29">
        <v>44312</v>
      </c>
      <c r="E615" s="18" t="s">
        <v>23</v>
      </c>
      <c r="F615" s="18"/>
      <c r="G615" s="13"/>
      <c r="H615" s="29">
        <v>44325</v>
      </c>
      <c r="I615" s="13" t="s">
        <v>1330</v>
      </c>
      <c r="J615" s="13">
        <v>54</v>
      </c>
      <c r="K615" s="13"/>
      <c r="L615" s="13"/>
      <c r="M615" s="13"/>
      <c r="N615" s="13"/>
      <c r="O615" s="13"/>
      <c r="P615" s="13"/>
      <c r="Q615" s="13"/>
      <c r="R615" s="13"/>
      <c r="S615" s="13">
        <v>8640</v>
      </c>
      <c r="T615" s="13"/>
      <c r="U615" s="13"/>
      <c r="V615" s="13"/>
      <c r="W615" s="13"/>
    </row>
    <row r="616" spans="1:23" x14ac:dyDescent="0.25">
      <c r="A616" s="16">
        <v>195</v>
      </c>
      <c r="B616" s="13" t="s">
        <v>13</v>
      </c>
      <c r="C616" s="16" t="s">
        <v>32</v>
      </c>
      <c r="D616" s="29">
        <v>44312</v>
      </c>
      <c r="E616" s="18" t="s">
        <v>23</v>
      </c>
      <c r="F616" s="18"/>
      <c r="G616" s="13"/>
      <c r="H616" s="29">
        <v>44325</v>
      </c>
      <c r="I616" s="13" t="s">
        <v>602</v>
      </c>
      <c r="J616" s="13">
        <v>901</v>
      </c>
      <c r="K616" s="13" t="s">
        <v>202</v>
      </c>
      <c r="L616" s="13">
        <v>0.25659999999999999</v>
      </c>
      <c r="M616" s="13">
        <v>0.68899999999999995</v>
      </c>
      <c r="N616" s="13">
        <v>231.19659999999999</v>
      </c>
      <c r="O616" s="13">
        <v>620.78899999999999</v>
      </c>
      <c r="P616" s="13">
        <v>30.06</v>
      </c>
      <c r="Q616" s="13">
        <v>57.99</v>
      </c>
      <c r="R616" s="13">
        <v>226</v>
      </c>
      <c r="S616" s="13">
        <v>52250.43</v>
      </c>
      <c r="T616" s="13"/>
      <c r="U616" s="13"/>
      <c r="V616" s="13"/>
      <c r="W616" s="13"/>
    </row>
    <row r="617" spans="1:23" s="25" customFormat="1" x14ac:dyDescent="0.25">
      <c r="A617" s="20">
        <v>196</v>
      </c>
      <c r="B617" s="21" t="s">
        <v>13</v>
      </c>
      <c r="C617" s="22" t="s">
        <v>1550</v>
      </c>
      <c r="D617" s="17">
        <v>44313</v>
      </c>
      <c r="E617" s="23" t="s">
        <v>23</v>
      </c>
      <c r="F617" s="23"/>
      <c r="G617" s="21"/>
      <c r="H617" s="24">
        <v>44364</v>
      </c>
      <c r="I617" s="21" t="s">
        <v>199</v>
      </c>
      <c r="J617" s="21">
        <v>1622.6</v>
      </c>
      <c r="K617" s="21" t="s">
        <v>648</v>
      </c>
      <c r="L617" s="21">
        <v>0.40960000000000002</v>
      </c>
      <c r="M617" s="21">
        <v>1.0529999999999999</v>
      </c>
      <c r="N617" s="21">
        <v>664.61699999999996</v>
      </c>
      <c r="O617" s="21">
        <v>1708.5978</v>
      </c>
      <c r="P617" s="21">
        <v>86.4</v>
      </c>
      <c r="Q617" s="21">
        <v>77.819999999999993</v>
      </c>
      <c r="R617" s="21">
        <v>190</v>
      </c>
      <c r="S617" s="21">
        <v>126277.22</v>
      </c>
      <c r="T617" s="21"/>
      <c r="U617" s="21"/>
      <c r="V617" s="21"/>
      <c r="W617" s="21"/>
    </row>
    <row r="618" spans="1:23" x14ac:dyDescent="0.25">
      <c r="A618" s="16">
        <v>197</v>
      </c>
      <c r="B618" s="13" t="s">
        <v>13</v>
      </c>
      <c r="C618" s="16" t="s">
        <v>625</v>
      </c>
      <c r="D618" s="29">
        <v>44313</v>
      </c>
      <c r="E618" s="18" t="s">
        <v>23</v>
      </c>
      <c r="F618" s="18"/>
      <c r="G618" s="13"/>
      <c r="H618" s="29">
        <v>44320</v>
      </c>
      <c r="I618" s="13" t="s">
        <v>681</v>
      </c>
      <c r="J618" s="13">
        <v>1019.9</v>
      </c>
      <c r="K618" s="13">
        <v>217</v>
      </c>
      <c r="L618" s="13">
        <v>0.34789999999999999</v>
      </c>
      <c r="M618" s="13">
        <v>1.643</v>
      </c>
      <c r="N618" s="13">
        <v>354.82319999999999</v>
      </c>
      <c r="O618" s="13">
        <v>1675.6957</v>
      </c>
      <c r="P618" s="13">
        <v>46.13</v>
      </c>
      <c r="Q618" s="13">
        <v>66.099999999999994</v>
      </c>
      <c r="R618" s="13">
        <v>190</v>
      </c>
      <c r="S618" s="13">
        <v>67416.41</v>
      </c>
      <c r="T618" s="13"/>
      <c r="U618" s="13"/>
      <c r="V618" s="13"/>
      <c r="W618" s="13"/>
    </row>
    <row r="619" spans="1:23" x14ac:dyDescent="0.25">
      <c r="A619" s="16">
        <v>198</v>
      </c>
      <c r="B619" s="21" t="s">
        <v>13</v>
      </c>
      <c r="C619" s="16" t="s">
        <v>672</v>
      </c>
      <c r="D619" s="29">
        <v>44313</v>
      </c>
      <c r="E619" s="18" t="s">
        <v>23</v>
      </c>
      <c r="F619" s="18"/>
      <c r="G619" s="13"/>
      <c r="H619" s="29">
        <v>44320</v>
      </c>
      <c r="I619" s="13" t="s">
        <v>669</v>
      </c>
      <c r="J619" s="13">
        <v>180</v>
      </c>
      <c r="K619" s="13" t="s">
        <v>56</v>
      </c>
      <c r="L619" s="13">
        <v>0.29759999999999998</v>
      </c>
      <c r="M619" s="13">
        <v>0.67600000000000005</v>
      </c>
      <c r="N619" s="13">
        <v>53.567999999999998</v>
      </c>
      <c r="O619" s="13">
        <v>121.68</v>
      </c>
      <c r="P619" s="13">
        <v>6.96</v>
      </c>
      <c r="Q619" s="13">
        <v>65.47</v>
      </c>
      <c r="R619" s="13">
        <v>220</v>
      </c>
      <c r="S619" s="13">
        <v>11784.96</v>
      </c>
      <c r="T619" s="13"/>
      <c r="U619" s="13"/>
      <c r="V619" s="13"/>
      <c r="W619" s="13"/>
    </row>
    <row r="620" spans="1:23" x14ac:dyDescent="0.25">
      <c r="A620" s="16" t="s">
        <v>1336</v>
      </c>
      <c r="B620" s="13" t="s">
        <v>34</v>
      </c>
      <c r="C620" s="16" t="s">
        <v>16</v>
      </c>
      <c r="D620" s="29">
        <v>44313</v>
      </c>
      <c r="E620" s="18" t="s">
        <v>23</v>
      </c>
      <c r="F620" s="18"/>
      <c r="G620" s="13"/>
      <c r="H620" s="29">
        <v>44320</v>
      </c>
      <c r="I620" s="13" t="s">
        <v>1417</v>
      </c>
      <c r="J620" s="13">
        <v>1050</v>
      </c>
      <c r="K620" s="13" t="s">
        <v>420</v>
      </c>
      <c r="L620" s="13">
        <v>0.27260000000000001</v>
      </c>
      <c r="M620" s="13">
        <v>0.72899999999999998</v>
      </c>
      <c r="N620" s="13">
        <v>286.23</v>
      </c>
      <c r="O620" s="13">
        <v>765.45</v>
      </c>
      <c r="P620" s="13">
        <v>37.21</v>
      </c>
      <c r="Q620" s="13">
        <v>78.510000000000005</v>
      </c>
      <c r="R620" s="13">
        <v>288</v>
      </c>
      <c r="S620" s="13">
        <v>82434.240000000005</v>
      </c>
      <c r="T620" s="13" t="s">
        <v>1486</v>
      </c>
      <c r="U620" s="13"/>
      <c r="V620" s="13"/>
      <c r="W620" s="13"/>
    </row>
    <row r="621" spans="1:23" x14ac:dyDescent="0.25">
      <c r="A621" s="16" t="s">
        <v>1337</v>
      </c>
      <c r="B621" s="13" t="s">
        <v>34</v>
      </c>
      <c r="C621" s="16" t="s">
        <v>16</v>
      </c>
      <c r="D621" s="29">
        <v>44313</v>
      </c>
      <c r="E621" s="18" t="s">
        <v>23</v>
      </c>
      <c r="F621" s="18"/>
      <c r="G621" s="13" t="s">
        <v>1416</v>
      </c>
      <c r="H621" s="29">
        <v>44327</v>
      </c>
      <c r="I621" s="13" t="s">
        <v>862</v>
      </c>
      <c r="J621" s="13">
        <v>882</v>
      </c>
      <c r="K621" s="13" t="s">
        <v>408</v>
      </c>
      <c r="L621" s="13">
        <v>0.29970000000000002</v>
      </c>
      <c r="M621" s="13">
        <v>1.6739999999999999</v>
      </c>
      <c r="N621" s="13">
        <v>264.33539999999999</v>
      </c>
      <c r="O621" s="13">
        <v>1476.4680000000001</v>
      </c>
      <c r="P621" s="13">
        <v>34.36</v>
      </c>
      <c r="Q621" s="13">
        <v>86.31</v>
      </c>
      <c r="R621" s="13">
        <v>288</v>
      </c>
      <c r="S621" s="13">
        <v>76128.600000000006</v>
      </c>
      <c r="T621" s="13"/>
      <c r="U621" s="13"/>
      <c r="V621" s="13"/>
      <c r="W621" s="13"/>
    </row>
    <row r="622" spans="1:23" x14ac:dyDescent="0.25">
      <c r="A622" s="16" t="s">
        <v>412</v>
      </c>
      <c r="B622" s="21" t="s">
        <v>13</v>
      </c>
      <c r="C622" s="16" t="s">
        <v>30</v>
      </c>
      <c r="D622" s="29">
        <v>44313</v>
      </c>
      <c r="E622" s="18" t="s">
        <v>23</v>
      </c>
      <c r="F622" s="18"/>
      <c r="G622" s="13"/>
      <c r="H622" s="29">
        <v>44320</v>
      </c>
      <c r="I622" s="13" t="s">
        <v>214</v>
      </c>
      <c r="J622" s="13"/>
      <c r="K622" s="13" t="s">
        <v>96</v>
      </c>
      <c r="L622" s="13"/>
      <c r="M622" s="13"/>
      <c r="N622" s="13"/>
      <c r="O622" s="13"/>
      <c r="P622" s="13"/>
      <c r="Q622" s="13"/>
      <c r="R622" s="13"/>
      <c r="S622" s="13" t="s">
        <v>1338</v>
      </c>
      <c r="T622" s="13"/>
      <c r="U622" s="13"/>
      <c r="V622" s="13"/>
      <c r="W622" s="13"/>
    </row>
    <row r="623" spans="1:23" x14ac:dyDescent="0.25">
      <c r="A623" s="16" t="s">
        <v>412</v>
      </c>
      <c r="B623" s="21" t="s">
        <v>13</v>
      </c>
      <c r="C623" s="16" t="s">
        <v>30</v>
      </c>
      <c r="D623" s="29">
        <v>44313</v>
      </c>
      <c r="E623" s="18" t="s">
        <v>23</v>
      </c>
      <c r="F623" s="18"/>
      <c r="G623" s="13"/>
      <c r="H623" s="29">
        <v>44320</v>
      </c>
      <c r="I623" s="13" t="s">
        <v>215</v>
      </c>
      <c r="J623" s="13"/>
      <c r="K623" s="13" t="s">
        <v>96</v>
      </c>
      <c r="L623" s="13"/>
      <c r="M623" s="13"/>
      <c r="N623" s="13"/>
      <c r="O623" s="13"/>
      <c r="P623" s="13"/>
      <c r="Q623" s="13"/>
      <c r="R623" s="13"/>
      <c r="S623" s="13" t="s">
        <v>1339</v>
      </c>
      <c r="T623" s="13"/>
      <c r="U623" s="13"/>
      <c r="V623" s="13"/>
      <c r="W623" s="13"/>
    </row>
    <row r="624" spans="1:23" x14ac:dyDescent="0.25">
      <c r="A624" s="16" t="s">
        <v>412</v>
      </c>
      <c r="B624" s="21" t="s">
        <v>13</v>
      </c>
      <c r="C624" s="16" t="s">
        <v>30</v>
      </c>
      <c r="D624" s="29">
        <v>44313</v>
      </c>
      <c r="E624" s="18" t="s">
        <v>23</v>
      </c>
      <c r="F624" s="18"/>
      <c r="G624" s="13"/>
      <c r="H624" s="29">
        <v>44320</v>
      </c>
      <c r="I624" s="13" t="s">
        <v>216</v>
      </c>
      <c r="J624" s="13"/>
      <c r="K624" s="13" t="s">
        <v>96</v>
      </c>
      <c r="L624" s="13"/>
      <c r="M624" s="13"/>
      <c r="N624" s="13"/>
      <c r="O624" s="13"/>
      <c r="P624" s="13"/>
      <c r="Q624" s="13"/>
      <c r="R624" s="13"/>
      <c r="S624" s="13" t="s">
        <v>435</v>
      </c>
      <c r="T624" s="13"/>
      <c r="U624" s="13"/>
      <c r="V624" s="13"/>
      <c r="W624" s="13"/>
    </row>
    <row r="625" spans="1:23" x14ac:dyDescent="0.25">
      <c r="A625" s="16" t="s">
        <v>412</v>
      </c>
      <c r="B625" s="21" t="s">
        <v>13</v>
      </c>
      <c r="C625" s="16" t="s">
        <v>30</v>
      </c>
      <c r="D625" s="29">
        <v>44313</v>
      </c>
      <c r="E625" s="18" t="s">
        <v>23</v>
      </c>
      <c r="F625" s="18"/>
      <c r="G625" s="13"/>
      <c r="H625" s="29">
        <v>44320</v>
      </c>
      <c r="I625" s="13" t="s">
        <v>219</v>
      </c>
      <c r="J625" s="13"/>
      <c r="K625" s="13" t="s">
        <v>96</v>
      </c>
      <c r="L625" s="13"/>
      <c r="M625" s="13"/>
      <c r="N625" s="13"/>
      <c r="O625" s="13"/>
      <c r="P625" s="13"/>
      <c r="Q625" s="13"/>
      <c r="R625" s="13"/>
      <c r="S625" s="13" t="s">
        <v>435</v>
      </c>
      <c r="T625" s="13"/>
      <c r="U625" s="13"/>
      <c r="V625" s="13"/>
      <c r="W625" s="13"/>
    </row>
    <row r="626" spans="1:23" x14ac:dyDescent="0.25">
      <c r="A626" s="16" t="s">
        <v>412</v>
      </c>
      <c r="B626" s="21" t="s">
        <v>13</v>
      </c>
      <c r="C626" s="16" t="s">
        <v>30</v>
      </c>
      <c r="D626" s="29">
        <v>44313</v>
      </c>
      <c r="E626" s="18" t="s">
        <v>23</v>
      </c>
      <c r="F626" s="18"/>
      <c r="G626" s="13"/>
      <c r="H626" s="29">
        <v>44320</v>
      </c>
      <c r="I626" s="13" t="s">
        <v>220</v>
      </c>
      <c r="J626" s="13"/>
      <c r="K626" s="13" t="s">
        <v>96</v>
      </c>
      <c r="L626" s="13"/>
      <c r="M626" s="13"/>
      <c r="N626" s="13"/>
      <c r="O626" s="13"/>
      <c r="P626" s="13"/>
      <c r="Q626" s="13"/>
      <c r="R626" s="13"/>
      <c r="S626" s="13" t="s">
        <v>1340</v>
      </c>
      <c r="T626" s="13"/>
      <c r="U626" s="13"/>
      <c r="V626" s="13"/>
      <c r="W626" s="13"/>
    </row>
    <row r="627" spans="1:23" x14ac:dyDescent="0.25">
      <c r="A627" s="16" t="s">
        <v>414</v>
      </c>
      <c r="B627" s="21" t="s">
        <v>13</v>
      </c>
      <c r="C627" s="16" t="s">
        <v>30</v>
      </c>
      <c r="D627" s="29">
        <v>44314</v>
      </c>
      <c r="E627" s="18" t="s">
        <v>23</v>
      </c>
      <c r="F627" s="18"/>
      <c r="G627" s="13"/>
      <c r="H627" s="29">
        <v>44321</v>
      </c>
      <c r="I627" s="13" t="s">
        <v>871</v>
      </c>
      <c r="J627" s="13"/>
      <c r="K627" s="16">
        <v>100</v>
      </c>
      <c r="L627" s="13"/>
      <c r="M627" s="13"/>
      <c r="N627" s="13"/>
      <c r="O627" s="13"/>
      <c r="P627" s="13"/>
      <c r="Q627" s="13"/>
      <c r="R627" s="13"/>
      <c r="S627" s="13" t="s">
        <v>1341</v>
      </c>
      <c r="T627" s="13"/>
      <c r="U627" s="13"/>
      <c r="V627" s="13"/>
      <c r="W627" s="13"/>
    </row>
    <row r="628" spans="1:23" x14ac:dyDescent="0.25">
      <c r="A628" s="16" t="s">
        <v>414</v>
      </c>
      <c r="B628" s="21" t="s">
        <v>13</v>
      </c>
      <c r="C628" s="16" t="s">
        <v>30</v>
      </c>
      <c r="D628" s="29">
        <v>44314</v>
      </c>
      <c r="E628" s="18" t="s">
        <v>23</v>
      </c>
      <c r="F628" s="18"/>
      <c r="G628" s="13"/>
      <c r="H628" s="29">
        <v>44321</v>
      </c>
      <c r="I628" s="13" t="s">
        <v>872</v>
      </c>
      <c r="J628" s="13"/>
      <c r="K628" s="16">
        <v>24</v>
      </c>
      <c r="L628" s="13"/>
      <c r="M628" s="13"/>
      <c r="N628" s="13"/>
      <c r="O628" s="13"/>
      <c r="P628" s="13"/>
      <c r="Q628" s="13"/>
      <c r="R628" s="13"/>
      <c r="S628" s="13" t="s">
        <v>1342</v>
      </c>
      <c r="T628" s="13"/>
      <c r="U628" s="13"/>
      <c r="V628" s="13"/>
      <c r="W628" s="13"/>
    </row>
    <row r="629" spans="1:23" x14ac:dyDescent="0.25">
      <c r="A629" s="16" t="s">
        <v>415</v>
      </c>
      <c r="B629" s="21" t="s">
        <v>13</v>
      </c>
      <c r="C629" s="16" t="s">
        <v>15</v>
      </c>
      <c r="D629" s="29">
        <v>44314</v>
      </c>
      <c r="E629" s="18" t="s">
        <v>23</v>
      </c>
      <c r="F629" s="18"/>
      <c r="G629" s="13"/>
      <c r="H629" s="29">
        <v>44321</v>
      </c>
      <c r="I629" s="13" t="s">
        <v>89</v>
      </c>
      <c r="J629" s="13"/>
      <c r="K629" s="16">
        <v>48</v>
      </c>
      <c r="L629" s="13"/>
      <c r="M629" s="13"/>
      <c r="N629" s="13"/>
      <c r="O629" s="13"/>
      <c r="P629" s="13"/>
      <c r="Q629" s="13"/>
      <c r="R629" s="13"/>
      <c r="S629" s="13">
        <v>34992</v>
      </c>
      <c r="T629" s="13"/>
      <c r="U629" s="13"/>
      <c r="V629" s="13"/>
      <c r="W629" s="13"/>
    </row>
    <row r="630" spans="1:23" s="25" customFormat="1" x14ac:dyDescent="0.25">
      <c r="A630" s="20">
        <v>200</v>
      </c>
      <c r="B630" s="21" t="s">
        <v>13</v>
      </c>
      <c r="C630" s="22" t="s">
        <v>591</v>
      </c>
      <c r="D630" s="17">
        <v>44314</v>
      </c>
      <c r="E630" s="23" t="s">
        <v>23</v>
      </c>
      <c r="F630" s="23"/>
      <c r="G630" s="21"/>
      <c r="H630" s="24"/>
      <c r="I630" s="21" t="s">
        <v>38</v>
      </c>
      <c r="J630" s="21">
        <v>2526</v>
      </c>
      <c r="K630" s="22" t="s">
        <v>1182</v>
      </c>
      <c r="L630" s="21">
        <v>6.4500000000000002E-2</v>
      </c>
      <c r="M630" s="21">
        <v>8.5000000000000006E-2</v>
      </c>
      <c r="N630" s="21">
        <v>162.92699999999999</v>
      </c>
      <c r="O630" s="21">
        <v>214.71</v>
      </c>
      <c r="P630" s="21">
        <v>21.18</v>
      </c>
      <c r="Q630" s="21">
        <v>16.96</v>
      </c>
      <c r="R630" s="21">
        <v>263</v>
      </c>
      <c r="S630" s="21">
        <v>42849.8</v>
      </c>
      <c r="T630" s="21"/>
      <c r="U630" s="21"/>
      <c r="V630" s="21"/>
      <c r="W630" s="21"/>
    </row>
    <row r="631" spans="1:23" ht="60.75" x14ac:dyDescent="0.25">
      <c r="A631" s="16" t="s">
        <v>1345</v>
      </c>
      <c r="B631" s="13" t="s">
        <v>34</v>
      </c>
      <c r="C631" s="16" t="s">
        <v>861</v>
      </c>
      <c r="D631" s="29">
        <v>44314</v>
      </c>
      <c r="E631" s="18" t="s">
        <v>23</v>
      </c>
      <c r="F631" s="18"/>
      <c r="G631" s="13"/>
      <c r="H631" s="29">
        <v>44321</v>
      </c>
      <c r="I631" s="74" t="s">
        <v>1344</v>
      </c>
      <c r="J631" s="13"/>
      <c r="K631" s="16">
        <v>30</v>
      </c>
      <c r="L631" s="13"/>
      <c r="N631" s="13"/>
      <c r="O631" s="13"/>
      <c r="P631" s="13"/>
      <c r="Q631" s="13"/>
      <c r="R631" s="13"/>
      <c r="S631" s="13" t="s">
        <v>1186</v>
      </c>
      <c r="T631" s="13"/>
      <c r="U631" s="13"/>
      <c r="V631" s="13"/>
      <c r="W631" s="13"/>
    </row>
    <row r="632" spans="1:23" ht="30.75" x14ac:dyDescent="0.25">
      <c r="A632" s="16" t="s">
        <v>421</v>
      </c>
      <c r="B632" s="13" t="s">
        <v>34</v>
      </c>
      <c r="C632" s="16" t="s">
        <v>384</v>
      </c>
      <c r="D632" s="29">
        <v>44314</v>
      </c>
      <c r="E632" s="18" t="s">
        <v>23</v>
      </c>
      <c r="F632" s="18"/>
      <c r="G632" s="13"/>
      <c r="H632" s="29">
        <v>44321</v>
      </c>
      <c r="I632" s="74" t="s">
        <v>1346</v>
      </c>
      <c r="J632" s="13"/>
      <c r="K632" s="16">
        <v>13</v>
      </c>
      <c r="L632" s="13"/>
      <c r="M632" s="13"/>
      <c r="N632" s="13">
        <v>27.55</v>
      </c>
      <c r="O632" s="13"/>
      <c r="P632" s="13"/>
      <c r="Q632" s="13"/>
      <c r="R632" s="13"/>
      <c r="S632" s="13">
        <v>10893.96</v>
      </c>
      <c r="T632" s="13"/>
      <c r="U632" s="13"/>
      <c r="V632" s="13"/>
      <c r="W632" s="13"/>
    </row>
    <row r="633" spans="1:23" s="83" customFormat="1" x14ac:dyDescent="0.25">
      <c r="A633" s="77">
        <v>187</v>
      </c>
      <c r="B633" s="78" t="s">
        <v>13</v>
      </c>
      <c r="C633" s="27" t="s">
        <v>672</v>
      </c>
      <c r="D633" s="80">
        <v>44306</v>
      </c>
      <c r="E633" s="81" t="s">
        <v>23</v>
      </c>
      <c r="F633" s="81"/>
      <c r="G633" s="102" t="s">
        <v>1669</v>
      </c>
      <c r="H633" s="82"/>
      <c r="I633" s="78" t="s">
        <v>1265</v>
      </c>
      <c r="J633" s="78">
        <v>201.5</v>
      </c>
      <c r="K633" s="78" t="s">
        <v>519</v>
      </c>
      <c r="L633" s="78">
        <v>0.62</v>
      </c>
      <c r="M633" s="78">
        <v>2.544</v>
      </c>
      <c r="N633" s="78">
        <v>124.93</v>
      </c>
      <c r="O633" s="78">
        <v>512.61599999999999</v>
      </c>
      <c r="P633" s="78">
        <v>16.239999999999998</v>
      </c>
      <c r="Q633" s="78">
        <v>148.80000000000001</v>
      </c>
      <c r="R633" s="78">
        <v>240</v>
      </c>
      <c r="S633" s="78">
        <v>29983.200000000001</v>
      </c>
      <c r="T633" s="78"/>
      <c r="U633" s="78"/>
      <c r="V633" s="78"/>
      <c r="W633" s="78"/>
    </row>
    <row r="634" spans="1:23" x14ac:dyDescent="0.25">
      <c r="A634" s="15">
        <v>201</v>
      </c>
      <c r="B634" s="13" t="s">
        <v>13</v>
      </c>
      <c r="C634" s="27" t="s">
        <v>595</v>
      </c>
      <c r="D634" s="29">
        <v>44314</v>
      </c>
      <c r="E634" s="18" t="s">
        <v>23</v>
      </c>
      <c r="F634" s="18"/>
      <c r="G634" s="13"/>
      <c r="H634" s="19"/>
      <c r="I634" s="13" t="s">
        <v>1113</v>
      </c>
      <c r="J634" s="13">
        <v>744</v>
      </c>
      <c r="K634" s="16" t="s">
        <v>262</v>
      </c>
      <c r="L634" s="13">
        <v>0.222</v>
      </c>
      <c r="M634" s="13">
        <v>0.74399999999999999</v>
      </c>
      <c r="N634" s="13">
        <v>165.16800000000001</v>
      </c>
      <c r="O634" s="13">
        <v>553.53599999999994</v>
      </c>
      <c r="P634" s="13">
        <v>21.47</v>
      </c>
      <c r="Q634" s="13">
        <v>48.84</v>
      </c>
      <c r="R634" s="13">
        <v>220</v>
      </c>
      <c r="S634" s="13">
        <v>36336.959999999999</v>
      </c>
      <c r="T634" s="13"/>
      <c r="U634" s="13"/>
      <c r="V634" s="13"/>
      <c r="W634" s="13"/>
    </row>
    <row r="635" spans="1:23" x14ac:dyDescent="0.25">
      <c r="A635" s="16">
        <v>202</v>
      </c>
      <c r="B635" s="13" t="s">
        <v>13</v>
      </c>
      <c r="C635" s="16" t="s">
        <v>557</v>
      </c>
      <c r="D635" s="29">
        <v>44315</v>
      </c>
      <c r="E635" s="18" t="s">
        <v>23</v>
      </c>
      <c r="F635" s="18"/>
      <c r="G635" s="13"/>
      <c r="H635" s="29">
        <v>44321</v>
      </c>
      <c r="I635" s="13" t="s">
        <v>681</v>
      </c>
      <c r="J635" s="13">
        <v>629.79999999999995</v>
      </c>
      <c r="K635" s="16">
        <v>134</v>
      </c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</row>
    <row r="636" spans="1:23" x14ac:dyDescent="0.25">
      <c r="A636" s="16" t="s">
        <v>417</v>
      </c>
      <c r="B636" s="13" t="s">
        <v>13</v>
      </c>
      <c r="C636" s="16" t="s">
        <v>585</v>
      </c>
      <c r="D636" s="29">
        <v>44315</v>
      </c>
      <c r="E636" s="18" t="s">
        <v>23</v>
      </c>
      <c r="F636" s="18"/>
      <c r="G636" s="13"/>
      <c r="H636" s="29">
        <v>44321</v>
      </c>
      <c r="I636" s="13" t="s">
        <v>710</v>
      </c>
      <c r="J636" s="13"/>
      <c r="K636" s="16" t="s">
        <v>318</v>
      </c>
      <c r="L636" s="13"/>
      <c r="M636" s="13"/>
      <c r="N636" s="13"/>
      <c r="O636" s="13"/>
      <c r="P636" s="13"/>
      <c r="Q636" s="13"/>
      <c r="R636" s="13"/>
      <c r="S636" s="13" t="s">
        <v>1186</v>
      </c>
      <c r="T636" s="13"/>
      <c r="U636" s="13"/>
      <c r="V636" s="13"/>
      <c r="W636" s="13"/>
    </row>
    <row r="637" spans="1:23" x14ac:dyDescent="0.25">
      <c r="A637" s="16" t="s">
        <v>417</v>
      </c>
      <c r="B637" s="13" t="s">
        <v>13</v>
      </c>
      <c r="C637" s="16" t="s">
        <v>585</v>
      </c>
      <c r="D637" s="29">
        <v>44315</v>
      </c>
      <c r="E637" s="18" t="s">
        <v>23</v>
      </c>
      <c r="F637" s="18"/>
      <c r="G637" s="13"/>
      <c r="H637" s="29">
        <v>44321</v>
      </c>
      <c r="I637" s="13" t="s">
        <v>711</v>
      </c>
      <c r="J637" s="13"/>
      <c r="K637" s="16" t="s">
        <v>318</v>
      </c>
      <c r="L637" s="13"/>
      <c r="M637" s="13"/>
      <c r="N637" s="13"/>
      <c r="O637" s="13"/>
      <c r="P637" s="13"/>
      <c r="Q637" s="13"/>
      <c r="R637" s="13"/>
      <c r="S637" s="13" t="s">
        <v>1186</v>
      </c>
      <c r="T637" s="13"/>
      <c r="U637" s="13"/>
      <c r="V637" s="13"/>
      <c r="W637" s="13"/>
    </row>
    <row r="638" spans="1:23" x14ac:dyDescent="0.25">
      <c r="A638" s="16" t="s">
        <v>417</v>
      </c>
      <c r="B638" s="13" t="s">
        <v>13</v>
      </c>
      <c r="C638" s="16" t="s">
        <v>585</v>
      </c>
      <c r="D638" s="29">
        <v>44315</v>
      </c>
      <c r="E638" s="18" t="s">
        <v>23</v>
      </c>
      <c r="F638" s="18"/>
      <c r="G638" s="13"/>
      <c r="H638" s="29">
        <v>44321</v>
      </c>
      <c r="I638" s="13" t="s">
        <v>712</v>
      </c>
      <c r="J638" s="13"/>
      <c r="K638" s="16" t="s">
        <v>125</v>
      </c>
      <c r="L638" s="13"/>
      <c r="M638" s="13"/>
      <c r="N638" s="13"/>
      <c r="O638" s="13"/>
      <c r="P638" s="13"/>
      <c r="Q638" s="13"/>
      <c r="R638" s="13"/>
      <c r="S638" s="13" t="s">
        <v>1349</v>
      </c>
      <c r="T638" s="13"/>
      <c r="U638" s="13"/>
      <c r="V638" s="13"/>
      <c r="W638" s="13"/>
    </row>
    <row r="639" spans="1:23" x14ac:dyDescent="0.25">
      <c r="A639" s="16" t="s">
        <v>417</v>
      </c>
      <c r="B639" s="13" t="s">
        <v>13</v>
      </c>
      <c r="C639" s="16" t="s">
        <v>585</v>
      </c>
      <c r="D639" s="29">
        <v>44315</v>
      </c>
      <c r="E639" s="18" t="s">
        <v>23</v>
      </c>
      <c r="F639" s="18"/>
      <c r="G639" s="13"/>
      <c r="H639" s="29">
        <v>44321</v>
      </c>
      <c r="I639" s="13" t="s">
        <v>713</v>
      </c>
      <c r="J639" s="13"/>
      <c r="K639" s="16" t="s">
        <v>357</v>
      </c>
      <c r="L639" s="13"/>
      <c r="M639" s="13"/>
      <c r="N639" s="13"/>
      <c r="O639" s="13"/>
      <c r="P639" s="13"/>
      <c r="Q639" s="13"/>
      <c r="R639" s="13"/>
      <c r="S639" s="13" t="s">
        <v>1350</v>
      </c>
      <c r="T639" s="13"/>
      <c r="U639" s="13"/>
      <c r="V639" s="13"/>
      <c r="W639" s="13"/>
    </row>
    <row r="640" spans="1:23" x14ac:dyDescent="0.25">
      <c r="A640" s="16" t="s">
        <v>417</v>
      </c>
      <c r="B640" s="13" t="s">
        <v>13</v>
      </c>
      <c r="C640" s="16" t="s">
        <v>585</v>
      </c>
      <c r="D640" s="29">
        <v>44315</v>
      </c>
      <c r="E640" s="18" t="s">
        <v>23</v>
      </c>
      <c r="F640" s="18"/>
      <c r="G640" s="13"/>
      <c r="H640" s="29">
        <v>44321</v>
      </c>
      <c r="I640" s="13" t="s">
        <v>714</v>
      </c>
      <c r="J640" s="13"/>
      <c r="K640" s="13" t="s">
        <v>125</v>
      </c>
      <c r="L640" s="13"/>
      <c r="M640" s="13"/>
      <c r="N640" s="13"/>
      <c r="O640" s="13"/>
      <c r="P640" s="13"/>
      <c r="Q640" s="13"/>
      <c r="R640" s="13"/>
      <c r="S640" s="13" t="s">
        <v>1351</v>
      </c>
      <c r="T640" s="13"/>
      <c r="U640" s="13"/>
      <c r="V640" s="13"/>
      <c r="W640" s="13"/>
    </row>
    <row r="641" spans="1:23" x14ac:dyDescent="0.25">
      <c r="A641" s="16" t="s">
        <v>417</v>
      </c>
      <c r="B641" s="13" t="s">
        <v>13</v>
      </c>
      <c r="C641" s="16" t="s">
        <v>585</v>
      </c>
      <c r="D641" s="29">
        <v>44315</v>
      </c>
      <c r="E641" s="18" t="s">
        <v>23</v>
      </c>
      <c r="F641" s="18"/>
      <c r="G641" s="13"/>
      <c r="H641" s="29">
        <v>44321</v>
      </c>
      <c r="I641" s="13" t="s">
        <v>715</v>
      </c>
      <c r="J641" s="13"/>
      <c r="K641" s="13" t="s">
        <v>125</v>
      </c>
      <c r="L641" s="13"/>
      <c r="M641" s="13"/>
      <c r="N641" s="13"/>
      <c r="O641" s="13"/>
      <c r="P641" s="13"/>
      <c r="Q641" s="13"/>
      <c r="R641" s="13"/>
      <c r="S641" s="13" t="s">
        <v>1351</v>
      </c>
      <c r="T641" s="13"/>
      <c r="U641" s="13"/>
      <c r="V641" s="13"/>
      <c r="W641" s="13"/>
    </row>
    <row r="642" spans="1:23" x14ac:dyDescent="0.25">
      <c r="A642" s="16" t="s">
        <v>417</v>
      </c>
      <c r="B642" s="13" t="s">
        <v>13</v>
      </c>
      <c r="C642" s="16" t="s">
        <v>585</v>
      </c>
      <c r="D642" s="29">
        <v>44315</v>
      </c>
      <c r="E642" s="18" t="s">
        <v>23</v>
      </c>
      <c r="F642" s="18"/>
      <c r="G642" s="13"/>
      <c r="H642" s="29">
        <v>44321</v>
      </c>
      <c r="I642" s="13" t="s">
        <v>716</v>
      </c>
      <c r="J642" s="13"/>
      <c r="K642" s="13" t="s">
        <v>318</v>
      </c>
      <c r="L642" s="13"/>
      <c r="M642" s="13"/>
      <c r="N642" s="13"/>
      <c r="O642" s="13"/>
      <c r="P642" s="13"/>
      <c r="Q642" s="13"/>
      <c r="R642" s="13"/>
      <c r="S642" s="13" t="s">
        <v>798</v>
      </c>
      <c r="T642" s="13"/>
      <c r="U642" s="13"/>
      <c r="V642" s="13"/>
      <c r="W642" s="13"/>
    </row>
    <row r="643" spans="1:23" x14ac:dyDescent="0.25">
      <c r="A643" s="16" t="s">
        <v>417</v>
      </c>
      <c r="B643" s="13" t="s">
        <v>13</v>
      </c>
      <c r="C643" s="16" t="s">
        <v>585</v>
      </c>
      <c r="D643" s="29">
        <v>44315</v>
      </c>
      <c r="E643" s="18" t="s">
        <v>23</v>
      </c>
      <c r="F643" s="18"/>
      <c r="G643" s="13"/>
      <c r="H643" s="29">
        <v>44321</v>
      </c>
      <c r="I643" s="13" t="s">
        <v>717</v>
      </c>
      <c r="J643" s="13"/>
      <c r="K643" s="13" t="s">
        <v>318</v>
      </c>
      <c r="L643" s="13"/>
      <c r="M643" s="13"/>
      <c r="N643" s="13"/>
      <c r="O643" s="13"/>
      <c r="P643" s="13"/>
      <c r="Q643" s="13"/>
      <c r="R643" s="13"/>
      <c r="S643" s="13" t="s">
        <v>798</v>
      </c>
      <c r="T643" s="13"/>
      <c r="U643" s="13"/>
      <c r="V643" s="13"/>
      <c r="W643" s="13"/>
    </row>
    <row r="644" spans="1:23" x14ac:dyDescent="0.25">
      <c r="A644" s="16" t="s">
        <v>417</v>
      </c>
      <c r="B644" s="13" t="s">
        <v>13</v>
      </c>
      <c r="C644" s="16" t="s">
        <v>585</v>
      </c>
      <c r="D644" s="29">
        <v>44315</v>
      </c>
      <c r="E644" s="18" t="s">
        <v>23</v>
      </c>
      <c r="F644" s="18"/>
      <c r="G644" s="13"/>
      <c r="H644" s="29">
        <v>44321</v>
      </c>
      <c r="I644" s="13" t="s">
        <v>718</v>
      </c>
      <c r="J644" s="13"/>
      <c r="K644" s="13" t="s">
        <v>318</v>
      </c>
      <c r="L644" s="13"/>
      <c r="M644" s="13"/>
      <c r="N644" s="13"/>
      <c r="O644" s="13"/>
      <c r="P644" s="13"/>
      <c r="Q644" s="13"/>
      <c r="R644" s="13"/>
      <c r="S644" s="13" t="s">
        <v>319</v>
      </c>
      <c r="T644" s="13"/>
      <c r="U644" s="13"/>
      <c r="V644" s="13"/>
      <c r="W644" s="13"/>
    </row>
    <row r="645" spans="1:23" x14ac:dyDescent="0.25">
      <c r="A645" s="16" t="s">
        <v>417</v>
      </c>
      <c r="B645" s="13" t="s">
        <v>13</v>
      </c>
      <c r="C645" s="16" t="s">
        <v>585</v>
      </c>
      <c r="D645" s="29">
        <v>44315</v>
      </c>
      <c r="E645" s="18" t="s">
        <v>23</v>
      </c>
      <c r="F645" s="18"/>
      <c r="G645" s="13"/>
      <c r="H645" s="29">
        <v>44321</v>
      </c>
      <c r="I645" s="13" t="s">
        <v>719</v>
      </c>
      <c r="J645" s="13"/>
      <c r="K645" s="13" t="s">
        <v>318</v>
      </c>
      <c r="L645" s="13"/>
      <c r="M645" s="13"/>
      <c r="N645" s="13"/>
      <c r="O645" s="13"/>
      <c r="P645" s="13"/>
      <c r="Q645" s="13"/>
      <c r="R645" s="13"/>
      <c r="S645" s="13" t="s">
        <v>319</v>
      </c>
      <c r="T645" s="13"/>
      <c r="U645" s="13"/>
      <c r="V645" s="13"/>
      <c r="W645" s="13"/>
    </row>
    <row r="646" spans="1:23" s="25" customFormat="1" x14ac:dyDescent="0.25">
      <c r="A646" s="20">
        <v>201</v>
      </c>
      <c r="B646" s="21" t="s">
        <v>13</v>
      </c>
      <c r="C646" s="22" t="s">
        <v>672</v>
      </c>
      <c r="D646" s="17">
        <v>44314</v>
      </c>
      <c r="E646" s="23" t="s">
        <v>23</v>
      </c>
      <c r="F646" s="23"/>
      <c r="G646" s="21"/>
      <c r="H646" s="24">
        <v>44389</v>
      </c>
      <c r="I646" s="21" t="s">
        <v>1112</v>
      </c>
      <c r="J646" s="21">
        <v>273</v>
      </c>
      <c r="K646" s="22" t="s">
        <v>298</v>
      </c>
      <c r="L646" s="21">
        <v>0.67</v>
      </c>
      <c r="M646" s="21">
        <v>1.9690000000000001</v>
      </c>
      <c r="N646" s="21">
        <v>182.91</v>
      </c>
      <c r="O646" s="21">
        <v>537.53700000000003</v>
      </c>
      <c r="P646" s="21">
        <v>23.78</v>
      </c>
      <c r="Q646" s="21">
        <v>147.4</v>
      </c>
      <c r="R646" s="21">
        <v>220</v>
      </c>
      <c r="S646" s="21">
        <v>40240.199999999997</v>
      </c>
      <c r="T646" s="21"/>
      <c r="U646" s="21"/>
      <c r="V646" s="21"/>
      <c r="W646" s="21"/>
    </row>
    <row r="647" spans="1:23" x14ac:dyDescent="0.25">
      <c r="A647" s="16" t="s">
        <v>1352</v>
      </c>
      <c r="B647" s="13" t="s">
        <v>13</v>
      </c>
      <c r="C647" s="16" t="s">
        <v>585</v>
      </c>
      <c r="D647" s="29">
        <v>44316</v>
      </c>
      <c r="E647" s="18" t="s">
        <v>23</v>
      </c>
      <c r="F647" s="18"/>
      <c r="G647" s="13"/>
      <c r="H647" s="29">
        <v>44293</v>
      </c>
      <c r="I647" s="13" t="s">
        <v>92</v>
      </c>
      <c r="J647" s="13"/>
      <c r="K647" s="13" t="s">
        <v>250</v>
      </c>
      <c r="L647" s="13"/>
      <c r="M647" s="13"/>
      <c r="N647" s="13"/>
      <c r="O647" s="13"/>
      <c r="P647" s="13"/>
      <c r="Q647" s="13"/>
      <c r="R647" s="13"/>
      <c r="S647" s="13" t="s">
        <v>55</v>
      </c>
      <c r="T647" s="13"/>
      <c r="U647" s="13"/>
      <c r="V647" s="13"/>
      <c r="W647" s="13"/>
    </row>
    <row r="648" spans="1:23" x14ac:dyDescent="0.25">
      <c r="A648" s="16" t="s">
        <v>1352</v>
      </c>
      <c r="B648" s="13" t="s">
        <v>13</v>
      </c>
      <c r="C648" s="16" t="s">
        <v>585</v>
      </c>
      <c r="D648" s="29">
        <v>44316</v>
      </c>
      <c r="E648" s="18" t="s">
        <v>23</v>
      </c>
      <c r="F648" s="18"/>
      <c r="G648" s="13"/>
      <c r="H648" s="29">
        <v>44293</v>
      </c>
      <c r="I648" s="13" t="s">
        <v>94</v>
      </c>
      <c r="J648" s="13"/>
      <c r="K648" s="13" t="s">
        <v>250</v>
      </c>
      <c r="L648" s="13"/>
      <c r="M648" s="13"/>
      <c r="N648" s="13"/>
      <c r="O648" s="13"/>
      <c r="P648" s="13"/>
      <c r="Q648" s="13"/>
      <c r="R648" s="13"/>
      <c r="S648" s="13" t="s">
        <v>55</v>
      </c>
      <c r="T648" s="13"/>
      <c r="U648" s="13"/>
      <c r="V648" s="13"/>
      <c r="W648" s="13"/>
    </row>
    <row r="649" spans="1:23" x14ac:dyDescent="0.25">
      <c r="A649" s="16" t="s">
        <v>1352</v>
      </c>
      <c r="B649" s="13" t="s">
        <v>13</v>
      </c>
      <c r="C649" s="16" t="s">
        <v>585</v>
      </c>
      <c r="D649" s="29">
        <v>44316</v>
      </c>
      <c r="E649" s="18" t="s">
        <v>23</v>
      </c>
      <c r="F649" s="18"/>
      <c r="G649" s="13"/>
      <c r="H649" s="29">
        <v>44293</v>
      </c>
      <c r="I649" s="13" t="s">
        <v>95</v>
      </c>
      <c r="J649" s="13"/>
      <c r="K649" s="13" t="s">
        <v>75</v>
      </c>
      <c r="L649" s="13"/>
      <c r="M649" s="13"/>
      <c r="N649" s="13"/>
      <c r="O649" s="13"/>
      <c r="P649" s="13"/>
      <c r="Q649" s="13"/>
      <c r="R649" s="13"/>
      <c r="S649" s="13" t="s">
        <v>320</v>
      </c>
      <c r="T649" s="13"/>
      <c r="U649" s="13"/>
      <c r="V649" s="13"/>
      <c r="W649" s="13"/>
    </row>
    <row r="650" spans="1:23" x14ac:dyDescent="0.25">
      <c r="A650" s="16" t="s">
        <v>1352</v>
      </c>
      <c r="B650" s="13" t="s">
        <v>13</v>
      </c>
      <c r="C650" s="16" t="s">
        <v>585</v>
      </c>
      <c r="D650" s="29">
        <v>44316</v>
      </c>
      <c r="E650" s="18" t="s">
        <v>23</v>
      </c>
      <c r="F650" s="18"/>
      <c r="G650" s="13"/>
      <c r="H650" s="29">
        <v>44293</v>
      </c>
      <c r="I650" s="13" t="s">
        <v>98</v>
      </c>
      <c r="J650" s="13"/>
      <c r="K650" s="13" t="s">
        <v>75</v>
      </c>
      <c r="L650" s="13"/>
      <c r="M650" s="13"/>
      <c r="N650" s="13"/>
      <c r="O650" s="13"/>
      <c r="P650" s="13"/>
      <c r="Q650" s="13"/>
      <c r="R650" s="13"/>
      <c r="S650" s="13" t="s">
        <v>320</v>
      </c>
      <c r="T650" s="13"/>
      <c r="U650" s="13"/>
      <c r="V650" s="13"/>
      <c r="W650" s="13"/>
    </row>
    <row r="651" spans="1:23" x14ac:dyDescent="0.25">
      <c r="A651" s="16" t="s">
        <v>1352</v>
      </c>
      <c r="B651" s="13" t="s">
        <v>13</v>
      </c>
      <c r="C651" s="16" t="s">
        <v>585</v>
      </c>
      <c r="D651" s="29">
        <v>44316</v>
      </c>
      <c r="E651" s="18" t="s">
        <v>23</v>
      </c>
      <c r="F651" s="18"/>
      <c r="G651" s="13"/>
      <c r="H651" s="29">
        <v>44293</v>
      </c>
      <c r="I651" s="13" t="s">
        <v>99</v>
      </c>
      <c r="J651" s="13"/>
      <c r="K651" s="13" t="s">
        <v>884</v>
      </c>
      <c r="L651" s="13"/>
      <c r="M651" s="13"/>
      <c r="N651" s="13"/>
      <c r="O651" s="13"/>
      <c r="P651" s="13"/>
      <c r="Q651" s="13"/>
      <c r="R651" s="13"/>
      <c r="S651" s="13" t="s">
        <v>319</v>
      </c>
      <c r="T651" s="13"/>
      <c r="U651" s="13"/>
      <c r="V651" s="13"/>
      <c r="W651" s="13"/>
    </row>
    <row r="652" spans="1:23" x14ac:dyDescent="0.25">
      <c r="A652" s="16" t="s">
        <v>1352</v>
      </c>
      <c r="B652" s="13" t="s">
        <v>13</v>
      </c>
      <c r="C652" s="16" t="s">
        <v>585</v>
      </c>
      <c r="D652" s="29">
        <v>44316</v>
      </c>
      <c r="E652" s="18" t="s">
        <v>23</v>
      </c>
      <c r="F652" s="18"/>
      <c r="G652" s="13"/>
      <c r="H652" s="29">
        <v>44293</v>
      </c>
      <c r="I652" s="13" t="s">
        <v>102</v>
      </c>
      <c r="J652" s="13"/>
      <c r="K652" s="13" t="s">
        <v>884</v>
      </c>
      <c r="L652" s="13"/>
      <c r="M652" s="13"/>
      <c r="N652" s="13"/>
      <c r="O652" s="13"/>
      <c r="P652" s="13"/>
      <c r="Q652" s="13"/>
      <c r="R652" s="13"/>
      <c r="S652" s="13" t="s">
        <v>319</v>
      </c>
      <c r="T652" s="13"/>
      <c r="U652" s="13"/>
      <c r="V652" s="13"/>
      <c r="W652" s="13"/>
    </row>
    <row r="653" spans="1:23" x14ac:dyDescent="0.25">
      <c r="A653" s="16" t="s">
        <v>1352</v>
      </c>
      <c r="B653" s="13" t="s">
        <v>13</v>
      </c>
      <c r="C653" s="16" t="s">
        <v>585</v>
      </c>
      <c r="D653" s="29">
        <v>44316</v>
      </c>
      <c r="E653" s="18" t="s">
        <v>23</v>
      </c>
      <c r="F653" s="18"/>
      <c r="G653" s="13"/>
      <c r="H653" s="29">
        <v>44293</v>
      </c>
      <c r="I653" s="13" t="s">
        <v>731</v>
      </c>
      <c r="J653" s="13"/>
      <c r="K653" s="13" t="s">
        <v>54</v>
      </c>
      <c r="L653" s="13"/>
      <c r="M653" s="13"/>
      <c r="N653" s="13"/>
      <c r="O653" s="13"/>
      <c r="P653" s="13"/>
      <c r="Q653" s="13"/>
      <c r="R653" s="13"/>
      <c r="S653" s="13" t="s">
        <v>1353</v>
      </c>
      <c r="T653" s="13"/>
      <c r="U653" s="13"/>
      <c r="V653" s="13"/>
      <c r="W653" s="13"/>
    </row>
    <row r="654" spans="1:23" x14ac:dyDescent="0.25">
      <c r="A654" s="16" t="s">
        <v>1352</v>
      </c>
      <c r="B654" s="13" t="s">
        <v>13</v>
      </c>
      <c r="C654" s="16" t="s">
        <v>585</v>
      </c>
      <c r="D654" s="29">
        <v>44316</v>
      </c>
      <c r="E654" s="18" t="s">
        <v>23</v>
      </c>
      <c r="F654" s="18"/>
      <c r="G654" s="13"/>
      <c r="H654" s="29">
        <v>44293</v>
      </c>
      <c r="I654" s="13" t="s">
        <v>732</v>
      </c>
      <c r="J654" s="13"/>
      <c r="K654" s="13" t="s">
        <v>54</v>
      </c>
      <c r="L654" s="13"/>
      <c r="M654" s="13"/>
      <c r="N654" s="13"/>
      <c r="O654" s="13"/>
      <c r="P654" s="13"/>
      <c r="Q654" s="13"/>
      <c r="R654" s="13"/>
      <c r="S654" s="13" t="s">
        <v>129</v>
      </c>
      <c r="T654" s="13"/>
      <c r="U654" s="13"/>
      <c r="V654" s="13"/>
      <c r="W654" s="13"/>
    </row>
    <row r="655" spans="1:23" s="25" customFormat="1" x14ac:dyDescent="0.25">
      <c r="A655" s="22" t="s">
        <v>1354</v>
      </c>
      <c r="B655" s="21" t="s">
        <v>13</v>
      </c>
      <c r="C655" s="22" t="s">
        <v>289</v>
      </c>
      <c r="D655" s="17">
        <v>44316</v>
      </c>
      <c r="E655" s="23" t="s">
        <v>23</v>
      </c>
      <c r="F655" s="23"/>
      <c r="G655" s="21"/>
      <c r="H655" s="17">
        <v>44293</v>
      </c>
      <c r="I655" s="21" t="s">
        <v>177</v>
      </c>
      <c r="J655" s="21"/>
      <c r="K655" s="21" t="s">
        <v>26</v>
      </c>
      <c r="L655" s="21"/>
      <c r="M655" s="21"/>
      <c r="N655" s="21"/>
      <c r="O655" s="21"/>
      <c r="P655" s="21"/>
      <c r="Q655" s="21"/>
      <c r="R655" s="21"/>
      <c r="S655" s="21" t="s">
        <v>1355</v>
      </c>
      <c r="T655" s="21"/>
      <c r="U655" s="21"/>
      <c r="V655" s="21"/>
      <c r="W655" s="21"/>
    </row>
    <row r="656" spans="1:23" s="25" customFormat="1" x14ac:dyDescent="0.25">
      <c r="A656" s="22" t="s">
        <v>1354</v>
      </c>
      <c r="B656" s="21" t="s">
        <v>13</v>
      </c>
      <c r="C656" s="22" t="s">
        <v>289</v>
      </c>
      <c r="D656" s="17">
        <v>44316</v>
      </c>
      <c r="E656" s="23" t="s">
        <v>23</v>
      </c>
      <c r="F656" s="23"/>
      <c r="G656" s="21"/>
      <c r="H656" s="17">
        <v>44293</v>
      </c>
      <c r="I656" s="21" t="s">
        <v>290</v>
      </c>
      <c r="J656" s="21"/>
      <c r="K656" s="21" t="s">
        <v>26</v>
      </c>
      <c r="L656" s="21"/>
      <c r="M656" s="21"/>
      <c r="N656" s="21"/>
      <c r="O656" s="21"/>
      <c r="P656" s="21"/>
      <c r="Q656" s="21"/>
      <c r="R656" s="21"/>
      <c r="S656" s="21" t="s">
        <v>416</v>
      </c>
      <c r="T656" s="21"/>
      <c r="U656" s="21"/>
      <c r="V656" s="21"/>
      <c r="W656" s="21"/>
    </row>
    <row r="657" spans="1:23" s="25" customFormat="1" ht="12.6" customHeight="1" x14ac:dyDescent="0.25">
      <c r="A657" s="22" t="s">
        <v>1354</v>
      </c>
      <c r="B657" s="21" t="s">
        <v>13</v>
      </c>
      <c r="C657" s="22" t="s">
        <v>289</v>
      </c>
      <c r="D657" s="17">
        <v>44316</v>
      </c>
      <c r="E657" s="23" t="s">
        <v>23</v>
      </c>
      <c r="F657" s="23"/>
      <c r="G657" s="21"/>
      <c r="H657" s="17">
        <v>44293</v>
      </c>
      <c r="I657" s="21" t="s">
        <v>241</v>
      </c>
      <c r="J657" s="21"/>
      <c r="K657" s="21" t="s">
        <v>26</v>
      </c>
      <c r="L657" s="21"/>
      <c r="M657" s="21"/>
      <c r="N657" s="21"/>
      <c r="O657" s="21"/>
      <c r="P657" s="21"/>
      <c r="Q657" s="21"/>
      <c r="R657" s="21"/>
      <c r="S657" s="21" t="s">
        <v>370</v>
      </c>
      <c r="T657" s="21"/>
      <c r="U657" s="21"/>
      <c r="V657" s="21"/>
      <c r="W657" s="21"/>
    </row>
    <row r="658" spans="1:23" x14ac:dyDescent="0.25">
      <c r="A658" s="16" t="s">
        <v>1359</v>
      </c>
      <c r="B658" s="13" t="s">
        <v>13</v>
      </c>
      <c r="C658" s="16" t="s">
        <v>43</v>
      </c>
      <c r="D658" s="29">
        <v>44316</v>
      </c>
      <c r="E658" s="18" t="s">
        <v>677</v>
      </c>
      <c r="F658" s="18"/>
      <c r="G658" s="13"/>
      <c r="H658" s="29"/>
      <c r="I658" s="13" t="s">
        <v>1356</v>
      </c>
      <c r="J658" s="13"/>
      <c r="K658" s="13" t="s">
        <v>54</v>
      </c>
      <c r="L658" s="13"/>
      <c r="M658" s="13"/>
      <c r="N658" s="13"/>
      <c r="O658" s="13"/>
      <c r="P658" s="13"/>
      <c r="Q658" s="13"/>
      <c r="R658" s="13"/>
      <c r="S658" s="13" t="s">
        <v>269</v>
      </c>
      <c r="T658" s="13"/>
      <c r="U658" s="13"/>
      <c r="V658" s="13"/>
      <c r="W658" s="13"/>
    </row>
    <row r="659" spans="1:23" x14ac:dyDescent="0.25">
      <c r="A659" s="16" t="s">
        <v>1359</v>
      </c>
      <c r="B659" s="13" t="s">
        <v>13</v>
      </c>
      <c r="C659" s="16" t="s">
        <v>43</v>
      </c>
      <c r="D659" s="29">
        <v>44316</v>
      </c>
      <c r="E659" s="18" t="s">
        <v>677</v>
      </c>
      <c r="F659" s="18"/>
      <c r="G659" s="13"/>
      <c r="H659" s="29"/>
      <c r="I659" s="13" t="s">
        <v>1357</v>
      </c>
      <c r="J659" s="13"/>
      <c r="K659" s="13" t="s">
        <v>36</v>
      </c>
      <c r="L659" s="13"/>
      <c r="M659" s="13"/>
      <c r="N659" s="13"/>
      <c r="O659" s="13"/>
      <c r="P659" s="13"/>
      <c r="Q659" s="13"/>
      <c r="R659" s="13"/>
      <c r="S659" s="13" t="s">
        <v>157</v>
      </c>
      <c r="T659" s="13"/>
      <c r="U659" s="13"/>
      <c r="V659" s="13"/>
      <c r="W659" s="13"/>
    </row>
    <row r="660" spans="1:23" x14ac:dyDescent="0.25">
      <c r="A660" s="16" t="s">
        <v>1359</v>
      </c>
      <c r="B660" s="13" t="s">
        <v>13</v>
      </c>
      <c r="C660" s="16" t="s">
        <v>43</v>
      </c>
      <c r="D660" s="29">
        <v>44316</v>
      </c>
      <c r="E660" s="18" t="s">
        <v>677</v>
      </c>
      <c r="F660" s="18"/>
      <c r="G660" s="13"/>
      <c r="H660" s="29"/>
      <c r="I660" s="13" t="s">
        <v>1358</v>
      </c>
      <c r="J660" s="13"/>
      <c r="K660" s="13" t="s">
        <v>36</v>
      </c>
      <c r="L660" s="13"/>
      <c r="M660" s="13"/>
      <c r="N660" s="13"/>
      <c r="O660" s="13"/>
      <c r="P660" s="13"/>
      <c r="Q660" s="13"/>
      <c r="R660" s="13"/>
      <c r="S660" s="13" t="s">
        <v>1360</v>
      </c>
      <c r="T660" s="13"/>
      <c r="U660" s="13"/>
      <c r="V660" s="13"/>
      <c r="W660" s="13"/>
    </row>
    <row r="661" spans="1:23" s="83" customFormat="1" x14ac:dyDescent="0.25">
      <c r="A661" s="77">
        <v>203</v>
      </c>
      <c r="B661" s="78" t="s">
        <v>13</v>
      </c>
      <c r="C661" s="79" t="s">
        <v>672</v>
      </c>
      <c r="D661" s="80">
        <v>44315</v>
      </c>
      <c r="E661" s="81" t="s">
        <v>23</v>
      </c>
      <c r="F661" s="81"/>
      <c r="G661" s="78" t="s">
        <v>1666</v>
      </c>
      <c r="H661" s="82">
        <v>44389</v>
      </c>
      <c r="I661" s="78" t="s">
        <v>1400</v>
      </c>
      <c r="J661" s="78">
        <v>492</v>
      </c>
      <c r="K661" s="78">
        <v>82</v>
      </c>
      <c r="L661" s="78">
        <v>0.29759999999999998</v>
      </c>
      <c r="M661" s="78">
        <v>0.67600000000000005</v>
      </c>
      <c r="N661" s="78">
        <v>149.99039999999999</v>
      </c>
      <c r="O661" s="78">
        <v>340.70400000000001</v>
      </c>
      <c r="P661" s="78">
        <v>19.5</v>
      </c>
      <c r="Q661" s="78">
        <v>65.47</v>
      </c>
      <c r="R661" s="78">
        <v>220</v>
      </c>
      <c r="S661" s="78">
        <v>32996.879999999997</v>
      </c>
      <c r="T661" s="78"/>
      <c r="U661" s="78"/>
      <c r="V661" s="78"/>
      <c r="W661" s="78"/>
    </row>
    <row r="662" spans="1:23" ht="25.5" customHeight="1" x14ac:dyDescent="0.25">
      <c r="A662" s="84" t="s">
        <v>1365</v>
      </c>
      <c r="B662" s="13" t="s">
        <v>34</v>
      </c>
      <c r="C662" s="16" t="s">
        <v>1364</v>
      </c>
      <c r="D662" s="29">
        <v>44316</v>
      </c>
      <c r="E662" s="18" t="s">
        <v>23</v>
      </c>
      <c r="F662" s="18"/>
      <c r="G662" s="13"/>
      <c r="H662" s="29">
        <v>44320</v>
      </c>
      <c r="I662" s="13" t="s">
        <v>1362</v>
      </c>
      <c r="J662" s="13">
        <v>338.55</v>
      </c>
      <c r="K662" s="13" t="s">
        <v>1363</v>
      </c>
      <c r="L662" s="13">
        <v>0.91269999999999996</v>
      </c>
      <c r="M662" s="13">
        <v>4.5439999999999996</v>
      </c>
      <c r="N662" s="13">
        <v>308.99459999999999</v>
      </c>
      <c r="O662" s="13">
        <v>1538.3712</v>
      </c>
      <c r="P662" s="13">
        <v>40.17</v>
      </c>
      <c r="Q662" s="13">
        <v>292.92</v>
      </c>
      <c r="R662" s="13">
        <v>320.94</v>
      </c>
      <c r="S662" s="13">
        <v>99168.72</v>
      </c>
      <c r="T662" s="13"/>
      <c r="U662" s="13"/>
      <c r="V662" s="13"/>
      <c r="W662" s="13"/>
    </row>
    <row r="663" spans="1:23" s="83" customFormat="1" x14ac:dyDescent="0.25">
      <c r="A663" s="20">
        <v>206</v>
      </c>
      <c r="B663" s="21" t="s">
        <v>13</v>
      </c>
      <c r="C663" s="22" t="s">
        <v>1120</v>
      </c>
      <c r="D663" s="80">
        <v>44320</v>
      </c>
      <c r="E663" s="81" t="s">
        <v>23</v>
      </c>
      <c r="F663" s="81"/>
      <c r="G663" s="78"/>
      <c r="H663" s="82">
        <v>44330</v>
      </c>
      <c r="I663" s="78" t="s">
        <v>149</v>
      </c>
      <c r="J663" s="78">
        <v>1005</v>
      </c>
      <c r="K663" s="78" t="s">
        <v>1366</v>
      </c>
      <c r="L663" s="78">
        <v>0.18360000000000001</v>
      </c>
      <c r="M663" s="78">
        <v>0.39400000000000002</v>
      </c>
      <c r="N663" s="78">
        <v>184.518</v>
      </c>
      <c r="O663" s="78">
        <v>395.97</v>
      </c>
      <c r="P663" s="78">
        <v>23.99</v>
      </c>
      <c r="Q663" s="78">
        <v>55.08</v>
      </c>
      <c r="R663" s="78">
        <v>300</v>
      </c>
      <c r="S663" s="78">
        <v>55355.4</v>
      </c>
      <c r="T663" s="78"/>
      <c r="U663" s="78"/>
      <c r="V663" s="78"/>
      <c r="W663" s="78"/>
    </row>
    <row r="664" spans="1:23" s="25" customFormat="1" x14ac:dyDescent="0.25">
      <c r="A664" s="20">
        <v>206</v>
      </c>
      <c r="B664" s="21" t="s">
        <v>13</v>
      </c>
      <c r="C664" s="22" t="s">
        <v>1120</v>
      </c>
      <c r="D664" s="17">
        <v>44320</v>
      </c>
      <c r="E664" s="23" t="s">
        <v>23</v>
      </c>
      <c r="F664" s="23"/>
      <c r="G664" s="21" t="s">
        <v>559</v>
      </c>
      <c r="H664" s="24"/>
      <c r="I664" s="21" t="s">
        <v>117</v>
      </c>
      <c r="J664" s="21">
        <v>500</v>
      </c>
      <c r="K664" s="21" t="s">
        <v>42</v>
      </c>
      <c r="L664" s="21">
        <v>0.1734</v>
      </c>
      <c r="M664" s="21">
        <v>0.35099999999999998</v>
      </c>
      <c r="N664" s="21">
        <v>86.7</v>
      </c>
      <c r="O664" s="21">
        <v>175.5</v>
      </c>
      <c r="P664" s="21">
        <v>11.27</v>
      </c>
      <c r="Q664" s="21">
        <v>52.02</v>
      </c>
      <c r="R664" s="21">
        <v>300</v>
      </c>
      <c r="S664" s="21">
        <v>26010</v>
      </c>
      <c r="T664" s="21"/>
      <c r="U664" s="21"/>
      <c r="V664" s="21"/>
      <c r="W664" s="21"/>
    </row>
    <row r="665" spans="1:23" s="25" customFormat="1" x14ac:dyDescent="0.25">
      <c r="A665" s="22" t="s">
        <v>1584</v>
      </c>
      <c r="B665" s="21" t="s">
        <v>13</v>
      </c>
      <c r="C665" s="22" t="s">
        <v>589</v>
      </c>
      <c r="D665" s="17">
        <v>44316</v>
      </c>
      <c r="E665" s="23" t="s">
        <v>23</v>
      </c>
      <c r="F665" s="23"/>
      <c r="G665" s="21" t="s">
        <v>1654</v>
      </c>
      <c r="H665" s="101">
        <v>44384</v>
      </c>
      <c r="I665" s="21" t="s">
        <v>676</v>
      </c>
      <c r="J665" s="21"/>
      <c r="K665" s="21">
        <v>1402</v>
      </c>
      <c r="L665" s="21"/>
      <c r="M665" s="21"/>
      <c r="N665" s="21"/>
      <c r="O665" s="21"/>
      <c r="P665" s="21"/>
      <c r="Q665" s="21"/>
      <c r="R665" s="21"/>
      <c r="S665" s="21" t="s">
        <v>1361</v>
      </c>
      <c r="T665" s="21"/>
      <c r="U665" s="21"/>
      <c r="V665" s="21"/>
      <c r="W665" s="21"/>
    </row>
    <row r="666" spans="1:23" s="25" customFormat="1" x14ac:dyDescent="0.25">
      <c r="A666" s="20">
        <v>206</v>
      </c>
      <c r="B666" s="21" t="s">
        <v>13</v>
      </c>
      <c r="C666" s="22" t="s">
        <v>1120</v>
      </c>
      <c r="D666" s="17">
        <v>44320</v>
      </c>
      <c r="E666" s="23" t="s">
        <v>23</v>
      </c>
      <c r="F666" s="23"/>
      <c r="G666" s="21" t="s">
        <v>1430</v>
      </c>
      <c r="H666" s="24">
        <v>44341</v>
      </c>
      <c r="I666" s="21" t="s">
        <v>299</v>
      </c>
      <c r="J666" s="21">
        <v>975</v>
      </c>
      <c r="K666" s="21" t="s">
        <v>550</v>
      </c>
      <c r="L666" s="21">
        <v>0.1381</v>
      </c>
      <c r="M666" s="21">
        <v>0.35199999999999998</v>
      </c>
      <c r="N666" s="21">
        <v>134.64750000000001</v>
      </c>
      <c r="O666" s="21">
        <v>343.2</v>
      </c>
      <c r="P666" s="21">
        <v>17.5</v>
      </c>
      <c r="Q666" s="21">
        <v>41.43</v>
      </c>
      <c r="R666" s="21">
        <v>300</v>
      </c>
      <c r="S666" s="21">
        <v>40394.25</v>
      </c>
      <c r="T666" s="21"/>
      <c r="U666" s="21"/>
      <c r="V666" s="21"/>
      <c r="W666" s="21"/>
    </row>
    <row r="667" spans="1:23" x14ac:dyDescent="0.25">
      <c r="A667" s="16">
        <v>207</v>
      </c>
      <c r="B667" s="13" t="s">
        <v>13</v>
      </c>
      <c r="C667" s="16" t="s">
        <v>625</v>
      </c>
      <c r="D667" s="29">
        <v>44320</v>
      </c>
      <c r="E667" s="18" t="s">
        <v>23</v>
      </c>
      <c r="F667" s="18"/>
      <c r="G667" s="13"/>
      <c r="H667" s="29">
        <v>44330</v>
      </c>
      <c r="I667" s="13" t="s">
        <v>681</v>
      </c>
      <c r="J667" s="13">
        <v>643.9</v>
      </c>
      <c r="K667" s="13" t="s">
        <v>860</v>
      </c>
      <c r="L667" s="13">
        <v>0.34789999999999999</v>
      </c>
      <c r="M667" s="13">
        <v>1.643</v>
      </c>
      <c r="N667" s="13">
        <v>224.0128</v>
      </c>
      <c r="O667" s="13">
        <v>1057.9277</v>
      </c>
      <c r="P667" s="13">
        <v>29.12</v>
      </c>
      <c r="Q667" s="13">
        <v>71.319999999999993</v>
      </c>
      <c r="R667" s="13">
        <v>205</v>
      </c>
      <c r="S667" s="13">
        <v>45922.95</v>
      </c>
      <c r="T667" s="13"/>
      <c r="U667" s="13"/>
      <c r="V667" s="13"/>
      <c r="W667" s="13"/>
    </row>
    <row r="668" spans="1:23" x14ac:dyDescent="0.25">
      <c r="A668" s="16">
        <v>208</v>
      </c>
      <c r="B668" s="13" t="s">
        <v>13</v>
      </c>
      <c r="C668" s="16" t="s">
        <v>625</v>
      </c>
      <c r="D668" s="29">
        <v>44320</v>
      </c>
      <c r="E668" s="18" t="s">
        <v>23</v>
      </c>
      <c r="F668" s="18"/>
      <c r="G668" s="13"/>
      <c r="H668" s="29">
        <v>44330</v>
      </c>
      <c r="I668" s="13" t="s">
        <v>1099</v>
      </c>
      <c r="J668" s="13">
        <v>1616.8</v>
      </c>
      <c r="K668" s="13" t="s">
        <v>1367</v>
      </c>
      <c r="L668" s="13">
        <v>0.34810000000000002</v>
      </c>
      <c r="M668" s="13">
        <v>1.4930000000000001</v>
      </c>
      <c r="N668" s="13">
        <v>562.80809999999997</v>
      </c>
      <c r="O668" s="13">
        <v>2413.8824</v>
      </c>
      <c r="P668" s="13">
        <v>73.17</v>
      </c>
      <c r="Q668" s="13">
        <v>71.36</v>
      </c>
      <c r="R668" s="13">
        <v>205</v>
      </c>
      <c r="S668" s="13">
        <v>115375.66</v>
      </c>
      <c r="T668" s="13"/>
      <c r="U668" s="13"/>
      <c r="V668" s="13"/>
      <c r="W668" s="13"/>
    </row>
    <row r="669" spans="1:23" x14ac:dyDescent="0.25">
      <c r="A669" s="16">
        <v>210</v>
      </c>
      <c r="B669" s="13" t="s">
        <v>13</v>
      </c>
      <c r="C669" s="16" t="s">
        <v>682</v>
      </c>
      <c r="D669" s="29">
        <v>44321</v>
      </c>
      <c r="E669" s="18" t="s">
        <v>23</v>
      </c>
      <c r="F669" s="18"/>
      <c r="G669" s="13"/>
      <c r="H669" s="29">
        <v>44331</v>
      </c>
      <c r="I669" s="13" t="s">
        <v>58</v>
      </c>
      <c r="J669" s="13">
        <v>96.1</v>
      </c>
      <c r="K669" s="13" t="s">
        <v>519</v>
      </c>
      <c r="L669" s="13">
        <v>0.9929</v>
      </c>
      <c r="M669" s="13">
        <v>4.5880000000000001</v>
      </c>
      <c r="N669" s="13">
        <v>95.417699999999996</v>
      </c>
      <c r="O669" s="13">
        <v>440.90679999999998</v>
      </c>
      <c r="P669" s="13">
        <v>12.4</v>
      </c>
      <c r="Q669" s="13">
        <v>273.05</v>
      </c>
      <c r="R669" s="13">
        <v>275</v>
      </c>
      <c r="S669" s="13">
        <v>26239.86</v>
      </c>
      <c r="T669" s="13"/>
      <c r="U669" s="13"/>
      <c r="V669" s="13"/>
      <c r="W669" s="13"/>
    </row>
    <row r="670" spans="1:23" x14ac:dyDescent="0.25">
      <c r="A670" s="16">
        <v>211</v>
      </c>
      <c r="B670" s="13" t="s">
        <v>34</v>
      </c>
      <c r="C670" s="16" t="s">
        <v>14</v>
      </c>
      <c r="D670" s="29">
        <v>44321</v>
      </c>
      <c r="E670" s="18" t="s">
        <v>23</v>
      </c>
      <c r="F670" s="18"/>
      <c r="G670" s="13" t="s">
        <v>559</v>
      </c>
      <c r="H670" s="29">
        <v>44328</v>
      </c>
      <c r="I670" s="13" t="s">
        <v>652</v>
      </c>
      <c r="J670" s="13">
        <v>2359.5</v>
      </c>
      <c r="K670" s="13" t="s">
        <v>51</v>
      </c>
      <c r="L670" s="13">
        <v>0.1061</v>
      </c>
      <c r="M670" s="13">
        <v>0.63800000000000001</v>
      </c>
      <c r="N670" s="13">
        <v>250.34299999999999</v>
      </c>
      <c r="O670" s="13">
        <v>1505.3610000000001</v>
      </c>
      <c r="P670" s="13">
        <v>32.54</v>
      </c>
      <c r="Q670" s="13">
        <v>29.71</v>
      </c>
      <c r="R670" s="13">
        <v>280</v>
      </c>
      <c r="S670" s="13">
        <v>70096.03</v>
      </c>
      <c r="T670" s="13"/>
      <c r="U670" s="13"/>
      <c r="V670" s="13"/>
      <c r="W670" s="13"/>
    </row>
    <row r="671" spans="1:23" x14ac:dyDescent="0.25">
      <c r="A671" s="16" t="s">
        <v>428</v>
      </c>
      <c r="B671" s="13" t="s">
        <v>13</v>
      </c>
      <c r="C671" s="16" t="s">
        <v>292</v>
      </c>
      <c r="D671" s="29">
        <v>44321</v>
      </c>
      <c r="E671" s="18" t="s">
        <v>23</v>
      </c>
      <c r="F671" s="18"/>
      <c r="G671" s="13"/>
      <c r="H671" s="29">
        <v>44328</v>
      </c>
      <c r="I671" s="13" t="s">
        <v>1368</v>
      </c>
      <c r="J671" s="13">
        <v>90</v>
      </c>
      <c r="K671" s="13">
        <v>30</v>
      </c>
      <c r="L671" s="13"/>
      <c r="M671" s="13"/>
      <c r="N671" s="13"/>
      <c r="O671" s="13"/>
      <c r="P671" s="13"/>
      <c r="Q671" s="13"/>
      <c r="R671" s="13"/>
      <c r="S671" s="13">
        <v>8500</v>
      </c>
      <c r="T671" s="13"/>
      <c r="U671" s="13"/>
      <c r="V671" s="13"/>
      <c r="W671" s="13"/>
    </row>
    <row r="672" spans="1:23" x14ac:dyDescent="0.25">
      <c r="A672" s="16" t="s">
        <v>2830</v>
      </c>
      <c r="B672" s="13" t="s">
        <v>34</v>
      </c>
      <c r="C672" s="16" t="s">
        <v>541</v>
      </c>
      <c r="D672" s="29">
        <v>44321</v>
      </c>
      <c r="E672" s="18" t="s">
        <v>23</v>
      </c>
      <c r="F672" s="18"/>
      <c r="G672" s="13" t="s">
        <v>1414</v>
      </c>
      <c r="H672" s="29">
        <v>44328</v>
      </c>
      <c r="I672" s="13" t="s">
        <v>1369</v>
      </c>
      <c r="J672" s="13" t="s">
        <v>1370</v>
      </c>
      <c r="K672" s="13">
        <v>3908</v>
      </c>
      <c r="L672" s="13">
        <v>5.1880000000000003E-2</v>
      </c>
      <c r="M672" s="13"/>
      <c r="N672" s="13"/>
      <c r="O672" s="13"/>
      <c r="P672" s="13"/>
      <c r="Q672" s="13"/>
      <c r="R672" s="13"/>
      <c r="S672" s="13" t="s">
        <v>1371</v>
      </c>
      <c r="T672" s="13"/>
      <c r="U672" s="13"/>
      <c r="V672" s="13"/>
      <c r="W672" s="13"/>
    </row>
    <row r="673" spans="1:23" x14ac:dyDescent="0.25">
      <c r="A673" s="16" t="s">
        <v>2831</v>
      </c>
      <c r="B673" s="13" t="s">
        <v>34</v>
      </c>
      <c r="C673" s="16" t="s">
        <v>541</v>
      </c>
      <c r="D673" s="29">
        <v>44321</v>
      </c>
      <c r="E673" s="18" t="s">
        <v>23</v>
      </c>
      <c r="F673" s="18"/>
      <c r="G673" s="13"/>
      <c r="H673" s="29"/>
      <c r="I673" s="13" t="s">
        <v>1372</v>
      </c>
      <c r="J673" s="13" t="s">
        <v>280</v>
      </c>
      <c r="K673" s="13"/>
      <c r="L673" s="13"/>
      <c r="M673" s="13"/>
      <c r="N673" s="13">
        <v>33.659999999999997</v>
      </c>
      <c r="O673" s="13"/>
      <c r="P673" s="13"/>
      <c r="Q673" s="13"/>
      <c r="R673" s="13"/>
      <c r="S673" s="13" t="s">
        <v>1379</v>
      </c>
      <c r="T673" s="13"/>
      <c r="U673" s="13"/>
      <c r="V673" s="13"/>
      <c r="W673" s="13"/>
    </row>
    <row r="674" spans="1:23" x14ac:dyDescent="0.25">
      <c r="A674" s="16" t="s">
        <v>2831</v>
      </c>
      <c r="B674" s="13" t="s">
        <v>34</v>
      </c>
      <c r="C674" s="16" t="s">
        <v>541</v>
      </c>
      <c r="D674" s="29">
        <v>44321</v>
      </c>
      <c r="E674" s="18" t="s">
        <v>23</v>
      </c>
      <c r="F674" s="18"/>
      <c r="G674" s="13"/>
      <c r="H674" s="29"/>
      <c r="I674" s="13" t="s">
        <v>1373</v>
      </c>
      <c r="J674" s="13" t="s">
        <v>1377</v>
      </c>
      <c r="K674" s="13"/>
      <c r="L674" s="13"/>
      <c r="M674" s="13"/>
      <c r="N674" s="13">
        <v>8.98</v>
      </c>
      <c r="O674" s="13"/>
      <c r="P674" s="13"/>
      <c r="Q674" s="13"/>
      <c r="R674" s="13"/>
      <c r="S674" s="13" t="s">
        <v>1380</v>
      </c>
      <c r="T674" s="13"/>
      <c r="U674" s="13"/>
      <c r="V674" s="13"/>
      <c r="W674" s="13"/>
    </row>
    <row r="675" spans="1:23" x14ac:dyDescent="0.25">
      <c r="A675" s="16" t="s">
        <v>2831</v>
      </c>
      <c r="B675" s="13" t="s">
        <v>34</v>
      </c>
      <c r="C675" s="16" t="s">
        <v>541</v>
      </c>
      <c r="D675" s="29">
        <v>44321</v>
      </c>
      <c r="E675" s="18" t="s">
        <v>23</v>
      </c>
      <c r="F675" s="18"/>
      <c r="G675" s="13"/>
      <c r="H675" s="29"/>
      <c r="I675" s="13" t="s">
        <v>1374</v>
      </c>
      <c r="J675" s="13" t="s">
        <v>90</v>
      </c>
      <c r="K675" s="13"/>
      <c r="L675" s="13"/>
      <c r="M675" s="13"/>
      <c r="N675" s="13">
        <v>6.62</v>
      </c>
      <c r="O675" s="13"/>
      <c r="P675" s="13"/>
      <c r="Q675" s="13"/>
      <c r="R675" s="13"/>
      <c r="S675" s="13" t="s">
        <v>1381</v>
      </c>
      <c r="T675" s="13"/>
      <c r="U675" s="13"/>
      <c r="V675" s="13"/>
      <c r="W675" s="13"/>
    </row>
    <row r="676" spans="1:23" x14ac:dyDescent="0.25">
      <c r="A676" s="16" t="s">
        <v>2831</v>
      </c>
      <c r="B676" s="13" t="s">
        <v>34</v>
      </c>
      <c r="C676" s="16" t="s">
        <v>541</v>
      </c>
      <c r="D676" s="29">
        <v>44321</v>
      </c>
      <c r="E676" s="18" t="s">
        <v>23</v>
      </c>
      <c r="F676" s="18"/>
      <c r="G676" s="13"/>
      <c r="H676" s="29"/>
      <c r="I676" s="13" t="s">
        <v>1375</v>
      </c>
      <c r="J676" s="13" t="s">
        <v>397</v>
      </c>
      <c r="K676" s="13"/>
      <c r="L676" s="13"/>
      <c r="M676" s="13"/>
      <c r="N676" s="13">
        <v>79.760000000000005</v>
      </c>
      <c r="O676" s="13"/>
      <c r="P676" s="13"/>
      <c r="Q676" s="13"/>
      <c r="R676" s="13"/>
      <c r="S676" s="13" t="s">
        <v>1382</v>
      </c>
      <c r="T676" s="13"/>
      <c r="U676" s="13"/>
      <c r="V676" s="13"/>
      <c r="W676" s="13"/>
    </row>
    <row r="677" spans="1:23" x14ac:dyDescent="0.25">
      <c r="A677" s="16" t="s">
        <v>2831</v>
      </c>
      <c r="B677" s="13" t="s">
        <v>34</v>
      </c>
      <c r="C677" s="16" t="s">
        <v>541</v>
      </c>
      <c r="D677" s="29">
        <v>44321</v>
      </c>
      <c r="E677" s="18" t="s">
        <v>23</v>
      </c>
      <c r="F677" s="18"/>
      <c r="G677" s="13"/>
      <c r="H677" s="29"/>
      <c r="I677" s="13" t="s">
        <v>1402</v>
      </c>
      <c r="J677" s="13">
        <v>48</v>
      </c>
      <c r="K677" s="13"/>
      <c r="L677" s="13"/>
      <c r="M677" s="13"/>
      <c r="N677" s="13">
        <v>22.79</v>
      </c>
      <c r="O677" s="13"/>
      <c r="P677" s="13"/>
      <c r="Q677" s="13"/>
      <c r="R677" s="13"/>
      <c r="S677" s="13" t="s">
        <v>1403</v>
      </c>
      <c r="T677" s="13"/>
      <c r="U677" s="13"/>
      <c r="V677" s="13"/>
      <c r="W677" s="13"/>
    </row>
    <row r="678" spans="1:23" x14ac:dyDescent="0.25">
      <c r="A678" s="16" t="s">
        <v>2831</v>
      </c>
      <c r="B678" s="13" t="s">
        <v>34</v>
      </c>
      <c r="C678" s="16" t="s">
        <v>541</v>
      </c>
      <c r="D678" s="29">
        <v>44321</v>
      </c>
      <c r="E678" s="18" t="s">
        <v>23</v>
      </c>
      <c r="F678" s="18"/>
      <c r="G678" s="13"/>
      <c r="H678" s="29"/>
      <c r="I678" s="13" t="s">
        <v>1376</v>
      </c>
      <c r="J678" s="13" t="s">
        <v>1378</v>
      </c>
      <c r="K678" s="13"/>
      <c r="L678" s="13"/>
      <c r="M678" s="13"/>
      <c r="N678" s="13">
        <v>57.22</v>
      </c>
      <c r="O678" s="13"/>
      <c r="P678" s="13"/>
      <c r="Q678" s="13"/>
      <c r="R678" s="13"/>
      <c r="S678" s="13" t="s">
        <v>1383</v>
      </c>
      <c r="T678" s="13"/>
      <c r="U678" s="13"/>
      <c r="V678" s="13"/>
      <c r="W678" s="13"/>
    </row>
    <row r="679" spans="1:23" x14ac:dyDescent="0.25">
      <c r="A679" s="16">
        <v>213</v>
      </c>
      <c r="B679" s="13" t="s">
        <v>13</v>
      </c>
      <c r="C679" s="16" t="s">
        <v>1171</v>
      </c>
      <c r="D679" s="29">
        <v>44327</v>
      </c>
      <c r="E679" s="18" t="s">
        <v>23</v>
      </c>
      <c r="F679" s="18"/>
      <c r="G679" s="13"/>
      <c r="H679" s="29">
        <v>44334</v>
      </c>
      <c r="I679" s="13" t="s">
        <v>1388</v>
      </c>
      <c r="J679" s="13">
        <v>500</v>
      </c>
      <c r="K679" s="13" t="s">
        <v>17</v>
      </c>
      <c r="L679" s="13" t="s">
        <v>17</v>
      </c>
      <c r="M679" s="13" t="s">
        <v>17</v>
      </c>
      <c r="N679" s="13" t="s">
        <v>17</v>
      </c>
      <c r="O679" s="13" t="s">
        <v>17</v>
      </c>
      <c r="P679" s="13" t="s">
        <v>17</v>
      </c>
      <c r="Q679" s="13" t="s">
        <v>17</v>
      </c>
      <c r="R679" s="13">
        <v>566</v>
      </c>
      <c r="S679" s="13"/>
      <c r="T679" s="13"/>
      <c r="U679" s="13"/>
      <c r="V679" s="13"/>
      <c r="W679" s="13"/>
    </row>
    <row r="680" spans="1:23" s="25" customFormat="1" x14ac:dyDescent="0.25">
      <c r="A680" s="20">
        <v>206</v>
      </c>
      <c r="B680" s="21" t="s">
        <v>13</v>
      </c>
      <c r="C680" s="22" t="s">
        <v>1120</v>
      </c>
      <c r="D680" s="17">
        <v>44320</v>
      </c>
      <c r="E680" s="23" t="s">
        <v>23</v>
      </c>
      <c r="F680" s="23"/>
      <c r="G680" s="21" t="s">
        <v>559</v>
      </c>
      <c r="H680" s="24"/>
      <c r="I680" s="21" t="s">
        <v>151</v>
      </c>
      <c r="J680" s="21">
        <v>895</v>
      </c>
      <c r="K680" s="25" t="s">
        <v>1180</v>
      </c>
      <c r="L680" s="25">
        <v>0.27189999999999998</v>
      </c>
      <c r="M680" s="25">
        <v>0.50600000000000001</v>
      </c>
      <c r="N680" s="21">
        <v>243.35050000000001</v>
      </c>
      <c r="O680" s="21">
        <v>452.87</v>
      </c>
      <c r="P680" s="21">
        <v>31.64</v>
      </c>
      <c r="Q680" s="21">
        <v>81.569999999999993</v>
      </c>
      <c r="R680" s="21">
        <v>300</v>
      </c>
      <c r="S680" s="21">
        <v>73005.149999999994</v>
      </c>
      <c r="T680" s="21"/>
      <c r="U680" s="21"/>
      <c r="V680" s="21"/>
      <c r="W680" s="21"/>
    </row>
    <row r="681" spans="1:23" x14ac:dyDescent="0.25">
      <c r="A681" s="20" t="s">
        <v>1570</v>
      </c>
      <c r="B681" s="21" t="s">
        <v>13</v>
      </c>
      <c r="C681" s="22" t="s">
        <v>891</v>
      </c>
      <c r="D681" s="17">
        <v>44327</v>
      </c>
      <c r="E681" s="23" t="s">
        <v>677</v>
      </c>
      <c r="F681" s="23"/>
      <c r="G681" s="21"/>
      <c r="H681" s="24"/>
      <c r="I681" s="21" t="s">
        <v>890</v>
      </c>
      <c r="J681" s="21">
        <v>240</v>
      </c>
      <c r="K681" s="21">
        <v>40</v>
      </c>
      <c r="L681" s="21"/>
      <c r="M681" s="21"/>
      <c r="N681" s="21"/>
      <c r="O681" s="21"/>
      <c r="P681" s="21"/>
      <c r="Q681" s="21"/>
      <c r="R681" s="21" t="s">
        <v>1096</v>
      </c>
      <c r="S681" s="21" t="s">
        <v>1389</v>
      </c>
      <c r="T681" s="21"/>
      <c r="U681" s="21"/>
      <c r="V681" s="13"/>
      <c r="W681" s="13"/>
    </row>
    <row r="682" spans="1:23" x14ac:dyDescent="0.25">
      <c r="A682" s="16">
        <v>216</v>
      </c>
      <c r="B682" s="13" t="s">
        <v>13</v>
      </c>
      <c r="C682" s="16" t="s">
        <v>32</v>
      </c>
      <c r="D682" s="29">
        <v>44328</v>
      </c>
      <c r="E682" s="18" t="s">
        <v>23</v>
      </c>
      <c r="F682" s="18"/>
      <c r="G682" s="13"/>
      <c r="H682" s="29">
        <v>44335</v>
      </c>
      <c r="I682" s="13" t="s">
        <v>1091</v>
      </c>
      <c r="J682" s="13">
        <v>1333.85</v>
      </c>
      <c r="K682" s="13" t="s">
        <v>1390</v>
      </c>
      <c r="L682" s="13">
        <v>0.19400000000000001</v>
      </c>
      <c r="M682" s="13">
        <v>0.35399999999999998</v>
      </c>
      <c r="N682" s="13">
        <v>258.76690000000002</v>
      </c>
      <c r="O682" s="13">
        <v>472.18290000000002</v>
      </c>
      <c r="P682" s="13">
        <v>33.64</v>
      </c>
      <c r="Q682" s="13">
        <v>73.72</v>
      </c>
      <c r="R682" s="13">
        <v>380</v>
      </c>
      <c r="S682" s="13">
        <v>98331.42</v>
      </c>
      <c r="T682" s="13"/>
      <c r="U682" s="13"/>
      <c r="V682" s="13"/>
      <c r="W682" s="13"/>
    </row>
    <row r="683" spans="1:23" x14ac:dyDescent="0.25">
      <c r="A683" s="16">
        <v>218</v>
      </c>
      <c r="B683" s="13" t="s">
        <v>13</v>
      </c>
      <c r="C683" s="16" t="s">
        <v>625</v>
      </c>
      <c r="D683" s="29">
        <v>44329</v>
      </c>
      <c r="E683" s="18" t="s">
        <v>23</v>
      </c>
      <c r="F683" s="18"/>
      <c r="G683" s="13"/>
      <c r="H683" s="29">
        <v>44333</v>
      </c>
      <c r="I683" s="13" t="s">
        <v>1392</v>
      </c>
      <c r="J683" s="13">
        <v>120</v>
      </c>
      <c r="K683" s="13" t="s">
        <v>61</v>
      </c>
      <c r="L683" s="13">
        <v>0.13400000000000001</v>
      </c>
      <c r="M683" s="13">
        <v>0.23200000000000001</v>
      </c>
      <c r="N683" s="13">
        <v>16.079999999999998</v>
      </c>
      <c r="O683" s="13">
        <v>27.84</v>
      </c>
      <c r="P683" s="13">
        <v>2.09</v>
      </c>
      <c r="Q683" s="13">
        <v>54.17</v>
      </c>
      <c r="R683" s="13">
        <v>404.23</v>
      </c>
      <c r="S683" s="13">
        <v>6500</v>
      </c>
      <c r="T683" s="13"/>
      <c r="U683" s="13"/>
      <c r="V683" s="13"/>
      <c r="W683" s="13"/>
    </row>
    <row r="684" spans="1:23" x14ac:dyDescent="0.25">
      <c r="A684" s="16">
        <v>220</v>
      </c>
      <c r="B684" s="13" t="s">
        <v>13</v>
      </c>
      <c r="C684" s="16" t="s">
        <v>32</v>
      </c>
      <c r="D684" s="29">
        <v>44329</v>
      </c>
      <c r="E684" s="18" t="s">
        <v>23</v>
      </c>
      <c r="F684" s="18"/>
      <c r="G684" s="13"/>
      <c r="H684" s="29">
        <v>44333</v>
      </c>
      <c r="I684" s="13" t="s">
        <v>1300</v>
      </c>
      <c r="J684" s="13">
        <v>72.099999999999994</v>
      </c>
      <c r="K684" s="13" t="s">
        <v>115</v>
      </c>
      <c r="L684" s="13">
        <v>0.15790000000000001</v>
      </c>
      <c r="M684" s="13">
        <v>0.309</v>
      </c>
      <c r="N684" s="13">
        <v>11.384600000000001</v>
      </c>
      <c r="O684" s="13">
        <v>22.2789</v>
      </c>
      <c r="P684" s="13">
        <v>1.48</v>
      </c>
      <c r="Q684" s="13">
        <v>83.22</v>
      </c>
      <c r="R684" s="13">
        <v>527.03</v>
      </c>
      <c r="S684" s="13">
        <v>6000</v>
      </c>
      <c r="T684" s="13"/>
      <c r="U684" s="13"/>
      <c r="V684" s="13"/>
      <c r="W684" s="13"/>
    </row>
    <row r="685" spans="1:23" s="25" customFormat="1" x14ac:dyDescent="0.25">
      <c r="A685" s="20">
        <v>221</v>
      </c>
      <c r="B685" s="21" t="s">
        <v>13</v>
      </c>
      <c r="C685" s="22" t="s">
        <v>625</v>
      </c>
      <c r="D685" s="17">
        <v>44330</v>
      </c>
      <c r="E685" s="23" t="s">
        <v>23</v>
      </c>
      <c r="F685" s="23"/>
      <c r="G685" s="21"/>
      <c r="H685" s="24">
        <v>44337</v>
      </c>
      <c r="I685" s="21" t="s">
        <v>681</v>
      </c>
      <c r="J685" s="21">
        <v>117.5</v>
      </c>
      <c r="K685" s="21" t="s">
        <v>1393</v>
      </c>
      <c r="L685" s="21">
        <v>0.34789999999999999</v>
      </c>
      <c r="M685" s="21">
        <v>1.643</v>
      </c>
      <c r="N685" s="21">
        <v>40.878300000000003</v>
      </c>
      <c r="O685" s="21">
        <v>193.05250000000001</v>
      </c>
      <c r="P685" s="21">
        <v>5.31</v>
      </c>
      <c r="Q685" s="21">
        <v>71.319999999999993</v>
      </c>
      <c r="R685" s="21">
        <v>205</v>
      </c>
      <c r="S685" s="21">
        <v>8380.0400000000009</v>
      </c>
      <c r="T685" s="21"/>
      <c r="U685" s="21"/>
      <c r="V685" s="21"/>
      <c r="W685" s="21"/>
    </row>
    <row r="686" spans="1:23" s="25" customFormat="1" x14ac:dyDescent="0.25">
      <c r="A686" s="20">
        <v>222</v>
      </c>
      <c r="B686" s="21" t="s">
        <v>13</v>
      </c>
      <c r="C686" s="22" t="s">
        <v>625</v>
      </c>
      <c r="D686" s="17">
        <v>44330</v>
      </c>
      <c r="E686" s="23" t="s">
        <v>23</v>
      </c>
      <c r="F686" s="23"/>
      <c r="G686" s="21"/>
      <c r="H686" s="24">
        <v>44337</v>
      </c>
      <c r="I686" s="21" t="s">
        <v>1099</v>
      </c>
      <c r="J686" s="21">
        <v>2810.6</v>
      </c>
      <c r="K686" s="21" t="s">
        <v>1394</v>
      </c>
      <c r="L686" s="21">
        <v>0.34810000000000002</v>
      </c>
      <c r="M686" s="21">
        <v>1.4930000000000001</v>
      </c>
      <c r="N686" s="21">
        <v>978.36990000000003</v>
      </c>
      <c r="O686" s="21">
        <v>4196.2258000000002</v>
      </c>
      <c r="P686" s="21">
        <v>127.19</v>
      </c>
      <c r="Q686" s="21">
        <v>71.36</v>
      </c>
      <c r="R686" s="21">
        <v>205</v>
      </c>
      <c r="S686" s="21">
        <v>200565.82</v>
      </c>
      <c r="T686" s="21"/>
      <c r="U686" s="21"/>
      <c r="V686" s="21"/>
      <c r="W686" s="21"/>
    </row>
    <row r="687" spans="1:23" x14ac:dyDescent="0.25">
      <c r="A687" s="16">
        <v>223</v>
      </c>
      <c r="B687" s="13" t="s">
        <v>13</v>
      </c>
      <c r="C687" s="16" t="s">
        <v>32</v>
      </c>
      <c r="D687" s="29">
        <v>44330</v>
      </c>
      <c r="E687" s="18" t="s">
        <v>23</v>
      </c>
      <c r="F687" s="18"/>
      <c r="G687" s="13"/>
      <c r="H687" s="29">
        <v>44336</v>
      </c>
      <c r="I687" s="13" t="s">
        <v>1395</v>
      </c>
      <c r="J687" s="13">
        <v>1098</v>
      </c>
      <c r="K687" s="13">
        <v>180</v>
      </c>
      <c r="L687" s="13">
        <v>0.25659999999999999</v>
      </c>
      <c r="M687" s="13">
        <v>0.68899999999999995</v>
      </c>
      <c r="N687" s="13">
        <v>281.74680000000001</v>
      </c>
      <c r="O687" s="13">
        <v>756.52200000000005</v>
      </c>
      <c r="P687" s="13">
        <v>36.630000000000003</v>
      </c>
      <c r="Q687" s="13">
        <v>57.99</v>
      </c>
      <c r="R687" s="13">
        <v>226</v>
      </c>
      <c r="S687" s="13">
        <v>63674.78</v>
      </c>
      <c r="T687" s="13"/>
      <c r="U687" s="13"/>
      <c r="V687" s="13"/>
      <c r="W687" s="13"/>
    </row>
    <row r="688" spans="1:23" x14ac:dyDescent="0.25">
      <c r="A688" s="16">
        <v>223</v>
      </c>
      <c r="B688" s="13" t="s">
        <v>13</v>
      </c>
      <c r="C688" s="16" t="s">
        <v>32</v>
      </c>
      <c r="D688" s="29">
        <v>44330</v>
      </c>
      <c r="E688" s="18" t="s">
        <v>23</v>
      </c>
      <c r="F688" s="18"/>
      <c r="G688" s="13"/>
      <c r="H688" s="29">
        <v>44336</v>
      </c>
      <c r="I688" s="13" t="s">
        <v>1395</v>
      </c>
      <c r="J688" s="13">
        <v>6.1</v>
      </c>
      <c r="K688" s="13">
        <v>1</v>
      </c>
      <c r="L688" s="13">
        <v>0.25659999999999999</v>
      </c>
      <c r="M688" s="13">
        <v>0.68899999999999995</v>
      </c>
      <c r="N688" s="13">
        <v>1.5652999999999999</v>
      </c>
      <c r="O688" s="13">
        <v>4.2028999999999996</v>
      </c>
      <c r="P688" s="13">
        <v>0.2</v>
      </c>
      <c r="Q688" s="13">
        <v>51.32</v>
      </c>
      <c r="R688" s="13">
        <v>200</v>
      </c>
      <c r="S688" s="13">
        <v>313.05</v>
      </c>
      <c r="T688" s="13"/>
      <c r="U688" s="13"/>
      <c r="V688" s="13"/>
      <c r="W688" s="13"/>
    </row>
    <row r="689" spans="1:23" s="25" customFormat="1" x14ac:dyDescent="0.25">
      <c r="A689" s="20">
        <v>224</v>
      </c>
      <c r="B689" s="21" t="s">
        <v>13</v>
      </c>
      <c r="C689" s="22" t="s">
        <v>672</v>
      </c>
      <c r="D689" s="17">
        <v>44330</v>
      </c>
      <c r="E689" s="23" t="s">
        <v>23</v>
      </c>
      <c r="F689" s="23"/>
      <c r="G689" s="21"/>
      <c r="H689" s="24">
        <v>44349</v>
      </c>
      <c r="I689" s="21" t="s">
        <v>999</v>
      </c>
      <c r="J689" s="21">
        <v>338</v>
      </c>
      <c r="K689" s="21">
        <v>52</v>
      </c>
      <c r="L689" s="21">
        <v>0.626</v>
      </c>
      <c r="M689" s="21">
        <v>2.1960000000000002</v>
      </c>
      <c r="N689" s="21">
        <v>211.58799999999999</v>
      </c>
      <c r="O689" s="21">
        <v>742.24800000000005</v>
      </c>
      <c r="P689" s="21">
        <v>27.51</v>
      </c>
      <c r="Q689" s="21">
        <v>137.72</v>
      </c>
      <c r="R689" s="21">
        <v>220</v>
      </c>
      <c r="S689" s="21">
        <v>46549.36</v>
      </c>
      <c r="T689" s="21"/>
      <c r="U689" s="21"/>
      <c r="V689" s="21"/>
      <c r="W689" s="21"/>
    </row>
    <row r="690" spans="1:23" s="86" customFormat="1" x14ac:dyDescent="0.25">
      <c r="A690" s="20">
        <v>225</v>
      </c>
      <c r="B690" s="21" t="s">
        <v>13</v>
      </c>
      <c r="C690" s="22" t="s">
        <v>674</v>
      </c>
      <c r="D690" s="17">
        <v>44330</v>
      </c>
      <c r="E690" s="23" t="s">
        <v>23</v>
      </c>
      <c r="F690" s="23"/>
      <c r="G690" s="21" t="s">
        <v>1456</v>
      </c>
      <c r="H690" s="24" t="s">
        <v>1445</v>
      </c>
      <c r="I690" s="21" t="s">
        <v>600</v>
      </c>
      <c r="J690" s="21">
        <v>4440</v>
      </c>
      <c r="K690" s="21">
        <v>740</v>
      </c>
      <c r="L690" s="21">
        <v>0.30719999999999997</v>
      </c>
      <c r="M690" s="21">
        <v>0.69199999999999995</v>
      </c>
      <c r="N690" s="21">
        <v>1363.9680000000001</v>
      </c>
      <c r="O690" s="21">
        <v>3072.48</v>
      </c>
      <c r="P690" s="85">
        <v>177.32</v>
      </c>
      <c r="Q690" s="85">
        <v>92.16</v>
      </c>
      <c r="R690" s="85">
        <v>300</v>
      </c>
      <c r="S690" s="85">
        <v>409190.40000000002</v>
      </c>
      <c r="T690" s="85"/>
      <c r="U690" s="85"/>
      <c r="V690" s="85"/>
      <c r="W690" s="85"/>
    </row>
    <row r="691" spans="1:23" x14ac:dyDescent="0.25">
      <c r="A691" s="16" t="s">
        <v>451</v>
      </c>
      <c r="B691" s="13" t="s">
        <v>13</v>
      </c>
      <c r="C691" s="16" t="s">
        <v>583</v>
      </c>
      <c r="D691" s="29">
        <v>44333</v>
      </c>
      <c r="E691" s="18" t="s">
        <v>23</v>
      </c>
      <c r="F691" s="18"/>
      <c r="G691" s="13"/>
      <c r="H691" s="29">
        <v>44340</v>
      </c>
      <c r="I691" s="13" t="s">
        <v>89</v>
      </c>
      <c r="J691" s="13"/>
      <c r="K691" s="13">
        <v>48</v>
      </c>
      <c r="L691" s="13"/>
      <c r="M691" s="13"/>
      <c r="N691" s="13"/>
      <c r="O691" s="13"/>
      <c r="P691" s="13"/>
      <c r="Q691" s="13"/>
      <c r="R691" s="13"/>
      <c r="S691" s="13">
        <v>34992</v>
      </c>
      <c r="T691" s="13"/>
      <c r="U691" s="13"/>
      <c r="V691" s="13"/>
      <c r="W691" s="13"/>
    </row>
    <row r="692" spans="1:23" s="25" customFormat="1" x14ac:dyDescent="0.25">
      <c r="A692" s="20">
        <v>215</v>
      </c>
      <c r="B692" s="21" t="s">
        <v>13</v>
      </c>
      <c r="C692" s="22" t="s">
        <v>672</v>
      </c>
      <c r="D692" s="17">
        <v>44328</v>
      </c>
      <c r="E692" s="23" t="s">
        <v>23</v>
      </c>
      <c r="F692" s="23"/>
      <c r="G692" s="21" t="s">
        <v>1872</v>
      </c>
      <c r="H692" s="24"/>
      <c r="I692" s="21" t="s">
        <v>1141</v>
      </c>
      <c r="J692" s="21">
        <v>1152</v>
      </c>
      <c r="K692" s="21">
        <v>288</v>
      </c>
      <c r="L692" s="21">
        <v>0.31</v>
      </c>
      <c r="M692" s="21">
        <v>1.2010000000000001</v>
      </c>
      <c r="N692" s="21">
        <v>357.12</v>
      </c>
      <c r="O692" s="21">
        <v>1383.5519999999999</v>
      </c>
      <c r="P692" s="21">
        <v>46.43</v>
      </c>
      <c r="Q692" s="21">
        <v>68.2</v>
      </c>
      <c r="R692" s="21">
        <v>220</v>
      </c>
      <c r="S692" s="21">
        <v>78566.399999999994</v>
      </c>
      <c r="T692" s="21"/>
      <c r="U692" s="21"/>
      <c r="V692" s="21"/>
      <c r="W692" s="21"/>
    </row>
    <row r="693" spans="1:23" x14ac:dyDescent="0.25">
      <c r="A693" s="15" t="s">
        <v>1571</v>
      </c>
      <c r="B693" s="13" t="s">
        <v>13</v>
      </c>
      <c r="C693" s="16" t="s">
        <v>295</v>
      </c>
      <c r="D693" s="29">
        <v>44333</v>
      </c>
      <c r="E693" s="18" t="s">
        <v>677</v>
      </c>
      <c r="F693" s="18"/>
      <c r="G693" s="13"/>
      <c r="H693" s="19"/>
      <c r="I693" s="13" t="s">
        <v>296</v>
      </c>
      <c r="J693" s="13">
        <v>1500</v>
      </c>
      <c r="K693" s="13"/>
      <c r="L693" s="13"/>
      <c r="M693" s="13"/>
      <c r="N693" s="13"/>
      <c r="O693" s="13"/>
      <c r="P693" s="13"/>
      <c r="Q693" s="13"/>
      <c r="R693" s="13"/>
      <c r="S693" s="13">
        <v>30900</v>
      </c>
      <c r="T693" s="13"/>
      <c r="U693" s="13"/>
      <c r="V693" s="13"/>
      <c r="W693" s="13"/>
    </row>
    <row r="694" spans="1:23" x14ac:dyDescent="0.25">
      <c r="A694" s="15">
        <v>228</v>
      </c>
      <c r="B694" s="13" t="s">
        <v>13</v>
      </c>
      <c r="C694" s="22" t="s">
        <v>663</v>
      </c>
      <c r="D694" s="29">
        <v>44334</v>
      </c>
      <c r="E694" s="18" t="s">
        <v>23</v>
      </c>
      <c r="F694" s="18"/>
      <c r="G694" s="16" t="s">
        <v>1737</v>
      </c>
      <c r="H694" s="19">
        <v>44411</v>
      </c>
      <c r="I694" s="13" t="s">
        <v>1400</v>
      </c>
      <c r="J694" s="13">
        <v>1686</v>
      </c>
      <c r="K694" s="13">
        <v>281</v>
      </c>
      <c r="L694" s="13">
        <v>0.29759999999999998</v>
      </c>
      <c r="M694" s="13">
        <v>0.67600000000000005</v>
      </c>
      <c r="N694" s="13">
        <v>591.03359999999998</v>
      </c>
      <c r="O694" s="13">
        <v>1342.5360000000001</v>
      </c>
      <c r="P694" s="13">
        <v>76.83</v>
      </c>
      <c r="Q694" s="13">
        <v>65.47</v>
      </c>
      <c r="R694" s="13">
        <v>220</v>
      </c>
      <c r="S694" s="13">
        <v>130027.39</v>
      </c>
      <c r="T694" s="13"/>
      <c r="U694" s="13"/>
      <c r="V694" s="13"/>
      <c r="W694" s="13"/>
    </row>
    <row r="695" spans="1:23" s="25" customFormat="1" x14ac:dyDescent="0.25">
      <c r="A695" s="20" t="s">
        <v>455</v>
      </c>
      <c r="B695" s="21" t="s">
        <v>13</v>
      </c>
      <c r="C695" s="22" t="s">
        <v>284</v>
      </c>
      <c r="D695" s="17">
        <v>44335</v>
      </c>
      <c r="E695" s="23" t="s">
        <v>23</v>
      </c>
      <c r="F695" s="23"/>
      <c r="G695" s="21"/>
      <c r="H695" s="24"/>
      <c r="I695" s="21" t="s">
        <v>316</v>
      </c>
      <c r="J695" s="21" t="s">
        <v>53</v>
      </c>
      <c r="K695" s="21"/>
      <c r="L695" s="21"/>
      <c r="M695" s="21"/>
      <c r="N695" s="21"/>
      <c r="O695" s="21"/>
      <c r="P695" s="21"/>
      <c r="Q695" s="21"/>
      <c r="R695" s="21"/>
      <c r="S695" s="21" t="s">
        <v>1284</v>
      </c>
      <c r="T695" s="21"/>
      <c r="U695" s="21"/>
      <c r="V695" s="21"/>
      <c r="W695" s="21"/>
    </row>
    <row r="696" spans="1:23" s="25" customFormat="1" x14ac:dyDescent="0.25">
      <c r="A696" s="20" t="s">
        <v>455</v>
      </c>
      <c r="B696" s="21" t="s">
        <v>13</v>
      </c>
      <c r="C696" s="22" t="s">
        <v>284</v>
      </c>
      <c r="D696" s="17">
        <v>44335</v>
      </c>
      <c r="E696" s="23" t="s">
        <v>23</v>
      </c>
      <c r="F696" s="23"/>
      <c r="G696" s="21"/>
      <c r="H696" s="24"/>
      <c r="I696" s="21" t="s">
        <v>1404</v>
      </c>
      <c r="J696" s="21" t="s">
        <v>233</v>
      </c>
      <c r="K696" s="21"/>
      <c r="L696" s="21"/>
      <c r="M696" s="21"/>
      <c r="N696" s="21"/>
      <c r="O696" s="21"/>
      <c r="P696" s="21"/>
      <c r="Q696" s="21"/>
      <c r="R696" s="21"/>
      <c r="S696" s="21" t="s">
        <v>431</v>
      </c>
      <c r="T696" s="21"/>
      <c r="U696" s="21"/>
      <c r="V696" s="21"/>
      <c r="W696" s="21"/>
    </row>
    <row r="697" spans="1:23" x14ac:dyDescent="0.25">
      <c r="A697" s="16">
        <v>229</v>
      </c>
      <c r="B697" s="13" t="s">
        <v>34</v>
      </c>
      <c r="C697" s="16" t="s">
        <v>328</v>
      </c>
      <c r="D697" s="29">
        <v>44335</v>
      </c>
      <c r="E697" s="18" t="s">
        <v>23</v>
      </c>
      <c r="F697" s="18"/>
      <c r="G697" s="13"/>
      <c r="H697" s="29"/>
      <c r="I697" s="13" t="s">
        <v>650</v>
      </c>
      <c r="J697" s="13">
        <v>1032</v>
      </c>
      <c r="K697" s="13" t="s">
        <v>331</v>
      </c>
      <c r="L697" s="13">
        <v>0.30919999999999997</v>
      </c>
      <c r="M697" s="13">
        <v>1.1000000000000001</v>
      </c>
      <c r="N697" s="13">
        <v>319.09440000000001</v>
      </c>
      <c r="O697" s="13">
        <v>1135.2</v>
      </c>
      <c r="P697" s="13">
        <v>41.48</v>
      </c>
      <c r="Q697" s="13">
        <v>101.42</v>
      </c>
      <c r="R697" s="13">
        <v>328</v>
      </c>
      <c r="S697" s="13">
        <v>104662.96</v>
      </c>
      <c r="T697" s="13"/>
      <c r="U697" s="13"/>
      <c r="V697" s="13"/>
      <c r="W697" s="13"/>
    </row>
    <row r="698" spans="1:23" s="25" customFormat="1" x14ac:dyDescent="0.25">
      <c r="A698" s="20">
        <v>230</v>
      </c>
      <c r="B698" s="21" t="s">
        <v>13</v>
      </c>
      <c r="C698" s="22" t="s">
        <v>625</v>
      </c>
      <c r="D698" s="17">
        <v>44336</v>
      </c>
      <c r="E698" s="23" t="s">
        <v>23</v>
      </c>
      <c r="F698" s="23"/>
      <c r="G698" s="21"/>
      <c r="H698" s="24">
        <v>44337</v>
      </c>
      <c r="I698" s="21" t="s">
        <v>1405</v>
      </c>
      <c r="J698" s="21">
        <v>54</v>
      </c>
      <c r="K698" s="21" t="s">
        <v>167</v>
      </c>
      <c r="L698" s="21">
        <v>0.13450000000000001</v>
      </c>
      <c r="M698" s="21">
        <v>0.35499999999999998</v>
      </c>
      <c r="N698" s="21">
        <v>7.2629999999999999</v>
      </c>
      <c r="O698" s="21">
        <v>19.170000000000002</v>
      </c>
      <c r="P698" s="21">
        <v>0.94</v>
      </c>
      <c r="Q698" s="21">
        <v>26.9</v>
      </c>
      <c r="R698" s="21">
        <v>200</v>
      </c>
      <c r="S698" s="21">
        <v>1452.6</v>
      </c>
      <c r="T698" s="21"/>
      <c r="U698" s="21"/>
      <c r="V698" s="21"/>
      <c r="W698" s="21"/>
    </row>
    <row r="699" spans="1:23" s="25" customFormat="1" x14ac:dyDescent="0.25">
      <c r="A699" s="20">
        <v>230</v>
      </c>
      <c r="B699" s="21" t="s">
        <v>13</v>
      </c>
      <c r="C699" s="22" t="s">
        <v>625</v>
      </c>
      <c r="D699" s="17">
        <v>44336</v>
      </c>
      <c r="E699" s="23" t="s">
        <v>23</v>
      </c>
      <c r="F699" s="23"/>
      <c r="G699" s="21"/>
      <c r="H699" s="24">
        <v>44337</v>
      </c>
      <c r="I699" s="21" t="s">
        <v>1406</v>
      </c>
      <c r="J699" s="21">
        <v>54</v>
      </c>
      <c r="K699" s="21" t="s">
        <v>167</v>
      </c>
      <c r="L699" s="21">
        <v>0.1018</v>
      </c>
      <c r="M699" s="21">
        <v>0.26600000000000001</v>
      </c>
      <c r="N699" s="21">
        <v>5.4972000000000003</v>
      </c>
      <c r="O699" s="21">
        <v>14.364000000000001</v>
      </c>
      <c r="P699" s="21">
        <v>0.71</v>
      </c>
      <c r="Q699" s="21">
        <v>20.36</v>
      </c>
      <c r="R699" s="21">
        <v>200</v>
      </c>
      <c r="S699" s="21">
        <v>1099.44</v>
      </c>
      <c r="T699" s="21"/>
      <c r="U699" s="21"/>
      <c r="V699" s="21"/>
      <c r="W699" s="21"/>
    </row>
    <row r="700" spans="1:23" s="25" customFormat="1" x14ac:dyDescent="0.25">
      <c r="A700" s="20">
        <v>230</v>
      </c>
      <c r="B700" s="21" t="s">
        <v>13</v>
      </c>
      <c r="C700" s="22" t="s">
        <v>625</v>
      </c>
      <c r="D700" s="17">
        <v>44336</v>
      </c>
      <c r="E700" s="23" t="s">
        <v>23</v>
      </c>
      <c r="F700" s="23"/>
      <c r="G700" s="21"/>
      <c r="H700" s="24">
        <v>44337</v>
      </c>
      <c r="I700" s="21" t="s">
        <v>1407</v>
      </c>
      <c r="J700" s="21">
        <v>36</v>
      </c>
      <c r="K700" s="21" t="s">
        <v>457</v>
      </c>
      <c r="L700" s="21">
        <v>0.20730000000000001</v>
      </c>
      <c r="M700" s="21">
        <v>0.56100000000000005</v>
      </c>
      <c r="N700" s="21">
        <v>7.4627999999999997</v>
      </c>
      <c r="O700" s="21">
        <v>20.196000000000002</v>
      </c>
      <c r="P700" s="21">
        <v>0.97</v>
      </c>
      <c r="Q700" s="21">
        <v>41.46</v>
      </c>
      <c r="R700" s="21">
        <v>200</v>
      </c>
      <c r="S700" s="21">
        <v>1492.56</v>
      </c>
      <c r="T700" s="21"/>
      <c r="U700" s="21"/>
      <c r="V700" s="21"/>
      <c r="W700" s="21"/>
    </row>
    <row r="701" spans="1:23" s="25" customFormat="1" x14ac:dyDescent="0.25">
      <c r="A701" s="20">
        <v>230</v>
      </c>
      <c r="B701" s="21" t="s">
        <v>13</v>
      </c>
      <c r="C701" s="22" t="s">
        <v>625</v>
      </c>
      <c r="D701" s="17">
        <v>44336</v>
      </c>
      <c r="E701" s="23" t="s">
        <v>23</v>
      </c>
      <c r="F701" s="23"/>
      <c r="G701" s="21"/>
      <c r="H701" s="24">
        <v>44337</v>
      </c>
      <c r="I701" s="21" t="s">
        <v>1408</v>
      </c>
      <c r="J701" s="21">
        <v>54</v>
      </c>
      <c r="K701" s="21" t="s">
        <v>167</v>
      </c>
      <c r="L701" s="21">
        <v>9.5500000000000002E-2</v>
      </c>
      <c r="M701" s="21">
        <v>0.249</v>
      </c>
      <c r="N701" s="21">
        <v>5.157</v>
      </c>
      <c r="O701" s="21">
        <v>13.446</v>
      </c>
      <c r="P701" s="21">
        <v>0.67</v>
      </c>
      <c r="Q701" s="21">
        <v>19.100000000000001</v>
      </c>
      <c r="R701" s="21">
        <v>200</v>
      </c>
      <c r="S701" s="21">
        <v>1031.4000000000001</v>
      </c>
      <c r="T701" s="21"/>
      <c r="U701" s="21"/>
      <c r="V701" s="21"/>
      <c r="W701" s="21"/>
    </row>
    <row r="702" spans="1:23" s="25" customFormat="1" x14ac:dyDescent="0.25">
      <c r="A702" s="20">
        <v>230</v>
      </c>
      <c r="B702" s="21" t="s">
        <v>13</v>
      </c>
      <c r="C702" s="22" t="s">
        <v>625</v>
      </c>
      <c r="D702" s="17">
        <v>44336</v>
      </c>
      <c r="E702" s="23" t="s">
        <v>23</v>
      </c>
      <c r="F702" s="23"/>
      <c r="G702" s="21"/>
      <c r="H702" s="24">
        <v>44337</v>
      </c>
      <c r="I702" s="21" t="s">
        <v>1409</v>
      </c>
      <c r="J702" s="21">
        <v>60</v>
      </c>
      <c r="K702" s="21" t="s">
        <v>283</v>
      </c>
      <c r="L702" s="21">
        <v>0.1113</v>
      </c>
      <c r="M702" s="21">
        <v>0.29299999999999998</v>
      </c>
      <c r="N702" s="21">
        <v>6.6779999999999999</v>
      </c>
      <c r="O702" s="21">
        <v>17.579999999999998</v>
      </c>
      <c r="P702" s="21">
        <v>0.87</v>
      </c>
      <c r="Q702" s="21">
        <v>22.26</v>
      </c>
      <c r="R702" s="21">
        <v>200</v>
      </c>
      <c r="S702" s="21">
        <v>1335.6</v>
      </c>
      <c r="T702" s="21"/>
      <c r="U702" s="21"/>
      <c r="V702" s="21"/>
      <c r="W702" s="21"/>
    </row>
    <row r="703" spans="1:23" s="86" customFormat="1" x14ac:dyDescent="0.25">
      <c r="A703" s="20" t="s">
        <v>454</v>
      </c>
      <c r="B703" s="21" t="s">
        <v>13</v>
      </c>
      <c r="C703" s="22" t="s">
        <v>289</v>
      </c>
      <c r="D703" s="17">
        <v>44335</v>
      </c>
      <c r="E703" s="23" t="s">
        <v>23</v>
      </c>
      <c r="F703" s="23"/>
      <c r="G703" s="21"/>
      <c r="H703" s="24">
        <v>44347</v>
      </c>
      <c r="I703" s="21" t="s">
        <v>177</v>
      </c>
      <c r="J703" s="21" t="s">
        <v>26</v>
      </c>
      <c r="K703" s="21"/>
      <c r="L703" s="85"/>
      <c r="M703" s="85"/>
      <c r="N703" s="85"/>
      <c r="O703" s="85"/>
      <c r="P703" s="85"/>
      <c r="Q703" s="85"/>
      <c r="R703" s="85"/>
      <c r="S703" s="85" t="s">
        <v>1410</v>
      </c>
      <c r="T703" s="85"/>
      <c r="U703" s="85"/>
      <c r="V703" s="85"/>
      <c r="W703" s="85"/>
    </row>
    <row r="704" spans="1:23" s="86" customFormat="1" x14ac:dyDescent="0.25">
      <c r="A704" s="20" t="s">
        <v>454</v>
      </c>
      <c r="B704" s="21" t="s">
        <v>13</v>
      </c>
      <c r="C704" s="22" t="s">
        <v>289</v>
      </c>
      <c r="D704" s="17">
        <v>44335</v>
      </c>
      <c r="E704" s="23" t="s">
        <v>23</v>
      </c>
      <c r="F704" s="23"/>
      <c r="G704" s="21"/>
      <c r="H704" s="24">
        <v>44347</v>
      </c>
      <c r="I704" s="21" t="s">
        <v>290</v>
      </c>
      <c r="J704" s="21" t="s">
        <v>26</v>
      </c>
      <c r="K704" s="21"/>
      <c r="L704" s="85"/>
      <c r="M704" s="85"/>
      <c r="N704" s="85"/>
      <c r="O704" s="85"/>
      <c r="P704" s="85"/>
      <c r="Q704" s="85"/>
      <c r="R704" s="85"/>
      <c r="S704" s="85" t="s">
        <v>217</v>
      </c>
      <c r="T704" s="85"/>
      <c r="U704" s="85"/>
      <c r="V704" s="85"/>
      <c r="W704" s="85"/>
    </row>
    <row r="705" spans="1:23" s="86" customFormat="1" x14ac:dyDescent="0.25">
      <c r="A705" s="20" t="s">
        <v>454</v>
      </c>
      <c r="B705" s="21" t="s">
        <v>13</v>
      </c>
      <c r="C705" s="22" t="s">
        <v>289</v>
      </c>
      <c r="D705" s="17">
        <v>44335</v>
      </c>
      <c r="E705" s="23" t="s">
        <v>23</v>
      </c>
      <c r="F705" s="23"/>
      <c r="G705" s="21"/>
      <c r="H705" s="24">
        <v>44347</v>
      </c>
      <c r="I705" s="21" t="s">
        <v>241</v>
      </c>
      <c r="J705" s="21" t="s">
        <v>26</v>
      </c>
      <c r="K705" s="21"/>
      <c r="L705" s="85"/>
      <c r="M705" s="85"/>
      <c r="N705" s="85"/>
      <c r="O705" s="85"/>
      <c r="P705" s="85"/>
      <c r="Q705" s="85"/>
      <c r="R705" s="85"/>
      <c r="S705" s="85" t="s">
        <v>122</v>
      </c>
      <c r="T705" s="85"/>
      <c r="U705" s="85"/>
      <c r="V705" s="85"/>
      <c r="W705" s="85"/>
    </row>
    <row r="706" spans="1:23" s="25" customFormat="1" x14ac:dyDescent="0.25">
      <c r="A706" s="20" t="s">
        <v>1572</v>
      </c>
      <c r="B706" s="21" t="s">
        <v>13</v>
      </c>
      <c r="C706" s="22" t="s">
        <v>516</v>
      </c>
      <c r="D706" s="17">
        <v>44334</v>
      </c>
      <c r="E706" s="23" t="s">
        <v>23</v>
      </c>
      <c r="F706" s="23"/>
      <c r="G706" s="21" t="s">
        <v>1653</v>
      </c>
      <c r="H706" s="24">
        <v>44384</v>
      </c>
      <c r="I706" s="21" t="s">
        <v>1401</v>
      </c>
      <c r="J706" s="21">
        <v>4500</v>
      </c>
      <c r="K706" s="21">
        <v>1500</v>
      </c>
      <c r="L706" s="21"/>
      <c r="M706" s="21"/>
      <c r="N706" s="21"/>
      <c r="O706" s="21"/>
      <c r="P706" s="21"/>
      <c r="Q706" s="21"/>
      <c r="R706" s="21"/>
      <c r="S706" s="21">
        <v>114000</v>
      </c>
      <c r="T706" s="21"/>
      <c r="U706" s="21"/>
      <c r="V706" s="21"/>
      <c r="W706" s="21"/>
    </row>
    <row r="707" spans="1:23" x14ac:dyDescent="0.25">
      <c r="A707" s="20">
        <v>232</v>
      </c>
      <c r="B707" s="21" t="s">
        <v>13</v>
      </c>
      <c r="C707" s="22" t="s">
        <v>674</v>
      </c>
      <c r="D707" s="29">
        <v>44335</v>
      </c>
      <c r="E707" s="18" t="s">
        <v>23</v>
      </c>
      <c r="F707" s="18"/>
      <c r="G707" s="13"/>
      <c r="H707" s="19"/>
      <c r="I707" s="13" t="s">
        <v>600</v>
      </c>
      <c r="J707" s="13">
        <v>1650</v>
      </c>
      <c r="K707" s="13" t="s">
        <v>506</v>
      </c>
      <c r="L707" s="13">
        <v>0.30719999999999997</v>
      </c>
      <c r="M707" s="13">
        <v>0.69199999999999995</v>
      </c>
      <c r="N707" s="13">
        <v>506.88</v>
      </c>
      <c r="O707" s="13">
        <v>1141.8</v>
      </c>
      <c r="P707" s="13">
        <v>65.89</v>
      </c>
      <c r="Q707" s="13">
        <v>92.16</v>
      </c>
      <c r="R707" s="13">
        <v>300</v>
      </c>
      <c r="S707" s="13">
        <v>152064</v>
      </c>
      <c r="T707" s="13"/>
      <c r="U707" s="13"/>
      <c r="V707" s="13"/>
      <c r="W707" s="13"/>
    </row>
    <row r="708" spans="1:23" s="25" customFormat="1" x14ac:dyDescent="0.25">
      <c r="A708" s="20">
        <v>233</v>
      </c>
      <c r="B708" s="21" t="s">
        <v>13</v>
      </c>
      <c r="C708" s="22" t="s">
        <v>672</v>
      </c>
      <c r="D708" s="17">
        <v>44335</v>
      </c>
      <c r="E708" s="23" t="s">
        <v>23</v>
      </c>
      <c r="F708" s="23"/>
      <c r="G708" s="21"/>
      <c r="H708" s="24"/>
      <c r="I708" s="21" t="s">
        <v>630</v>
      </c>
      <c r="J708" s="21">
        <v>702</v>
      </c>
      <c r="K708" s="21" t="s">
        <v>430</v>
      </c>
      <c r="L708" s="21">
        <v>0.54049999999999998</v>
      </c>
      <c r="M708" s="21">
        <v>2.0990000000000002</v>
      </c>
      <c r="N708" s="21">
        <v>379.43099999999998</v>
      </c>
      <c r="O708" s="21">
        <v>1473.498</v>
      </c>
      <c r="P708" s="21">
        <v>49.33</v>
      </c>
      <c r="Q708" s="21">
        <v>118.91</v>
      </c>
      <c r="R708" s="21">
        <v>220</v>
      </c>
      <c r="S708" s="21">
        <v>83474.820000000007</v>
      </c>
      <c r="T708" s="21"/>
      <c r="U708" s="21"/>
      <c r="V708" s="21"/>
      <c r="W708" s="21"/>
    </row>
    <row r="709" spans="1:23" s="25" customFormat="1" x14ac:dyDescent="0.25">
      <c r="A709" s="20">
        <v>233</v>
      </c>
      <c r="B709" s="21" t="s">
        <v>13</v>
      </c>
      <c r="C709" s="22" t="s">
        <v>672</v>
      </c>
      <c r="D709" s="17">
        <v>44335</v>
      </c>
      <c r="E709" s="23" t="s">
        <v>23</v>
      </c>
      <c r="F709" s="23"/>
      <c r="G709" s="21" t="s">
        <v>1546</v>
      </c>
      <c r="H709" s="24"/>
      <c r="I709" s="21" t="s">
        <v>999</v>
      </c>
      <c r="J709" s="21">
        <v>1352</v>
      </c>
      <c r="K709" s="21" t="s">
        <v>139</v>
      </c>
      <c r="L709" s="21">
        <v>0.626</v>
      </c>
      <c r="M709" s="21">
        <v>2.1960000000000002</v>
      </c>
      <c r="N709" s="21">
        <v>846.35199999999998</v>
      </c>
      <c r="O709" s="21">
        <v>2968.9920000000002</v>
      </c>
      <c r="P709" s="21">
        <v>110.03</v>
      </c>
      <c r="Q709" s="21">
        <v>137.72</v>
      </c>
      <c r="R709" s="21">
        <v>220</v>
      </c>
      <c r="S709" s="21">
        <v>186197.44</v>
      </c>
      <c r="T709" s="21"/>
      <c r="U709" s="21"/>
      <c r="V709" s="21"/>
      <c r="W709" s="21"/>
    </row>
    <row r="710" spans="1:23" s="25" customFormat="1" x14ac:dyDescent="0.25">
      <c r="A710" s="20">
        <v>234</v>
      </c>
      <c r="B710" s="21" t="s">
        <v>13</v>
      </c>
      <c r="C710" s="22" t="s">
        <v>625</v>
      </c>
      <c r="D710" s="17">
        <v>44335</v>
      </c>
      <c r="E710" s="23" t="s">
        <v>23</v>
      </c>
      <c r="F710" s="23"/>
      <c r="G710" s="21" t="s">
        <v>1457</v>
      </c>
      <c r="H710" s="24"/>
      <c r="I710" s="21" t="s">
        <v>681</v>
      </c>
      <c r="J710" s="21">
        <v>1419.4</v>
      </c>
      <c r="K710" s="21" t="s">
        <v>138</v>
      </c>
      <c r="L710" s="21">
        <v>0.34789999999999999</v>
      </c>
      <c r="M710" s="21">
        <v>1.643</v>
      </c>
      <c r="N710" s="21">
        <v>493.80930000000001</v>
      </c>
      <c r="O710" s="21">
        <v>2332.0742</v>
      </c>
      <c r="P710" s="21">
        <v>64.2</v>
      </c>
      <c r="Q710" s="21">
        <v>69.58</v>
      </c>
      <c r="R710" s="21">
        <v>200</v>
      </c>
      <c r="S710" s="21">
        <v>98761.85</v>
      </c>
      <c r="T710" s="21"/>
      <c r="U710" s="21"/>
      <c r="V710" s="21"/>
      <c r="W710" s="21"/>
    </row>
    <row r="711" spans="1:23" x14ac:dyDescent="0.25">
      <c r="A711" s="75" t="s">
        <v>479</v>
      </c>
      <c r="B711" s="13" t="s">
        <v>13</v>
      </c>
      <c r="C711" s="16" t="s">
        <v>583</v>
      </c>
      <c r="D711" s="29">
        <v>44336</v>
      </c>
      <c r="E711" s="18" t="s">
        <v>23</v>
      </c>
      <c r="F711" s="18"/>
      <c r="G711" s="13"/>
      <c r="H711" s="29"/>
      <c r="I711" s="13" t="s">
        <v>89</v>
      </c>
      <c r="J711" s="13"/>
      <c r="K711" s="13">
        <v>48</v>
      </c>
      <c r="L711" s="13"/>
      <c r="M711" s="13"/>
      <c r="N711" s="13"/>
      <c r="O711" s="13"/>
      <c r="P711" s="13"/>
      <c r="Q711" s="13"/>
      <c r="R711" s="13"/>
      <c r="S711" s="13">
        <v>34992</v>
      </c>
      <c r="T711" s="13"/>
      <c r="U711" s="13"/>
      <c r="V711" s="13"/>
      <c r="W711" s="13"/>
    </row>
    <row r="712" spans="1:23" s="25" customFormat="1" x14ac:dyDescent="0.25">
      <c r="A712" s="20">
        <v>235</v>
      </c>
      <c r="B712" s="21" t="s">
        <v>13</v>
      </c>
      <c r="C712" s="22" t="s">
        <v>292</v>
      </c>
      <c r="D712" s="17">
        <v>44336</v>
      </c>
      <c r="E712" s="23" t="s">
        <v>23</v>
      </c>
      <c r="F712" s="23"/>
      <c r="G712" s="21"/>
      <c r="H712" s="24"/>
      <c r="I712" s="21" t="s">
        <v>1412</v>
      </c>
      <c r="J712" s="21">
        <v>2568</v>
      </c>
      <c r="K712" s="21" t="s">
        <v>1413</v>
      </c>
      <c r="L712" s="21">
        <v>0.08</v>
      </c>
      <c r="M712" s="21">
        <v>0.21</v>
      </c>
      <c r="N712" s="21">
        <v>205.44</v>
      </c>
      <c r="O712" s="21">
        <v>539.28</v>
      </c>
      <c r="P712" s="21">
        <v>26.71</v>
      </c>
      <c r="Q712" s="21">
        <v>24</v>
      </c>
      <c r="R712" s="21">
        <v>300</v>
      </c>
      <c r="S712" s="21">
        <v>61632</v>
      </c>
      <c r="T712" s="21"/>
      <c r="U712" s="21"/>
      <c r="V712" s="21"/>
      <c r="W712" s="21"/>
    </row>
    <row r="713" spans="1:23" s="25" customFormat="1" x14ac:dyDescent="0.25">
      <c r="A713" s="20">
        <v>231</v>
      </c>
      <c r="B713" s="21" t="s">
        <v>13</v>
      </c>
      <c r="C713" s="22" t="s">
        <v>531</v>
      </c>
      <c r="D713" s="17">
        <v>44335</v>
      </c>
      <c r="E713" s="23" t="s">
        <v>23</v>
      </c>
      <c r="F713" s="23"/>
      <c r="G713" s="21" t="s">
        <v>1618</v>
      </c>
      <c r="H713" s="24"/>
      <c r="I713" s="21" t="s">
        <v>1388</v>
      </c>
      <c r="J713" s="21"/>
      <c r="K713" s="21">
        <v>1000</v>
      </c>
      <c r="L713" s="21" t="s">
        <v>17</v>
      </c>
      <c r="M713" s="21" t="s">
        <v>17</v>
      </c>
      <c r="N713" s="21" t="s">
        <v>17</v>
      </c>
      <c r="O713" s="21" t="s">
        <v>17</v>
      </c>
      <c r="P713" s="21" t="s">
        <v>17</v>
      </c>
      <c r="Q713" s="21">
        <v>56.45</v>
      </c>
      <c r="R713" s="21">
        <v>566</v>
      </c>
      <c r="S713" s="21">
        <v>56450</v>
      </c>
      <c r="T713" s="21"/>
      <c r="U713" s="21"/>
      <c r="V713" s="21"/>
      <c r="W713" s="21"/>
    </row>
    <row r="714" spans="1:23" x14ac:dyDescent="0.25">
      <c r="A714" s="20" t="s">
        <v>463</v>
      </c>
      <c r="B714" s="21" t="s">
        <v>13</v>
      </c>
      <c r="C714" s="22" t="s">
        <v>1418</v>
      </c>
      <c r="D714" s="29">
        <v>44337</v>
      </c>
      <c r="E714" s="18" t="s">
        <v>23</v>
      </c>
      <c r="F714" s="18"/>
      <c r="G714" s="13"/>
      <c r="H714" s="31"/>
      <c r="I714" s="13" t="s">
        <v>89</v>
      </c>
      <c r="J714" s="13"/>
      <c r="K714" s="13">
        <v>48</v>
      </c>
      <c r="L714" s="13"/>
      <c r="M714" s="13"/>
      <c r="N714" s="13"/>
      <c r="O714" s="13"/>
      <c r="P714" s="13"/>
      <c r="Q714" s="13"/>
      <c r="R714" s="13"/>
      <c r="S714" s="13">
        <v>34992</v>
      </c>
      <c r="T714" s="13"/>
      <c r="U714" s="13"/>
      <c r="V714" s="13"/>
      <c r="W714" s="13"/>
    </row>
    <row r="715" spans="1:23" x14ac:dyDescent="0.25">
      <c r="A715" s="15" t="s">
        <v>461</v>
      </c>
      <c r="B715" s="13" t="s">
        <v>13</v>
      </c>
      <c r="C715" s="16" t="s">
        <v>30</v>
      </c>
      <c r="D715" s="29">
        <v>44337</v>
      </c>
      <c r="E715" s="23" t="s">
        <v>23</v>
      </c>
      <c r="F715" s="23"/>
      <c r="G715" s="13"/>
      <c r="H715" s="19">
        <v>44343</v>
      </c>
      <c r="I715" s="13" t="s">
        <v>742</v>
      </c>
      <c r="J715" s="13"/>
      <c r="K715" s="13" t="s">
        <v>75</v>
      </c>
      <c r="L715" s="13"/>
      <c r="M715" s="13"/>
      <c r="N715" s="13"/>
      <c r="O715" s="13"/>
      <c r="P715" s="13"/>
      <c r="Q715" s="13"/>
      <c r="R715" s="13"/>
      <c r="S715" s="13" t="s">
        <v>566</v>
      </c>
      <c r="T715" s="13"/>
      <c r="U715" s="13"/>
      <c r="V715" s="13"/>
      <c r="W715" s="13"/>
    </row>
    <row r="716" spans="1:23" x14ac:dyDescent="0.25">
      <c r="A716" s="15" t="s">
        <v>461</v>
      </c>
      <c r="B716" s="13" t="s">
        <v>13</v>
      </c>
      <c r="C716" s="16" t="s">
        <v>30</v>
      </c>
      <c r="D716" s="29">
        <v>44337</v>
      </c>
      <c r="E716" s="23" t="s">
        <v>23</v>
      </c>
      <c r="F716" s="23"/>
      <c r="G716" s="13"/>
      <c r="H716" s="19">
        <v>44343</v>
      </c>
      <c r="I716" s="13" t="s">
        <v>731</v>
      </c>
      <c r="J716" s="13"/>
      <c r="K716" s="13" t="s">
        <v>125</v>
      </c>
      <c r="L716" s="13"/>
      <c r="M716" s="13"/>
      <c r="N716" s="13"/>
      <c r="O716" s="13"/>
      <c r="P716" s="13"/>
      <c r="Q716" s="13"/>
      <c r="R716" s="13"/>
      <c r="S716" s="13" t="s">
        <v>622</v>
      </c>
      <c r="T716" s="13"/>
      <c r="U716" s="13"/>
      <c r="V716" s="13"/>
      <c r="W716" s="13"/>
    </row>
    <row r="717" spans="1:23" x14ac:dyDescent="0.25">
      <c r="A717" s="15" t="s">
        <v>461</v>
      </c>
      <c r="B717" s="13" t="s">
        <v>13</v>
      </c>
      <c r="C717" s="16" t="s">
        <v>30</v>
      </c>
      <c r="D717" s="29">
        <v>44337</v>
      </c>
      <c r="E717" s="23" t="s">
        <v>23</v>
      </c>
      <c r="F717" s="23"/>
      <c r="G717" s="13"/>
      <c r="H717" s="19">
        <v>44343</v>
      </c>
      <c r="I717" s="13" t="s">
        <v>744</v>
      </c>
      <c r="J717" s="13"/>
      <c r="K717" s="13" t="s">
        <v>852</v>
      </c>
      <c r="L717" s="13"/>
      <c r="M717" s="13"/>
      <c r="N717" s="13"/>
      <c r="O717" s="13"/>
      <c r="P717" s="13"/>
      <c r="Q717" s="13"/>
      <c r="R717" s="13"/>
      <c r="S717" s="13" t="s">
        <v>93</v>
      </c>
      <c r="T717" s="13"/>
      <c r="U717" s="13"/>
      <c r="V717" s="13"/>
      <c r="W717" s="13"/>
    </row>
    <row r="718" spans="1:23" x14ac:dyDescent="0.25">
      <c r="A718" s="15" t="s">
        <v>461</v>
      </c>
      <c r="B718" s="13" t="s">
        <v>13</v>
      </c>
      <c r="C718" s="16" t="s">
        <v>30</v>
      </c>
      <c r="D718" s="29">
        <v>44337</v>
      </c>
      <c r="E718" s="23" t="s">
        <v>23</v>
      </c>
      <c r="F718" s="23"/>
      <c r="G718" s="13"/>
      <c r="H718" s="19">
        <v>44343</v>
      </c>
      <c r="I718" s="13" t="s">
        <v>733</v>
      </c>
      <c r="J718" s="13"/>
      <c r="K718" s="13" t="s">
        <v>75</v>
      </c>
      <c r="L718" s="13"/>
      <c r="M718" s="13"/>
      <c r="N718" s="13"/>
      <c r="O718" s="13"/>
      <c r="P718" s="13"/>
      <c r="Q718" s="13"/>
      <c r="R718" s="13"/>
      <c r="S718" s="13" t="s">
        <v>1421</v>
      </c>
      <c r="T718" s="13"/>
      <c r="U718" s="13"/>
      <c r="V718" s="13"/>
      <c r="W718" s="13"/>
    </row>
    <row r="719" spans="1:23" x14ac:dyDescent="0.25">
      <c r="A719" s="15" t="s">
        <v>461</v>
      </c>
      <c r="B719" s="13" t="s">
        <v>13</v>
      </c>
      <c r="C719" s="16" t="s">
        <v>30</v>
      </c>
      <c r="D719" s="29">
        <v>44337</v>
      </c>
      <c r="E719" s="23" t="s">
        <v>23</v>
      </c>
      <c r="F719" s="23"/>
      <c r="G719" s="13"/>
      <c r="H719" s="19">
        <v>44343</v>
      </c>
      <c r="I719" s="13" t="s">
        <v>1255</v>
      </c>
      <c r="J719" s="13"/>
      <c r="K719" s="13" t="s">
        <v>75</v>
      </c>
      <c r="L719" s="13"/>
      <c r="M719" s="13"/>
      <c r="N719" s="13"/>
      <c r="O719" s="13"/>
      <c r="P719" s="13"/>
      <c r="Q719" s="13"/>
      <c r="R719" s="13"/>
      <c r="S719" s="13" t="s">
        <v>943</v>
      </c>
      <c r="T719" s="13"/>
      <c r="U719" s="13"/>
      <c r="V719" s="13"/>
      <c r="W719" s="13"/>
    </row>
    <row r="720" spans="1:23" x14ac:dyDescent="0.25">
      <c r="A720" s="15" t="s">
        <v>461</v>
      </c>
      <c r="B720" s="13" t="s">
        <v>13</v>
      </c>
      <c r="C720" s="22" t="s">
        <v>30</v>
      </c>
      <c r="D720" s="29">
        <v>44337</v>
      </c>
      <c r="E720" s="23" t="s">
        <v>23</v>
      </c>
      <c r="F720" s="23"/>
      <c r="G720" s="13"/>
      <c r="H720" s="19">
        <v>44343</v>
      </c>
      <c r="I720" s="13" t="s">
        <v>739</v>
      </c>
      <c r="J720" s="13"/>
      <c r="K720" s="13" t="s">
        <v>123</v>
      </c>
      <c r="L720" s="13"/>
      <c r="M720" s="13"/>
      <c r="N720" s="13"/>
      <c r="O720" s="13"/>
      <c r="P720" s="13"/>
      <c r="Q720" s="13"/>
      <c r="R720" s="13"/>
      <c r="S720" s="13" t="s">
        <v>1422</v>
      </c>
      <c r="T720" s="13"/>
      <c r="U720" s="13"/>
      <c r="V720" s="13"/>
      <c r="W720" s="13"/>
    </row>
    <row r="721" spans="1:23" x14ac:dyDescent="0.25">
      <c r="A721" s="15" t="s">
        <v>461</v>
      </c>
      <c r="B721" s="13" t="s">
        <v>13</v>
      </c>
      <c r="C721" s="22" t="s">
        <v>30</v>
      </c>
      <c r="D721" s="29">
        <v>44337</v>
      </c>
      <c r="E721" s="23" t="s">
        <v>23</v>
      </c>
      <c r="F721" s="23"/>
      <c r="G721" s="13"/>
      <c r="H721" s="19">
        <v>44343</v>
      </c>
      <c r="I721" s="13" t="s">
        <v>740</v>
      </c>
      <c r="J721" s="13"/>
      <c r="K721" s="13" t="s">
        <v>181</v>
      </c>
      <c r="L721" s="13"/>
      <c r="M721" s="13"/>
      <c r="N721" s="13"/>
      <c r="O721" s="13"/>
      <c r="P721" s="13"/>
      <c r="Q721" s="13"/>
      <c r="R721" s="13"/>
      <c r="S721" s="13" t="s">
        <v>511</v>
      </c>
      <c r="T721" s="13"/>
      <c r="U721" s="13"/>
      <c r="V721" s="13"/>
      <c r="W721" s="13"/>
    </row>
    <row r="722" spans="1:23" x14ac:dyDescent="0.25">
      <c r="A722" s="15" t="s">
        <v>461</v>
      </c>
      <c r="B722" s="13" t="s">
        <v>13</v>
      </c>
      <c r="C722" s="22" t="s">
        <v>30</v>
      </c>
      <c r="D722" s="29">
        <v>44337</v>
      </c>
      <c r="E722" s="23" t="s">
        <v>23</v>
      </c>
      <c r="F722" s="23"/>
      <c r="G722" s="13"/>
      <c r="H722" s="19">
        <v>44343</v>
      </c>
      <c r="I722" s="13" t="s">
        <v>1243</v>
      </c>
      <c r="J722" s="13"/>
      <c r="K722" s="13" t="s">
        <v>123</v>
      </c>
      <c r="L722" s="13"/>
      <c r="M722" s="13"/>
      <c r="N722" s="13"/>
      <c r="O722" s="13"/>
      <c r="P722" s="13"/>
      <c r="Q722" s="13"/>
      <c r="R722" s="13"/>
      <c r="S722" s="13" t="s">
        <v>1423</v>
      </c>
      <c r="T722" s="13"/>
      <c r="U722" s="13"/>
      <c r="V722" s="13"/>
      <c r="W722" s="13"/>
    </row>
    <row r="723" spans="1:23" x14ac:dyDescent="0.25">
      <c r="A723" s="15" t="s">
        <v>461</v>
      </c>
      <c r="B723" s="13" t="s">
        <v>13</v>
      </c>
      <c r="C723" s="22" t="s">
        <v>30</v>
      </c>
      <c r="D723" s="29">
        <v>44337</v>
      </c>
      <c r="E723" s="23" t="s">
        <v>23</v>
      </c>
      <c r="F723" s="23"/>
      <c r="G723" s="13"/>
      <c r="H723" s="19">
        <v>44343</v>
      </c>
      <c r="I723" s="13" t="s">
        <v>741</v>
      </c>
      <c r="J723" s="13"/>
      <c r="K723" s="13" t="s">
        <v>36</v>
      </c>
      <c r="L723" s="13"/>
      <c r="M723" s="13"/>
      <c r="N723" s="13"/>
      <c r="O723" s="13"/>
      <c r="P723" s="13"/>
      <c r="Q723" s="13"/>
      <c r="R723" s="13"/>
      <c r="S723" s="13" t="s">
        <v>1424</v>
      </c>
      <c r="T723" s="13"/>
      <c r="U723" s="13"/>
      <c r="V723" s="13"/>
      <c r="W723" s="13"/>
    </row>
    <row r="724" spans="1:23" x14ac:dyDescent="0.25">
      <c r="A724" s="20">
        <v>237</v>
      </c>
      <c r="B724" s="21" t="s">
        <v>13</v>
      </c>
      <c r="C724" s="22" t="s">
        <v>394</v>
      </c>
      <c r="D724" s="29">
        <v>44340</v>
      </c>
      <c r="E724" s="18" t="s">
        <v>23</v>
      </c>
      <c r="F724" s="18"/>
      <c r="G724" s="13"/>
      <c r="H724" s="19">
        <v>44343</v>
      </c>
      <c r="I724" s="13" t="s">
        <v>78</v>
      </c>
      <c r="J724" s="13">
        <v>768</v>
      </c>
      <c r="K724" s="13" t="s">
        <v>166</v>
      </c>
      <c r="L724" s="13">
        <v>0.20230000000000001</v>
      </c>
      <c r="M724" s="13">
        <v>0.499</v>
      </c>
      <c r="N724" s="13">
        <v>155.3664</v>
      </c>
      <c r="O724" s="13">
        <v>383.23200000000003</v>
      </c>
      <c r="P724" s="13">
        <v>20.2</v>
      </c>
      <c r="Q724" s="13">
        <v>36.409999999999997</v>
      </c>
      <c r="R724" s="13">
        <v>180</v>
      </c>
      <c r="S724" s="13">
        <v>27965.95</v>
      </c>
      <c r="T724" s="13"/>
      <c r="U724" s="13"/>
      <c r="V724" s="13"/>
      <c r="W724" s="13"/>
    </row>
    <row r="725" spans="1:23" x14ac:dyDescent="0.25">
      <c r="A725" s="15" t="s">
        <v>2832</v>
      </c>
      <c r="B725" s="13" t="s">
        <v>34</v>
      </c>
      <c r="C725" s="22" t="s">
        <v>541</v>
      </c>
      <c r="D725" s="29">
        <v>44340</v>
      </c>
      <c r="E725" s="18" t="s">
        <v>23</v>
      </c>
      <c r="F725" s="18"/>
      <c r="G725" s="13"/>
      <c r="H725" s="31"/>
      <c r="I725" s="13" t="s">
        <v>1425</v>
      </c>
      <c r="J725" s="13" t="s">
        <v>1426</v>
      </c>
      <c r="K725" s="13"/>
      <c r="L725" s="13"/>
      <c r="M725" s="13"/>
      <c r="N725" s="13"/>
      <c r="O725" s="13"/>
      <c r="P725" s="13"/>
      <c r="Q725" s="13" t="s">
        <v>536</v>
      </c>
      <c r="R725" s="13"/>
      <c r="S725" s="13" t="s">
        <v>1427</v>
      </c>
      <c r="T725" s="13"/>
      <c r="U725" s="13"/>
      <c r="V725" s="13"/>
      <c r="W725" s="13"/>
    </row>
    <row r="726" spans="1:23" x14ac:dyDescent="0.25">
      <c r="A726" s="20">
        <v>236</v>
      </c>
      <c r="B726" s="21" t="s">
        <v>13</v>
      </c>
      <c r="C726" s="22" t="s">
        <v>672</v>
      </c>
      <c r="D726" s="17">
        <v>44336</v>
      </c>
      <c r="E726" s="23" t="s">
        <v>23</v>
      </c>
      <c r="F726" s="23"/>
      <c r="G726" s="21" t="s">
        <v>1723</v>
      </c>
      <c r="H726" s="30"/>
      <c r="I726" s="21" t="s">
        <v>1142</v>
      </c>
      <c r="J726" s="21">
        <v>1068</v>
      </c>
      <c r="K726" s="21">
        <v>178</v>
      </c>
      <c r="L726" s="21">
        <v>0.31</v>
      </c>
      <c r="M726" s="21">
        <v>1.2010000000000001</v>
      </c>
      <c r="N726" s="21">
        <v>331.08</v>
      </c>
      <c r="O726" s="21">
        <v>1282.6679999999999</v>
      </c>
      <c r="P726" s="21">
        <v>43.04</v>
      </c>
      <c r="Q726" s="21">
        <v>68.2</v>
      </c>
      <c r="R726" s="21">
        <v>220</v>
      </c>
      <c r="S726" s="21">
        <v>72837.600000000006</v>
      </c>
      <c r="T726" s="21"/>
      <c r="U726" s="21"/>
      <c r="V726" s="13"/>
      <c r="W726" s="13"/>
    </row>
    <row r="727" spans="1:23" s="25" customFormat="1" x14ac:dyDescent="0.25">
      <c r="A727" s="20">
        <v>238</v>
      </c>
      <c r="B727" s="21" t="s">
        <v>13</v>
      </c>
      <c r="C727" s="22" t="s">
        <v>672</v>
      </c>
      <c r="D727" s="17">
        <v>44340</v>
      </c>
      <c r="E727" s="23" t="s">
        <v>23</v>
      </c>
      <c r="F727" s="23"/>
      <c r="G727" s="21" t="s">
        <v>1747</v>
      </c>
      <c r="H727" s="24"/>
      <c r="I727" s="21" t="s">
        <v>1141</v>
      </c>
      <c r="J727" s="21">
        <v>828</v>
      </c>
      <c r="K727" s="21">
        <v>207</v>
      </c>
      <c r="L727" s="21">
        <v>0.31</v>
      </c>
      <c r="M727" s="21">
        <v>1.2010000000000001</v>
      </c>
      <c r="N727" s="21">
        <v>256.68</v>
      </c>
      <c r="O727" s="21">
        <v>994.428</v>
      </c>
      <c r="P727" s="21">
        <v>33.369999999999997</v>
      </c>
      <c r="Q727" s="21">
        <v>68.2</v>
      </c>
      <c r="R727" s="21">
        <v>220</v>
      </c>
      <c r="S727" s="21">
        <v>56469.599999999999</v>
      </c>
      <c r="T727" s="21"/>
      <c r="U727" s="21"/>
      <c r="V727" s="21"/>
      <c r="W727" s="21"/>
    </row>
    <row r="728" spans="1:23" s="25" customFormat="1" x14ac:dyDescent="0.25">
      <c r="A728" s="20" t="s">
        <v>1429</v>
      </c>
      <c r="B728" s="21" t="s">
        <v>13</v>
      </c>
      <c r="C728" s="22" t="s">
        <v>37</v>
      </c>
      <c r="D728" s="17">
        <v>44340</v>
      </c>
      <c r="E728" s="23" t="s">
        <v>23</v>
      </c>
      <c r="F728" s="23"/>
      <c r="G728" s="21"/>
      <c r="H728" s="24">
        <v>44349</v>
      </c>
      <c r="I728" s="21" t="s">
        <v>1152</v>
      </c>
      <c r="J728" s="21"/>
      <c r="K728" s="21">
        <v>12</v>
      </c>
      <c r="L728" s="21"/>
      <c r="M728" s="21"/>
      <c r="N728" s="21"/>
      <c r="O728" s="21"/>
      <c r="P728" s="21"/>
      <c r="Q728" s="21"/>
      <c r="R728" s="21"/>
      <c r="S728" s="21">
        <v>17200</v>
      </c>
      <c r="T728" s="21"/>
      <c r="U728" s="21"/>
      <c r="V728" s="21"/>
      <c r="W728" s="21"/>
    </row>
    <row r="729" spans="1:23" s="25" customFormat="1" x14ac:dyDescent="0.25">
      <c r="A729" s="20">
        <v>241</v>
      </c>
      <c r="B729" s="21" t="s">
        <v>13</v>
      </c>
      <c r="C729" s="22" t="s">
        <v>531</v>
      </c>
      <c r="D729" s="17">
        <v>44341</v>
      </c>
      <c r="E729" s="23" t="s">
        <v>23</v>
      </c>
      <c r="F729" s="23"/>
      <c r="G729" s="21"/>
      <c r="H729" s="30"/>
      <c r="I729" s="21" t="s">
        <v>1431</v>
      </c>
      <c r="J729" s="21">
        <v>120</v>
      </c>
      <c r="K729" s="21" t="s">
        <v>61</v>
      </c>
      <c r="L729" s="21">
        <v>0.19259999999999999</v>
      </c>
      <c r="M729" s="21">
        <v>0.33</v>
      </c>
      <c r="N729" s="21">
        <v>23.111999999999998</v>
      </c>
      <c r="O729" s="21">
        <v>39.6</v>
      </c>
      <c r="P729" s="21">
        <v>3</v>
      </c>
      <c r="Q729" s="21">
        <v>58.5</v>
      </c>
      <c r="R729" s="21">
        <v>303.75</v>
      </c>
      <c r="S729" s="21">
        <v>7020.27</v>
      </c>
      <c r="T729" s="21"/>
      <c r="U729" s="21"/>
      <c r="V729" s="21"/>
      <c r="W729" s="21"/>
    </row>
    <row r="730" spans="1:23" x14ac:dyDescent="0.25">
      <c r="A730" s="15">
        <v>242</v>
      </c>
      <c r="B730" s="13" t="s">
        <v>13</v>
      </c>
      <c r="C730" s="22" t="s">
        <v>1432</v>
      </c>
      <c r="D730" s="29">
        <v>44342</v>
      </c>
      <c r="E730" s="18" t="s">
        <v>23</v>
      </c>
      <c r="F730" s="18"/>
      <c r="G730" s="13"/>
      <c r="H730" s="19"/>
      <c r="I730" s="13" t="s">
        <v>1400</v>
      </c>
      <c r="J730" s="13">
        <v>300</v>
      </c>
      <c r="K730" s="13" t="s">
        <v>305</v>
      </c>
      <c r="L730" s="13">
        <v>0.29759999999999998</v>
      </c>
      <c r="M730" s="13">
        <v>0.67600000000000005</v>
      </c>
      <c r="N730" s="13">
        <v>89.28</v>
      </c>
      <c r="O730" s="13">
        <v>202.8</v>
      </c>
      <c r="P730" s="13">
        <v>11.61</v>
      </c>
      <c r="Q730" s="13">
        <v>89.28</v>
      </c>
      <c r="R730" s="13">
        <v>300</v>
      </c>
      <c r="S730" s="13">
        <v>26784</v>
      </c>
      <c r="T730" s="13"/>
      <c r="U730" s="13"/>
      <c r="V730" s="13"/>
      <c r="W730" s="13"/>
    </row>
    <row r="731" spans="1:23" x14ac:dyDescent="0.25">
      <c r="A731" s="87">
        <v>243</v>
      </c>
      <c r="B731" s="13" t="s">
        <v>34</v>
      </c>
      <c r="C731" s="22" t="s">
        <v>998</v>
      </c>
      <c r="D731" s="29">
        <v>44342</v>
      </c>
      <c r="E731" s="18" t="s">
        <v>23</v>
      </c>
      <c r="F731" s="18"/>
      <c r="G731" s="13"/>
      <c r="H731" s="19">
        <v>44350</v>
      </c>
      <c r="I731" s="13" t="s">
        <v>997</v>
      </c>
      <c r="J731" s="13">
        <v>1148.4000000000001</v>
      </c>
      <c r="K731" s="13" t="s">
        <v>471</v>
      </c>
      <c r="L731" s="13">
        <v>0.1457</v>
      </c>
      <c r="M731" s="13">
        <v>0.42</v>
      </c>
      <c r="N731" s="13">
        <v>167.3219</v>
      </c>
      <c r="O731" s="13">
        <v>482.32799999999997</v>
      </c>
      <c r="P731" s="13">
        <v>21.75</v>
      </c>
      <c r="Q731" s="13">
        <v>43.71</v>
      </c>
      <c r="R731" s="13">
        <v>300</v>
      </c>
      <c r="S731" s="13">
        <v>50196.56</v>
      </c>
      <c r="T731" s="13"/>
      <c r="U731" s="13"/>
      <c r="V731" s="13"/>
      <c r="W731" s="13"/>
    </row>
    <row r="732" spans="1:23" x14ac:dyDescent="0.25">
      <c r="A732" s="15">
        <v>244</v>
      </c>
      <c r="B732" s="13" t="s">
        <v>34</v>
      </c>
      <c r="C732" s="22" t="s">
        <v>14</v>
      </c>
      <c r="D732" s="29">
        <v>44342</v>
      </c>
      <c r="E732" s="18" t="s">
        <v>23</v>
      </c>
      <c r="F732" s="18"/>
      <c r="G732" s="13"/>
      <c r="H732" s="19">
        <v>44350</v>
      </c>
      <c r="I732" s="13" t="s">
        <v>307</v>
      </c>
      <c r="J732" s="13">
        <v>144</v>
      </c>
      <c r="K732" s="13" t="s">
        <v>562</v>
      </c>
      <c r="L732" s="13">
        <v>0.17530000000000001</v>
      </c>
      <c r="M732" s="13">
        <v>1.329</v>
      </c>
      <c r="N732" s="13">
        <v>25.243200000000002</v>
      </c>
      <c r="O732" s="13">
        <v>191.376</v>
      </c>
      <c r="P732" s="13">
        <v>3.28</v>
      </c>
      <c r="Q732" s="13">
        <v>49.08</v>
      </c>
      <c r="R732" s="13">
        <v>280</v>
      </c>
      <c r="S732" s="13">
        <v>7068.1</v>
      </c>
      <c r="T732" s="13"/>
      <c r="U732" s="13"/>
      <c r="V732" s="13"/>
      <c r="W732" s="13"/>
    </row>
    <row r="733" spans="1:23" x14ac:dyDescent="0.25">
      <c r="A733" s="15">
        <v>246</v>
      </c>
      <c r="B733" s="13" t="s">
        <v>13</v>
      </c>
      <c r="C733" s="22" t="s">
        <v>1433</v>
      </c>
      <c r="D733" s="29">
        <v>44342</v>
      </c>
      <c r="E733" s="18" t="s">
        <v>23</v>
      </c>
      <c r="F733" s="18"/>
      <c r="G733" s="13"/>
      <c r="H733" s="19"/>
      <c r="I733" s="13" t="s">
        <v>1434</v>
      </c>
      <c r="J733" s="13">
        <v>240</v>
      </c>
      <c r="K733" s="13" t="s">
        <v>272</v>
      </c>
      <c r="L733" s="13">
        <v>0.25669999999999998</v>
      </c>
      <c r="M733" s="13">
        <v>0.51100000000000001</v>
      </c>
      <c r="N733" s="13">
        <v>61.607999999999997</v>
      </c>
      <c r="O733" s="13">
        <v>122.64</v>
      </c>
      <c r="P733" s="13">
        <v>8.01</v>
      </c>
      <c r="Q733" s="13">
        <v>77.010000000000005</v>
      </c>
      <c r="R733" s="13">
        <v>300</v>
      </c>
      <c r="S733" s="13">
        <v>18482.400000000001</v>
      </c>
      <c r="T733" s="13"/>
      <c r="U733" s="13"/>
      <c r="V733" s="13"/>
      <c r="W733" s="13"/>
    </row>
    <row r="734" spans="1:23" x14ac:dyDescent="0.25">
      <c r="A734" s="15">
        <v>246</v>
      </c>
      <c r="B734" s="13" t="s">
        <v>13</v>
      </c>
      <c r="C734" s="22" t="s">
        <v>1433</v>
      </c>
      <c r="D734" s="29">
        <v>44342</v>
      </c>
      <c r="E734" s="18" t="s">
        <v>23</v>
      </c>
      <c r="F734" s="18"/>
      <c r="G734" s="13"/>
      <c r="H734" s="19"/>
      <c r="I734" s="13" t="s">
        <v>1435</v>
      </c>
      <c r="J734" s="13">
        <v>300</v>
      </c>
      <c r="K734" s="13" t="s">
        <v>305</v>
      </c>
      <c r="L734" s="13">
        <v>0.18940000000000001</v>
      </c>
      <c r="M734" s="13">
        <v>0.39300000000000002</v>
      </c>
      <c r="N734" s="13">
        <v>56.82</v>
      </c>
      <c r="O734" s="13">
        <v>117.9</v>
      </c>
      <c r="P734" s="13">
        <v>7.39</v>
      </c>
      <c r="Q734" s="13">
        <v>56.82</v>
      </c>
      <c r="R734" s="13">
        <v>300</v>
      </c>
      <c r="S734" s="13">
        <v>17046</v>
      </c>
      <c r="T734" s="13"/>
      <c r="U734" s="13"/>
      <c r="V734" s="13"/>
      <c r="W734" s="13"/>
    </row>
    <row r="735" spans="1:23" s="25" customFormat="1" x14ac:dyDescent="0.25">
      <c r="A735" s="20">
        <v>247</v>
      </c>
      <c r="B735" s="21" t="s">
        <v>13</v>
      </c>
      <c r="C735" s="22" t="s">
        <v>672</v>
      </c>
      <c r="D735" s="17">
        <v>44342</v>
      </c>
      <c r="E735" s="23" t="s">
        <v>23</v>
      </c>
      <c r="F735" s="23"/>
      <c r="G735" s="21" t="s">
        <v>1531</v>
      </c>
      <c r="H735" s="19">
        <v>44357</v>
      </c>
      <c r="I735" s="21" t="s">
        <v>630</v>
      </c>
      <c r="J735" s="13">
        <v>975</v>
      </c>
      <c r="K735" s="13" t="s">
        <v>148</v>
      </c>
      <c r="L735" s="21">
        <v>0.54049999999999998</v>
      </c>
      <c r="M735" s="21">
        <v>2.0990000000000002</v>
      </c>
      <c r="N735" s="21">
        <v>526.98749999999995</v>
      </c>
      <c r="O735" s="21">
        <v>2046.5250000000001</v>
      </c>
      <c r="P735" s="21">
        <v>68.510000000000005</v>
      </c>
      <c r="Q735" s="21">
        <v>118.91</v>
      </c>
      <c r="R735" s="21">
        <v>220</v>
      </c>
      <c r="S735" s="21">
        <v>115937.25</v>
      </c>
      <c r="T735" s="21"/>
      <c r="U735" s="21"/>
      <c r="V735" s="21"/>
      <c r="W735" s="21"/>
    </row>
    <row r="736" spans="1:23" x14ac:dyDescent="0.25">
      <c r="A736" s="15" t="s">
        <v>466</v>
      </c>
      <c r="B736" s="21" t="s">
        <v>13</v>
      </c>
      <c r="C736" s="22" t="s">
        <v>585</v>
      </c>
      <c r="D736" s="29">
        <v>44343</v>
      </c>
      <c r="E736" s="18" t="s">
        <v>23</v>
      </c>
      <c r="F736" s="18"/>
      <c r="G736" s="13"/>
      <c r="H736" s="19">
        <v>44354</v>
      </c>
      <c r="I736" s="13" t="s">
        <v>742</v>
      </c>
      <c r="J736" s="13"/>
      <c r="K736" s="13" t="s">
        <v>369</v>
      </c>
      <c r="L736" s="13"/>
      <c r="M736" s="13"/>
      <c r="N736" s="13"/>
      <c r="O736" s="13"/>
      <c r="P736" s="13"/>
      <c r="Q736" s="13"/>
      <c r="R736" s="13"/>
      <c r="S736" s="13" t="s">
        <v>126</v>
      </c>
      <c r="T736" s="13"/>
      <c r="U736" s="13"/>
      <c r="V736" s="13"/>
      <c r="W736" s="13"/>
    </row>
    <row r="737" spans="1:23" x14ac:dyDescent="0.25">
      <c r="A737" s="15" t="s">
        <v>466</v>
      </c>
      <c r="B737" s="21" t="s">
        <v>13</v>
      </c>
      <c r="C737" s="22" t="s">
        <v>585</v>
      </c>
      <c r="D737" s="29">
        <v>44343</v>
      </c>
      <c r="E737" s="18" t="s">
        <v>23</v>
      </c>
      <c r="F737" s="18"/>
      <c r="G737" s="13"/>
      <c r="H737" s="19">
        <v>44354</v>
      </c>
      <c r="I737" s="13" t="s">
        <v>731</v>
      </c>
      <c r="J737" s="13"/>
      <c r="K737" s="13" t="s">
        <v>1259</v>
      </c>
      <c r="L737" s="13"/>
      <c r="M737" s="13"/>
      <c r="N737" s="13"/>
      <c r="O737" s="13"/>
      <c r="P737" s="13"/>
      <c r="Q737" s="13"/>
      <c r="R737" s="13"/>
      <c r="S737" s="13" t="s">
        <v>1436</v>
      </c>
      <c r="T737" s="13"/>
      <c r="U737" s="13"/>
      <c r="V737" s="13"/>
      <c r="W737" s="13"/>
    </row>
    <row r="738" spans="1:23" x14ac:dyDescent="0.25">
      <c r="A738" s="15" t="s">
        <v>466</v>
      </c>
      <c r="B738" s="21" t="s">
        <v>13</v>
      </c>
      <c r="C738" s="22" t="s">
        <v>585</v>
      </c>
      <c r="D738" s="29">
        <v>44343</v>
      </c>
      <c r="E738" s="18" t="s">
        <v>23</v>
      </c>
      <c r="F738" s="18"/>
      <c r="G738" s="13"/>
      <c r="H738" s="19">
        <v>44354</v>
      </c>
      <c r="I738" s="13" t="s">
        <v>743</v>
      </c>
      <c r="J738" s="13"/>
      <c r="K738" s="13" t="s">
        <v>446</v>
      </c>
      <c r="L738" s="13"/>
      <c r="M738" s="13"/>
      <c r="N738" s="13"/>
      <c r="O738" s="13"/>
      <c r="P738" s="13"/>
      <c r="Q738" s="13"/>
      <c r="R738" s="13"/>
      <c r="S738" s="13" t="s">
        <v>1104</v>
      </c>
      <c r="T738" s="13"/>
      <c r="U738" s="13"/>
      <c r="V738" s="13"/>
      <c r="W738" s="13"/>
    </row>
    <row r="739" spans="1:23" x14ac:dyDescent="0.25">
      <c r="A739" s="15" t="s">
        <v>466</v>
      </c>
      <c r="B739" s="21" t="s">
        <v>13</v>
      </c>
      <c r="C739" s="22" t="s">
        <v>585</v>
      </c>
      <c r="D739" s="29">
        <v>44343</v>
      </c>
      <c r="E739" s="18" t="s">
        <v>23</v>
      </c>
      <c r="F739" s="18"/>
      <c r="G739" s="13"/>
      <c r="H739" s="19">
        <v>44354</v>
      </c>
      <c r="I739" s="13" t="s">
        <v>744</v>
      </c>
      <c r="J739" s="13"/>
      <c r="K739" s="13" t="s">
        <v>746</v>
      </c>
      <c r="L739" s="13"/>
      <c r="M739" s="13"/>
      <c r="N739" s="13"/>
      <c r="O739" s="13"/>
      <c r="P739" s="13"/>
      <c r="Q739" s="13"/>
      <c r="R739" s="13"/>
      <c r="S739" s="13" t="s">
        <v>1105</v>
      </c>
      <c r="T739" s="13"/>
      <c r="U739" s="13"/>
      <c r="V739" s="13"/>
      <c r="W739" s="13"/>
    </row>
    <row r="740" spans="1:23" x14ac:dyDescent="0.25">
      <c r="A740" s="15" t="s">
        <v>466</v>
      </c>
      <c r="B740" s="21" t="s">
        <v>13</v>
      </c>
      <c r="C740" s="22" t="s">
        <v>585</v>
      </c>
      <c r="D740" s="29">
        <v>44343</v>
      </c>
      <c r="E740" s="18" t="s">
        <v>23</v>
      </c>
      <c r="F740" s="18"/>
      <c r="G740" s="13"/>
      <c r="H740" s="19">
        <v>44354</v>
      </c>
      <c r="I740" s="13" t="s">
        <v>733</v>
      </c>
      <c r="J740" s="13"/>
      <c r="K740" s="13" t="s">
        <v>446</v>
      </c>
      <c r="L740" s="13"/>
      <c r="M740" s="13"/>
      <c r="N740" s="13"/>
      <c r="O740" s="13"/>
      <c r="P740" s="13"/>
      <c r="Q740" s="13"/>
      <c r="R740" s="13"/>
      <c r="S740" s="13" t="s">
        <v>749</v>
      </c>
      <c r="T740" s="13"/>
      <c r="U740" s="13"/>
      <c r="V740" s="13"/>
      <c r="W740" s="13"/>
    </row>
    <row r="741" spans="1:23" x14ac:dyDescent="0.25">
      <c r="A741" s="15" t="s">
        <v>466</v>
      </c>
      <c r="B741" s="21" t="s">
        <v>13</v>
      </c>
      <c r="C741" s="22" t="s">
        <v>585</v>
      </c>
      <c r="D741" s="29">
        <v>44343</v>
      </c>
      <c r="E741" s="18" t="s">
        <v>23</v>
      </c>
      <c r="F741" s="18"/>
      <c r="G741" s="13"/>
      <c r="H741" s="19">
        <v>44354</v>
      </c>
      <c r="I741" s="13" t="s">
        <v>737</v>
      </c>
      <c r="J741" s="13"/>
      <c r="K741" s="13" t="s">
        <v>108</v>
      </c>
      <c r="L741" s="13"/>
      <c r="M741" s="13"/>
      <c r="N741" s="13"/>
      <c r="O741" s="13"/>
      <c r="P741" s="13"/>
      <c r="Q741" s="13"/>
      <c r="R741" s="13"/>
      <c r="S741" s="13" t="s">
        <v>124</v>
      </c>
      <c r="T741" s="13"/>
      <c r="U741" s="13"/>
      <c r="V741" s="13"/>
      <c r="W741" s="13"/>
    </row>
    <row r="742" spans="1:23" x14ac:dyDescent="0.25">
      <c r="A742" s="15" t="s">
        <v>466</v>
      </c>
      <c r="B742" s="21" t="s">
        <v>13</v>
      </c>
      <c r="C742" s="22" t="s">
        <v>585</v>
      </c>
      <c r="D742" s="29">
        <v>44343</v>
      </c>
      <c r="E742" s="18" t="s">
        <v>23</v>
      </c>
      <c r="F742" s="18"/>
      <c r="G742" s="13"/>
      <c r="H742" s="19">
        <v>44354</v>
      </c>
      <c r="I742" s="13" t="s">
        <v>745</v>
      </c>
      <c r="J742" s="13"/>
      <c r="K742" s="13" t="s">
        <v>318</v>
      </c>
      <c r="L742" s="13"/>
      <c r="M742" s="13"/>
      <c r="N742" s="13"/>
      <c r="O742" s="13"/>
      <c r="P742" s="13"/>
      <c r="Q742" s="13"/>
      <c r="R742" s="13"/>
      <c r="S742" s="13" t="s">
        <v>1151</v>
      </c>
      <c r="T742" s="13"/>
      <c r="U742" s="13"/>
      <c r="V742" s="13"/>
      <c r="W742" s="13"/>
    </row>
    <row r="743" spans="1:23" x14ac:dyDescent="0.25">
      <c r="A743" s="15" t="s">
        <v>466</v>
      </c>
      <c r="B743" s="21" t="s">
        <v>13</v>
      </c>
      <c r="C743" s="22" t="s">
        <v>585</v>
      </c>
      <c r="D743" s="29">
        <v>44343</v>
      </c>
      <c r="E743" s="18" t="s">
        <v>23</v>
      </c>
      <c r="F743" s="18"/>
      <c r="G743" s="13"/>
      <c r="H743" s="19">
        <v>44354</v>
      </c>
      <c r="I743" s="13" t="s">
        <v>730</v>
      </c>
      <c r="J743" s="13"/>
      <c r="K743" s="13" t="s">
        <v>123</v>
      </c>
      <c r="L743" s="13"/>
      <c r="M743" s="13"/>
      <c r="N743" s="13"/>
      <c r="O743" s="13"/>
      <c r="P743" s="13"/>
      <c r="Q743" s="13"/>
      <c r="R743" s="13"/>
      <c r="S743" s="13" t="s">
        <v>158</v>
      </c>
      <c r="T743" s="13"/>
      <c r="U743" s="13"/>
      <c r="V743" s="13"/>
      <c r="W743" s="13"/>
    </row>
    <row r="744" spans="1:23" x14ac:dyDescent="0.25">
      <c r="A744" s="15" t="s">
        <v>466</v>
      </c>
      <c r="B744" s="21" t="s">
        <v>13</v>
      </c>
      <c r="C744" s="22" t="s">
        <v>585</v>
      </c>
      <c r="D744" s="29">
        <v>44343</v>
      </c>
      <c r="E744" s="18" t="s">
        <v>23</v>
      </c>
      <c r="F744" s="18"/>
      <c r="G744" s="13"/>
      <c r="H744" s="19">
        <v>44354</v>
      </c>
      <c r="I744" s="13" t="s">
        <v>732</v>
      </c>
      <c r="J744" s="13"/>
      <c r="K744" s="13" t="s">
        <v>123</v>
      </c>
      <c r="L744" s="13"/>
      <c r="M744" s="13"/>
      <c r="N744" s="13"/>
      <c r="O744" s="13"/>
      <c r="P744" s="13"/>
      <c r="Q744" s="13"/>
      <c r="R744" s="13"/>
      <c r="S744" s="13" t="s">
        <v>586</v>
      </c>
      <c r="T744" s="13"/>
      <c r="U744" s="13"/>
      <c r="V744" s="13"/>
      <c r="W744" s="13"/>
    </row>
    <row r="745" spans="1:23" x14ac:dyDescent="0.25">
      <c r="A745" s="15" t="s">
        <v>466</v>
      </c>
      <c r="B745" s="21" t="s">
        <v>13</v>
      </c>
      <c r="C745" s="22" t="s">
        <v>585</v>
      </c>
      <c r="D745" s="29">
        <v>44343</v>
      </c>
      <c r="E745" s="18" t="s">
        <v>23</v>
      </c>
      <c r="F745" s="18"/>
      <c r="G745" s="13"/>
      <c r="H745" s="19">
        <v>44354</v>
      </c>
      <c r="I745" s="13" t="s">
        <v>440</v>
      </c>
      <c r="J745" s="13"/>
      <c r="K745" s="13" t="s">
        <v>123</v>
      </c>
      <c r="L745" s="13"/>
      <c r="M745" s="13"/>
      <c r="N745" s="13"/>
      <c r="O745" s="13"/>
      <c r="P745" s="13"/>
      <c r="Q745" s="13"/>
      <c r="R745" s="13"/>
      <c r="S745" s="13" t="s">
        <v>97</v>
      </c>
      <c r="T745" s="13"/>
      <c r="U745" s="13"/>
      <c r="V745" s="13"/>
      <c r="W745" s="13"/>
    </row>
    <row r="746" spans="1:23" x14ac:dyDescent="0.25">
      <c r="A746" s="15" t="s">
        <v>466</v>
      </c>
      <c r="B746" s="21" t="s">
        <v>13</v>
      </c>
      <c r="C746" s="22" t="s">
        <v>585</v>
      </c>
      <c r="D746" s="29">
        <v>44343</v>
      </c>
      <c r="E746" s="18" t="s">
        <v>23</v>
      </c>
      <c r="F746" s="18"/>
      <c r="G746" s="13"/>
      <c r="H746" s="19">
        <v>44354</v>
      </c>
      <c r="I746" s="13" t="s">
        <v>736</v>
      </c>
      <c r="J746" s="13"/>
      <c r="K746" s="13" t="s">
        <v>123</v>
      </c>
      <c r="L746" s="13"/>
      <c r="M746" s="13"/>
      <c r="N746" s="13"/>
      <c r="O746" s="13"/>
      <c r="P746" s="13"/>
      <c r="Q746" s="13"/>
      <c r="R746" s="13"/>
      <c r="S746" s="13" t="s">
        <v>185</v>
      </c>
      <c r="T746" s="13"/>
      <c r="U746" s="13"/>
      <c r="V746" s="13"/>
      <c r="W746" s="13"/>
    </row>
    <row r="747" spans="1:23" x14ac:dyDescent="0.25">
      <c r="A747" s="15" t="s">
        <v>466</v>
      </c>
      <c r="B747" s="21" t="s">
        <v>13</v>
      </c>
      <c r="C747" s="22" t="s">
        <v>585</v>
      </c>
      <c r="D747" s="29">
        <v>44343</v>
      </c>
      <c r="E747" s="18" t="s">
        <v>23</v>
      </c>
      <c r="F747" s="18"/>
      <c r="G747" s="13"/>
      <c r="H747" s="19">
        <v>44354</v>
      </c>
      <c r="I747" s="13" t="s">
        <v>282</v>
      </c>
      <c r="J747" s="13"/>
      <c r="K747" s="13" t="s">
        <v>123</v>
      </c>
      <c r="L747" s="13"/>
      <c r="M747" s="13"/>
      <c r="N747" s="13"/>
      <c r="O747" s="13"/>
      <c r="P747" s="13"/>
      <c r="Q747" s="13"/>
      <c r="R747" s="13"/>
      <c r="S747" s="13" t="s">
        <v>751</v>
      </c>
      <c r="T747" s="13"/>
      <c r="U747" s="13"/>
      <c r="V747" s="13"/>
      <c r="W747" s="13"/>
    </row>
    <row r="748" spans="1:23" x14ac:dyDescent="0.25">
      <c r="A748" s="15" t="s">
        <v>466</v>
      </c>
      <c r="B748" s="21" t="s">
        <v>13</v>
      </c>
      <c r="C748" s="22" t="s">
        <v>585</v>
      </c>
      <c r="D748" s="29">
        <v>44343</v>
      </c>
      <c r="E748" s="18" t="s">
        <v>23</v>
      </c>
      <c r="F748" s="18"/>
      <c r="G748" s="13"/>
      <c r="H748" s="19">
        <v>44354</v>
      </c>
      <c r="I748" s="13" t="s">
        <v>739</v>
      </c>
      <c r="J748" s="13"/>
      <c r="K748" s="13" t="s">
        <v>108</v>
      </c>
      <c r="L748" s="13"/>
      <c r="M748" s="13"/>
      <c r="N748" s="13"/>
      <c r="O748" s="13"/>
      <c r="P748" s="13"/>
      <c r="Q748" s="13"/>
      <c r="R748" s="13"/>
      <c r="S748" s="13" t="s">
        <v>574</v>
      </c>
      <c r="T748" s="13"/>
      <c r="U748" s="13"/>
      <c r="V748" s="13"/>
      <c r="W748" s="13"/>
    </row>
    <row r="749" spans="1:23" x14ac:dyDescent="0.25">
      <c r="A749" s="15" t="s">
        <v>466</v>
      </c>
      <c r="B749" s="21" t="s">
        <v>13</v>
      </c>
      <c r="C749" s="22" t="s">
        <v>585</v>
      </c>
      <c r="D749" s="29">
        <v>44343</v>
      </c>
      <c r="E749" s="18" t="s">
        <v>23</v>
      </c>
      <c r="F749" s="18"/>
      <c r="G749" s="13"/>
      <c r="H749" s="19">
        <v>44354</v>
      </c>
      <c r="I749" s="13" t="s">
        <v>740</v>
      </c>
      <c r="J749" s="13"/>
      <c r="K749" s="13" t="s">
        <v>103</v>
      </c>
      <c r="L749" s="13"/>
      <c r="M749" s="13"/>
      <c r="N749" s="13"/>
      <c r="O749" s="13"/>
      <c r="P749" s="13"/>
      <c r="Q749" s="13"/>
      <c r="R749" s="13"/>
      <c r="S749" s="13" t="s">
        <v>218</v>
      </c>
      <c r="T749" s="13"/>
      <c r="U749" s="13"/>
      <c r="V749" s="13"/>
      <c r="W749" s="13"/>
    </row>
    <row r="750" spans="1:23" x14ac:dyDescent="0.25">
      <c r="A750" s="15" t="s">
        <v>466</v>
      </c>
      <c r="B750" s="21" t="s">
        <v>13</v>
      </c>
      <c r="C750" s="22" t="s">
        <v>585</v>
      </c>
      <c r="D750" s="29">
        <v>44343</v>
      </c>
      <c r="E750" s="18" t="s">
        <v>23</v>
      </c>
      <c r="F750" s="18"/>
      <c r="G750" s="13"/>
      <c r="H750" s="19">
        <v>44354</v>
      </c>
      <c r="I750" s="13" t="s">
        <v>741</v>
      </c>
      <c r="J750" s="13"/>
      <c r="K750" s="13" t="s">
        <v>193</v>
      </c>
      <c r="L750" s="13"/>
      <c r="M750" s="13"/>
      <c r="N750" s="13"/>
      <c r="O750" s="13"/>
      <c r="P750" s="13"/>
      <c r="Q750" s="13"/>
      <c r="R750" s="13"/>
      <c r="S750" s="13" t="s">
        <v>857</v>
      </c>
      <c r="T750" s="13"/>
      <c r="U750" s="13"/>
      <c r="V750" s="13"/>
      <c r="W750" s="13"/>
    </row>
    <row r="751" spans="1:23" x14ac:dyDescent="0.25">
      <c r="A751" s="15" t="s">
        <v>466</v>
      </c>
      <c r="B751" s="21" t="s">
        <v>13</v>
      </c>
      <c r="C751" s="22" t="s">
        <v>585</v>
      </c>
      <c r="D751" s="29">
        <v>44343</v>
      </c>
      <c r="E751" s="18" t="s">
        <v>23</v>
      </c>
      <c r="F751" s="18"/>
      <c r="G751" s="13"/>
      <c r="H751" s="19">
        <v>44354</v>
      </c>
      <c r="I751" s="13" t="s">
        <v>734</v>
      </c>
      <c r="J751" s="13"/>
      <c r="K751" s="13" t="s">
        <v>26</v>
      </c>
      <c r="L751" s="13"/>
      <c r="M751" s="13"/>
      <c r="N751" s="13"/>
      <c r="O751" s="13"/>
      <c r="P751" s="13"/>
      <c r="Q751" s="13"/>
      <c r="R751" s="13"/>
      <c r="S751" s="13" t="s">
        <v>572</v>
      </c>
      <c r="T751" s="13"/>
      <c r="U751" s="13"/>
      <c r="V751" s="13"/>
      <c r="W751" s="13"/>
    </row>
    <row r="752" spans="1:23" x14ac:dyDescent="0.25">
      <c r="A752" s="15" t="s">
        <v>466</v>
      </c>
      <c r="B752" s="21" t="s">
        <v>13</v>
      </c>
      <c r="C752" s="22" t="s">
        <v>585</v>
      </c>
      <c r="D752" s="29">
        <v>44343</v>
      </c>
      <c r="E752" s="18" t="s">
        <v>23</v>
      </c>
      <c r="F752" s="18"/>
      <c r="G752" s="13"/>
      <c r="H752" s="19">
        <v>44354</v>
      </c>
      <c r="I752" s="13" t="s">
        <v>735</v>
      </c>
      <c r="J752" s="13"/>
      <c r="K752" s="13" t="s">
        <v>26</v>
      </c>
      <c r="L752" s="13"/>
      <c r="M752" s="13"/>
      <c r="N752" s="13"/>
      <c r="O752" s="13"/>
      <c r="P752" s="13"/>
      <c r="Q752" s="13"/>
      <c r="R752" s="13"/>
      <c r="S752" s="13" t="s">
        <v>573</v>
      </c>
      <c r="T752" s="13"/>
      <c r="U752" s="13"/>
      <c r="V752" s="13"/>
      <c r="W752" s="13"/>
    </row>
    <row r="753" spans="1:23" x14ac:dyDescent="0.25">
      <c r="A753" s="15" t="s">
        <v>466</v>
      </c>
      <c r="B753" s="21" t="s">
        <v>13</v>
      </c>
      <c r="C753" s="22" t="s">
        <v>585</v>
      </c>
      <c r="D753" s="29">
        <v>44343</v>
      </c>
      <c r="E753" s="18" t="s">
        <v>23</v>
      </c>
      <c r="F753" s="18"/>
      <c r="G753" s="13"/>
      <c r="H753" s="19">
        <v>44354</v>
      </c>
      <c r="I753" s="13" t="s">
        <v>738</v>
      </c>
      <c r="J753" s="13"/>
      <c r="K753" s="13" t="s">
        <v>123</v>
      </c>
      <c r="L753" s="13"/>
      <c r="M753" s="13"/>
      <c r="N753" s="13"/>
      <c r="O753" s="13"/>
      <c r="P753" s="13"/>
      <c r="Q753" s="13"/>
      <c r="R753" s="13"/>
      <c r="S753" s="13" t="s">
        <v>750</v>
      </c>
      <c r="T753" s="13"/>
      <c r="U753" s="13"/>
      <c r="V753" s="13"/>
      <c r="W753" s="13"/>
    </row>
    <row r="754" spans="1:23" x14ac:dyDescent="0.25">
      <c r="A754" s="15" t="s">
        <v>466</v>
      </c>
      <c r="B754" s="21" t="s">
        <v>13</v>
      </c>
      <c r="C754" s="22" t="s">
        <v>585</v>
      </c>
      <c r="D754" s="29">
        <v>44343</v>
      </c>
      <c r="E754" s="18" t="s">
        <v>23</v>
      </c>
      <c r="F754" s="18"/>
      <c r="G754" s="13"/>
      <c r="H754" s="19">
        <v>44354</v>
      </c>
      <c r="I754" s="13" t="s">
        <v>568</v>
      </c>
      <c r="J754" s="13"/>
      <c r="K754" s="13" t="s">
        <v>26</v>
      </c>
      <c r="L754" s="13"/>
      <c r="M754" s="13"/>
      <c r="N754" s="13"/>
      <c r="O754" s="13"/>
      <c r="P754" s="13"/>
      <c r="Q754" s="13"/>
      <c r="R754" s="13"/>
      <c r="S754" s="13" t="s">
        <v>569</v>
      </c>
      <c r="T754" s="13"/>
      <c r="U754" s="13"/>
      <c r="V754" s="13"/>
      <c r="W754" s="13"/>
    </row>
    <row r="755" spans="1:23" x14ac:dyDescent="0.25">
      <c r="A755" s="15">
        <v>238</v>
      </c>
      <c r="B755" s="13" t="s">
        <v>13</v>
      </c>
      <c r="C755" s="22" t="s">
        <v>672</v>
      </c>
      <c r="D755" s="29">
        <v>44340</v>
      </c>
      <c r="E755" s="18" t="s">
        <v>23</v>
      </c>
      <c r="F755" s="18"/>
      <c r="G755" s="13"/>
      <c r="H755" s="19">
        <v>44403</v>
      </c>
      <c r="I755" s="13" t="s">
        <v>1142</v>
      </c>
      <c r="J755" s="13">
        <v>570</v>
      </c>
      <c r="K755" s="13">
        <v>95</v>
      </c>
      <c r="L755" s="13">
        <v>0.31</v>
      </c>
      <c r="M755" s="13">
        <v>1.2010000000000001</v>
      </c>
      <c r="N755" s="13">
        <v>176.7</v>
      </c>
      <c r="O755" s="13">
        <v>684.57</v>
      </c>
      <c r="P755" s="13">
        <v>22.97</v>
      </c>
      <c r="Q755" s="13">
        <v>68.2</v>
      </c>
      <c r="R755" s="13">
        <v>220</v>
      </c>
      <c r="S755" s="13">
        <v>38874</v>
      </c>
      <c r="T755" s="13"/>
      <c r="U755" s="13"/>
      <c r="V755" s="13"/>
      <c r="W755" s="13"/>
    </row>
    <row r="756" spans="1:23" s="25" customFormat="1" x14ac:dyDescent="0.25">
      <c r="A756" s="20" t="s">
        <v>1573</v>
      </c>
      <c r="B756" s="21" t="s">
        <v>13</v>
      </c>
      <c r="C756" s="22" t="s">
        <v>1437</v>
      </c>
      <c r="D756" s="17">
        <v>44343</v>
      </c>
      <c r="E756" s="23" t="s">
        <v>677</v>
      </c>
      <c r="F756" s="23"/>
      <c r="G756" s="21"/>
      <c r="H756" s="30"/>
      <c r="I756" s="21" t="s">
        <v>1438</v>
      </c>
      <c r="J756" s="21">
        <v>360</v>
      </c>
      <c r="K756" s="21">
        <v>60</v>
      </c>
      <c r="L756" s="21"/>
      <c r="M756" s="21"/>
      <c r="N756" s="21"/>
      <c r="O756" s="21"/>
      <c r="P756" s="21"/>
      <c r="Q756" s="21"/>
      <c r="R756" s="21"/>
      <c r="S756" s="21">
        <v>20600</v>
      </c>
      <c r="T756" s="21"/>
      <c r="U756" s="21"/>
      <c r="V756" s="21"/>
      <c r="W756" s="21"/>
    </row>
    <row r="757" spans="1:23" x14ac:dyDescent="0.25">
      <c r="A757" s="15" t="s">
        <v>464</v>
      </c>
      <c r="B757" s="13" t="s">
        <v>13</v>
      </c>
      <c r="C757" s="22" t="s">
        <v>43</v>
      </c>
      <c r="D757" s="29">
        <v>44343</v>
      </c>
      <c r="E757" s="18" t="s">
        <v>23</v>
      </c>
      <c r="F757" s="18"/>
      <c r="G757" s="13"/>
      <c r="H757" s="19">
        <v>44354</v>
      </c>
      <c r="I757" s="13" t="s">
        <v>545</v>
      </c>
      <c r="J757" s="13" t="s">
        <v>1440</v>
      </c>
      <c r="K757" s="13"/>
      <c r="L757" s="13"/>
      <c r="M757" s="13"/>
      <c r="N757" s="13"/>
      <c r="O757" s="13"/>
      <c r="P757" s="13"/>
      <c r="Q757" s="13"/>
      <c r="R757" s="13"/>
      <c r="S757" s="13" t="s">
        <v>1441</v>
      </c>
      <c r="T757" s="13"/>
      <c r="U757" s="13"/>
      <c r="V757" s="13"/>
      <c r="W757" s="13"/>
    </row>
    <row r="758" spans="1:23" x14ac:dyDescent="0.25">
      <c r="A758" s="15" t="s">
        <v>464</v>
      </c>
      <c r="B758" s="13" t="s">
        <v>13</v>
      </c>
      <c r="C758" s="22" t="s">
        <v>43</v>
      </c>
      <c r="D758" s="29">
        <v>44343</v>
      </c>
      <c r="E758" s="18" t="s">
        <v>23</v>
      </c>
      <c r="F758" s="18"/>
      <c r="G758" s="13"/>
      <c r="H758" s="19">
        <v>44354</v>
      </c>
      <c r="I758" s="13" t="s">
        <v>275</v>
      </c>
      <c r="J758" s="13" t="s">
        <v>96</v>
      </c>
      <c r="K758" s="13"/>
      <c r="L758" s="13"/>
      <c r="M758" s="13"/>
      <c r="N758" s="13"/>
      <c r="O758" s="13"/>
      <c r="P758" s="13"/>
      <c r="Q758" s="13"/>
      <c r="R758" s="13"/>
      <c r="S758" s="13" t="s">
        <v>1442</v>
      </c>
      <c r="T758" s="13"/>
      <c r="U758" s="13"/>
      <c r="V758" s="13"/>
      <c r="W758" s="13"/>
    </row>
    <row r="759" spans="1:23" x14ac:dyDescent="0.25">
      <c r="A759" s="15" t="s">
        <v>464</v>
      </c>
      <c r="B759" s="13" t="s">
        <v>13</v>
      </c>
      <c r="C759" s="22" t="s">
        <v>43</v>
      </c>
      <c r="D759" s="29">
        <v>44343</v>
      </c>
      <c r="E759" s="18" t="s">
        <v>23</v>
      </c>
      <c r="F759" s="18"/>
      <c r="G759" s="13"/>
      <c r="H759" s="19">
        <v>44354</v>
      </c>
      <c r="I759" s="13" t="s">
        <v>349</v>
      </c>
      <c r="J759" s="13" t="s">
        <v>248</v>
      </c>
      <c r="K759" s="13"/>
      <c r="L759" s="13"/>
      <c r="M759" s="13"/>
      <c r="N759" s="13"/>
      <c r="O759" s="13"/>
      <c r="P759" s="13"/>
      <c r="Q759" s="13"/>
      <c r="R759" s="13"/>
      <c r="S759" s="13" t="s">
        <v>1443</v>
      </c>
      <c r="T759" s="13"/>
      <c r="U759" s="13"/>
      <c r="V759" s="13"/>
      <c r="W759" s="13"/>
    </row>
    <row r="760" spans="1:23" x14ac:dyDescent="0.25">
      <c r="A760" s="15" t="s">
        <v>464</v>
      </c>
      <c r="B760" s="13" t="s">
        <v>13</v>
      </c>
      <c r="C760" s="22" t="s">
        <v>43</v>
      </c>
      <c r="D760" s="29">
        <v>44343</v>
      </c>
      <c r="E760" s="18" t="s">
        <v>23</v>
      </c>
      <c r="F760" s="18"/>
      <c r="G760" s="13"/>
      <c r="H760" s="19">
        <v>44354</v>
      </c>
      <c r="I760" s="13" t="s">
        <v>760</v>
      </c>
      <c r="J760" s="13" t="s">
        <v>250</v>
      </c>
      <c r="K760" s="13"/>
      <c r="L760" s="13"/>
      <c r="M760" s="13"/>
      <c r="N760" s="13"/>
      <c r="O760" s="13"/>
      <c r="P760" s="13"/>
      <c r="Q760" s="13"/>
      <c r="R760" s="13"/>
      <c r="S760" s="13" t="s">
        <v>1444</v>
      </c>
      <c r="T760" s="13"/>
      <c r="U760" s="13"/>
      <c r="V760" s="13"/>
      <c r="W760" s="13"/>
    </row>
    <row r="761" spans="1:23" x14ac:dyDescent="0.25">
      <c r="A761" s="15" t="s">
        <v>468</v>
      </c>
      <c r="B761" s="13" t="s">
        <v>13</v>
      </c>
      <c r="C761" s="22" t="s">
        <v>30</v>
      </c>
      <c r="D761" s="29">
        <v>44344</v>
      </c>
      <c r="E761" s="18" t="s">
        <v>677</v>
      </c>
      <c r="F761" s="18"/>
      <c r="G761" s="13"/>
      <c r="H761" s="31"/>
      <c r="I761" s="13" t="s">
        <v>1446</v>
      </c>
      <c r="J761" s="13"/>
      <c r="K761" s="13" t="s">
        <v>123</v>
      </c>
      <c r="L761" s="13"/>
      <c r="M761" s="13"/>
      <c r="N761" s="13"/>
      <c r="O761" s="13"/>
      <c r="P761" s="13"/>
      <c r="Q761" s="13"/>
      <c r="R761" s="13"/>
      <c r="S761" s="13" t="s">
        <v>135</v>
      </c>
      <c r="T761" s="13"/>
      <c r="U761" s="13"/>
      <c r="V761" s="13"/>
      <c r="W761" s="13"/>
    </row>
    <row r="762" spans="1:23" x14ac:dyDescent="0.25">
      <c r="A762" s="15" t="s">
        <v>468</v>
      </c>
      <c r="B762" s="13" t="s">
        <v>13</v>
      </c>
      <c r="C762" s="22" t="s">
        <v>30</v>
      </c>
      <c r="D762" s="29">
        <v>44344</v>
      </c>
      <c r="E762" s="18" t="s">
        <v>677</v>
      </c>
      <c r="F762" s="18"/>
      <c r="G762" s="13"/>
      <c r="H762" s="31"/>
      <c r="I762" s="13" t="s">
        <v>1447</v>
      </c>
      <c r="J762" s="13"/>
      <c r="K762" s="13" t="s">
        <v>26</v>
      </c>
      <c r="L762" s="13"/>
      <c r="M762" s="13"/>
      <c r="N762" s="13"/>
      <c r="O762" s="13"/>
      <c r="P762" s="13"/>
      <c r="Q762" s="13"/>
      <c r="R762" s="13"/>
      <c r="S762" s="13" t="s">
        <v>1451</v>
      </c>
      <c r="T762" s="13"/>
      <c r="U762" s="13"/>
      <c r="V762" s="13"/>
      <c r="W762" s="13"/>
    </row>
    <row r="763" spans="1:23" x14ac:dyDescent="0.25">
      <c r="A763" s="15" t="s">
        <v>468</v>
      </c>
      <c r="B763" s="13" t="s">
        <v>13</v>
      </c>
      <c r="C763" s="22" t="s">
        <v>30</v>
      </c>
      <c r="D763" s="29">
        <v>44344</v>
      </c>
      <c r="E763" s="18" t="s">
        <v>677</v>
      </c>
      <c r="F763" s="18"/>
      <c r="G763" s="13"/>
      <c r="H763" s="31"/>
      <c r="I763" s="13" t="s">
        <v>1448</v>
      </c>
      <c r="J763" s="13"/>
      <c r="K763" s="13" t="s">
        <v>26</v>
      </c>
      <c r="L763" s="13"/>
      <c r="M763" s="13"/>
      <c r="N763" s="13"/>
      <c r="O763" s="13"/>
      <c r="P763" s="13"/>
      <c r="Q763" s="13"/>
      <c r="R763" s="13"/>
      <c r="S763" s="13" t="s">
        <v>1451</v>
      </c>
      <c r="T763" s="13"/>
      <c r="U763" s="13"/>
      <c r="V763" s="13"/>
      <c r="W763" s="13"/>
    </row>
    <row r="764" spans="1:23" x14ac:dyDescent="0.25">
      <c r="A764" s="15" t="s">
        <v>468</v>
      </c>
      <c r="B764" s="13" t="s">
        <v>13</v>
      </c>
      <c r="C764" s="22" t="s">
        <v>30</v>
      </c>
      <c r="D764" s="29">
        <v>44344</v>
      </c>
      <c r="E764" s="18" t="s">
        <v>677</v>
      </c>
      <c r="F764" s="18"/>
      <c r="G764" s="13"/>
      <c r="H764" s="31"/>
      <c r="I764" s="13" t="s">
        <v>1449</v>
      </c>
      <c r="J764" s="13"/>
      <c r="K764" s="13" t="s">
        <v>26</v>
      </c>
      <c r="L764" s="13"/>
      <c r="M764" s="13"/>
      <c r="N764" s="13"/>
      <c r="O764" s="13"/>
      <c r="P764" s="13"/>
      <c r="Q764" s="13"/>
      <c r="R764" s="13"/>
      <c r="S764" s="13" t="s">
        <v>1451</v>
      </c>
      <c r="T764" s="13"/>
      <c r="U764" s="13"/>
      <c r="V764" s="13"/>
      <c r="W764" s="13"/>
    </row>
    <row r="765" spans="1:23" x14ac:dyDescent="0.25">
      <c r="A765" s="15" t="s">
        <v>468</v>
      </c>
      <c r="B765" s="13" t="s">
        <v>13</v>
      </c>
      <c r="C765" s="22" t="s">
        <v>30</v>
      </c>
      <c r="D765" s="29">
        <v>44344</v>
      </c>
      <c r="E765" s="18" t="s">
        <v>677</v>
      </c>
      <c r="F765" s="18"/>
      <c r="G765" s="13"/>
      <c r="H765" s="31"/>
      <c r="I765" s="13" t="s">
        <v>1450</v>
      </c>
      <c r="J765" s="13"/>
      <c r="K765" s="13" t="s">
        <v>108</v>
      </c>
      <c r="L765" s="13"/>
      <c r="M765" s="13"/>
      <c r="N765" s="13"/>
      <c r="O765" s="13"/>
      <c r="P765" s="13"/>
      <c r="Q765" s="13"/>
      <c r="R765" s="13"/>
      <c r="S765" s="13" t="s">
        <v>1452</v>
      </c>
      <c r="T765" s="13"/>
      <c r="U765" s="13"/>
      <c r="V765" s="13"/>
      <c r="W765" s="13"/>
    </row>
    <row r="766" spans="1:23" x14ac:dyDescent="0.25">
      <c r="A766" s="15" t="s">
        <v>472</v>
      </c>
      <c r="B766" s="13" t="s">
        <v>13</v>
      </c>
      <c r="C766" s="22" t="s">
        <v>15</v>
      </c>
      <c r="D766" s="29">
        <v>44344</v>
      </c>
      <c r="E766" s="18" t="s">
        <v>23</v>
      </c>
      <c r="F766" s="18"/>
      <c r="G766" s="13"/>
      <c r="H766" s="31"/>
      <c r="I766" s="13" t="s">
        <v>89</v>
      </c>
      <c r="J766" s="13"/>
      <c r="K766" s="13">
        <v>48</v>
      </c>
      <c r="L766" s="13"/>
      <c r="M766" s="13"/>
      <c r="N766" s="13"/>
      <c r="O766" s="13"/>
      <c r="P766" s="13"/>
      <c r="Q766" s="13"/>
      <c r="R766" s="13"/>
      <c r="S766" s="13">
        <v>34992</v>
      </c>
      <c r="T766" s="13"/>
      <c r="U766" s="13"/>
      <c r="V766" s="13"/>
      <c r="W766" s="13"/>
    </row>
    <row r="767" spans="1:23" x14ac:dyDescent="0.25">
      <c r="A767" s="15" t="s">
        <v>1454</v>
      </c>
      <c r="B767" s="13" t="s">
        <v>34</v>
      </c>
      <c r="C767" s="22" t="s">
        <v>16</v>
      </c>
      <c r="D767" s="29">
        <v>44344</v>
      </c>
      <c r="E767" s="18" t="s">
        <v>23</v>
      </c>
      <c r="F767" s="18"/>
      <c r="G767" s="13" t="s">
        <v>1847</v>
      </c>
      <c r="H767" s="19">
        <v>44319</v>
      </c>
      <c r="I767" s="13" t="s">
        <v>862</v>
      </c>
      <c r="J767" s="13">
        <v>912</v>
      </c>
      <c r="K767" s="13" t="s">
        <v>1453</v>
      </c>
      <c r="L767" s="13">
        <v>0.29970000000000002</v>
      </c>
      <c r="M767" s="13">
        <v>1.6739999999999999</v>
      </c>
      <c r="N767" s="13">
        <v>273.32639999999998</v>
      </c>
      <c r="O767" s="13">
        <v>1526.6880000000001</v>
      </c>
      <c r="P767" s="13">
        <v>35.53</v>
      </c>
      <c r="Q767" s="13">
        <v>89.91</v>
      </c>
      <c r="R767" s="13">
        <v>300</v>
      </c>
      <c r="S767" s="13">
        <v>81997.919999999998</v>
      </c>
      <c r="T767" s="13"/>
      <c r="U767" s="13"/>
      <c r="V767" s="13"/>
      <c r="W767" s="13"/>
    </row>
    <row r="768" spans="1:23" x14ac:dyDescent="0.25">
      <c r="A768" s="15">
        <v>249</v>
      </c>
      <c r="B768" s="13" t="s">
        <v>34</v>
      </c>
      <c r="C768" s="22" t="s">
        <v>19</v>
      </c>
      <c r="D768" s="29">
        <v>44344</v>
      </c>
      <c r="E768" s="18" t="s">
        <v>23</v>
      </c>
      <c r="F768" s="18"/>
      <c r="G768" s="13" t="s">
        <v>1590</v>
      </c>
      <c r="H768" s="19">
        <v>44354</v>
      </c>
      <c r="I768" s="13" t="s">
        <v>1455</v>
      </c>
      <c r="J768" s="13">
        <v>2301.4</v>
      </c>
      <c r="K768" s="13" t="s">
        <v>1513</v>
      </c>
      <c r="L768" s="13">
        <v>0.17829999999999999</v>
      </c>
      <c r="M768" s="13">
        <v>0.47499999999999998</v>
      </c>
      <c r="N768" s="13">
        <v>410.33960000000002</v>
      </c>
      <c r="O768" s="13">
        <v>1093.165</v>
      </c>
      <c r="P768" s="13">
        <v>53.34</v>
      </c>
      <c r="Q768" s="13">
        <v>53.49</v>
      </c>
      <c r="R768" s="13">
        <v>300</v>
      </c>
      <c r="S768" s="13">
        <v>123101.89</v>
      </c>
      <c r="T768" s="13"/>
      <c r="U768" s="13"/>
      <c r="V768" s="13"/>
      <c r="W768" s="13"/>
    </row>
    <row r="769" spans="1:23" x14ac:dyDescent="0.25">
      <c r="A769" s="15" t="s">
        <v>474</v>
      </c>
      <c r="B769" s="13" t="s">
        <v>13</v>
      </c>
      <c r="C769" s="22" t="s">
        <v>30</v>
      </c>
      <c r="D769" s="29">
        <v>44347</v>
      </c>
      <c r="E769" s="18" t="s">
        <v>23</v>
      </c>
      <c r="F769" s="18"/>
      <c r="G769" s="13"/>
      <c r="H769" s="19">
        <v>44354</v>
      </c>
      <c r="I769" s="13" t="s">
        <v>214</v>
      </c>
      <c r="J769" s="13"/>
      <c r="K769" s="13" t="s">
        <v>193</v>
      </c>
      <c r="L769" s="13"/>
      <c r="M769" s="13"/>
      <c r="N769" s="13"/>
      <c r="O769" s="13"/>
      <c r="P769" s="13"/>
      <c r="Q769" s="13"/>
      <c r="R769" s="13"/>
      <c r="S769" s="13">
        <v>21120</v>
      </c>
      <c r="T769" s="13"/>
      <c r="U769" s="13"/>
      <c r="V769" s="13"/>
      <c r="W769" s="13"/>
    </row>
    <row r="770" spans="1:23" x14ac:dyDescent="0.25">
      <c r="A770" s="15" t="s">
        <v>474</v>
      </c>
      <c r="B770" s="13" t="s">
        <v>13</v>
      </c>
      <c r="C770" s="22" t="s">
        <v>30</v>
      </c>
      <c r="D770" s="29">
        <v>44347</v>
      </c>
      <c r="E770" s="18" t="s">
        <v>23</v>
      </c>
      <c r="F770" s="18"/>
      <c r="G770" s="13"/>
      <c r="H770" s="19">
        <v>44354</v>
      </c>
      <c r="I770" s="13" t="s">
        <v>215</v>
      </c>
      <c r="J770" s="13"/>
      <c r="K770" s="13" t="s">
        <v>193</v>
      </c>
      <c r="L770" s="13"/>
      <c r="M770" s="13"/>
      <c r="N770" s="13"/>
      <c r="O770" s="13"/>
      <c r="P770" s="13"/>
      <c r="Q770" s="13"/>
      <c r="R770" s="13"/>
      <c r="S770" s="13">
        <v>27200</v>
      </c>
      <c r="T770" s="13"/>
      <c r="U770" s="13"/>
      <c r="V770" s="13"/>
      <c r="W770" s="13"/>
    </row>
    <row r="771" spans="1:23" x14ac:dyDescent="0.25">
      <c r="A771" s="15" t="s">
        <v>474</v>
      </c>
      <c r="B771" s="13" t="s">
        <v>13</v>
      </c>
      <c r="C771" s="22" t="s">
        <v>30</v>
      </c>
      <c r="D771" s="29">
        <v>44347</v>
      </c>
      <c r="E771" s="18" t="s">
        <v>23</v>
      </c>
      <c r="F771" s="18"/>
      <c r="G771" s="13"/>
      <c r="H771" s="19">
        <v>44354</v>
      </c>
      <c r="I771" s="13" t="s">
        <v>216</v>
      </c>
      <c r="J771" s="13"/>
      <c r="K771" s="13" t="s">
        <v>193</v>
      </c>
      <c r="L771" s="13"/>
      <c r="M771" s="13"/>
      <c r="N771" s="13"/>
      <c r="O771" s="13"/>
      <c r="P771" s="13"/>
      <c r="Q771" s="13"/>
      <c r="R771" s="13"/>
      <c r="S771" s="13">
        <v>28800</v>
      </c>
      <c r="T771" s="13"/>
      <c r="U771" s="13"/>
      <c r="V771" s="13"/>
      <c r="W771" s="13"/>
    </row>
    <row r="772" spans="1:23" x14ac:dyDescent="0.25">
      <c r="A772" s="15" t="s">
        <v>474</v>
      </c>
      <c r="B772" s="13" t="s">
        <v>13</v>
      </c>
      <c r="C772" s="22" t="s">
        <v>30</v>
      </c>
      <c r="D772" s="29">
        <v>44347</v>
      </c>
      <c r="E772" s="18" t="s">
        <v>23</v>
      </c>
      <c r="F772" s="18"/>
      <c r="G772" s="13"/>
      <c r="H772" s="19">
        <v>44354</v>
      </c>
      <c r="I772" s="13" t="s">
        <v>219</v>
      </c>
      <c r="J772" s="13"/>
      <c r="K772" s="13" t="s">
        <v>193</v>
      </c>
      <c r="L772" s="13"/>
      <c r="M772" s="13"/>
      <c r="N772" s="13"/>
      <c r="O772" s="13"/>
      <c r="P772" s="13"/>
      <c r="Q772" s="13"/>
      <c r="R772" s="13"/>
      <c r="S772" s="13">
        <v>28800</v>
      </c>
      <c r="T772" s="13"/>
      <c r="U772" s="13"/>
      <c r="V772" s="13"/>
      <c r="W772" s="13"/>
    </row>
    <row r="773" spans="1:23" x14ac:dyDescent="0.25">
      <c r="A773" s="15" t="s">
        <v>474</v>
      </c>
      <c r="B773" s="13" t="s">
        <v>13</v>
      </c>
      <c r="C773" s="22" t="s">
        <v>30</v>
      </c>
      <c r="D773" s="29">
        <v>44347</v>
      </c>
      <c r="E773" s="18" t="s">
        <v>23</v>
      </c>
      <c r="F773" s="18"/>
      <c r="G773" s="13"/>
      <c r="H773" s="19">
        <v>44354</v>
      </c>
      <c r="I773" s="13" t="s">
        <v>220</v>
      </c>
      <c r="J773" s="13"/>
      <c r="K773" s="13" t="s">
        <v>193</v>
      </c>
      <c r="L773" s="13"/>
      <c r="M773" s="13"/>
      <c r="N773" s="13"/>
      <c r="O773" s="13"/>
      <c r="P773" s="13"/>
      <c r="Q773" s="13"/>
      <c r="R773" s="13"/>
      <c r="S773" s="13">
        <v>36800</v>
      </c>
      <c r="T773" s="13"/>
      <c r="U773" s="13"/>
      <c r="V773" s="13"/>
      <c r="W773" s="13"/>
    </row>
    <row r="774" spans="1:23" s="25" customFormat="1" x14ac:dyDescent="0.25">
      <c r="A774" s="20">
        <v>252</v>
      </c>
      <c r="B774" s="21" t="s">
        <v>13</v>
      </c>
      <c r="C774" s="22" t="s">
        <v>625</v>
      </c>
      <c r="D774" s="17">
        <v>44347</v>
      </c>
      <c r="E774" s="23" t="s">
        <v>23</v>
      </c>
      <c r="F774" s="23"/>
      <c r="G774" s="21" t="s">
        <v>559</v>
      </c>
      <c r="H774" s="24"/>
      <c r="I774" s="21" t="s">
        <v>681</v>
      </c>
      <c r="J774" s="21">
        <v>864.8</v>
      </c>
      <c r="K774" s="21" t="s">
        <v>258</v>
      </c>
      <c r="L774" s="21">
        <v>0.34789999999999999</v>
      </c>
      <c r="M774" s="21">
        <v>1.643</v>
      </c>
      <c r="N774" s="21">
        <v>300.8639</v>
      </c>
      <c r="O774" s="21">
        <v>1420.8664000000001</v>
      </c>
      <c r="P774" s="21">
        <v>39.11</v>
      </c>
      <c r="Q774" s="21">
        <v>69.58</v>
      </c>
      <c r="R774" s="21">
        <v>200</v>
      </c>
      <c r="S774" s="21">
        <v>60172.78</v>
      </c>
      <c r="T774" s="21"/>
      <c r="U774" s="21"/>
      <c r="V774" s="21"/>
      <c r="W774" s="21"/>
    </row>
    <row r="775" spans="1:23" s="25" customFormat="1" x14ac:dyDescent="0.25">
      <c r="A775" s="20">
        <v>253</v>
      </c>
      <c r="B775" s="21" t="s">
        <v>13</v>
      </c>
      <c r="C775" s="22" t="s">
        <v>24</v>
      </c>
      <c r="D775" s="17">
        <v>44347</v>
      </c>
      <c r="E775" s="23" t="s">
        <v>23</v>
      </c>
      <c r="F775" s="23"/>
      <c r="G775" s="21"/>
      <c r="H775" s="24">
        <v>44384</v>
      </c>
      <c r="I775" s="21" t="s">
        <v>199</v>
      </c>
      <c r="J775" s="21">
        <v>1207.8</v>
      </c>
      <c r="K775" s="21" t="s">
        <v>471</v>
      </c>
      <c r="L775" s="21">
        <v>0.40960000000000002</v>
      </c>
      <c r="M775" s="21">
        <v>1.0529999999999999</v>
      </c>
      <c r="N775" s="21">
        <v>494.7149</v>
      </c>
      <c r="O775" s="21">
        <v>1271.8134</v>
      </c>
      <c r="P775" s="21">
        <v>64.31</v>
      </c>
      <c r="Q775" s="21">
        <v>81.92</v>
      </c>
      <c r="R775" s="21">
        <v>200</v>
      </c>
      <c r="S775" s="21">
        <v>98942.98</v>
      </c>
      <c r="T775" s="21"/>
      <c r="U775" s="21"/>
      <c r="V775" s="21"/>
      <c r="W775" s="21"/>
    </row>
    <row r="776" spans="1:23" x14ac:dyDescent="0.25">
      <c r="A776" s="15" t="s">
        <v>475</v>
      </c>
      <c r="B776" s="13" t="s">
        <v>13</v>
      </c>
      <c r="C776" s="22" t="s">
        <v>548</v>
      </c>
      <c r="D776" s="29">
        <v>44347</v>
      </c>
      <c r="E776" s="18" t="s">
        <v>23</v>
      </c>
      <c r="F776" s="18"/>
      <c r="G776" s="13" t="s">
        <v>1501</v>
      </c>
      <c r="H776" s="19">
        <v>44354</v>
      </c>
      <c r="I776" s="13" t="s">
        <v>1459</v>
      </c>
      <c r="J776" s="13" t="s">
        <v>1463</v>
      </c>
      <c r="K776" s="13">
        <v>50</v>
      </c>
      <c r="L776" s="13"/>
      <c r="M776" s="13"/>
      <c r="N776" s="13"/>
      <c r="O776" s="13"/>
      <c r="P776" s="13"/>
      <c r="Q776" s="13" t="s">
        <v>1469</v>
      </c>
      <c r="R776" s="13"/>
      <c r="S776" s="13" t="s">
        <v>1467</v>
      </c>
      <c r="T776" s="13"/>
      <c r="U776" s="13"/>
      <c r="V776" s="13"/>
      <c r="W776" s="13"/>
    </row>
    <row r="777" spans="1:23" s="25" customFormat="1" x14ac:dyDescent="0.25">
      <c r="A777" s="20">
        <v>254</v>
      </c>
      <c r="B777" s="21" t="s">
        <v>13</v>
      </c>
      <c r="C777" s="22" t="s">
        <v>672</v>
      </c>
      <c r="D777" s="17">
        <v>44347</v>
      </c>
      <c r="E777" s="23" t="s">
        <v>23</v>
      </c>
      <c r="F777" s="23"/>
      <c r="G777" s="21" t="s">
        <v>1667</v>
      </c>
      <c r="H777" s="24">
        <v>44389</v>
      </c>
      <c r="I777" s="21" t="s">
        <v>1400</v>
      </c>
      <c r="J777" s="21">
        <v>1236</v>
      </c>
      <c r="K777" s="21" t="s">
        <v>300</v>
      </c>
      <c r="L777" s="21">
        <v>0.29759999999999998</v>
      </c>
      <c r="M777" s="21">
        <v>0.67600000000000005</v>
      </c>
      <c r="N777" s="21">
        <v>367.83359999999999</v>
      </c>
      <c r="O777" s="21">
        <v>835.53599999999994</v>
      </c>
      <c r="P777" s="21">
        <v>47.82</v>
      </c>
      <c r="Q777" s="21">
        <v>65.47</v>
      </c>
      <c r="R777" s="21">
        <v>220</v>
      </c>
      <c r="S777" s="21">
        <v>80920.92</v>
      </c>
      <c r="T777" s="21"/>
      <c r="U777" s="21"/>
      <c r="V777" s="21"/>
      <c r="W777" s="21"/>
    </row>
    <row r="778" spans="1:23" s="25" customFormat="1" x14ac:dyDescent="0.25">
      <c r="A778" s="20">
        <v>250</v>
      </c>
      <c r="B778" s="21" t="s">
        <v>13</v>
      </c>
      <c r="C778" s="22" t="s">
        <v>1470</v>
      </c>
      <c r="D778" s="17">
        <v>44347</v>
      </c>
      <c r="E778" s="23" t="s">
        <v>23</v>
      </c>
      <c r="F778" s="23"/>
      <c r="G778" s="21" t="s">
        <v>1520</v>
      </c>
      <c r="H778" s="24">
        <v>44356</v>
      </c>
      <c r="I778" s="21" t="s">
        <v>1471</v>
      </c>
      <c r="J778" s="21">
        <v>30</v>
      </c>
      <c r="K778" s="21" t="s">
        <v>364</v>
      </c>
      <c r="L778" s="21">
        <v>0.3417</v>
      </c>
      <c r="M778" s="21">
        <v>0.90900000000000003</v>
      </c>
      <c r="N778" s="21">
        <v>10.250999999999999</v>
      </c>
      <c r="O778" s="21">
        <v>27.27</v>
      </c>
      <c r="P778" s="21">
        <v>1.33</v>
      </c>
      <c r="Q778" s="21">
        <v>102.51</v>
      </c>
      <c r="R778" s="21">
        <v>300</v>
      </c>
      <c r="S778" s="21">
        <v>3075.3</v>
      </c>
      <c r="T778" s="21"/>
      <c r="U778" s="21"/>
      <c r="V778" s="21"/>
      <c r="W778" s="21"/>
    </row>
    <row r="779" spans="1:23" x14ac:dyDescent="0.25">
      <c r="A779" s="15">
        <v>251</v>
      </c>
      <c r="B779" s="13" t="s">
        <v>13</v>
      </c>
      <c r="C779" s="22" t="s">
        <v>1433</v>
      </c>
      <c r="D779" s="29">
        <v>44347</v>
      </c>
      <c r="E779" s="18" t="s">
        <v>23</v>
      </c>
      <c r="F779" s="18"/>
      <c r="G779" s="13"/>
      <c r="H779" s="19">
        <v>44362</v>
      </c>
      <c r="I779" s="13" t="s">
        <v>1472</v>
      </c>
      <c r="J779" s="13">
        <v>642</v>
      </c>
      <c r="K779" s="13" t="s">
        <v>1473</v>
      </c>
      <c r="L779" s="13">
        <v>0.41239999999999999</v>
      </c>
      <c r="M779" s="13">
        <v>1.1619999999999999</v>
      </c>
      <c r="N779" s="13">
        <v>264.76080000000002</v>
      </c>
      <c r="O779" s="13">
        <v>746.00400000000002</v>
      </c>
      <c r="P779" s="13">
        <v>34.42</v>
      </c>
      <c r="Q779" s="13">
        <v>123.72</v>
      </c>
      <c r="R779" s="13">
        <v>300</v>
      </c>
      <c r="S779" s="13">
        <v>79428.240000000005</v>
      </c>
      <c r="T779" s="13"/>
      <c r="U779" s="13"/>
      <c r="V779" s="13"/>
      <c r="W779" s="13"/>
    </row>
    <row r="780" spans="1:23" s="25" customFormat="1" x14ac:dyDescent="0.25">
      <c r="A780" s="20">
        <v>254</v>
      </c>
      <c r="B780" s="21" t="s">
        <v>13</v>
      </c>
      <c r="C780" s="22" t="s">
        <v>672</v>
      </c>
      <c r="D780" s="17">
        <v>44347</v>
      </c>
      <c r="E780" s="23" t="s">
        <v>23</v>
      </c>
      <c r="F780" s="23"/>
      <c r="G780" s="21"/>
      <c r="H780" s="24">
        <v>44379</v>
      </c>
      <c r="I780" s="21" t="s">
        <v>630</v>
      </c>
      <c r="J780" s="21">
        <v>455</v>
      </c>
      <c r="K780" s="21" t="s">
        <v>343</v>
      </c>
      <c r="L780" s="21">
        <v>0.54049999999999998</v>
      </c>
      <c r="M780" s="21">
        <v>2.0990000000000002</v>
      </c>
      <c r="N780" s="21">
        <v>245.92750000000001</v>
      </c>
      <c r="O780" s="21">
        <v>955.04499999999996</v>
      </c>
      <c r="P780" s="21">
        <v>31.97</v>
      </c>
      <c r="Q780" s="21">
        <v>118.91</v>
      </c>
      <c r="R780" s="21">
        <v>220</v>
      </c>
      <c r="S780" s="21">
        <v>54104.05</v>
      </c>
      <c r="T780" s="21"/>
      <c r="U780" s="21"/>
      <c r="V780" s="21"/>
      <c r="W780" s="21"/>
    </row>
    <row r="781" spans="1:23" s="25" customFormat="1" x14ac:dyDescent="0.25">
      <c r="A781" s="20">
        <v>254</v>
      </c>
      <c r="B781" s="21" t="s">
        <v>13</v>
      </c>
      <c r="C781" s="22" t="s">
        <v>672</v>
      </c>
      <c r="D781" s="17">
        <v>44347</v>
      </c>
      <c r="E781" s="23" t="s">
        <v>23</v>
      </c>
      <c r="F781" s="23"/>
      <c r="G781" s="21"/>
      <c r="H781" s="24">
        <v>44379</v>
      </c>
      <c r="I781" s="21" t="s">
        <v>999</v>
      </c>
      <c r="J781" s="21">
        <v>572</v>
      </c>
      <c r="K781" s="21" t="s">
        <v>50</v>
      </c>
      <c r="L781" s="21">
        <v>0.626</v>
      </c>
      <c r="M781" s="21">
        <v>2.1960000000000002</v>
      </c>
      <c r="N781" s="21">
        <v>358.072</v>
      </c>
      <c r="O781" s="21">
        <v>1256.1120000000001</v>
      </c>
      <c r="P781" s="21">
        <v>46.55</v>
      </c>
      <c r="Q781" s="21">
        <v>137.72</v>
      </c>
      <c r="R781" s="21">
        <v>220</v>
      </c>
      <c r="S781" s="21">
        <v>78775.839999999997</v>
      </c>
      <c r="T781" s="21"/>
      <c r="U781" s="21"/>
      <c r="V781" s="21"/>
      <c r="W781" s="21"/>
    </row>
    <row r="782" spans="1:23" s="25" customFormat="1" x14ac:dyDescent="0.25">
      <c r="A782" s="15" t="s">
        <v>1574</v>
      </c>
      <c r="B782" s="13" t="s">
        <v>13</v>
      </c>
      <c r="C782" s="22" t="s">
        <v>548</v>
      </c>
      <c r="D782" s="29">
        <v>44347</v>
      </c>
      <c r="E782" s="18" t="s">
        <v>23</v>
      </c>
      <c r="F782" s="18"/>
      <c r="G782" s="74" t="s">
        <v>1731</v>
      </c>
      <c r="H782" s="19">
        <v>44379</v>
      </c>
      <c r="I782" s="13" t="s">
        <v>773</v>
      </c>
      <c r="J782" s="13" t="s">
        <v>1461</v>
      </c>
      <c r="K782" s="13">
        <v>9057</v>
      </c>
      <c r="L782" s="13"/>
      <c r="M782" s="13"/>
      <c r="N782" s="13"/>
      <c r="O782" s="13"/>
      <c r="P782" s="13"/>
      <c r="Q782" s="13" t="s">
        <v>779</v>
      </c>
      <c r="R782" s="13"/>
      <c r="S782" s="13" t="s">
        <v>1465</v>
      </c>
      <c r="T782" s="13"/>
      <c r="U782" s="13"/>
      <c r="V782" s="21"/>
      <c r="W782" s="21"/>
    </row>
    <row r="783" spans="1:23" s="25" customFormat="1" ht="30.75" x14ac:dyDescent="0.25">
      <c r="A783" s="15" t="s">
        <v>1574</v>
      </c>
      <c r="B783" s="13" t="s">
        <v>13</v>
      </c>
      <c r="C783" s="22" t="s">
        <v>548</v>
      </c>
      <c r="D783" s="29">
        <v>44347</v>
      </c>
      <c r="E783" s="106" t="s">
        <v>23</v>
      </c>
      <c r="F783" s="106"/>
      <c r="G783" s="97" t="s">
        <v>1716</v>
      </c>
      <c r="H783" s="19">
        <v>44379</v>
      </c>
      <c r="I783" s="13" t="s">
        <v>1075</v>
      </c>
      <c r="J783" s="13" t="s">
        <v>1462</v>
      </c>
      <c r="K783" s="13">
        <v>7304</v>
      </c>
      <c r="L783" s="13"/>
      <c r="M783" s="13"/>
      <c r="N783" s="13"/>
      <c r="O783" s="13"/>
      <c r="P783" s="13"/>
      <c r="Q783" s="13" t="s">
        <v>1085</v>
      </c>
      <c r="R783" s="13"/>
      <c r="S783" s="13" t="s">
        <v>1466</v>
      </c>
      <c r="T783" s="13"/>
      <c r="U783" s="13"/>
      <c r="V783" s="21"/>
      <c r="W783" s="21"/>
    </row>
    <row r="784" spans="1:23" x14ac:dyDescent="0.25">
      <c r="A784" s="15" t="s">
        <v>1574</v>
      </c>
      <c r="B784" s="21" t="s">
        <v>13</v>
      </c>
      <c r="C784" s="22" t="s">
        <v>548</v>
      </c>
      <c r="D784" s="29">
        <v>44347</v>
      </c>
      <c r="E784" s="18" t="s">
        <v>23</v>
      </c>
      <c r="F784" s="18"/>
      <c r="G784" s="13" t="s">
        <v>1564</v>
      </c>
      <c r="H784" s="19"/>
      <c r="I784" s="13" t="s">
        <v>1460</v>
      </c>
      <c r="J784" s="13" t="s">
        <v>1464</v>
      </c>
      <c r="K784" s="13">
        <v>175</v>
      </c>
      <c r="L784" s="13"/>
      <c r="M784" s="13"/>
      <c r="N784" s="13"/>
      <c r="O784" s="13"/>
      <c r="P784" s="13"/>
      <c r="Q784" s="13" t="s">
        <v>958</v>
      </c>
      <c r="R784" s="13"/>
      <c r="S784" s="13" t="s">
        <v>1468</v>
      </c>
      <c r="T784" s="13"/>
      <c r="U784" s="13"/>
      <c r="V784" s="13"/>
      <c r="W784" s="13"/>
    </row>
    <row r="785" spans="1:23" x14ac:dyDescent="0.25">
      <c r="A785" s="15" t="s">
        <v>476</v>
      </c>
      <c r="B785" s="13" t="s">
        <v>34</v>
      </c>
      <c r="C785" s="22" t="s">
        <v>1474</v>
      </c>
      <c r="D785" s="29">
        <v>44347</v>
      </c>
      <c r="E785" s="18" t="s">
        <v>677</v>
      </c>
      <c r="F785" s="18"/>
      <c r="G785" s="13"/>
      <c r="H785" s="31"/>
      <c r="I785" s="13" t="s">
        <v>668</v>
      </c>
      <c r="J785" s="13">
        <v>307.04000000000002</v>
      </c>
      <c r="K785" s="13">
        <v>202</v>
      </c>
      <c r="L785" s="13">
        <v>0.33929999999999999</v>
      </c>
      <c r="M785" s="13"/>
      <c r="N785" s="13">
        <v>104.17</v>
      </c>
      <c r="O785" s="13"/>
      <c r="P785" s="13"/>
      <c r="Q785" s="13"/>
      <c r="R785" s="13">
        <v>80</v>
      </c>
      <c r="S785" s="13">
        <v>8333.6</v>
      </c>
      <c r="T785" s="13"/>
      <c r="U785" s="13"/>
      <c r="V785" s="13"/>
      <c r="W785" s="13"/>
    </row>
    <row r="786" spans="1:23" x14ac:dyDescent="0.25">
      <c r="A786" s="15" t="s">
        <v>477</v>
      </c>
      <c r="B786" s="13" t="s">
        <v>13</v>
      </c>
      <c r="C786" s="22" t="s">
        <v>15</v>
      </c>
      <c r="D786" s="29">
        <v>44348</v>
      </c>
      <c r="E786" s="18" t="s">
        <v>23</v>
      </c>
      <c r="F786" s="18"/>
      <c r="G786" s="13"/>
      <c r="H786" s="19">
        <v>44350</v>
      </c>
      <c r="I786" s="13" t="s">
        <v>89</v>
      </c>
      <c r="J786" s="13"/>
      <c r="K786" s="13">
        <v>48</v>
      </c>
      <c r="L786" s="13"/>
      <c r="M786" s="13"/>
      <c r="N786" s="13"/>
      <c r="O786" s="13"/>
      <c r="P786" s="13"/>
      <c r="Q786" s="13"/>
      <c r="R786" s="13"/>
      <c r="S786" s="13">
        <v>34992</v>
      </c>
      <c r="T786" s="13"/>
      <c r="U786" s="13"/>
      <c r="V786" s="13"/>
      <c r="W786" s="13"/>
    </row>
    <row r="787" spans="1:23" x14ac:dyDescent="0.25">
      <c r="A787" s="15" t="s">
        <v>1478</v>
      </c>
      <c r="B787" s="13" t="s">
        <v>34</v>
      </c>
      <c r="C787" s="22" t="s">
        <v>16</v>
      </c>
      <c r="D787" s="29">
        <v>44348</v>
      </c>
      <c r="E787" s="18" t="s">
        <v>23</v>
      </c>
      <c r="F787" s="18"/>
      <c r="G787" s="13"/>
      <c r="H787" s="19">
        <v>44356</v>
      </c>
      <c r="I787" s="13" t="s">
        <v>866</v>
      </c>
      <c r="J787" s="13">
        <v>1452</v>
      </c>
      <c r="K787" s="13" t="s">
        <v>1477</v>
      </c>
      <c r="L787" s="13">
        <v>0.15909999999999999</v>
      </c>
      <c r="M787" s="13">
        <v>0.26</v>
      </c>
      <c r="N787" s="13">
        <v>231.01320000000001</v>
      </c>
      <c r="O787" s="13">
        <v>377.52</v>
      </c>
      <c r="P787" s="13">
        <v>30.03</v>
      </c>
      <c r="Q787" s="13">
        <v>60.46</v>
      </c>
      <c r="R787" s="13">
        <v>380</v>
      </c>
      <c r="S787" s="13">
        <v>87785.02</v>
      </c>
      <c r="T787" s="13"/>
      <c r="U787" s="13"/>
      <c r="V787" s="13"/>
      <c r="W787" s="13"/>
    </row>
    <row r="788" spans="1:23" x14ac:dyDescent="0.25">
      <c r="A788" s="15" t="s">
        <v>1479</v>
      </c>
      <c r="B788" s="13" t="s">
        <v>34</v>
      </c>
      <c r="C788" s="22" t="s">
        <v>16</v>
      </c>
      <c r="D788" s="29">
        <v>44348</v>
      </c>
      <c r="E788" s="18" t="s">
        <v>23</v>
      </c>
      <c r="F788" s="18"/>
      <c r="G788" s="13"/>
      <c r="H788" s="19">
        <v>44356</v>
      </c>
      <c r="I788" s="13" t="s">
        <v>791</v>
      </c>
      <c r="J788" s="13">
        <v>1080</v>
      </c>
      <c r="K788" s="13" t="s">
        <v>203</v>
      </c>
      <c r="L788" s="13">
        <v>0.3498</v>
      </c>
      <c r="M788" s="13">
        <v>1.425</v>
      </c>
      <c r="N788" s="13">
        <v>377.78399999999999</v>
      </c>
      <c r="O788" s="13">
        <v>1539</v>
      </c>
      <c r="P788" s="13">
        <v>49.11</v>
      </c>
      <c r="Q788" s="13">
        <v>104.94</v>
      </c>
      <c r="R788" s="13">
        <v>300</v>
      </c>
      <c r="S788" s="13">
        <v>113335.2</v>
      </c>
      <c r="T788" s="13"/>
      <c r="U788" s="13"/>
      <c r="V788" s="13"/>
      <c r="W788" s="13"/>
    </row>
    <row r="789" spans="1:23" x14ac:dyDescent="0.25">
      <c r="A789" s="15" t="s">
        <v>1480</v>
      </c>
      <c r="B789" s="13" t="s">
        <v>34</v>
      </c>
      <c r="C789" s="22" t="s">
        <v>16</v>
      </c>
      <c r="D789" s="29">
        <v>44348</v>
      </c>
      <c r="E789" s="18" t="s">
        <v>23</v>
      </c>
      <c r="F789" s="18"/>
      <c r="G789" s="13"/>
      <c r="H789" s="19">
        <v>44356</v>
      </c>
      <c r="I789" s="13" t="s">
        <v>631</v>
      </c>
      <c r="J789" s="13">
        <v>774</v>
      </c>
      <c r="K789" s="13" t="s">
        <v>1485</v>
      </c>
      <c r="L789" s="13">
        <v>0.70820000000000005</v>
      </c>
      <c r="M789" s="13">
        <v>3.4609999999999999</v>
      </c>
      <c r="N789" s="13">
        <v>548.14679999999998</v>
      </c>
      <c r="O789" s="13">
        <v>2678.8139999999999</v>
      </c>
      <c r="P789" s="13">
        <v>71.260000000000005</v>
      </c>
      <c r="Q789" s="13">
        <v>212.46</v>
      </c>
      <c r="R789" s="13">
        <v>300</v>
      </c>
      <c r="S789" s="13">
        <v>164444.04</v>
      </c>
      <c r="T789" s="13"/>
      <c r="U789" s="13"/>
      <c r="V789" s="13"/>
      <c r="W789" s="13"/>
    </row>
    <row r="790" spans="1:23" x14ac:dyDescent="0.25">
      <c r="A790" s="20">
        <v>255</v>
      </c>
      <c r="B790" s="21" t="s">
        <v>13</v>
      </c>
      <c r="C790" s="22" t="s">
        <v>674</v>
      </c>
      <c r="D790" s="29">
        <v>44348</v>
      </c>
      <c r="E790" s="18" t="s">
        <v>23</v>
      </c>
      <c r="F790" s="18"/>
      <c r="G790" s="13"/>
      <c r="H790" s="19"/>
      <c r="I790" s="13" t="s">
        <v>600</v>
      </c>
      <c r="J790" s="13">
        <v>252</v>
      </c>
      <c r="K790" s="13" t="s">
        <v>298</v>
      </c>
      <c r="L790" s="13">
        <v>0.30719999999999997</v>
      </c>
      <c r="M790" s="13">
        <v>0.69199999999999995</v>
      </c>
      <c r="N790" s="13">
        <v>77.414400000000001</v>
      </c>
      <c r="O790" s="13">
        <v>174.38399999999999</v>
      </c>
      <c r="P790" s="13">
        <v>10.06</v>
      </c>
      <c r="Q790" s="13">
        <v>92.16</v>
      </c>
      <c r="R790" s="13">
        <v>300</v>
      </c>
      <c r="S790" s="13">
        <v>23224.32</v>
      </c>
      <c r="T790" s="13"/>
      <c r="U790" s="13"/>
      <c r="V790" s="13"/>
      <c r="W790" s="13"/>
    </row>
    <row r="791" spans="1:23" s="36" customFormat="1" x14ac:dyDescent="0.25">
      <c r="A791" s="20" t="s">
        <v>1582</v>
      </c>
      <c r="B791" s="21" t="s">
        <v>13</v>
      </c>
      <c r="C791" s="22" t="s">
        <v>1481</v>
      </c>
      <c r="D791" s="17">
        <v>44348</v>
      </c>
      <c r="E791" s="23" t="s">
        <v>23</v>
      </c>
      <c r="F791" s="23"/>
      <c r="G791" s="21"/>
      <c r="H791" s="24"/>
      <c r="I791" s="21" t="s">
        <v>1482</v>
      </c>
      <c r="J791" s="21">
        <v>18</v>
      </c>
      <c r="K791" s="21">
        <v>3</v>
      </c>
      <c r="L791" s="21"/>
      <c r="M791" s="21"/>
      <c r="N791" s="21"/>
      <c r="O791" s="21"/>
      <c r="P791" s="21"/>
      <c r="Q791" s="21"/>
      <c r="R791" s="21"/>
      <c r="S791" s="21">
        <v>3000</v>
      </c>
      <c r="T791" s="21"/>
      <c r="U791" s="21"/>
      <c r="V791" s="35"/>
      <c r="W791" s="35"/>
    </row>
    <row r="792" spans="1:23" x14ac:dyDescent="0.25">
      <c r="A792" s="20">
        <v>256</v>
      </c>
      <c r="B792" s="21" t="s">
        <v>13</v>
      </c>
      <c r="C792" s="22" t="s">
        <v>394</v>
      </c>
      <c r="D792" s="29">
        <v>44348</v>
      </c>
      <c r="E792" s="18" t="s">
        <v>23</v>
      </c>
      <c r="F792" s="18"/>
      <c r="G792" s="13" t="s">
        <v>1521</v>
      </c>
      <c r="H792" s="19">
        <v>44356</v>
      </c>
      <c r="I792" s="13" t="s">
        <v>78</v>
      </c>
      <c r="J792" s="13">
        <v>2988</v>
      </c>
      <c r="K792" s="13" t="s">
        <v>263</v>
      </c>
      <c r="L792" s="13">
        <v>0.20230000000000001</v>
      </c>
      <c r="M792" s="13">
        <v>0.499</v>
      </c>
      <c r="N792" s="13">
        <v>604.47239999999999</v>
      </c>
      <c r="O792" s="13">
        <v>1491.0119999999999</v>
      </c>
      <c r="P792" s="13">
        <v>78.58</v>
      </c>
      <c r="Q792" s="13">
        <v>36.409999999999997</v>
      </c>
      <c r="R792" s="13">
        <v>180</v>
      </c>
      <c r="S792" s="13">
        <v>108805.03</v>
      </c>
      <c r="T792" s="13"/>
      <c r="U792" s="13"/>
      <c r="V792" s="13"/>
      <c r="W792" s="13"/>
    </row>
    <row r="793" spans="1:23" x14ac:dyDescent="0.25">
      <c r="A793" s="15">
        <v>257</v>
      </c>
      <c r="B793" s="13" t="s">
        <v>34</v>
      </c>
      <c r="C793" s="22" t="s">
        <v>14</v>
      </c>
      <c r="D793" s="29">
        <v>44349</v>
      </c>
      <c r="E793" s="18" t="s">
        <v>23</v>
      </c>
      <c r="F793" s="18"/>
      <c r="G793" s="13"/>
      <c r="H793" s="19">
        <v>44355</v>
      </c>
      <c r="I793" s="13" t="s">
        <v>307</v>
      </c>
      <c r="J793" s="13">
        <v>174</v>
      </c>
      <c r="K793" s="13" t="s">
        <v>360</v>
      </c>
      <c r="L793" s="13">
        <v>0.17530000000000001</v>
      </c>
      <c r="M793" s="13">
        <v>1.329</v>
      </c>
      <c r="N793" s="13">
        <v>30.502199999999998</v>
      </c>
      <c r="O793" s="13">
        <v>231.24600000000001</v>
      </c>
      <c r="P793" s="13">
        <v>3.97</v>
      </c>
      <c r="Q793" s="13">
        <v>49.08</v>
      </c>
      <c r="R793" s="13">
        <v>280</v>
      </c>
      <c r="S793" s="13">
        <v>8540.6200000000008</v>
      </c>
      <c r="T793" s="13"/>
      <c r="U793" s="13"/>
      <c r="V793" s="13"/>
      <c r="W793" s="13"/>
    </row>
    <row r="794" spans="1:23" s="25" customFormat="1" x14ac:dyDescent="0.25">
      <c r="A794" s="20" t="s">
        <v>1483</v>
      </c>
      <c r="B794" s="21" t="s">
        <v>13</v>
      </c>
      <c r="C794" s="22" t="s">
        <v>585</v>
      </c>
      <c r="D794" s="17">
        <v>44349</v>
      </c>
      <c r="E794" s="23" t="s">
        <v>23</v>
      </c>
      <c r="F794" s="23"/>
      <c r="G794" s="21"/>
      <c r="H794" s="30"/>
      <c r="I794" s="21" t="s">
        <v>206</v>
      </c>
      <c r="J794" s="21"/>
      <c r="K794" s="21">
        <v>170</v>
      </c>
      <c r="L794" s="21"/>
      <c r="M794" s="21"/>
      <c r="N794" s="21"/>
      <c r="O794" s="21"/>
      <c r="P794" s="21"/>
      <c r="Q794" s="21"/>
      <c r="R794" s="21">
        <v>265</v>
      </c>
      <c r="S794" s="21">
        <v>45050</v>
      </c>
      <c r="T794" s="21"/>
      <c r="U794" s="21"/>
      <c r="V794" s="21"/>
      <c r="W794" s="21"/>
    </row>
    <row r="795" spans="1:23" x14ac:dyDescent="0.25">
      <c r="A795" s="15" t="s">
        <v>1484</v>
      </c>
      <c r="B795" s="13" t="s">
        <v>13</v>
      </c>
      <c r="C795" s="22" t="s">
        <v>585</v>
      </c>
      <c r="D795" s="29">
        <v>44349</v>
      </c>
      <c r="E795" s="18" t="s">
        <v>23</v>
      </c>
      <c r="F795" s="18"/>
      <c r="G795" s="13"/>
      <c r="H795" s="19">
        <v>44354</v>
      </c>
      <c r="I795" s="13" t="s">
        <v>871</v>
      </c>
      <c r="J795" s="13"/>
      <c r="K795" s="13">
        <v>68</v>
      </c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</row>
    <row r="796" spans="1:23" x14ac:dyDescent="0.25">
      <c r="A796" s="15" t="s">
        <v>1484</v>
      </c>
      <c r="B796" s="13" t="s">
        <v>13</v>
      </c>
      <c r="C796" s="22" t="s">
        <v>585</v>
      </c>
      <c r="D796" s="29">
        <v>44349</v>
      </c>
      <c r="E796" s="18" t="s">
        <v>23</v>
      </c>
      <c r="F796" s="18"/>
      <c r="G796" s="13"/>
      <c r="H796" s="19">
        <v>44354</v>
      </c>
      <c r="I796" s="13" t="s">
        <v>872</v>
      </c>
      <c r="J796" s="13"/>
      <c r="K796" s="13">
        <v>38</v>
      </c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</row>
    <row r="797" spans="1:23" s="36" customFormat="1" x14ac:dyDescent="0.25">
      <c r="A797" s="20" t="s">
        <v>1583</v>
      </c>
      <c r="B797" s="21" t="s">
        <v>13</v>
      </c>
      <c r="C797" s="22" t="s">
        <v>1549</v>
      </c>
      <c r="D797" s="17">
        <v>44349</v>
      </c>
      <c r="E797" s="23" t="s">
        <v>23</v>
      </c>
      <c r="F797" s="23"/>
      <c r="G797" s="21"/>
      <c r="H797" s="24"/>
      <c r="I797" s="21" t="s">
        <v>635</v>
      </c>
      <c r="J797" s="21">
        <v>2000</v>
      </c>
      <c r="K797" s="21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35"/>
      <c r="W797" s="35"/>
    </row>
    <row r="798" spans="1:23" x14ac:dyDescent="0.25">
      <c r="A798" s="15" t="s">
        <v>492</v>
      </c>
      <c r="B798" s="13" t="s">
        <v>13</v>
      </c>
      <c r="C798" s="22" t="s">
        <v>583</v>
      </c>
      <c r="D798" s="29">
        <v>44350</v>
      </c>
      <c r="E798" s="18" t="s">
        <v>23</v>
      </c>
      <c r="F798" s="18"/>
      <c r="G798" s="13"/>
      <c r="H798" s="31"/>
      <c r="I798" s="13" t="s">
        <v>89</v>
      </c>
      <c r="J798" s="13"/>
      <c r="K798" s="13">
        <v>48</v>
      </c>
      <c r="L798" s="13"/>
      <c r="M798" s="13"/>
      <c r="N798" s="13"/>
      <c r="O798" s="13"/>
      <c r="P798" s="13"/>
      <c r="Q798" s="13"/>
      <c r="R798" s="13"/>
      <c r="S798" s="13">
        <v>34992</v>
      </c>
      <c r="T798" s="13"/>
      <c r="U798" s="13"/>
      <c r="V798" s="13"/>
      <c r="W798" s="13"/>
    </row>
    <row r="799" spans="1:23" x14ac:dyDescent="0.25">
      <c r="A799" s="15" t="s">
        <v>500</v>
      </c>
      <c r="B799" s="13" t="s">
        <v>13</v>
      </c>
      <c r="C799" s="22" t="s">
        <v>583</v>
      </c>
      <c r="D799" s="29">
        <v>44351</v>
      </c>
      <c r="E799" s="18" t="s">
        <v>23</v>
      </c>
      <c r="F799" s="18"/>
      <c r="G799" s="13"/>
      <c r="H799" s="31"/>
      <c r="I799" s="13" t="s">
        <v>89</v>
      </c>
      <c r="J799" s="13"/>
      <c r="K799" s="13">
        <v>48</v>
      </c>
      <c r="L799" s="13"/>
      <c r="M799" s="13"/>
      <c r="N799" s="13"/>
      <c r="O799" s="13"/>
      <c r="P799" s="13"/>
      <c r="Q799" s="13"/>
      <c r="R799" s="13"/>
      <c r="S799" s="13">
        <v>34992</v>
      </c>
      <c r="T799" s="13"/>
      <c r="U799" s="13"/>
      <c r="V799" s="13"/>
      <c r="W799" s="13"/>
    </row>
    <row r="800" spans="1:23" x14ac:dyDescent="0.25">
      <c r="A800" s="15" t="s">
        <v>508</v>
      </c>
      <c r="B800" s="13" t="s">
        <v>34</v>
      </c>
      <c r="C800" s="22" t="s">
        <v>19</v>
      </c>
      <c r="D800" s="29">
        <v>44351</v>
      </c>
      <c r="E800" s="18" t="s">
        <v>23</v>
      </c>
      <c r="F800" s="18"/>
      <c r="G800" s="13"/>
      <c r="H800" s="19">
        <v>44357</v>
      </c>
      <c r="I800" s="13" t="s">
        <v>1489</v>
      </c>
      <c r="J800" s="13" t="s">
        <v>1493</v>
      </c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</row>
    <row r="801" spans="1:23" x14ac:dyDescent="0.25">
      <c r="A801" s="15" t="s">
        <v>508</v>
      </c>
      <c r="B801" s="13" t="s">
        <v>34</v>
      </c>
      <c r="C801" s="22" t="s">
        <v>19</v>
      </c>
      <c r="D801" s="29">
        <v>44351</v>
      </c>
      <c r="E801" s="18" t="s">
        <v>23</v>
      </c>
      <c r="F801" s="18"/>
      <c r="G801" s="13"/>
      <c r="H801" s="19">
        <v>44357</v>
      </c>
      <c r="I801" s="13" t="s">
        <v>1490</v>
      </c>
      <c r="J801" s="13" t="s">
        <v>1494</v>
      </c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</row>
    <row r="802" spans="1:23" x14ac:dyDescent="0.25">
      <c r="A802" s="15" t="s">
        <v>508</v>
      </c>
      <c r="B802" s="13" t="s">
        <v>34</v>
      </c>
      <c r="C802" s="22" t="s">
        <v>19</v>
      </c>
      <c r="D802" s="29">
        <v>44351</v>
      </c>
      <c r="E802" s="18" t="s">
        <v>23</v>
      </c>
      <c r="F802" s="18"/>
      <c r="G802" s="13"/>
      <c r="H802" s="19">
        <v>44357</v>
      </c>
      <c r="I802" s="13" t="s">
        <v>1491</v>
      </c>
      <c r="J802" s="13" t="s">
        <v>1495</v>
      </c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</row>
    <row r="803" spans="1:23" x14ac:dyDescent="0.25">
      <c r="A803" s="15" t="s">
        <v>508</v>
      </c>
      <c r="B803" s="13" t="s">
        <v>34</v>
      </c>
      <c r="C803" s="22" t="s">
        <v>19</v>
      </c>
      <c r="D803" s="29">
        <v>44351</v>
      </c>
      <c r="E803" s="18" t="s">
        <v>23</v>
      </c>
      <c r="F803" s="18"/>
      <c r="G803" s="13"/>
      <c r="H803" s="19">
        <v>44357</v>
      </c>
      <c r="I803" s="13" t="s">
        <v>1492</v>
      </c>
      <c r="J803" s="13" t="s">
        <v>1496</v>
      </c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</row>
    <row r="804" spans="1:23" x14ac:dyDescent="0.25">
      <c r="A804" s="15" t="s">
        <v>508</v>
      </c>
      <c r="B804" s="13" t="s">
        <v>34</v>
      </c>
      <c r="C804" s="22" t="s">
        <v>19</v>
      </c>
      <c r="D804" s="29">
        <v>44351</v>
      </c>
      <c r="E804" s="18" t="s">
        <v>23</v>
      </c>
      <c r="F804" s="18"/>
      <c r="G804" s="13"/>
      <c r="H804" s="19">
        <v>44357</v>
      </c>
      <c r="I804" s="13" t="s">
        <v>1489</v>
      </c>
      <c r="J804" s="13" t="s">
        <v>1497</v>
      </c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</row>
    <row r="805" spans="1:23" x14ac:dyDescent="0.25">
      <c r="A805" s="15" t="s">
        <v>508</v>
      </c>
      <c r="B805" s="13" t="s">
        <v>34</v>
      </c>
      <c r="C805" s="22" t="s">
        <v>19</v>
      </c>
      <c r="D805" s="29">
        <v>44351</v>
      </c>
      <c r="E805" s="18" t="s">
        <v>23</v>
      </c>
      <c r="F805" s="18"/>
      <c r="G805" s="13"/>
      <c r="H805" s="19">
        <v>44357</v>
      </c>
      <c r="I805" s="13" t="s">
        <v>1490</v>
      </c>
      <c r="J805" s="13" t="s">
        <v>955</v>
      </c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</row>
    <row r="806" spans="1:23" x14ac:dyDescent="0.25">
      <c r="A806" s="15" t="s">
        <v>508</v>
      </c>
      <c r="B806" s="13" t="s">
        <v>34</v>
      </c>
      <c r="C806" s="22" t="s">
        <v>19</v>
      </c>
      <c r="D806" s="29">
        <v>44351</v>
      </c>
      <c r="E806" s="18" t="s">
        <v>23</v>
      </c>
      <c r="F806" s="18"/>
      <c r="G806" s="13"/>
      <c r="H806" s="19">
        <v>44357</v>
      </c>
      <c r="I806" s="13" t="s">
        <v>1491</v>
      </c>
      <c r="J806" s="13" t="s">
        <v>1498</v>
      </c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</row>
    <row r="807" spans="1:23" x14ac:dyDescent="0.25">
      <c r="A807" s="15" t="s">
        <v>508</v>
      </c>
      <c r="B807" s="13" t="s">
        <v>34</v>
      </c>
      <c r="C807" s="22" t="s">
        <v>19</v>
      </c>
      <c r="D807" s="29">
        <v>44351</v>
      </c>
      <c r="E807" s="18" t="s">
        <v>23</v>
      </c>
      <c r="F807" s="18"/>
      <c r="G807" s="13"/>
      <c r="H807" s="19">
        <v>44357</v>
      </c>
      <c r="I807" s="13" t="s">
        <v>1492</v>
      </c>
      <c r="J807" s="13" t="s">
        <v>1499</v>
      </c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</row>
    <row r="808" spans="1:23" x14ac:dyDescent="0.25">
      <c r="A808" s="15">
        <v>260</v>
      </c>
      <c r="B808" s="13" t="s">
        <v>13</v>
      </c>
      <c r="C808" s="22" t="s">
        <v>24</v>
      </c>
      <c r="D808" s="29">
        <v>44354</v>
      </c>
      <c r="E808" s="18" t="s">
        <v>23</v>
      </c>
      <c r="F808" s="18"/>
      <c r="G808" s="13" t="s">
        <v>1934</v>
      </c>
      <c r="H808" s="19">
        <v>44391</v>
      </c>
      <c r="I808" s="13" t="s">
        <v>199</v>
      </c>
      <c r="J808" s="13">
        <v>945.5</v>
      </c>
      <c r="K808" s="13" t="s">
        <v>1511</v>
      </c>
      <c r="L808" s="13">
        <v>0.40960000000000002</v>
      </c>
      <c r="M808" s="13">
        <v>1.0529999999999999</v>
      </c>
      <c r="N808" s="13">
        <v>387.27679999999998</v>
      </c>
      <c r="O808" s="13">
        <v>995.61149999999998</v>
      </c>
      <c r="P808" s="13">
        <v>50.35</v>
      </c>
      <c r="Q808" s="13">
        <v>81.92</v>
      </c>
      <c r="R808" s="13">
        <v>200</v>
      </c>
      <c r="S808" s="13">
        <v>77455.360000000001</v>
      </c>
      <c r="T808" s="13"/>
      <c r="U808" s="13"/>
      <c r="V808" s="13"/>
      <c r="W808" s="13"/>
    </row>
    <row r="809" spans="1:23" s="25" customFormat="1" x14ac:dyDescent="0.25">
      <c r="A809" s="20" t="s">
        <v>1575</v>
      </c>
      <c r="B809" s="21" t="s">
        <v>13</v>
      </c>
      <c r="C809" s="22" t="s">
        <v>404</v>
      </c>
      <c r="D809" s="17">
        <v>44354</v>
      </c>
      <c r="E809" s="23" t="s">
        <v>677</v>
      </c>
      <c r="F809" s="23"/>
      <c r="G809" s="21"/>
      <c r="H809" s="30"/>
      <c r="I809" s="21" t="s">
        <v>1502</v>
      </c>
      <c r="J809" s="21" t="s">
        <v>1503</v>
      </c>
      <c r="K809" s="21"/>
      <c r="L809" s="21"/>
      <c r="M809" s="21"/>
      <c r="N809" s="21"/>
      <c r="O809" s="21"/>
      <c r="P809" s="21"/>
      <c r="Q809" s="21" t="s">
        <v>1505</v>
      </c>
      <c r="R809" s="21"/>
      <c r="S809" s="21" t="s">
        <v>1507</v>
      </c>
      <c r="T809" s="21"/>
      <c r="U809" s="21"/>
      <c r="V809" s="21"/>
      <c r="W809" s="21"/>
    </row>
    <row r="810" spans="1:23" s="25" customFormat="1" x14ac:dyDescent="0.25">
      <c r="A810" s="20" t="s">
        <v>1575</v>
      </c>
      <c r="B810" s="21" t="s">
        <v>13</v>
      </c>
      <c r="C810" s="22" t="s">
        <v>404</v>
      </c>
      <c r="D810" s="17">
        <v>44354</v>
      </c>
      <c r="E810" s="23" t="s">
        <v>677</v>
      </c>
      <c r="F810" s="23"/>
      <c r="G810" s="21"/>
      <c r="H810" s="30"/>
      <c r="I810" s="21" t="s">
        <v>241</v>
      </c>
      <c r="J810" s="21" t="s">
        <v>1504</v>
      </c>
      <c r="K810" s="21"/>
      <c r="L810" s="21"/>
      <c r="M810" s="21"/>
      <c r="N810" s="21"/>
      <c r="O810" s="21"/>
      <c r="P810" s="21"/>
      <c r="Q810" s="21" t="s">
        <v>1506</v>
      </c>
      <c r="R810" s="21"/>
      <c r="S810" s="21" t="s">
        <v>1508</v>
      </c>
      <c r="T810" s="21"/>
      <c r="U810" s="21"/>
      <c r="V810" s="21"/>
      <c r="W810" s="21"/>
    </row>
    <row r="811" spans="1:23" x14ac:dyDescent="0.25">
      <c r="A811" s="15" t="s">
        <v>532</v>
      </c>
      <c r="B811" s="13" t="s">
        <v>13</v>
      </c>
      <c r="C811" s="22" t="s">
        <v>583</v>
      </c>
      <c r="D811" s="29">
        <v>44354</v>
      </c>
      <c r="E811" s="18" t="s">
        <v>23</v>
      </c>
      <c r="F811" s="18"/>
      <c r="G811" s="13"/>
      <c r="H811" s="19">
        <v>44356</v>
      </c>
      <c r="I811" s="13" t="s">
        <v>89</v>
      </c>
      <c r="J811" s="13"/>
      <c r="K811" s="13">
        <v>48</v>
      </c>
      <c r="L811" s="13"/>
      <c r="M811" s="13"/>
      <c r="N811" s="13"/>
      <c r="O811" s="13"/>
      <c r="P811" s="13"/>
      <c r="Q811" s="13"/>
      <c r="R811" s="13"/>
      <c r="S811" s="13">
        <v>34992</v>
      </c>
      <c r="T811" s="13"/>
      <c r="U811" s="13"/>
      <c r="V811" s="13"/>
      <c r="W811" s="13"/>
    </row>
    <row r="812" spans="1:23" x14ac:dyDescent="0.25">
      <c r="A812" s="15" t="s">
        <v>1576</v>
      </c>
      <c r="B812" s="13" t="s">
        <v>13</v>
      </c>
      <c r="C812" s="22" t="s">
        <v>548</v>
      </c>
      <c r="D812" s="29">
        <v>44354</v>
      </c>
      <c r="E812" s="18" t="s">
        <v>23</v>
      </c>
      <c r="F812" s="18"/>
      <c r="G812" s="13"/>
      <c r="H812" s="31"/>
      <c r="I812" s="13" t="s">
        <v>1509</v>
      </c>
      <c r="J812" s="13">
        <v>624</v>
      </c>
      <c r="K812" s="13">
        <v>208</v>
      </c>
      <c r="L812" s="13"/>
      <c r="M812" s="13"/>
      <c r="N812" s="13"/>
      <c r="O812" s="13"/>
      <c r="P812" s="13"/>
      <c r="Q812" s="13"/>
      <c r="R812" s="13"/>
      <c r="S812" s="13" t="s">
        <v>1510</v>
      </c>
      <c r="T812" s="13"/>
      <c r="U812" s="13"/>
      <c r="V812" s="13"/>
      <c r="W812" s="13"/>
    </row>
    <row r="813" spans="1:23" s="94" customFormat="1" x14ac:dyDescent="0.25">
      <c r="A813" s="90" t="s">
        <v>1577</v>
      </c>
      <c r="B813" s="91" t="s">
        <v>13</v>
      </c>
      <c r="C813" s="22" t="s">
        <v>480</v>
      </c>
      <c r="D813" s="92">
        <v>44354</v>
      </c>
      <c r="E813" s="93" t="s">
        <v>23</v>
      </c>
      <c r="F813" s="93"/>
      <c r="G813" s="91"/>
      <c r="H813" s="95"/>
      <c r="I813" s="91" t="s">
        <v>481</v>
      </c>
      <c r="J813" s="91">
        <v>498</v>
      </c>
      <c r="K813" s="91"/>
      <c r="L813" s="91"/>
      <c r="M813" s="91"/>
      <c r="N813" s="91"/>
      <c r="O813" s="91"/>
      <c r="P813" s="91"/>
      <c r="Q813" s="91"/>
      <c r="R813" s="91"/>
      <c r="S813" s="91">
        <v>30900</v>
      </c>
      <c r="T813" s="91"/>
      <c r="U813" s="91"/>
      <c r="V813" s="91"/>
      <c r="W813" s="91"/>
    </row>
    <row r="814" spans="1:23" x14ac:dyDescent="0.25">
      <c r="A814" s="15">
        <v>262</v>
      </c>
      <c r="B814" s="13" t="s">
        <v>13</v>
      </c>
      <c r="C814" s="22" t="s">
        <v>1433</v>
      </c>
      <c r="D814" s="29">
        <v>44354</v>
      </c>
      <c r="E814" s="18" t="s">
        <v>23</v>
      </c>
      <c r="F814" s="18"/>
      <c r="G814" s="13" t="s">
        <v>559</v>
      </c>
      <c r="H814" s="19">
        <v>44362</v>
      </c>
      <c r="I814" s="13" t="s">
        <v>1512</v>
      </c>
      <c r="J814" s="13">
        <v>300</v>
      </c>
      <c r="K814" s="13" t="s">
        <v>305</v>
      </c>
      <c r="L814" s="13">
        <v>0.2198</v>
      </c>
      <c r="M814" s="13">
        <v>0.49199999999999999</v>
      </c>
      <c r="N814" s="13">
        <v>65.94</v>
      </c>
      <c r="O814" s="13">
        <v>147.6</v>
      </c>
      <c r="P814" s="13">
        <v>8.57</v>
      </c>
      <c r="Q814" s="13">
        <v>65.94</v>
      </c>
      <c r="R814" s="13">
        <v>300</v>
      </c>
      <c r="S814" s="13">
        <v>19782</v>
      </c>
      <c r="T814" s="13"/>
      <c r="U814" s="13"/>
      <c r="V814" s="13"/>
      <c r="W814" s="13"/>
    </row>
    <row r="815" spans="1:23" x14ac:dyDescent="0.25">
      <c r="A815" s="15">
        <v>263</v>
      </c>
      <c r="B815" s="13" t="s">
        <v>13</v>
      </c>
      <c r="C815" s="22" t="s">
        <v>32</v>
      </c>
      <c r="D815" s="29">
        <v>44354</v>
      </c>
      <c r="E815" s="18" t="s">
        <v>23</v>
      </c>
      <c r="F815" s="18"/>
      <c r="G815" s="13"/>
      <c r="H815" s="19"/>
      <c r="I815" s="13" t="s">
        <v>1300</v>
      </c>
      <c r="J815" s="13">
        <v>103</v>
      </c>
      <c r="K815" s="13" t="s">
        <v>61</v>
      </c>
      <c r="L815" s="13">
        <v>0.15790000000000001</v>
      </c>
      <c r="M815" s="13">
        <v>0.309</v>
      </c>
      <c r="N815" s="13">
        <v>16.2637</v>
      </c>
      <c r="O815" s="13">
        <v>31.827000000000002</v>
      </c>
      <c r="P815" s="13">
        <v>2.11</v>
      </c>
      <c r="Q815" s="13">
        <v>39.630000000000003</v>
      </c>
      <c r="R815" s="13">
        <v>251</v>
      </c>
      <c r="S815" s="13">
        <v>4082.19</v>
      </c>
      <c r="T815" s="13"/>
      <c r="U815" s="13"/>
      <c r="V815" s="13"/>
      <c r="W815" s="13"/>
    </row>
    <row r="816" spans="1:23" x14ac:dyDescent="0.25">
      <c r="A816" s="20" t="s">
        <v>1516</v>
      </c>
      <c r="B816" s="21" t="s">
        <v>13</v>
      </c>
      <c r="C816" s="22" t="s">
        <v>1517</v>
      </c>
      <c r="D816" s="29">
        <v>44355</v>
      </c>
      <c r="E816" s="18" t="s">
        <v>23</v>
      </c>
      <c r="F816" s="18"/>
      <c r="G816" s="13"/>
      <c r="H816" s="19"/>
      <c r="I816" s="13" t="s">
        <v>1518</v>
      </c>
      <c r="J816" s="13">
        <v>360</v>
      </c>
      <c r="K816" s="13">
        <v>60</v>
      </c>
      <c r="L816" s="13">
        <v>0.16</v>
      </c>
      <c r="M816" s="13"/>
      <c r="N816" s="13"/>
      <c r="O816" s="13"/>
      <c r="P816" s="13"/>
      <c r="Q816" s="13"/>
      <c r="R816" s="13"/>
      <c r="S816" s="13">
        <v>22240</v>
      </c>
      <c r="T816" s="13"/>
      <c r="U816" s="13"/>
      <c r="V816" s="13"/>
      <c r="W816" s="13"/>
    </row>
    <row r="817" spans="1:23" s="94" customFormat="1" x14ac:dyDescent="0.25">
      <c r="A817" s="20">
        <v>266</v>
      </c>
      <c r="B817" s="21" t="s">
        <v>13</v>
      </c>
      <c r="C817" s="22" t="s">
        <v>625</v>
      </c>
      <c r="D817" s="17">
        <v>44355</v>
      </c>
      <c r="E817" s="23" t="s">
        <v>23</v>
      </c>
      <c r="F817" s="23"/>
      <c r="G817" s="21" t="s">
        <v>1567</v>
      </c>
      <c r="H817" s="24"/>
      <c r="I817" s="21" t="s">
        <v>681</v>
      </c>
      <c r="J817" s="21">
        <v>733.2</v>
      </c>
      <c r="K817" s="21" t="s">
        <v>242</v>
      </c>
      <c r="L817" s="21">
        <v>0.34789999999999999</v>
      </c>
      <c r="M817" s="21">
        <v>1.643</v>
      </c>
      <c r="N817" s="21">
        <v>255.08029999999999</v>
      </c>
      <c r="O817" s="21">
        <v>1204.6476</v>
      </c>
      <c r="P817" s="21">
        <v>33.159999999999997</v>
      </c>
      <c r="Q817" s="21">
        <v>69.58</v>
      </c>
      <c r="R817" s="21">
        <v>200</v>
      </c>
      <c r="S817" s="21">
        <v>51016.06</v>
      </c>
      <c r="T817" s="21"/>
      <c r="U817" s="21"/>
      <c r="V817" s="91"/>
      <c r="W817" s="91"/>
    </row>
    <row r="818" spans="1:23" s="25" customFormat="1" x14ac:dyDescent="0.25">
      <c r="A818" s="20">
        <v>267</v>
      </c>
      <c r="B818" s="21" t="s">
        <v>13</v>
      </c>
      <c r="C818" s="22" t="s">
        <v>625</v>
      </c>
      <c r="D818" s="17">
        <v>44355</v>
      </c>
      <c r="E818" s="23" t="s">
        <v>23</v>
      </c>
      <c r="F818" s="23"/>
      <c r="G818" s="21"/>
      <c r="H818" s="24">
        <v>44369</v>
      </c>
      <c r="I818" s="21" t="s">
        <v>1099</v>
      </c>
      <c r="J818" s="21">
        <v>84.6</v>
      </c>
      <c r="K818" s="21" t="s">
        <v>303</v>
      </c>
      <c r="L818" s="21">
        <v>0.34810000000000002</v>
      </c>
      <c r="M818" s="21">
        <v>1.4930000000000001</v>
      </c>
      <c r="N818" s="21">
        <v>29.449300000000001</v>
      </c>
      <c r="O818" s="21">
        <v>126.3078</v>
      </c>
      <c r="P818" s="21">
        <v>3.83</v>
      </c>
      <c r="Q818" s="21">
        <v>69.62</v>
      </c>
      <c r="R818" s="21">
        <v>200</v>
      </c>
      <c r="S818" s="21">
        <v>5889.85</v>
      </c>
      <c r="T818" s="21"/>
      <c r="U818" s="21"/>
      <c r="V818" s="21"/>
      <c r="W818" s="21"/>
    </row>
    <row r="819" spans="1:23" x14ac:dyDescent="0.25">
      <c r="A819" s="15">
        <v>271</v>
      </c>
      <c r="B819" s="13" t="s">
        <v>34</v>
      </c>
      <c r="C819" s="22" t="s">
        <v>201</v>
      </c>
      <c r="D819" s="29">
        <v>44355</v>
      </c>
      <c r="E819" s="18" t="s">
        <v>23</v>
      </c>
      <c r="F819" s="18"/>
      <c r="G819" s="13" t="s">
        <v>1763</v>
      </c>
      <c r="H819" s="19">
        <v>44362</v>
      </c>
      <c r="I819" s="13" t="s">
        <v>649</v>
      </c>
      <c r="J819" s="13">
        <v>624</v>
      </c>
      <c r="K819" s="13" t="s">
        <v>325</v>
      </c>
      <c r="L819" s="13">
        <v>0.31109999999999999</v>
      </c>
      <c r="M819" s="13">
        <v>1.7769999999999999</v>
      </c>
      <c r="N819" s="13">
        <v>194.12639999999999</v>
      </c>
      <c r="O819" s="13">
        <v>1108.848</v>
      </c>
      <c r="P819" s="13">
        <v>25.24</v>
      </c>
      <c r="Q819" s="13">
        <v>93.33</v>
      </c>
      <c r="R819" s="13">
        <v>300</v>
      </c>
      <c r="S819" s="13">
        <v>58237.919999999998</v>
      </c>
      <c r="T819" s="13"/>
      <c r="U819" s="13"/>
      <c r="V819" s="13"/>
      <c r="W819" s="13"/>
    </row>
    <row r="820" spans="1:23" x14ac:dyDescent="0.25">
      <c r="A820" s="88">
        <v>272</v>
      </c>
      <c r="B820" s="58" t="s">
        <v>34</v>
      </c>
      <c r="C820" s="22" t="s">
        <v>201</v>
      </c>
      <c r="D820" s="29">
        <v>44355</v>
      </c>
      <c r="E820" s="57" t="s">
        <v>23</v>
      </c>
      <c r="F820" s="57"/>
      <c r="G820" s="58"/>
      <c r="H820" s="89">
        <v>44362</v>
      </c>
      <c r="I820" s="58" t="s">
        <v>518</v>
      </c>
      <c r="J820" s="58">
        <v>114</v>
      </c>
      <c r="K820" s="58" t="s">
        <v>304</v>
      </c>
      <c r="L820" s="58">
        <v>0.68820000000000003</v>
      </c>
      <c r="M820" s="58">
        <v>3.2480000000000002</v>
      </c>
      <c r="N820" s="58">
        <v>78.454800000000006</v>
      </c>
      <c r="O820" s="58">
        <v>370.27199999999999</v>
      </c>
      <c r="P820" s="58">
        <v>10.199999999999999</v>
      </c>
      <c r="Q820" s="58">
        <v>206.46</v>
      </c>
      <c r="R820" s="58">
        <v>300</v>
      </c>
      <c r="S820" s="58">
        <v>23536.44</v>
      </c>
      <c r="T820" s="58"/>
      <c r="U820" s="58"/>
      <c r="V820" s="13"/>
      <c r="W820" s="13"/>
    </row>
    <row r="821" spans="1:23" x14ac:dyDescent="0.25">
      <c r="A821" s="15" t="s">
        <v>1519</v>
      </c>
      <c r="B821" s="13" t="s">
        <v>34</v>
      </c>
      <c r="C821" s="22" t="s">
        <v>16</v>
      </c>
      <c r="D821" s="29">
        <v>44355</v>
      </c>
      <c r="E821" s="18" t="s">
        <v>23</v>
      </c>
      <c r="F821" s="18"/>
      <c r="G821" s="13"/>
      <c r="H821" s="19">
        <v>44362</v>
      </c>
      <c r="I821" s="13" t="s">
        <v>631</v>
      </c>
      <c r="J821" s="13">
        <v>204</v>
      </c>
      <c r="K821" s="13" t="s">
        <v>1239</v>
      </c>
      <c r="L821" s="13">
        <v>0.70820000000000005</v>
      </c>
      <c r="M821" s="13">
        <v>3.4609999999999999</v>
      </c>
      <c r="N821" s="13">
        <v>144.47280000000001</v>
      </c>
      <c r="O821" s="13">
        <v>706.04399999999998</v>
      </c>
      <c r="P821" s="13">
        <v>18.78</v>
      </c>
      <c r="Q821" s="13">
        <v>212.46</v>
      </c>
      <c r="R821" s="13">
        <v>300</v>
      </c>
      <c r="S821" s="13">
        <v>43341.84</v>
      </c>
      <c r="T821" s="13"/>
      <c r="U821" s="13"/>
      <c r="V821" s="13"/>
      <c r="W821" s="13"/>
    </row>
    <row r="822" spans="1:23" x14ac:dyDescent="0.25">
      <c r="A822" s="15" t="s">
        <v>512</v>
      </c>
      <c r="B822" s="13" t="s">
        <v>13</v>
      </c>
      <c r="C822" s="22" t="s">
        <v>15</v>
      </c>
      <c r="D822" s="29">
        <v>44356</v>
      </c>
      <c r="E822" s="18" t="s">
        <v>23</v>
      </c>
      <c r="F822" s="18"/>
      <c r="G822" s="13"/>
      <c r="H822" s="19"/>
      <c r="I822" s="13" t="s">
        <v>89</v>
      </c>
      <c r="J822" s="13"/>
      <c r="K822" s="13">
        <v>48</v>
      </c>
      <c r="L822" s="13"/>
      <c r="M822" s="13"/>
      <c r="N822" s="13"/>
      <c r="O822" s="13"/>
      <c r="P822" s="13"/>
      <c r="Q822" s="13"/>
      <c r="R822" s="13"/>
      <c r="S822" s="13">
        <v>34992</v>
      </c>
      <c r="T822" s="13"/>
      <c r="U822" s="13"/>
      <c r="V822" s="13"/>
      <c r="W822" s="13"/>
    </row>
    <row r="823" spans="1:23" ht="30.75" x14ac:dyDescent="0.25">
      <c r="A823" s="20">
        <v>268</v>
      </c>
      <c r="B823" s="21" t="s">
        <v>13</v>
      </c>
      <c r="C823" s="22" t="s">
        <v>591</v>
      </c>
      <c r="D823" s="17">
        <v>44355</v>
      </c>
      <c r="E823" s="23" t="s">
        <v>23</v>
      </c>
      <c r="F823" s="23"/>
      <c r="G823" s="97" t="s">
        <v>1603</v>
      </c>
      <c r="H823" s="24"/>
      <c r="I823" s="21" t="s">
        <v>38</v>
      </c>
      <c r="J823" s="21">
        <v>3354</v>
      </c>
      <c r="K823" s="21" t="s">
        <v>1611</v>
      </c>
      <c r="L823" s="21">
        <v>6.4500000000000002E-2</v>
      </c>
      <c r="M823" s="21">
        <v>8.5000000000000006E-2</v>
      </c>
      <c r="N823" s="21">
        <v>216.333</v>
      </c>
      <c r="O823" s="21">
        <v>285.08999999999997</v>
      </c>
      <c r="P823" s="21">
        <v>28.12</v>
      </c>
      <c r="Q823" s="21">
        <v>17.739999999999998</v>
      </c>
      <c r="R823" s="21">
        <v>275</v>
      </c>
      <c r="S823" s="21">
        <v>59499.96</v>
      </c>
      <c r="T823" s="21"/>
      <c r="U823" s="21"/>
      <c r="V823" s="13"/>
      <c r="W823" s="13"/>
    </row>
    <row r="824" spans="1:23" s="94" customFormat="1" ht="30.75" x14ac:dyDescent="0.25">
      <c r="A824" s="90">
        <v>269</v>
      </c>
      <c r="B824" s="91" t="s">
        <v>13</v>
      </c>
      <c r="C824" s="22" t="s">
        <v>672</v>
      </c>
      <c r="D824" s="92">
        <v>44355</v>
      </c>
      <c r="E824" s="93" t="s">
        <v>23</v>
      </c>
      <c r="F824" s="93"/>
      <c r="G824" s="108" t="s">
        <v>1717</v>
      </c>
      <c r="H824" s="98"/>
      <c r="I824" s="91" t="s">
        <v>630</v>
      </c>
      <c r="J824" s="91">
        <v>1183</v>
      </c>
      <c r="K824" s="91" t="s">
        <v>1121</v>
      </c>
      <c r="L824" s="91">
        <v>0.54049999999999998</v>
      </c>
      <c r="M824" s="91">
        <v>2.0990000000000002</v>
      </c>
      <c r="N824" s="91">
        <v>639.41150000000005</v>
      </c>
      <c r="O824" s="91">
        <v>2483.1170000000002</v>
      </c>
      <c r="P824" s="91">
        <v>83.12</v>
      </c>
      <c r="Q824" s="91">
        <v>118.91</v>
      </c>
      <c r="R824" s="91">
        <v>220</v>
      </c>
      <c r="S824" s="91">
        <v>140670.53</v>
      </c>
      <c r="T824" s="91"/>
      <c r="U824" s="91"/>
      <c r="V824" s="91"/>
      <c r="W824" s="91"/>
    </row>
    <row r="825" spans="1:23" s="25" customFormat="1" x14ac:dyDescent="0.25">
      <c r="A825" s="20">
        <v>269</v>
      </c>
      <c r="B825" s="21" t="s">
        <v>13</v>
      </c>
      <c r="C825" s="22" t="s">
        <v>672</v>
      </c>
      <c r="D825" s="17">
        <v>44355</v>
      </c>
      <c r="E825" s="23" t="s">
        <v>23</v>
      </c>
      <c r="F825" s="23"/>
      <c r="G825" s="21"/>
      <c r="H825" s="24"/>
      <c r="I825" s="21" t="s">
        <v>999</v>
      </c>
      <c r="J825" s="21">
        <v>143</v>
      </c>
      <c r="K825" s="21" t="s">
        <v>330</v>
      </c>
      <c r="L825" s="21">
        <v>0.626</v>
      </c>
      <c r="M825" s="21">
        <v>2.1960000000000002</v>
      </c>
      <c r="N825" s="21">
        <v>89.518000000000001</v>
      </c>
      <c r="O825" s="21">
        <v>314.02800000000002</v>
      </c>
      <c r="P825" s="21">
        <v>11.64</v>
      </c>
      <c r="Q825" s="21">
        <v>137.72</v>
      </c>
      <c r="R825" s="21">
        <v>220</v>
      </c>
      <c r="S825" s="21">
        <v>19693.96</v>
      </c>
      <c r="T825" s="21"/>
      <c r="U825" s="21"/>
      <c r="V825" s="21"/>
      <c r="W825" s="21"/>
    </row>
    <row r="826" spans="1:23" x14ac:dyDescent="0.25">
      <c r="A826" s="15" t="s">
        <v>513</v>
      </c>
      <c r="B826" s="13" t="s">
        <v>13</v>
      </c>
      <c r="C826" s="22" t="s">
        <v>30</v>
      </c>
      <c r="D826" s="29">
        <v>44357</v>
      </c>
      <c r="E826" s="18" t="s">
        <v>23</v>
      </c>
      <c r="F826" s="18"/>
      <c r="G826" s="13"/>
      <c r="H826" s="19">
        <v>44358</v>
      </c>
      <c r="I826" s="13" t="s">
        <v>206</v>
      </c>
      <c r="J826" s="13" t="s">
        <v>1529</v>
      </c>
      <c r="K826" s="13"/>
      <c r="L826" s="13"/>
      <c r="M826" s="13"/>
      <c r="N826" s="13"/>
      <c r="O826" s="13"/>
      <c r="P826" s="13"/>
      <c r="Q826" s="13"/>
      <c r="R826" s="13"/>
      <c r="S826" s="13" t="s">
        <v>1285</v>
      </c>
      <c r="T826" s="13"/>
      <c r="U826" s="13"/>
      <c r="V826" s="13"/>
      <c r="W826" s="13"/>
    </row>
    <row r="827" spans="1:23" x14ac:dyDescent="0.25">
      <c r="A827" s="15" t="s">
        <v>513</v>
      </c>
      <c r="B827" s="13" t="s">
        <v>13</v>
      </c>
      <c r="C827" s="22" t="s">
        <v>30</v>
      </c>
      <c r="D827" s="29">
        <v>44357</v>
      </c>
      <c r="E827" s="18" t="s">
        <v>23</v>
      </c>
      <c r="F827" s="18"/>
      <c r="G827" s="13"/>
      <c r="H827" s="31"/>
      <c r="I827" s="13" t="s">
        <v>710</v>
      </c>
      <c r="J827" s="13" t="s">
        <v>96</v>
      </c>
      <c r="K827" s="13"/>
      <c r="L827" s="13"/>
      <c r="M827" s="13"/>
      <c r="N827" s="13"/>
      <c r="O827" s="13"/>
      <c r="P827" s="13"/>
      <c r="Q827" s="13"/>
      <c r="R827" s="13"/>
      <c r="S827" s="13" t="s">
        <v>1145</v>
      </c>
      <c r="T827" s="13"/>
      <c r="U827" s="13"/>
      <c r="V827" s="13"/>
      <c r="W827" s="13"/>
    </row>
    <row r="828" spans="1:23" x14ac:dyDescent="0.25">
      <c r="A828" s="15" t="s">
        <v>513</v>
      </c>
      <c r="B828" s="13" t="s">
        <v>13</v>
      </c>
      <c r="C828" s="22" t="s">
        <v>30</v>
      </c>
      <c r="D828" s="29">
        <v>44357</v>
      </c>
      <c r="E828" s="18" t="s">
        <v>23</v>
      </c>
      <c r="F828" s="18"/>
      <c r="G828" s="13"/>
      <c r="H828" s="31"/>
      <c r="I828" s="13" t="s">
        <v>711</v>
      </c>
      <c r="J828" s="13" t="s">
        <v>96</v>
      </c>
      <c r="K828" s="13"/>
      <c r="L828" s="13"/>
      <c r="M828" s="13"/>
      <c r="N828" s="13"/>
      <c r="O828" s="13"/>
      <c r="P828" s="13"/>
      <c r="Q828" s="13"/>
      <c r="R828" s="13"/>
      <c r="S828" s="13" t="s">
        <v>1145</v>
      </c>
      <c r="T828" s="13"/>
      <c r="U828" s="13"/>
      <c r="V828" s="13"/>
      <c r="W828" s="13"/>
    </row>
    <row r="829" spans="1:23" x14ac:dyDescent="0.25">
      <c r="A829" s="15" t="s">
        <v>513</v>
      </c>
      <c r="B829" s="13" t="s">
        <v>13</v>
      </c>
      <c r="C829" s="22" t="s">
        <v>30</v>
      </c>
      <c r="D829" s="29">
        <v>44357</v>
      </c>
      <c r="E829" s="18" t="s">
        <v>23</v>
      </c>
      <c r="F829" s="18"/>
      <c r="G829" s="13"/>
      <c r="H829" s="31"/>
      <c r="I829" s="13" t="s">
        <v>712</v>
      </c>
      <c r="J829" s="13" t="s">
        <v>36</v>
      </c>
      <c r="K829" s="13"/>
      <c r="L829" s="13"/>
      <c r="M829" s="13"/>
      <c r="N829" s="13"/>
      <c r="O829" s="13"/>
      <c r="P829" s="13"/>
      <c r="Q829" s="13"/>
      <c r="R829" s="13"/>
      <c r="S829" s="13" t="s">
        <v>40</v>
      </c>
      <c r="T829" s="13"/>
      <c r="U829" s="13"/>
      <c r="V829" s="13"/>
      <c r="W829" s="13"/>
    </row>
    <row r="830" spans="1:23" x14ac:dyDescent="0.25">
      <c r="A830" s="15" t="s">
        <v>513</v>
      </c>
      <c r="B830" s="13" t="s">
        <v>13</v>
      </c>
      <c r="C830" s="22" t="s">
        <v>30</v>
      </c>
      <c r="D830" s="29">
        <v>44357</v>
      </c>
      <c r="E830" s="18" t="s">
        <v>23</v>
      </c>
      <c r="F830" s="18"/>
      <c r="G830" s="13"/>
      <c r="H830" s="31"/>
      <c r="I830" s="13" t="s">
        <v>713</v>
      </c>
      <c r="J830" s="13" t="s">
        <v>90</v>
      </c>
      <c r="K830" s="13"/>
      <c r="L830" s="13"/>
      <c r="M830" s="13"/>
      <c r="N830" s="13"/>
      <c r="O830" s="13"/>
      <c r="P830" s="13"/>
      <c r="Q830" s="13"/>
      <c r="R830" s="13"/>
      <c r="S830" s="13" t="s">
        <v>1530</v>
      </c>
      <c r="T830" s="13"/>
      <c r="U830" s="13"/>
      <c r="V830" s="13"/>
      <c r="W830" s="13"/>
    </row>
    <row r="831" spans="1:23" x14ac:dyDescent="0.25">
      <c r="A831" s="15">
        <v>270</v>
      </c>
      <c r="B831" s="13" t="s">
        <v>13</v>
      </c>
      <c r="C831" s="22" t="s">
        <v>682</v>
      </c>
      <c r="D831" s="29">
        <v>44355</v>
      </c>
      <c r="E831" s="18" t="s">
        <v>23</v>
      </c>
      <c r="F831" s="18"/>
      <c r="G831" s="13"/>
      <c r="H831" s="31"/>
      <c r="I831" s="13" t="s">
        <v>58</v>
      </c>
      <c r="J831" s="13">
        <v>111.6</v>
      </c>
      <c r="K831" s="13" t="s">
        <v>33</v>
      </c>
      <c r="L831" s="13">
        <v>0.9929</v>
      </c>
      <c r="M831" s="13">
        <v>4.5880000000000001</v>
      </c>
      <c r="N831" s="13">
        <v>110.80759999999999</v>
      </c>
      <c r="O831" s="13">
        <v>512.02080000000001</v>
      </c>
      <c r="P831" s="13">
        <v>14.41</v>
      </c>
      <c r="Q831" s="13">
        <v>273.05</v>
      </c>
      <c r="R831" s="13">
        <v>275</v>
      </c>
      <c r="S831" s="13">
        <v>30472.1</v>
      </c>
      <c r="T831" s="13"/>
      <c r="U831" s="13"/>
      <c r="V831" s="13"/>
      <c r="W831" s="13"/>
    </row>
    <row r="832" spans="1:23" x14ac:dyDescent="0.25">
      <c r="A832" s="15" t="s">
        <v>513</v>
      </c>
      <c r="B832" s="13" t="s">
        <v>13</v>
      </c>
      <c r="C832" s="22" t="s">
        <v>30</v>
      </c>
      <c r="D832" s="29">
        <v>44357</v>
      </c>
      <c r="E832" s="18" t="s">
        <v>23</v>
      </c>
      <c r="F832" s="18"/>
      <c r="G832" s="13"/>
      <c r="H832" s="31"/>
      <c r="I832" s="13" t="s">
        <v>715</v>
      </c>
      <c r="J832" s="13" t="s">
        <v>36</v>
      </c>
      <c r="K832" s="13"/>
      <c r="L832" s="13"/>
      <c r="M832" s="13"/>
      <c r="N832" s="13"/>
      <c r="O832" s="13"/>
      <c r="P832" s="13"/>
      <c r="Q832" s="13"/>
      <c r="R832" s="13"/>
      <c r="S832" s="13" t="s">
        <v>1338</v>
      </c>
      <c r="T832" s="13"/>
      <c r="U832" s="13"/>
      <c r="V832" s="13"/>
      <c r="W832" s="13"/>
    </row>
    <row r="833" spans="1:23" x14ac:dyDescent="0.25">
      <c r="A833" s="15" t="s">
        <v>513</v>
      </c>
      <c r="B833" s="13" t="s">
        <v>13</v>
      </c>
      <c r="C833" s="22" t="s">
        <v>30</v>
      </c>
      <c r="D833" s="29">
        <v>44357</v>
      </c>
      <c r="E833" s="18" t="s">
        <v>23</v>
      </c>
      <c r="F833" s="18"/>
      <c r="G833" s="13"/>
      <c r="H833" s="31"/>
      <c r="I833" s="13" t="s">
        <v>716</v>
      </c>
      <c r="J833" s="13" t="s">
        <v>96</v>
      </c>
      <c r="K833" s="13"/>
      <c r="L833" s="13"/>
      <c r="M833" s="13"/>
      <c r="N833" s="13"/>
      <c r="O833" s="13"/>
      <c r="P833" s="13"/>
      <c r="Q833" s="13"/>
      <c r="R833" s="13"/>
      <c r="S833" s="13" t="s">
        <v>163</v>
      </c>
      <c r="T833" s="13"/>
      <c r="U833" s="13"/>
      <c r="V833" s="13"/>
      <c r="W833" s="13"/>
    </row>
    <row r="834" spans="1:23" x14ac:dyDescent="0.25">
      <c r="A834" s="15" t="s">
        <v>513</v>
      </c>
      <c r="B834" s="13" t="s">
        <v>13</v>
      </c>
      <c r="C834" s="22" t="s">
        <v>30</v>
      </c>
      <c r="D834" s="29">
        <v>44357</v>
      </c>
      <c r="E834" s="18" t="s">
        <v>23</v>
      </c>
      <c r="F834" s="18"/>
      <c r="G834" s="13"/>
      <c r="H834" s="31"/>
      <c r="I834" s="13" t="s">
        <v>717</v>
      </c>
      <c r="J834" s="13" t="s">
        <v>96</v>
      </c>
      <c r="K834" s="13"/>
      <c r="L834" s="13"/>
      <c r="M834" s="13"/>
      <c r="N834" s="13"/>
      <c r="O834" s="13"/>
      <c r="P834" s="13"/>
      <c r="Q834" s="13"/>
      <c r="R834" s="13"/>
      <c r="S834" s="13" t="s">
        <v>163</v>
      </c>
      <c r="T834" s="13"/>
      <c r="U834" s="13"/>
      <c r="V834" s="13"/>
      <c r="W834" s="13"/>
    </row>
    <row r="835" spans="1:23" x14ac:dyDescent="0.25">
      <c r="A835" s="20" t="s">
        <v>1578</v>
      </c>
      <c r="B835" s="21" t="s">
        <v>13</v>
      </c>
      <c r="C835" s="22" t="s">
        <v>43</v>
      </c>
      <c r="D835" s="17">
        <v>44355</v>
      </c>
      <c r="E835" s="23" t="s">
        <v>23</v>
      </c>
      <c r="F835" s="23"/>
      <c r="G835" s="21"/>
      <c r="H835" s="24"/>
      <c r="I835" s="21" t="s">
        <v>1514</v>
      </c>
      <c r="J835" s="21" t="s">
        <v>1515</v>
      </c>
      <c r="K835" s="21"/>
      <c r="L835" s="21"/>
      <c r="M835" s="21"/>
      <c r="N835" s="21"/>
      <c r="O835" s="21"/>
      <c r="P835" s="21"/>
      <c r="Q835" s="21"/>
      <c r="R835" s="21"/>
      <c r="S835" s="21">
        <v>28500</v>
      </c>
      <c r="T835" s="21"/>
      <c r="U835" s="21"/>
      <c r="V835" s="13"/>
      <c r="W835" s="13"/>
    </row>
    <row r="836" spans="1:23" x14ac:dyDescent="0.25">
      <c r="A836" s="15" t="s">
        <v>513</v>
      </c>
      <c r="B836" s="13" t="s">
        <v>13</v>
      </c>
      <c r="C836" s="22" t="s">
        <v>30</v>
      </c>
      <c r="D836" s="29">
        <v>44357</v>
      </c>
      <c r="E836" s="18" t="s">
        <v>23</v>
      </c>
      <c r="F836" s="18"/>
      <c r="G836" s="13"/>
      <c r="H836" s="31"/>
      <c r="I836" s="13" t="s">
        <v>719</v>
      </c>
      <c r="J836" s="13" t="s">
        <v>96</v>
      </c>
      <c r="K836" s="13"/>
      <c r="L836" s="13"/>
      <c r="M836" s="13"/>
      <c r="N836" s="13"/>
      <c r="O836" s="13"/>
      <c r="P836" s="13"/>
      <c r="Q836" s="13"/>
      <c r="R836" s="13"/>
      <c r="S836" s="13" t="s">
        <v>336</v>
      </c>
      <c r="T836" s="13"/>
      <c r="U836" s="13"/>
      <c r="V836" s="13"/>
      <c r="W836" s="13"/>
    </row>
    <row r="837" spans="1:23" s="25" customFormat="1" x14ac:dyDescent="0.25">
      <c r="A837" s="20" t="s">
        <v>1551</v>
      </c>
      <c r="B837" s="21" t="s">
        <v>13</v>
      </c>
      <c r="C837" s="22" t="s">
        <v>585</v>
      </c>
      <c r="D837" s="17">
        <v>44363</v>
      </c>
      <c r="E837" s="23" t="s">
        <v>23</v>
      </c>
      <c r="F837" s="23"/>
      <c r="G837" s="21"/>
      <c r="H837" s="24"/>
      <c r="I837" s="21" t="s">
        <v>740</v>
      </c>
      <c r="J837" s="21"/>
      <c r="K837" s="21" t="s">
        <v>181</v>
      </c>
      <c r="L837" s="21"/>
      <c r="M837" s="21"/>
      <c r="N837" s="21"/>
      <c r="O837" s="21"/>
      <c r="P837" s="21"/>
      <c r="Q837" s="21"/>
      <c r="R837" s="21"/>
      <c r="S837" s="21" t="s">
        <v>179</v>
      </c>
      <c r="T837" s="21"/>
      <c r="U837" s="21"/>
      <c r="V837" s="21"/>
      <c r="W837" s="21"/>
    </row>
    <row r="838" spans="1:23" s="25" customFormat="1" x14ac:dyDescent="0.25">
      <c r="A838" s="20" t="s">
        <v>1551</v>
      </c>
      <c r="B838" s="21" t="s">
        <v>13</v>
      </c>
      <c r="C838" s="22" t="s">
        <v>585</v>
      </c>
      <c r="D838" s="17">
        <v>44363</v>
      </c>
      <c r="E838" s="23" t="s">
        <v>23</v>
      </c>
      <c r="F838" s="23"/>
      <c r="G838" s="21"/>
      <c r="H838" s="24"/>
      <c r="I838" s="21" t="s">
        <v>741</v>
      </c>
      <c r="J838" s="21"/>
      <c r="K838" s="21" t="s">
        <v>36</v>
      </c>
      <c r="L838" s="21"/>
      <c r="M838" s="21"/>
      <c r="N838" s="21"/>
      <c r="O838" s="21"/>
      <c r="P838" s="21"/>
      <c r="Q838" s="21"/>
      <c r="R838" s="21"/>
      <c r="S838" s="21" t="s">
        <v>1552</v>
      </c>
      <c r="T838" s="21"/>
      <c r="U838" s="21"/>
      <c r="V838" s="21"/>
      <c r="W838" s="21"/>
    </row>
    <row r="839" spans="1:23" s="25" customFormat="1" x14ac:dyDescent="0.25">
      <c r="A839" s="20" t="s">
        <v>1551</v>
      </c>
      <c r="B839" s="21" t="s">
        <v>13</v>
      </c>
      <c r="C839" s="22" t="s">
        <v>585</v>
      </c>
      <c r="D839" s="17">
        <v>44363</v>
      </c>
      <c r="E839" s="23" t="s">
        <v>23</v>
      </c>
      <c r="F839" s="23"/>
      <c r="G839" s="21"/>
      <c r="H839" s="24"/>
      <c r="I839" s="21" t="s">
        <v>1255</v>
      </c>
      <c r="J839" s="21"/>
      <c r="K839" s="21" t="s">
        <v>75</v>
      </c>
      <c r="L839" s="21"/>
      <c r="M839" s="21"/>
      <c r="N839" s="21"/>
      <c r="O839" s="21"/>
      <c r="P839" s="21"/>
      <c r="Q839" s="21"/>
      <c r="R839" s="21"/>
      <c r="S839" s="21" t="s">
        <v>502</v>
      </c>
      <c r="T839" s="21"/>
      <c r="U839" s="21"/>
      <c r="V839" s="21"/>
      <c r="W839" s="21"/>
    </row>
    <row r="840" spans="1:23" s="25" customFormat="1" x14ac:dyDescent="0.25">
      <c r="A840" s="20" t="s">
        <v>1551</v>
      </c>
      <c r="B840" s="21" t="s">
        <v>13</v>
      </c>
      <c r="C840" s="22" t="s">
        <v>585</v>
      </c>
      <c r="D840" s="17">
        <v>44363</v>
      </c>
      <c r="E840" s="23" t="s">
        <v>23</v>
      </c>
      <c r="F840" s="23"/>
      <c r="G840" s="21"/>
      <c r="H840" s="24"/>
      <c r="I840" s="21" t="s">
        <v>1243</v>
      </c>
      <c r="J840" s="21"/>
      <c r="K840" s="21" t="s">
        <v>123</v>
      </c>
      <c r="L840" s="21"/>
      <c r="M840" s="21"/>
      <c r="N840" s="21"/>
      <c r="O840" s="21"/>
      <c r="P840" s="21"/>
      <c r="Q840" s="21"/>
      <c r="R840" s="21"/>
      <c r="S840" s="21" t="s">
        <v>1553</v>
      </c>
      <c r="T840" s="21"/>
      <c r="U840" s="21"/>
      <c r="V840" s="21"/>
      <c r="W840" s="21"/>
    </row>
    <row r="841" spans="1:23" s="25" customFormat="1" x14ac:dyDescent="0.25">
      <c r="A841" s="20">
        <v>274</v>
      </c>
      <c r="B841" s="21" t="s">
        <v>13</v>
      </c>
      <c r="C841" s="22" t="s">
        <v>625</v>
      </c>
      <c r="D841" s="17">
        <v>44357</v>
      </c>
      <c r="E841" s="23" t="s">
        <v>23</v>
      </c>
      <c r="F841" s="23"/>
      <c r="G841" s="21"/>
      <c r="H841" s="24">
        <v>44369</v>
      </c>
      <c r="I841" s="21" t="s">
        <v>1392</v>
      </c>
      <c r="J841" s="21">
        <v>30</v>
      </c>
      <c r="K841" s="21" t="s">
        <v>364</v>
      </c>
      <c r="L841" s="21">
        <v>0.13400000000000001</v>
      </c>
      <c r="M841" s="21">
        <v>0.23200000000000001</v>
      </c>
      <c r="N841" s="21">
        <v>4.0199999999999996</v>
      </c>
      <c r="O841" s="21">
        <v>6.96</v>
      </c>
      <c r="P841" s="21">
        <v>0.52</v>
      </c>
      <c r="Q841" s="21">
        <v>40.200000000000003</v>
      </c>
      <c r="R841" s="21">
        <v>300</v>
      </c>
      <c r="S841" s="21">
        <v>1206</v>
      </c>
      <c r="T841" s="21"/>
      <c r="U841" s="21"/>
      <c r="V841" s="21"/>
      <c r="W841" s="21"/>
    </row>
    <row r="842" spans="1:23" x14ac:dyDescent="0.25">
      <c r="A842" s="15" t="s">
        <v>1579</v>
      </c>
      <c r="B842" s="13" t="s">
        <v>13</v>
      </c>
      <c r="C842" s="22" t="s">
        <v>30</v>
      </c>
      <c r="D842" s="29">
        <v>44357</v>
      </c>
      <c r="E842" s="18" t="s">
        <v>23</v>
      </c>
      <c r="F842" s="18"/>
      <c r="G842" s="13"/>
      <c r="H842" s="31"/>
      <c r="I842" s="13" t="s">
        <v>714</v>
      </c>
      <c r="J842" s="13" t="s">
        <v>36</v>
      </c>
      <c r="K842" s="13"/>
      <c r="L842" s="13"/>
      <c r="M842" s="13"/>
      <c r="N842" s="13"/>
      <c r="O842" s="13"/>
      <c r="P842" s="13"/>
      <c r="Q842" s="13"/>
      <c r="R842" s="13"/>
      <c r="S842" s="13" t="s">
        <v>1338</v>
      </c>
      <c r="T842" s="13"/>
      <c r="U842" s="13"/>
      <c r="V842" s="13"/>
      <c r="W842" s="13"/>
    </row>
    <row r="843" spans="1:23" s="28" customFormat="1" x14ac:dyDescent="0.25">
      <c r="A843" s="15" t="s">
        <v>1579</v>
      </c>
      <c r="B843" s="13" t="s">
        <v>13</v>
      </c>
      <c r="C843" s="22" t="s">
        <v>30</v>
      </c>
      <c r="D843" s="29">
        <v>44357</v>
      </c>
      <c r="E843" s="18" t="s">
        <v>23</v>
      </c>
      <c r="F843" s="18"/>
      <c r="G843" s="13"/>
      <c r="H843" s="31"/>
      <c r="I843" s="13" t="s">
        <v>718</v>
      </c>
      <c r="J843" s="13" t="s">
        <v>96</v>
      </c>
      <c r="K843" s="13"/>
      <c r="L843" s="13"/>
      <c r="M843" s="13"/>
      <c r="N843" s="13"/>
      <c r="O843" s="13"/>
      <c r="P843" s="13"/>
      <c r="Q843" s="13"/>
      <c r="R843" s="13"/>
      <c r="S843" s="13" t="s">
        <v>336</v>
      </c>
      <c r="T843" s="13"/>
      <c r="U843" s="13"/>
      <c r="V843" s="26"/>
      <c r="W843" s="26"/>
    </row>
    <row r="844" spans="1:23" s="25" customFormat="1" x14ac:dyDescent="0.25">
      <c r="A844" s="15" t="s">
        <v>1580</v>
      </c>
      <c r="B844" s="13" t="s">
        <v>13</v>
      </c>
      <c r="C844" s="22" t="s">
        <v>43</v>
      </c>
      <c r="D844" s="29">
        <v>44357</v>
      </c>
      <c r="E844" s="18" t="s">
        <v>23</v>
      </c>
      <c r="F844" s="18"/>
      <c r="G844" s="13" t="s">
        <v>1634</v>
      </c>
      <c r="H844" s="19">
        <v>44379</v>
      </c>
      <c r="I844" s="13" t="s">
        <v>1196</v>
      </c>
      <c r="J844" s="13"/>
      <c r="K844" s="13" t="s">
        <v>1198</v>
      </c>
      <c r="L844" s="13"/>
      <c r="M844" s="13"/>
      <c r="N844" s="13"/>
      <c r="O844" s="13"/>
      <c r="P844" s="13"/>
      <c r="Q844" s="13"/>
      <c r="R844" s="13"/>
      <c r="S844" s="13" t="s">
        <v>1526</v>
      </c>
      <c r="T844" s="13"/>
      <c r="U844" s="13"/>
      <c r="V844" s="21"/>
      <c r="W844" s="21"/>
    </row>
    <row r="845" spans="1:23" x14ac:dyDescent="0.25">
      <c r="A845" s="15" t="s">
        <v>1580</v>
      </c>
      <c r="B845" s="13" t="s">
        <v>13</v>
      </c>
      <c r="C845" s="22" t="s">
        <v>43</v>
      </c>
      <c r="D845" s="29">
        <v>44357</v>
      </c>
      <c r="E845" s="18" t="s">
        <v>23</v>
      </c>
      <c r="F845" s="18"/>
      <c r="G845" s="13"/>
      <c r="H845" s="19">
        <v>44379</v>
      </c>
      <c r="I845" s="13" t="s">
        <v>1523</v>
      </c>
      <c r="J845" s="13"/>
      <c r="K845" s="13" t="s">
        <v>1525</v>
      </c>
      <c r="L845" s="13"/>
      <c r="M845" s="13"/>
      <c r="N845" s="13"/>
      <c r="O845" s="13"/>
      <c r="P845" s="13"/>
      <c r="Q845" s="13"/>
      <c r="R845" s="13"/>
      <c r="S845" s="13" t="s">
        <v>1527</v>
      </c>
      <c r="T845" s="13"/>
      <c r="U845" s="13"/>
      <c r="V845" s="13"/>
      <c r="W845" s="13"/>
    </row>
    <row r="846" spans="1:23" x14ac:dyDescent="0.25">
      <c r="A846" s="15" t="s">
        <v>1580</v>
      </c>
      <c r="B846" s="13" t="s">
        <v>13</v>
      </c>
      <c r="C846" s="22" t="s">
        <v>43</v>
      </c>
      <c r="D846" s="29">
        <v>44357</v>
      </c>
      <c r="E846" s="18" t="s">
        <v>23</v>
      </c>
      <c r="F846" s="18"/>
      <c r="G846" s="13"/>
      <c r="H846" s="19">
        <v>44379</v>
      </c>
      <c r="I846" s="13" t="s">
        <v>1524</v>
      </c>
      <c r="J846" s="13"/>
      <c r="K846" s="13" t="s">
        <v>761</v>
      </c>
      <c r="L846" s="13"/>
      <c r="M846" s="13"/>
      <c r="N846" s="13"/>
      <c r="O846" s="13"/>
      <c r="P846" s="13"/>
      <c r="Q846" s="13"/>
      <c r="R846" s="13"/>
      <c r="S846" s="13" t="s">
        <v>1528</v>
      </c>
      <c r="T846" s="13"/>
      <c r="U846" s="13"/>
      <c r="V846" s="13"/>
      <c r="W846" s="13"/>
    </row>
    <row r="847" spans="1:23" s="28" customFormat="1" x14ac:dyDescent="0.25">
      <c r="A847" s="20" t="s">
        <v>1558</v>
      </c>
      <c r="B847" s="21" t="s">
        <v>13</v>
      </c>
      <c r="C847" s="22" t="s">
        <v>43</v>
      </c>
      <c r="D847" s="17">
        <v>44357</v>
      </c>
      <c r="E847" s="23" t="s">
        <v>23</v>
      </c>
      <c r="F847" s="23"/>
      <c r="G847" s="21"/>
      <c r="H847" s="24"/>
      <c r="I847" s="21" t="s">
        <v>275</v>
      </c>
      <c r="J847" s="21">
        <v>54</v>
      </c>
      <c r="K847" s="21"/>
      <c r="L847" s="21"/>
      <c r="M847" s="21"/>
      <c r="N847" s="21"/>
      <c r="O847" s="21"/>
      <c r="P847" s="21"/>
      <c r="Q847" s="21"/>
      <c r="R847" s="21"/>
      <c r="S847" s="21" t="s">
        <v>1559</v>
      </c>
      <c r="T847" s="21"/>
      <c r="U847" s="21"/>
      <c r="V847" s="26"/>
      <c r="W847" s="26"/>
    </row>
    <row r="848" spans="1:23" s="28" customFormat="1" x14ac:dyDescent="0.25">
      <c r="A848" s="20" t="s">
        <v>1558</v>
      </c>
      <c r="B848" s="21" t="s">
        <v>13</v>
      </c>
      <c r="C848" s="22" t="s">
        <v>43</v>
      </c>
      <c r="D848" s="17">
        <v>44357</v>
      </c>
      <c r="E848" s="23" t="s">
        <v>23</v>
      </c>
      <c r="F848" s="23"/>
      <c r="G848" s="21"/>
      <c r="H848" s="24"/>
      <c r="I848" s="21" t="s">
        <v>349</v>
      </c>
      <c r="J848" s="21">
        <v>54</v>
      </c>
      <c r="K848" s="21"/>
      <c r="L848" s="21"/>
      <c r="M848" s="21"/>
      <c r="N848" s="21"/>
      <c r="O848" s="21"/>
      <c r="P848" s="21"/>
      <c r="Q848" s="21"/>
      <c r="R848" s="21"/>
      <c r="S848" s="21" t="s">
        <v>1560</v>
      </c>
      <c r="T848" s="21"/>
      <c r="U848" s="21"/>
      <c r="V848" s="26"/>
      <c r="W848" s="26"/>
    </row>
    <row r="849" spans="1:23" x14ac:dyDescent="0.25">
      <c r="A849" s="20" t="s">
        <v>1558</v>
      </c>
      <c r="B849" s="21" t="s">
        <v>13</v>
      </c>
      <c r="C849" s="22" t="s">
        <v>43</v>
      </c>
      <c r="D849" s="17">
        <v>44357</v>
      </c>
      <c r="E849" s="23" t="s">
        <v>23</v>
      </c>
      <c r="F849" s="23"/>
      <c r="G849" s="21"/>
      <c r="H849" s="24"/>
      <c r="I849" s="21" t="s">
        <v>551</v>
      </c>
      <c r="J849" s="21">
        <v>54</v>
      </c>
      <c r="K849" s="21"/>
      <c r="L849" s="21"/>
      <c r="M849" s="21"/>
      <c r="N849" s="21"/>
      <c r="O849" s="21"/>
      <c r="P849" s="21"/>
      <c r="Q849" s="21"/>
      <c r="R849" s="21"/>
      <c r="S849" s="21" t="s">
        <v>266</v>
      </c>
      <c r="T849" s="21"/>
      <c r="U849" s="21"/>
      <c r="V849" s="13"/>
      <c r="W849" s="13"/>
    </row>
    <row r="850" spans="1:23" s="25" customFormat="1" x14ac:dyDescent="0.25">
      <c r="A850" s="20">
        <v>276</v>
      </c>
      <c r="B850" s="21" t="s">
        <v>13</v>
      </c>
      <c r="C850" s="22" t="s">
        <v>1548</v>
      </c>
      <c r="D850" s="17">
        <v>44358</v>
      </c>
      <c r="E850" s="23" t="s">
        <v>23</v>
      </c>
      <c r="F850" s="23"/>
      <c r="G850" s="21" t="s">
        <v>559</v>
      </c>
      <c r="H850" s="24">
        <v>44369</v>
      </c>
      <c r="I850" s="21" t="s">
        <v>606</v>
      </c>
      <c r="J850" s="21">
        <v>254.4</v>
      </c>
      <c r="K850" s="21" t="s">
        <v>140</v>
      </c>
      <c r="L850" s="21">
        <v>0.66659999999999997</v>
      </c>
      <c r="M850" s="21">
        <v>1.994</v>
      </c>
      <c r="N850" s="21">
        <v>169.583</v>
      </c>
      <c r="O850" s="21">
        <v>507.27359999999999</v>
      </c>
      <c r="P850" s="21">
        <v>22.05</v>
      </c>
      <c r="Q850" s="21">
        <v>199.98</v>
      </c>
      <c r="R850" s="21">
        <v>300</v>
      </c>
      <c r="S850" s="21">
        <v>50874.91</v>
      </c>
      <c r="T850" s="21"/>
      <c r="U850" s="21"/>
      <c r="V850" s="21"/>
      <c r="W850" s="21"/>
    </row>
    <row r="851" spans="1:23" x14ac:dyDescent="0.25">
      <c r="A851" s="15" t="s">
        <v>1547</v>
      </c>
      <c r="B851" s="13" t="s">
        <v>13</v>
      </c>
      <c r="C851" s="22" t="s">
        <v>15</v>
      </c>
      <c r="D851" s="29">
        <v>44362</v>
      </c>
      <c r="E851" s="18" t="s">
        <v>23</v>
      </c>
      <c r="F851" s="18"/>
      <c r="G851" s="13"/>
      <c r="H851" s="31"/>
      <c r="I851" s="13" t="s">
        <v>89</v>
      </c>
      <c r="J851" s="13"/>
      <c r="K851" s="13">
        <v>48</v>
      </c>
      <c r="L851" s="13"/>
      <c r="M851" s="13"/>
      <c r="N851" s="13"/>
      <c r="O851" s="13"/>
      <c r="P851" s="13"/>
      <c r="Q851" s="13"/>
      <c r="R851" s="13"/>
      <c r="S851" s="13">
        <v>34992</v>
      </c>
      <c r="T851" s="13"/>
      <c r="U851" s="13"/>
      <c r="V851" s="13"/>
      <c r="W851" s="13"/>
    </row>
    <row r="852" spans="1:23" s="25" customFormat="1" x14ac:dyDescent="0.25">
      <c r="A852" s="20">
        <v>277</v>
      </c>
      <c r="B852" s="21" t="s">
        <v>13</v>
      </c>
      <c r="C852" s="22" t="s">
        <v>32</v>
      </c>
      <c r="D852" s="17">
        <v>44358</v>
      </c>
      <c r="E852" s="23" t="s">
        <v>23</v>
      </c>
      <c r="F852" s="23"/>
      <c r="G852" s="21"/>
      <c r="H852" s="24">
        <v>44369</v>
      </c>
      <c r="I852" s="21" t="s">
        <v>1091</v>
      </c>
      <c r="J852" s="21">
        <v>92.7</v>
      </c>
      <c r="K852" s="21">
        <v>18</v>
      </c>
      <c r="L852" s="21">
        <v>0.19400000000000001</v>
      </c>
      <c r="M852" s="21">
        <v>0.35399999999999998</v>
      </c>
      <c r="N852" s="21">
        <v>17.983799999999999</v>
      </c>
      <c r="O852" s="21">
        <v>32.815800000000003</v>
      </c>
      <c r="P852" s="21">
        <v>2.34</v>
      </c>
      <c r="Q852" s="21">
        <v>73.72</v>
      </c>
      <c r="R852" s="21">
        <v>380</v>
      </c>
      <c r="S852" s="21">
        <v>6833.84</v>
      </c>
      <c r="T852" s="21"/>
      <c r="U852" s="21"/>
      <c r="V852" s="21"/>
      <c r="W852" s="21"/>
    </row>
    <row r="853" spans="1:23" s="25" customFormat="1" x14ac:dyDescent="0.25">
      <c r="A853" s="20">
        <v>281</v>
      </c>
      <c r="B853" s="21" t="s">
        <v>13</v>
      </c>
      <c r="C853" s="22" t="s">
        <v>1433</v>
      </c>
      <c r="D853" s="17">
        <v>44362</v>
      </c>
      <c r="E853" s="23" t="s">
        <v>23</v>
      </c>
      <c r="F853" s="23"/>
      <c r="G853" s="21"/>
      <c r="H853" s="24">
        <v>44383</v>
      </c>
      <c r="I853" s="21" t="s">
        <v>1434</v>
      </c>
      <c r="J853" s="21">
        <v>60</v>
      </c>
      <c r="K853" s="21" t="s">
        <v>283</v>
      </c>
      <c r="L853" s="21">
        <v>0.25669999999999998</v>
      </c>
      <c r="M853" s="21">
        <v>0.51100000000000001</v>
      </c>
      <c r="N853" s="21">
        <v>15.401999999999999</v>
      </c>
      <c r="O853" s="21">
        <v>30.66</v>
      </c>
      <c r="P853" s="21">
        <v>2</v>
      </c>
      <c r="Q853" s="21">
        <v>77.010000000000005</v>
      </c>
      <c r="R853" s="21">
        <v>300</v>
      </c>
      <c r="S853" s="21">
        <v>4620.6000000000004</v>
      </c>
      <c r="T853" s="21"/>
      <c r="U853" s="21"/>
      <c r="V853" s="21"/>
      <c r="W853" s="21"/>
    </row>
    <row r="854" spans="1:23" s="94" customFormat="1" x14ac:dyDescent="0.25">
      <c r="A854" s="90">
        <v>279</v>
      </c>
      <c r="B854" s="91" t="s">
        <v>13</v>
      </c>
      <c r="C854" s="22" t="s">
        <v>1120</v>
      </c>
      <c r="D854" s="92">
        <v>44358</v>
      </c>
      <c r="E854" s="93" t="s">
        <v>23</v>
      </c>
      <c r="F854" s="93"/>
      <c r="G854" s="91" t="s">
        <v>1673</v>
      </c>
      <c r="H854" s="95"/>
      <c r="I854" s="91" t="s">
        <v>119</v>
      </c>
      <c r="J854" s="91">
        <v>595</v>
      </c>
      <c r="K854" s="91" t="s">
        <v>1545</v>
      </c>
      <c r="L854" s="91">
        <v>0.1827</v>
      </c>
      <c r="M854" s="91">
        <v>0.36899999999999999</v>
      </c>
      <c r="N854" s="91">
        <v>108.70650000000001</v>
      </c>
      <c r="O854" s="91">
        <v>219.55500000000001</v>
      </c>
      <c r="P854" s="91">
        <v>14.13</v>
      </c>
      <c r="Q854" s="91">
        <v>54.81</v>
      </c>
      <c r="R854" s="91">
        <v>300</v>
      </c>
      <c r="S854" s="91">
        <v>32611.95</v>
      </c>
      <c r="T854" s="91"/>
      <c r="U854" s="91"/>
      <c r="V854" s="91"/>
      <c r="W854" s="91"/>
    </row>
    <row r="855" spans="1:23" s="28" customFormat="1" x14ac:dyDescent="0.25">
      <c r="A855" s="20" t="s">
        <v>1581</v>
      </c>
      <c r="B855" s="21" t="s">
        <v>13</v>
      </c>
      <c r="C855" s="22" t="s">
        <v>653</v>
      </c>
      <c r="D855" s="17">
        <v>44358</v>
      </c>
      <c r="E855" s="23" t="s">
        <v>23</v>
      </c>
      <c r="F855" s="23"/>
      <c r="G855" s="21" t="s">
        <v>559</v>
      </c>
      <c r="H855" s="24"/>
      <c r="I855" s="21" t="s">
        <v>1532</v>
      </c>
      <c r="J855" s="21" t="s">
        <v>977</v>
      </c>
      <c r="K855" s="21"/>
      <c r="L855" s="21"/>
      <c r="M855" s="21"/>
      <c r="N855" s="21"/>
      <c r="O855" s="21"/>
      <c r="P855" s="21"/>
      <c r="Q855" s="21"/>
      <c r="R855" s="21"/>
      <c r="S855" s="21" t="s">
        <v>1541</v>
      </c>
      <c r="T855" s="21"/>
      <c r="U855" s="21"/>
      <c r="V855" s="26"/>
      <c r="W855" s="26"/>
    </row>
    <row r="856" spans="1:23" s="28" customFormat="1" x14ac:dyDescent="0.25">
      <c r="A856" s="20" t="s">
        <v>1581</v>
      </c>
      <c r="B856" s="21" t="s">
        <v>13</v>
      </c>
      <c r="C856" s="22" t="s">
        <v>653</v>
      </c>
      <c r="D856" s="17">
        <v>44358</v>
      </c>
      <c r="E856" s="23" t="s">
        <v>23</v>
      </c>
      <c r="F856" s="23"/>
      <c r="G856" s="21" t="s">
        <v>1568</v>
      </c>
      <c r="H856" s="24"/>
      <c r="I856" s="21" t="s">
        <v>1533</v>
      </c>
      <c r="J856" s="21" t="s">
        <v>1536</v>
      </c>
      <c r="K856" s="21"/>
      <c r="L856" s="21"/>
      <c r="M856" s="21"/>
      <c r="N856" s="21"/>
      <c r="O856" s="21"/>
      <c r="P856" s="21"/>
      <c r="Q856" s="21"/>
      <c r="R856" s="21"/>
      <c r="S856" s="21" t="s">
        <v>1542</v>
      </c>
      <c r="T856" s="21"/>
      <c r="U856" s="21"/>
      <c r="V856" s="26"/>
      <c r="W856" s="26"/>
    </row>
    <row r="857" spans="1:23" s="36" customFormat="1" x14ac:dyDescent="0.25">
      <c r="A857" s="20" t="s">
        <v>1581</v>
      </c>
      <c r="B857" s="13" t="s">
        <v>13</v>
      </c>
      <c r="C857" s="22" t="s">
        <v>653</v>
      </c>
      <c r="D857" s="29">
        <v>44358</v>
      </c>
      <c r="E857" s="18" t="s">
        <v>23</v>
      </c>
      <c r="F857" s="18"/>
      <c r="G857" s="13"/>
      <c r="H857" s="31"/>
      <c r="I857" s="13" t="s">
        <v>1223</v>
      </c>
      <c r="J857" s="13" t="s">
        <v>624</v>
      </c>
      <c r="K857" s="13"/>
      <c r="L857" s="13"/>
      <c r="M857" s="13"/>
      <c r="N857" s="13"/>
      <c r="O857" s="13"/>
      <c r="P857" s="13"/>
      <c r="Q857" s="13"/>
      <c r="R857" s="13"/>
      <c r="S857" s="13" t="s">
        <v>1539</v>
      </c>
      <c r="T857" s="13"/>
      <c r="U857" s="13"/>
      <c r="V857" s="35"/>
      <c r="W857" s="35"/>
    </row>
    <row r="858" spans="1:23" s="36" customFormat="1" x14ac:dyDescent="0.25">
      <c r="A858" s="20" t="s">
        <v>1581</v>
      </c>
      <c r="B858" s="13" t="s">
        <v>13</v>
      </c>
      <c r="C858" s="22" t="s">
        <v>653</v>
      </c>
      <c r="D858" s="29">
        <v>44358</v>
      </c>
      <c r="E858" s="18" t="s">
        <v>23</v>
      </c>
      <c r="F858" s="18"/>
      <c r="G858" s="13"/>
      <c r="H858" s="31"/>
      <c r="I858" s="13" t="s">
        <v>1222</v>
      </c>
      <c r="J858" s="13" t="s">
        <v>377</v>
      </c>
      <c r="K858" s="13"/>
      <c r="L858" s="13"/>
      <c r="M858" s="13"/>
      <c r="N858" s="13"/>
      <c r="O858" s="13"/>
      <c r="P858" s="13"/>
      <c r="Q858" s="13"/>
      <c r="R858" s="13"/>
      <c r="S858" s="13" t="s">
        <v>1540</v>
      </c>
      <c r="T858" s="13"/>
      <c r="U858" s="13"/>
      <c r="V858" s="35"/>
      <c r="W858" s="35"/>
    </row>
    <row r="859" spans="1:23" s="28" customFormat="1" x14ac:dyDescent="0.25">
      <c r="A859" s="20" t="s">
        <v>1581</v>
      </c>
      <c r="B859" s="13" t="s">
        <v>13</v>
      </c>
      <c r="C859" s="22" t="s">
        <v>653</v>
      </c>
      <c r="D859" s="29">
        <v>44358</v>
      </c>
      <c r="E859" s="18" t="s">
        <v>23</v>
      </c>
      <c r="F859" s="18"/>
      <c r="G859" s="13" t="s">
        <v>1569</v>
      </c>
      <c r="H859" s="31"/>
      <c r="I859" s="13" t="s">
        <v>1534</v>
      </c>
      <c r="J859" s="13" t="s">
        <v>1537</v>
      </c>
      <c r="K859" s="13"/>
      <c r="L859" s="13"/>
      <c r="M859" s="13"/>
      <c r="N859" s="13"/>
      <c r="O859" s="13"/>
      <c r="P859" s="13"/>
      <c r="Q859" s="13"/>
      <c r="R859" s="13"/>
      <c r="S859" s="13" t="s">
        <v>1543</v>
      </c>
      <c r="T859" s="13"/>
      <c r="U859" s="13"/>
      <c r="V859" s="26"/>
      <c r="W859" s="26"/>
    </row>
    <row r="860" spans="1:23" s="28" customFormat="1" x14ac:dyDescent="0.25">
      <c r="A860" s="20" t="s">
        <v>1581</v>
      </c>
      <c r="B860" s="13" t="s">
        <v>13</v>
      </c>
      <c r="C860" s="22" t="s">
        <v>653</v>
      </c>
      <c r="D860" s="29">
        <v>44358</v>
      </c>
      <c r="E860" s="18" t="s">
        <v>23</v>
      </c>
      <c r="F860" s="18"/>
      <c r="G860" s="21" t="s">
        <v>1660</v>
      </c>
      <c r="H860" s="19">
        <v>44379</v>
      </c>
      <c r="I860" s="13" t="s">
        <v>1535</v>
      </c>
      <c r="J860" s="13" t="s">
        <v>1538</v>
      </c>
      <c r="K860" s="13">
        <v>2565</v>
      </c>
      <c r="L860" s="13"/>
      <c r="M860" s="13"/>
      <c r="N860" s="13"/>
      <c r="O860" s="13"/>
      <c r="P860" s="13"/>
      <c r="Q860" s="13"/>
      <c r="R860" s="13"/>
      <c r="S860" s="13" t="s">
        <v>1544</v>
      </c>
      <c r="T860" s="13"/>
      <c r="U860" s="13"/>
      <c r="V860" s="26"/>
      <c r="W860" s="26"/>
    </row>
    <row r="861" spans="1:23" s="28" customFormat="1" x14ac:dyDescent="0.25">
      <c r="A861" s="15">
        <v>280</v>
      </c>
      <c r="B861" s="13" t="s">
        <v>13</v>
      </c>
      <c r="C861" s="22" t="s">
        <v>1120</v>
      </c>
      <c r="D861" s="29">
        <v>44362</v>
      </c>
      <c r="E861" s="18" t="s">
        <v>23</v>
      </c>
      <c r="F861" s="18"/>
      <c r="G861" s="13"/>
      <c r="H861" s="31"/>
      <c r="I861" s="13" t="s">
        <v>149</v>
      </c>
      <c r="J861" s="13">
        <v>720</v>
      </c>
      <c r="K861" s="13" t="s">
        <v>465</v>
      </c>
      <c r="L861" s="13">
        <v>0.18360000000000001</v>
      </c>
      <c r="M861" s="13">
        <v>0.39400000000000002</v>
      </c>
      <c r="N861" s="13">
        <v>132.19200000000001</v>
      </c>
      <c r="O861" s="13">
        <v>283.68</v>
      </c>
      <c r="P861" s="13">
        <v>17.190000000000001</v>
      </c>
      <c r="Q861" s="13">
        <v>69.77</v>
      </c>
      <c r="R861" s="13">
        <v>380</v>
      </c>
      <c r="S861" s="13">
        <v>50232.959999999999</v>
      </c>
      <c r="T861" s="13"/>
      <c r="U861" s="13"/>
      <c r="V861" s="26"/>
      <c r="W861" s="26"/>
    </row>
    <row r="862" spans="1:23" s="28" customFormat="1" x14ac:dyDescent="0.25">
      <c r="A862" s="15">
        <v>280</v>
      </c>
      <c r="B862" s="13" t="s">
        <v>13</v>
      </c>
      <c r="C862" s="22" t="s">
        <v>1120</v>
      </c>
      <c r="D862" s="29">
        <v>44362</v>
      </c>
      <c r="E862" s="18" t="s">
        <v>23</v>
      </c>
      <c r="F862" s="18"/>
      <c r="G862" s="13" t="s">
        <v>1694</v>
      </c>
      <c r="H862" s="31"/>
      <c r="I862" s="13" t="s">
        <v>117</v>
      </c>
      <c r="J862" s="13">
        <v>980</v>
      </c>
      <c r="K862" s="13" t="s">
        <v>1169</v>
      </c>
      <c r="L862" s="13">
        <v>0.1734</v>
      </c>
      <c r="M862" s="13">
        <v>0.35099999999999998</v>
      </c>
      <c r="N862" s="13">
        <v>169.93199999999999</v>
      </c>
      <c r="O862" s="13">
        <v>343.98</v>
      </c>
      <c r="P862" s="13">
        <v>22.09</v>
      </c>
      <c r="Q862" s="13">
        <v>52.02</v>
      </c>
      <c r="R862" s="13">
        <v>300</v>
      </c>
      <c r="S862" s="13">
        <v>50979.6</v>
      </c>
      <c r="T862" s="13"/>
      <c r="U862" s="13"/>
      <c r="V862" s="26"/>
      <c r="W862" s="26"/>
    </row>
    <row r="863" spans="1:23" s="28" customFormat="1" x14ac:dyDescent="0.25">
      <c r="A863" s="15">
        <v>280</v>
      </c>
      <c r="B863" s="13" t="s">
        <v>13</v>
      </c>
      <c r="C863" s="22" t="s">
        <v>1120</v>
      </c>
      <c r="D863" s="29">
        <v>44362</v>
      </c>
      <c r="E863" s="18" t="s">
        <v>23</v>
      </c>
      <c r="F863" s="18"/>
      <c r="G863" s="13"/>
      <c r="H863" s="31"/>
      <c r="I863" s="13" t="s">
        <v>119</v>
      </c>
      <c r="J863" s="13">
        <v>800</v>
      </c>
      <c r="K863" s="13" t="s">
        <v>116</v>
      </c>
      <c r="L863" s="13">
        <v>0.1827</v>
      </c>
      <c r="M863" s="13">
        <v>0.36899999999999999</v>
      </c>
      <c r="N863" s="13">
        <v>146.16</v>
      </c>
      <c r="O863" s="13">
        <v>295.2</v>
      </c>
      <c r="P863" s="13">
        <v>19</v>
      </c>
      <c r="Q863" s="13">
        <v>52.02</v>
      </c>
      <c r="R863" s="13">
        <v>300</v>
      </c>
      <c r="S863" s="13">
        <v>41616</v>
      </c>
      <c r="T863" s="13"/>
      <c r="U863" s="13"/>
      <c r="V863" s="26"/>
      <c r="W863" s="26"/>
    </row>
    <row r="864" spans="1:23" s="25" customFormat="1" x14ac:dyDescent="0.25">
      <c r="A864" s="20">
        <v>283</v>
      </c>
      <c r="B864" s="21" t="s">
        <v>13</v>
      </c>
      <c r="C864" s="22" t="s">
        <v>367</v>
      </c>
      <c r="D864" s="17">
        <v>44362</v>
      </c>
      <c r="E864" s="23" t="s">
        <v>23</v>
      </c>
      <c r="F864" s="23"/>
      <c r="G864" s="21" t="s">
        <v>1592</v>
      </c>
      <c r="H864" s="24">
        <v>44376</v>
      </c>
      <c r="I864" s="21" t="s">
        <v>1143</v>
      </c>
      <c r="J864" s="21">
        <v>1062</v>
      </c>
      <c r="K864" s="21" t="s">
        <v>514</v>
      </c>
      <c r="L864" s="21">
        <v>0.1938</v>
      </c>
      <c r="M864" s="21">
        <v>0.63600000000000001</v>
      </c>
      <c r="N864" s="21">
        <v>205.81559999999999</v>
      </c>
      <c r="O864" s="21">
        <v>675.43200000000002</v>
      </c>
      <c r="P864" s="21">
        <v>26.76</v>
      </c>
      <c r="Q864" s="21">
        <v>58.14</v>
      </c>
      <c r="R864" s="21">
        <v>300</v>
      </c>
      <c r="S864" s="21">
        <v>61744.68</v>
      </c>
      <c r="T864" s="21"/>
      <c r="U864" s="21"/>
      <c r="V864" s="21"/>
      <c r="W864" s="21"/>
    </row>
    <row r="865" spans="1:23" s="25" customFormat="1" x14ac:dyDescent="0.25">
      <c r="A865" s="20">
        <v>283</v>
      </c>
      <c r="B865" s="21" t="s">
        <v>13</v>
      </c>
      <c r="C865" s="22" t="s">
        <v>367</v>
      </c>
      <c r="D865" s="17">
        <v>44362</v>
      </c>
      <c r="E865" s="23" t="s">
        <v>23</v>
      </c>
      <c r="F865" s="23"/>
      <c r="G865" s="21" t="s">
        <v>549</v>
      </c>
      <c r="H865" s="24">
        <v>44376</v>
      </c>
      <c r="I865" s="21" t="s">
        <v>1114</v>
      </c>
      <c r="J865" s="21">
        <v>1500</v>
      </c>
      <c r="K865" s="21">
        <v>250</v>
      </c>
      <c r="L865" s="21"/>
      <c r="M865" s="21"/>
      <c r="N865" s="21">
        <v>900.6</v>
      </c>
      <c r="O865" s="21">
        <v>3861</v>
      </c>
      <c r="P865" s="21"/>
      <c r="Q865" s="21"/>
      <c r="R865" s="21">
        <v>300</v>
      </c>
      <c r="S865" s="21">
        <v>270180</v>
      </c>
      <c r="T865" s="21"/>
      <c r="U865" s="21"/>
      <c r="V865" s="21"/>
      <c r="W865" s="21"/>
    </row>
    <row r="866" spans="1:23" s="25" customFormat="1" x14ac:dyDescent="0.25">
      <c r="A866" s="20" t="s">
        <v>1554</v>
      </c>
      <c r="B866" s="21" t="s">
        <v>13</v>
      </c>
      <c r="C866" s="22" t="s">
        <v>585</v>
      </c>
      <c r="D866" s="17">
        <v>44363</v>
      </c>
      <c r="E866" s="23" t="s">
        <v>23</v>
      </c>
      <c r="F866" s="23"/>
      <c r="G866" s="21"/>
      <c r="H866" s="24"/>
      <c r="I866" s="21" t="s">
        <v>214</v>
      </c>
      <c r="J866" s="21"/>
      <c r="K866" s="21">
        <v>12</v>
      </c>
      <c r="L866" s="21"/>
      <c r="M866" s="21"/>
      <c r="N866" s="21"/>
      <c r="O866" s="21"/>
      <c r="P866" s="21"/>
      <c r="Q866" s="21"/>
      <c r="R866" s="21"/>
      <c r="S866" s="21" t="s">
        <v>1555</v>
      </c>
      <c r="T866" s="21"/>
      <c r="U866" s="21"/>
      <c r="V866" s="21"/>
      <c r="W866" s="21"/>
    </row>
    <row r="867" spans="1:23" s="25" customFormat="1" x14ac:dyDescent="0.25">
      <c r="A867" s="20" t="s">
        <v>1554</v>
      </c>
      <c r="B867" s="21" t="s">
        <v>13</v>
      </c>
      <c r="C867" s="22" t="s">
        <v>585</v>
      </c>
      <c r="D867" s="17">
        <v>44363</v>
      </c>
      <c r="E867" s="23" t="s">
        <v>23</v>
      </c>
      <c r="F867" s="23"/>
      <c r="G867" s="21"/>
      <c r="H867" s="24"/>
      <c r="I867" s="21" t="s">
        <v>215</v>
      </c>
      <c r="J867" s="21"/>
      <c r="K867" s="21">
        <v>12</v>
      </c>
      <c r="L867" s="21"/>
      <c r="M867" s="21"/>
      <c r="N867" s="21"/>
      <c r="O867" s="21"/>
      <c r="P867" s="21"/>
      <c r="Q867" s="21"/>
      <c r="R867" s="21"/>
      <c r="S867" s="21" t="s">
        <v>1556</v>
      </c>
      <c r="T867" s="21"/>
      <c r="U867" s="21"/>
      <c r="V867" s="21"/>
      <c r="W867" s="21"/>
    </row>
    <row r="868" spans="1:23" s="25" customFormat="1" x14ac:dyDescent="0.25">
      <c r="A868" s="20" t="s">
        <v>1554</v>
      </c>
      <c r="B868" s="21" t="s">
        <v>13</v>
      </c>
      <c r="C868" s="22" t="s">
        <v>585</v>
      </c>
      <c r="D868" s="17">
        <v>44363</v>
      </c>
      <c r="E868" s="23" t="s">
        <v>23</v>
      </c>
      <c r="F868" s="23"/>
      <c r="G868" s="21"/>
      <c r="H868" s="24"/>
      <c r="I868" s="21" t="s">
        <v>216</v>
      </c>
      <c r="J868" s="21"/>
      <c r="K868" s="21">
        <v>12</v>
      </c>
      <c r="L868" s="21"/>
      <c r="M868" s="21"/>
      <c r="N868" s="21"/>
      <c r="O868" s="21"/>
      <c r="P868" s="21"/>
      <c r="Q868" s="21"/>
      <c r="R868" s="21"/>
      <c r="S868" s="21" t="s">
        <v>470</v>
      </c>
      <c r="T868" s="21"/>
      <c r="U868" s="21"/>
      <c r="V868" s="21"/>
      <c r="W868" s="21"/>
    </row>
    <row r="869" spans="1:23" s="25" customFormat="1" x14ac:dyDescent="0.25">
      <c r="A869" s="20" t="s">
        <v>1554</v>
      </c>
      <c r="B869" s="21" t="s">
        <v>13</v>
      </c>
      <c r="C869" s="22" t="s">
        <v>585</v>
      </c>
      <c r="D869" s="17">
        <v>44363</v>
      </c>
      <c r="E869" s="23" t="s">
        <v>23</v>
      </c>
      <c r="F869" s="23"/>
      <c r="G869" s="21"/>
      <c r="H869" s="24"/>
      <c r="I869" s="21" t="s">
        <v>219</v>
      </c>
      <c r="J869" s="21"/>
      <c r="K869" s="21">
        <v>12</v>
      </c>
      <c r="L869" s="21"/>
      <c r="M869" s="21"/>
      <c r="N869" s="21"/>
      <c r="O869" s="21"/>
      <c r="P869" s="21"/>
      <c r="Q869" s="21"/>
      <c r="R869" s="21"/>
      <c r="S869" s="21" t="s">
        <v>470</v>
      </c>
      <c r="T869" s="21"/>
      <c r="U869" s="21"/>
      <c r="V869" s="21"/>
      <c r="W869" s="21"/>
    </row>
    <row r="870" spans="1:23" s="25" customFormat="1" x14ac:dyDescent="0.25">
      <c r="A870" s="20" t="s">
        <v>1554</v>
      </c>
      <c r="B870" s="21" t="s">
        <v>13</v>
      </c>
      <c r="C870" s="22" t="s">
        <v>585</v>
      </c>
      <c r="D870" s="17">
        <v>44363</v>
      </c>
      <c r="E870" s="23" t="s">
        <v>23</v>
      </c>
      <c r="F870" s="23"/>
      <c r="G870" s="21"/>
      <c r="H870" s="24"/>
      <c r="I870" s="21" t="s">
        <v>220</v>
      </c>
      <c r="J870" s="21"/>
      <c r="K870" s="21">
        <v>12</v>
      </c>
      <c r="L870" s="21"/>
      <c r="M870" s="21"/>
      <c r="N870" s="21"/>
      <c r="O870" s="21"/>
      <c r="P870" s="21"/>
      <c r="Q870" s="21"/>
      <c r="R870" s="21"/>
      <c r="S870" s="21" t="s">
        <v>1557</v>
      </c>
      <c r="T870" s="21"/>
      <c r="U870" s="21"/>
      <c r="V870" s="21"/>
      <c r="W870" s="21"/>
    </row>
    <row r="871" spans="1:23" x14ac:dyDescent="0.25">
      <c r="A871" s="15">
        <v>286</v>
      </c>
      <c r="B871" s="13" t="s">
        <v>13</v>
      </c>
      <c r="C871" s="22" t="s">
        <v>625</v>
      </c>
      <c r="D871" s="29">
        <v>44365</v>
      </c>
      <c r="E871" s="18" t="s">
        <v>23</v>
      </c>
      <c r="F871" s="18"/>
      <c r="G871" s="13"/>
      <c r="H871" s="19">
        <v>44369</v>
      </c>
      <c r="I871" s="13" t="s">
        <v>1565</v>
      </c>
      <c r="J871" s="13">
        <v>507.6</v>
      </c>
      <c r="K871" s="13">
        <v>108</v>
      </c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</row>
    <row r="872" spans="1:23" s="25" customFormat="1" x14ac:dyDescent="0.25">
      <c r="A872" s="20" t="s">
        <v>1561</v>
      </c>
      <c r="B872" s="21" t="s">
        <v>13</v>
      </c>
      <c r="C872" s="22" t="s">
        <v>284</v>
      </c>
      <c r="D872" s="17">
        <v>44365</v>
      </c>
      <c r="E872" s="23" t="s">
        <v>23</v>
      </c>
      <c r="F872" s="23"/>
      <c r="G872" s="21"/>
      <c r="H872" s="24">
        <v>44379</v>
      </c>
      <c r="I872" s="21" t="s">
        <v>29</v>
      </c>
      <c r="J872" s="21" t="s">
        <v>1562</v>
      </c>
      <c r="K872" s="21"/>
      <c r="L872" s="21"/>
      <c r="M872" s="21"/>
      <c r="N872" s="21"/>
      <c r="O872" s="21"/>
      <c r="P872" s="21"/>
      <c r="Q872" s="21"/>
      <c r="R872" s="21"/>
      <c r="S872" s="21" t="s">
        <v>1563</v>
      </c>
      <c r="T872" s="21"/>
      <c r="U872" s="21"/>
      <c r="V872" s="21"/>
      <c r="W872" s="21"/>
    </row>
    <row r="873" spans="1:23" s="25" customFormat="1" x14ac:dyDescent="0.25">
      <c r="A873" s="20" t="s">
        <v>1561</v>
      </c>
      <c r="B873" s="21" t="s">
        <v>13</v>
      </c>
      <c r="C873" s="22" t="s">
        <v>284</v>
      </c>
      <c r="D873" s="17">
        <v>44365</v>
      </c>
      <c r="E873" s="23" t="s">
        <v>23</v>
      </c>
      <c r="F873" s="23"/>
      <c r="G873" s="21"/>
      <c r="H873" s="24">
        <v>44379</v>
      </c>
      <c r="I873" s="21" t="s">
        <v>69</v>
      </c>
      <c r="J873" s="21" t="s">
        <v>53</v>
      </c>
      <c r="K873" s="21"/>
      <c r="L873" s="21"/>
      <c r="M873" s="21"/>
      <c r="N873" s="21"/>
      <c r="O873" s="21"/>
      <c r="P873" s="21"/>
      <c r="Q873" s="21"/>
      <c r="R873" s="21"/>
      <c r="S873" s="21" t="s">
        <v>1284</v>
      </c>
      <c r="T873" s="21"/>
      <c r="U873" s="21"/>
      <c r="V873" s="21"/>
      <c r="W873" s="21"/>
    </row>
    <row r="874" spans="1:23" s="25" customFormat="1" x14ac:dyDescent="0.25">
      <c r="A874" s="20" t="s">
        <v>1561</v>
      </c>
      <c r="B874" s="21" t="s">
        <v>13</v>
      </c>
      <c r="C874" s="22" t="s">
        <v>284</v>
      </c>
      <c r="D874" s="17">
        <v>44368</v>
      </c>
      <c r="E874" s="23" t="s">
        <v>23</v>
      </c>
      <c r="F874" s="23"/>
      <c r="G874" s="21"/>
      <c r="H874" s="24">
        <v>44379</v>
      </c>
      <c r="I874" s="21" t="s">
        <v>389</v>
      </c>
      <c r="J874" s="21" t="s">
        <v>623</v>
      </c>
      <c r="K874" s="21"/>
      <c r="L874" s="21"/>
      <c r="M874" s="21"/>
      <c r="N874" s="21"/>
      <c r="O874" s="21"/>
      <c r="P874" s="21"/>
      <c r="Q874" s="21"/>
      <c r="R874" s="21"/>
      <c r="S874" s="21" t="s">
        <v>858</v>
      </c>
      <c r="T874" s="21"/>
      <c r="U874" s="21"/>
      <c r="V874" s="21"/>
      <c r="W874" s="21"/>
    </row>
    <row r="875" spans="1:23" s="25" customFormat="1" x14ac:dyDescent="0.25">
      <c r="A875" s="20">
        <v>289</v>
      </c>
      <c r="B875" s="21" t="s">
        <v>13</v>
      </c>
      <c r="C875" s="22" t="s">
        <v>672</v>
      </c>
      <c r="D875" s="17">
        <v>44368</v>
      </c>
      <c r="E875" s="23" t="s">
        <v>23</v>
      </c>
      <c r="F875" s="23"/>
      <c r="G875" s="21"/>
      <c r="H875" s="30"/>
      <c r="I875" s="21" t="s">
        <v>630</v>
      </c>
      <c r="J875" s="21">
        <v>104</v>
      </c>
      <c r="K875" s="21" t="s">
        <v>520</v>
      </c>
      <c r="L875" s="21">
        <v>0.54049999999999998</v>
      </c>
      <c r="M875" s="21">
        <v>2.0990000000000002</v>
      </c>
      <c r="N875" s="21">
        <v>56.212000000000003</v>
      </c>
      <c r="O875" s="21">
        <v>218.29599999999999</v>
      </c>
      <c r="P875" s="21">
        <v>7.31</v>
      </c>
      <c r="Q875" s="21">
        <v>118.91</v>
      </c>
      <c r="R875" s="21">
        <v>220</v>
      </c>
      <c r="S875" s="21">
        <v>12366.64</v>
      </c>
      <c r="T875" s="21"/>
      <c r="U875" s="21"/>
      <c r="V875" s="21"/>
      <c r="W875" s="21"/>
    </row>
    <row r="876" spans="1:23" s="94" customFormat="1" ht="30.75" x14ac:dyDescent="0.25">
      <c r="A876" s="90">
        <v>289</v>
      </c>
      <c r="B876" s="91" t="s">
        <v>13</v>
      </c>
      <c r="C876" s="22" t="s">
        <v>672</v>
      </c>
      <c r="D876" s="92">
        <v>44368</v>
      </c>
      <c r="E876" s="93" t="s">
        <v>23</v>
      </c>
      <c r="F876" s="93"/>
      <c r="G876" s="108" t="s">
        <v>1718</v>
      </c>
      <c r="H876" s="98"/>
      <c r="I876" s="91" t="s">
        <v>999</v>
      </c>
      <c r="J876" s="91">
        <v>780</v>
      </c>
      <c r="K876" s="91" t="s">
        <v>673</v>
      </c>
      <c r="L876" s="91">
        <v>0.626</v>
      </c>
      <c r="M876" s="91">
        <v>2.1960000000000002</v>
      </c>
      <c r="N876" s="91">
        <v>488.28</v>
      </c>
      <c r="O876" s="91">
        <v>1712.88</v>
      </c>
      <c r="P876" s="91">
        <v>63.48</v>
      </c>
      <c r="Q876" s="91">
        <v>137.72</v>
      </c>
      <c r="R876" s="91">
        <v>220</v>
      </c>
      <c r="S876" s="91">
        <v>107421.6</v>
      </c>
      <c r="T876" s="91"/>
      <c r="U876" s="91"/>
      <c r="V876" s="91"/>
      <c r="W876" s="91"/>
    </row>
    <row r="877" spans="1:23" s="25" customFormat="1" x14ac:dyDescent="0.25">
      <c r="A877" s="20">
        <v>290</v>
      </c>
      <c r="B877" s="21" t="s">
        <v>13</v>
      </c>
      <c r="C877" s="22" t="s">
        <v>32</v>
      </c>
      <c r="D877" s="17">
        <v>44368</v>
      </c>
      <c r="E877" s="23" t="s">
        <v>23</v>
      </c>
      <c r="F877" s="23"/>
      <c r="G877" s="21" t="s">
        <v>1593</v>
      </c>
      <c r="H877" s="30"/>
      <c r="I877" s="21" t="s">
        <v>1091</v>
      </c>
      <c r="J877" s="21">
        <v>1915.8</v>
      </c>
      <c r="K877" s="21">
        <v>372</v>
      </c>
      <c r="L877" s="21">
        <v>0.19400000000000001</v>
      </c>
      <c r="M877" s="21">
        <v>0.35399999999999998</v>
      </c>
      <c r="N877" s="21">
        <v>371.66520000000003</v>
      </c>
      <c r="O877" s="21">
        <v>678.19320000000005</v>
      </c>
      <c r="P877" s="21">
        <v>48.32</v>
      </c>
      <c r="Q877" s="21">
        <v>73.72</v>
      </c>
      <c r="R877" s="21">
        <v>380</v>
      </c>
      <c r="S877" s="21">
        <v>141232.78</v>
      </c>
      <c r="T877" s="21"/>
      <c r="U877" s="21"/>
      <c r="V877" s="21"/>
      <c r="W877" s="21"/>
    </row>
    <row r="878" spans="1:23" x14ac:dyDescent="0.25">
      <c r="A878" s="15">
        <v>291</v>
      </c>
      <c r="B878" s="13" t="s">
        <v>13</v>
      </c>
      <c r="C878" s="22" t="s">
        <v>625</v>
      </c>
      <c r="D878" s="29">
        <v>44368</v>
      </c>
      <c r="E878" s="18" t="s">
        <v>23</v>
      </c>
      <c r="F878" s="18"/>
      <c r="G878" s="13"/>
      <c r="H878" s="19">
        <v>44383</v>
      </c>
      <c r="I878" s="13" t="s">
        <v>681</v>
      </c>
      <c r="J878" s="13">
        <v>380.7</v>
      </c>
      <c r="K878" s="13" t="s">
        <v>863</v>
      </c>
      <c r="L878" s="13">
        <v>0.34789999999999999</v>
      </c>
      <c r="M878" s="13">
        <v>1.643</v>
      </c>
      <c r="N878" s="13">
        <v>132.44550000000001</v>
      </c>
      <c r="O878" s="13">
        <v>625.49009999999998</v>
      </c>
      <c r="P878" s="13">
        <v>17.22</v>
      </c>
      <c r="Q878" s="13">
        <v>71.319999999999993</v>
      </c>
      <c r="R878" s="13">
        <v>205</v>
      </c>
      <c r="S878" s="13">
        <v>27151.52</v>
      </c>
      <c r="T878" s="13"/>
      <c r="U878" s="13"/>
      <c r="V878" s="13"/>
      <c r="W878" s="13"/>
    </row>
    <row r="879" spans="1:23" s="25" customFormat="1" x14ac:dyDescent="0.25">
      <c r="A879" s="20">
        <v>292</v>
      </c>
      <c r="B879" s="21" t="s">
        <v>13</v>
      </c>
      <c r="C879" s="22" t="s">
        <v>32</v>
      </c>
      <c r="D879" s="17">
        <v>44368</v>
      </c>
      <c r="E879" s="23" t="s">
        <v>23</v>
      </c>
      <c r="F879" s="23"/>
      <c r="G879" s="21" t="s">
        <v>559</v>
      </c>
      <c r="H879" s="30"/>
      <c r="I879" s="21" t="s">
        <v>1218</v>
      </c>
      <c r="J879" s="21">
        <v>832.1</v>
      </c>
      <c r="K879" s="21">
        <v>157</v>
      </c>
      <c r="L879" s="21">
        <v>0.2651</v>
      </c>
      <c r="M879" s="21">
        <v>0.82099999999999995</v>
      </c>
      <c r="N879" s="21">
        <v>220.58969999999999</v>
      </c>
      <c r="O879" s="21">
        <v>683.15409999999997</v>
      </c>
      <c r="P879" s="21">
        <v>28.68</v>
      </c>
      <c r="Q879" s="21">
        <v>66.540000000000006</v>
      </c>
      <c r="R879" s="21">
        <v>251</v>
      </c>
      <c r="S879" s="21">
        <v>55368.02</v>
      </c>
      <c r="T879" s="21"/>
      <c r="U879" s="21"/>
      <c r="V879" s="21"/>
      <c r="W879" s="21"/>
    </row>
    <row r="880" spans="1:23" ht="60.75" x14ac:dyDescent="0.25">
      <c r="A880" s="15" t="s">
        <v>1587</v>
      </c>
      <c r="B880" s="13" t="s">
        <v>34</v>
      </c>
      <c r="C880" s="22" t="s">
        <v>861</v>
      </c>
      <c r="D880" s="13"/>
      <c r="E880" s="18" t="s">
        <v>23</v>
      </c>
      <c r="F880" s="18"/>
      <c r="G880" s="13" t="s">
        <v>1585</v>
      </c>
      <c r="H880" s="31"/>
      <c r="I880" s="74" t="s">
        <v>1586</v>
      </c>
      <c r="J880" s="13"/>
      <c r="K880" s="13"/>
      <c r="L880" s="13"/>
      <c r="M880" s="13"/>
      <c r="N880" s="13"/>
      <c r="O880" s="13"/>
      <c r="P880" s="13"/>
      <c r="Q880" s="13"/>
      <c r="R880" s="13"/>
      <c r="S880" s="13" t="s">
        <v>486</v>
      </c>
      <c r="T880" s="13"/>
      <c r="U880" s="13"/>
      <c r="V880" s="13"/>
      <c r="W880" s="13"/>
    </row>
    <row r="881" spans="1:23" x14ac:dyDescent="0.25">
      <c r="A881" s="15">
        <v>295</v>
      </c>
      <c r="B881" s="13" t="s">
        <v>34</v>
      </c>
      <c r="C881" s="22" t="s">
        <v>1635</v>
      </c>
      <c r="D881" s="29">
        <v>44371</v>
      </c>
      <c r="E881" s="18" t="s">
        <v>18</v>
      </c>
      <c r="F881" s="18"/>
      <c r="G881" s="13" t="s">
        <v>1650</v>
      </c>
      <c r="H881" s="19">
        <v>44378</v>
      </c>
      <c r="I881" s="74" t="s">
        <v>1588</v>
      </c>
      <c r="J881" s="13">
        <v>318</v>
      </c>
      <c r="K881" s="13" t="s">
        <v>140</v>
      </c>
      <c r="L881" s="13">
        <v>0.318</v>
      </c>
      <c r="M881" s="13">
        <v>0.55000000000000004</v>
      </c>
      <c r="N881" s="13">
        <v>101.124</v>
      </c>
      <c r="O881" s="13">
        <v>174.9</v>
      </c>
      <c r="P881" s="13">
        <v>13.15</v>
      </c>
      <c r="Q881" s="13">
        <v>62.65</v>
      </c>
      <c r="R881" s="13">
        <v>197</v>
      </c>
      <c r="S881" s="13">
        <v>19921.43</v>
      </c>
      <c r="T881" s="13"/>
      <c r="U881" s="13"/>
      <c r="V881" s="13"/>
      <c r="W881" s="13"/>
    </row>
    <row r="882" spans="1:23" s="25" customFormat="1" x14ac:dyDescent="0.25">
      <c r="A882" s="20" t="s">
        <v>1601</v>
      </c>
      <c r="B882" s="21" t="s">
        <v>13</v>
      </c>
      <c r="C882" s="22" t="s">
        <v>289</v>
      </c>
      <c r="D882" s="17">
        <v>44372</v>
      </c>
      <c r="E882" s="23" t="s">
        <v>23</v>
      </c>
      <c r="F882" s="23"/>
      <c r="G882" s="21"/>
      <c r="H882" s="24">
        <v>44384</v>
      </c>
      <c r="I882" s="99" t="s">
        <v>1589</v>
      </c>
      <c r="J882" s="21"/>
      <c r="K882" s="21">
        <v>47</v>
      </c>
      <c r="L882" s="21"/>
      <c r="M882" s="21"/>
      <c r="N882" s="21"/>
      <c r="O882" s="21"/>
      <c r="P882" s="21"/>
      <c r="Q882" s="21"/>
      <c r="R882" s="21"/>
      <c r="S882" s="21">
        <v>45010</v>
      </c>
      <c r="T882" s="21"/>
      <c r="U882" s="21"/>
      <c r="V882" s="21"/>
      <c r="W882" s="21"/>
    </row>
    <row r="883" spans="1:23" x14ac:dyDescent="0.25">
      <c r="A883" s="15" t="s">
        <v>1602</v>
      </c>
      <c r="B883" s="13" t="s">
        <v>13</v>
      </c>
      <c r="C883" s="22" t="s">
        <v>583</v>
      </c>
      <c r="D883" s="29">
        <v>44372</v>
      </c>
      <c r="E883" s="18" t="s">
        <v>23</v>
      </c>
      <c r="F883" s="18"/>
      <c r="G883" s="13"/>
      <c r="H883" s="31"/>
      <c r="I883" s="74" t="s">
        <v>89</v>
      </c>
      <c r="J883" s="13"/>
      <c r="K883" s="13">
        <v>48</v>
      </c>
      <c r="L883" s="13"/>
      <c r="M883" s="13"/>
      <c r="N883" s="13"/>
      <c r="O883" s="13"/>
      <c r="P883" s="13"/>
      <c r="Q883" s="13"/>
      <c r="R883" s="13"/>
      <c r="S883" s="13">
        <v>34992</v>
      </c>
      <c r="T883" s="13"/>
      <c r="U883" s="13"/>
      <c r="V883" s="13"/>
      <c r="W883" s="13"/>
    </row>
    <row r="884" spans="1:23" x14ac:dyDescent="0.25">
      <c r="A884" s="15">
        <v>296</v>
      </c>
      <c r="B884" s="13" t="s">
        <v>13</v>
      </c>
      <c r="C884" s="22" t="s">
        <v>32</v>
      </c>
      <c r="D884" s="29">
        <v>44375</v>
      </c>
      <c r="E884" s="18" t="s">
        <v>23</v>
      </c>
      <c r="F884" s="18"/>
      <c r="G884" s="13" t="s">
        <v>1594</v>
      </c>
      <c r="H884" s="31"/>
      <c r="I884" s="74" t="s">
        <v>640</v>
      </c>
      <c r="J884" s="13">
        <v>4.1500000000000004</v>
      </c>
      <c r="K884" s="13" t="s">
        <v>679</v>
      </c>
      <c r="L884" s="13">
        <v>0.12230000000000001</v>
      </c>
      <c r="M884" s="13">
        <v>0.16200000000000001</v>
      </c>
      <c r="N884" s="13">
        <v>0.50749999999999995</v>
      </c>
      <c r="O884" s="13">
        <v>0.67230000000000001</v>
      </c>
      <c r="P884" s="13">
        <v>7.0000000000000007E-2</v>
      </c>
      <c r="Q884" s="13">
        <v>24.46</v>
      </c>
      <c r="R884" s="13">
        <v>200</v>
      </c>
      <c r="S884" s="13">
        <v>101.51</v>
      </c>
      <c r="T884" s="13"/>
      <c r="U884" s="13"/>
      <c r="V884" s="13"/>
      <c r="W884" s="13"/>
    </row>
    <row r="885" spans="1:23" s="25" customFormat="1" x14ac:dyDescent="0.25">
      <c r="A885" s="20">
        <v>297</v>
      </c>
      <c r="B885" s="21" t="s">
        <v>13</v>
      </c>
      <c r="C885" s="22" t="s">
        <v>674</v>
      </c>
      <c r="D885" s="17">
        <v>44375</v>
      </c>
      <c r="E885" s="23" t="s">
        <v>23</v>
      </c>
      <c r="F885" s="23"/>
      <c r="G885" s="21"/>
      <c r="H885" s="24">
        <v>44383</v>
      </c>
      <c r="I885" s="99" t="s">
        <v>600</v>
      </c>
      <c r="J885" s="21">
        <v>312</v>
      </c>
      <c r="K885" s="21" t="s">
        <v>302</v>
      </c>
      <c r="L885" s="21">
        <v>0.30719999999999997</v>
      </c>
      <c r="M885" s="21">
        <v>0.69199999999999995</v>
      </c>
      <c r="N885" s="21">
        <v>95.846400000000003</v>
      </c>
      <c r="O885" s="21">
        <v>215.904</v>
      </c>
      <c r="P885" s="21">
        <v>12.46</v>
      </c>
      <c r="Q885" s="21">
        <v>95.23</v>
      </c>
      <c r="R885" s="21">
        <v>310</v>
      </c>
      <c r="S885" s="21">
        <v>29712.38</v>
      </c>
      <c r="T885" s="21"/>
      <c r="U885" s="21"/>
      <c r="V885" s="21"/>
      <c r="W885" s="21"/>
    </row>
    <row r="886" spans="1:23" s="25" customFormat="1" x14ac:dyDescent="0.25">
      <c r="A886" s="20" t="s">
        <v>1600</v>
      </c>
      <c r="B886" s="21" t="s">
        <v>13</v>
      </c>
      <c r="C886" s="22" t="s">
        <v>1596</v>
      </c>
      <c r="D886" s="17">
        <v>44375</v>
      </c>
      <c r="E886" s="23" t="s">
        <v>23</v>
      </c>
      <c r="F886" s="23"/>
      <c r="G886" s="21"/>
      <c r="H886" s="30"/>
      <c r="I886" s="99" t="s">
        <v>1595</v>
      </c>
      <c r="J886" s="21">
        <v>270</v>
      </c>
      <c r="K886" s="21">
        <v>45</v>
      </c>
      <c r="L886" s="21"/>
      <c r="M886" s="21"/>
      <c r="N886" s="21"/>
      <c r="O886" s="21"/>
      <c r="P886" s="21"/>
      <c r="Q886" s="21"/>
      <c r="R886" s="21"/>
      <c r="S886" s="21">
        <v>10300</v>
      </c>
      <c r="T886" s="21"/>
      <c r="U886" s="21"/>
      <c r="V886" s="21"/>
      <c r="W886" s="21"/>
    </row>
    <row r="887" spans="1:23" x14ac:dyDescent="0.25">
      <c r="A887" s="15">
        <v>300</v>
      </c>
      <c r="B887" s="13" t="s">
        <v>13</v>
      </c>
      <c r="C887" s="22" t="s">
        <v>32</v>
      </c>
      <c r="D887" s="29">
        <v>44375</v>
      </c>
      <c r="E887" s="18" t="s">
        <v>23</v>
      </c>
      <c r="F887" s="18"/>
      <c r="G887" s="13" t="s">
        <v>1636</v>
      </c>
      <c r="H887" s="82">
        <v>44382</v>
      </c>
      <c r="I887" s="74" t="s">
        <v>1218</v>
      </c>
      <c r="J887" s="13">
        <v>588.29999999999995</v>
      </c>
      <c r="K887" s="13" t="s">
        <v>1363</v>
      </c>
      <c r="L887" s="13">
        <v>0.2651</v>
      </c>
      <c r="M887" s="13">
        <v>0.82099999999999995</v>
      </c>
      <c r="N887" s="13">
        <v>155.95830000000001</v>
      </c>
      <c r="O887" s="13">
        <v>482.99430000000001</v>
      </c>
      <c r="P887" s="13">
        <v>20.27</v>
      </c>
      <c r="Q887" s="13">
        <v>66.540000000000006</v>
      </c>
      <c r="R887" s="13">
        <v>251</v>
      </c>
      <c r="S887" s="13">
        <v>39145.480000000003</v>
      </c>
      <c r="T887" s="13"/>
      <c r="U887" s="13"/>
      <c r="V887" s="13"/>
      <c r="W887" s="13"/>
    </row>
    <row r="888" spans="1:23" x14ac:dyDescent="0.25">
      <c r="A888" s="15">
        <v>300</v>
      </c>
      <c r="B888" s="13" t="s">
        <v>13</v>
      </c>
      <c r="C888" s="22" t="s">
        <v>32</v>
      </c>
      <c r="D888" s="29">
        <v>44375</v>
      </c>
      <c r="E888" s="18" t="s">
        <v>23</v>
      </c>
      <c r="F888" s="18"/>
      <c r="G888" s="13" t="s">
        <v>559</v>
      </c>
      <c r="H888" s="82">
        <v>44382</v>
      </c>
      <c r="I888" s="74" t="s">
        <v>1598</v>
      </c>
      <c r="J888" s="13">
        <v>719.8</v>
      </c>
      <c r="K888" s="13" t="s">
        <v>654</v>
      </c>
      <c r="L888" s="13">
        <v>0.2651</v>
      </c>
      <c r="M888" s="13">
        <v>0.82099999999999995</v>
      </c>
      <c r="N888" s="13">
        <v>190.81899999999999</v>
      </c>
      <c r="O888" s="13">
        <v>590.95579999999995</v>
      </c>
      <c r="P888" s="13">
        <v>24.81</v>
      </c>
      <c r="Q888" s="13">
        <v>66.540000000000006</v>
      </c>
      <c r="R888" s="13">
        <v>251</v>
      </c>
      <c r="S888" s="13">
        <v>47895.49</v>
      </c>
      <c r="T888" s="13"/>
      <c r="U888" s="13"/>
      <c r="V888" s="13"/>
      <c r="W888" s="13"/>
    </row>
    <row r="889" spans="1:23" s="25" customFormat="1" x14ac:dyDescent="0.25">
      <c r="A889" s="20">
        <v>301</v>
      </c>
      <c r="B889" s="21" t="s">
        <v>13</v>
      </c>
      <c r="C889" s="22" t="s">
        <v>1433</v>
      </c>
      <c r="D889" s="17">
        <v>44375</v>
      </c>
      <c r="E889" s="23" t="s">
        <v>23</v>
      </c>
      <c r="F889" s="23"/>
      <c r="G889" s="21"/>
      <c r="H889" s="24">
        <v>44383</v>
      </c>
      <c r="I889" s="21" t="s">
        <v>1434</v>
      </c>
      <c r="J889" s="21">
        <v>1014</v>
      </c>
      <c r="K889" s="21" t="s">
        <v>150</v>
      </c>
      <c r="L889" s="21">
        <v>0.25669999999999998</v>
      </c>
      <c r="M889" s="21">
        <v>0.51100000000000001</v>
      </c>
      <c r="N889" s="21">
        <v>260.29379999999998</v>
      </c>
      <c r="O889" s="21">
        <v>518.154</v>
      </c>
      <c r="P889" s="21">
        <v>33.840000000000003</v>
      </c>
      <c r="Q889" s="21">
        <v>77.010000000000005</v>
      </c>
      <c r="R889" s="21">
        <v>300</v>
      </c>
      <c r="S889" s="21">
        <v>78088.14</v>
      </c>
      <c r="T889" s="21"/>
      <c r="U889" s="21"/>
      <c r="V889" s="21"/>
      <c r="W889" s="21"/>
    </row>
    <row r="890" spans="1:23" x14ac:dyDescent="0.25">
      <c r="A890" s="15" t="s">
        <v>1599</v>
      </c>
      <c r="B890" s="13" t="s">
        <v>13</v>
      </c>
      <c r="C890" s="22" t="s">
        <v>384</v>
      </c>
      <c r="D890" s="29">
        <v>44376</v>
      </c>
      <c r="E890" s="18" t="s">
        <v>23</v>
      </c>
      <c r="F890" s="18"/>
      <c r="G890" s="13"/>
      <c r="H890" s="19">
        <v>44379</v>
      </c>
      <c r="I890" s="13" t="s">
        <v>709</v>
      </c>
      <c r="J890" s="13"/>
      <c r="K890" s="13">
        <v>2</v>
      </c>
      <c r="L890" s="13"/>
      <c r="M890" s="13"/>
      <c r="N890" s="13"/>
      <c r="O890" s="13"/>
      <c r="P890" s="13"/>
      <c r="Q890" s="13"/>
      <c r="R890" s="13"/>
      <c r="S890" s="13">
        <v>4000</v>
      </c>
      <c r="T890" s="13"/>
      <c r="U890" s="13"/>
      <c r="V890" s="13"/>
      <c r="W890" s="13"/>
    </row>
    <row r="891" spans="1:23" s="83" customFormat="1" x14ac:dyDescent="0.25">
      <c r="A891" s="77">
        <v>303</v>
      </c>
      <c r="B891" s="78" t="s">
        <v>13</v>
      </c>
      <c r="C891" s="22" t="s">
        <v>1605</v>
      </c>
      <c r="D891" s="80">
        <v>44376</v>
      </c>
      <c r="E891" s="81" t="s">
        <v>23</v>
      </c>
      <c r="F891" s="81"/>
      <c r="G891" s="78"/>
      <c r="H891" s="82">
        <v>44383</v>
      </c>
      <c r="I891" s="78" t="s">
        <v>1604</v>
      </c>
      <c r="J891" s="78">
        <v>228</v>
      </c>
      <c r="K891" s="78" t="s">
        <v>684</v>
      </c>
      <c r="L891" s="78">
        <v>0.88300000000000001</v>
      </c>
      <c r="M891" s="78">
        <v>4.7030000000000003</v>
      </c>
      <c r="N891" s="78">
        <v>201.32400000000001</v>
      </c>
      <c r="O891" s="78">
        <v>1072.2840000000001</v>
      </c>
      <c r="P891" s="78">
        <v>26.17</v>
      </c>
      <c r="Q891" s="78">
        <v>302.87</v>
      </c>
      <c r="R891" s="78">
        <v>343</v>
      </c>
      <c r="S891" s="78">
        <v>69054.36</v>
      </c>
      <c r="T891" s="78"/>
      <c r="U891" s="78"/>
      <c r="V891" s="78"/>
      <c r="W891" s="78"/>
    </row>
    <row r="892" spans="1:23" x14ac:dyDescent="0.25">
      <c r="A892" s="15" t="s">
        <v>1606</v>
      </c>
      <c r="B892" s="13" t="s">
        <v>13</v>
      </c>
      <c r="C892" s="22" t="s">
        <v>15</v>
      </c>
      <c r="D892" s="29">
        <v>44376</v>
      </c>
      <c r="E892" s="18" t="s">
        <v>23</v>
      </c>
      <c r="F892" s="18"/>
      <c r="G892" s="13"/>
      <c r="H892" s="31"/>
      <c r="I892" s="74" t="s">
        <v>89</v>
      </c>
      <c r="J892" s="13"/>
      <c r="K892" s="13">
        <v>48</v>
      </c>
      <c r="L892" s="13"/>
      <c r="M892" s="13"/>
      <c r="N892" s="13"/>
      <c r="O892" s="13"/>
      <c r="P892" s="13"/>
      <c r="Q892" s="13"/>
      <c r="R892" s="13"/>
      <c r="S892" s="13">
        <v>34992</v>
      </c>
      <c r="T892" s="13"/>
      <c r="U892" s="13"/>
      <c r="V892" s="13"/>
      <c r="W892" s="13"/>
    </row>
    <row r="893" spans="1:23" s="25" customFormat="1" x14ac:dyDescent="0.25">
      <c r="A893" s="20">
        <v>305</v>
      </c>
      <c r="B893" s="21" t="s">
        <v>13</v>
      </c>
      <c r="C893" s="22" t="s">
        <v>32</v>
      </c>
      <c r="D893" s="17">
        <v>44376</v>
      </c>
      <c r="E893" s="23" t="s">
        <v>23</v>
      </c>
      <c r="F893" s="23"/>
      <c r="G893" s="21"/>
      <c r="H893" s="24">
        <v>44382</v>
      </c>
      <c r="I893" s="99" t="s">
        <v>1300</v>
      </c>
      <c r="J893" s="21">
        <v>180.25</v>
      </c>
      <c r="K893" s="21" t="s">
        <v>1607</v>
      </c>
      <c r="L893" s="21">
        <v>0.15790000000000001</v>
      </c>
      <c r="M893" s="21">
        <v>0.309</v>
      </c>
      <c r="N893" s="21">
        <v>28.461500000000001</v>
      </c>
      <c r="O893" s="21">
        <v>55.697299999999998</v>
      </c>
      <c r="P893" s="21">
        <v>3.7</v>
      </c>
      <c r="Q893" s="21">
        <v>39.630000000000003</v>
      </c>
      <c r="R893" s="21">
        <v>251</v>
      </c>
      <c r="S893" s="21">
        <v>7143.83</v>
      </c>
      <c r="T893" s="21"/>
      <c r="U893" s="21"/>
      <c r="V893" s="21"/>
      <c r="W893" s="21"/>
    </row>
    <row r="894" spans="1:23" x14ac:dyDescent="0.25">
      <c r="A894" s="15">
        <v>306</v>
      </c>
      <c r="B894" s="13" t="s">
        <v>13</v>
      </c>
      <c r="C894" s="22" t="s">
        <v>672</v>
      </c>
      <c r="D894" s="29">
        <v>44376</v>
      </c>
      <c r="E894" s="18" t="s">
        <v>23</v>
      </c>
      <c r="F894" s="18"/>
      <c r="G894" s="13" t="s">
        <v>1670</v>
      </c>
      <c r="H894" s="24">
        <v>44382</v>
      </c>
      <c r="I894" s="13" t="s">
        <v>1608</v>
      </c>
      <c r="J894" s="13">
        <v>84</v>
      </c>
      <c r="K894" s="13" t="s">
        <v>115</v>
      </c>
      <c r="L894" s="13">
        <v>0.30980000000000002</v>
      </c>
      <c r="M894" s="13">
        <v>1.2010000000000001</v>
      </c>
      <c r="N894" s="13">
        <v>26.023199999999999</v>
      </c>
      <c r="O894" s="13">
        <v>100.884</v>
      </c>
      <c r="P894" s="13">
        <v>3.38</v>
      </c>
      <c r="Q894" s="13">
        <v>68.16</v>
      </c>
      <c r="R894" s="13">
        <v>220</v>
      </c>
      <c r="S894" s="13">
        <v>5725.1</v>
      </c>
      <c r="T894" s="13"/>
      <c r="U894" s="13"/>
      <c r="V894" s="13"/>
      <c r="W894" s="13"/>
    </row>
    <row r="895" spans="1:23" x14ac:dyDescent="0.25">
      <c r="A895" s="15" t="s">
        <v>544</v>
      </c>
      <c r="B895" s="13" t="s">
        <v>13</v>
      </c>
      <c r="C895" s="22" t="s">
        <v>585</v>
      </c>
      <c r="D895" s="29">
        <v>44376</v>
      </c>
      <c r="E895" s="18" t="s">
        <v>23</v>
      </c>
      <c r="F895" s="18"/>
      <c r="G895" s="13"/>
      <c r="H895" s="24">
        <v>44382</v>
      </c>
      <c r="I895" s="13" t="s">
        <v>95</v>
      </c>
      <c r="J895" s="13"/>
      <c r="K895" s="13" t="s">
        <v>318</v>
      </c>
      <c r="L895" s="13"/>
      <c r="M895" s="13"/>
      <c r="N895" s="13"/>
      <c r="O895" s="13"/>
      <c r="P895" s="13"/>
      <c r="Q895" s="13"/>
      <c r="R895" s="13"/>
      <c r="S895" s="13" t="s">
        <v>135</v>
      </c>
      <c r="T895" s="13"/>
      <c r="U895" s="13"/>
      <c r="V895" s="13"/>
      <c r="W895" s="13"/>
    </row>
    <row r="896" spans="1:23" x14ac:dyDescent="0.25">
      <c r="A896" s="15" t="s">
        <v>544</v>
      </c>
      <c r="B896" s="13" t="s">
        <v>13</v>
      </c>
      <c r="C896" s="22" t="s">
        <v>585</v>
      </c>
      <c r="D896" s="29">
        <v>44376</v>
      </c>
      <c r="E896" s="18" t="s">
        <v>23</v>
      </c>
      <c r="F896" s="18"/>
      <c r="G896" s="13"/>
      <c r="H896" s="24">
        <v>44382</v>
      </c>
      <c r="I896" s="13" t="s">
        <v>98</v>
      </c>
      <c r="J896" s="13"/>
      <c r="K896" s="13" t="s">
        <v>318</v>
      </c>
      <c r="L896" s="13"/>
      <c r="M896" s="13"/>
      <c r="N896" s="13"/>
      <c r="O896" s="13"/>
      <c r="P896" s="13"/>
      <c r="Q896" s="13"/>
      <c r="R896" s="13"/>
      <c r="S896" s="13" t="s">
        <v>135</v>
      </c>
      <c r="T896" s="13"/>
      <c r="U896" s="13"/>
      <c r="V896" s="13"/>
      <c r="W896" s="13"/>
    </row>
    <row r="897" spans="1:23" x14ac:dyDescent="0.25">
      <c r="A897" s="15" t="s">
        <v>544</v>
      </c>
      <c r="B897" s="13" t="s">
        <v>13</v>
      </c>
      <c r="C897" s="22" t="s">
        <v>585</v>
      </c>
      <c r="D897" s="29">
        <v>44376</v>
      </c>
      <c r="E897" s="18" t="s">
        <v>23</v>
      </c>
      <c r="F897" s="18"/>
      <c r="G897" s="13"/>
      <c r="H897" s="24">
        <v>44382</v>
      </c>
      <c r="I897" s="13" t="s">
        <v>92</v>
      </c>
      <c r="J897" s="13"/>
      <c r="K897" s="13" t="s">
        <v>357</v>
      </c>
      <c r="L897" s="13"/>
      <c r="M897" s="13"/>
      <c r="N897" s="13"/>
      <c r="O897" s="13"/>
      <c r="P897" s="13"/>
      <c r="Q897" s="13"/>
      <c r="R897" s="13"/>
      <c r="S897" s="13" t="s">
        <v>183</v>
      </c>
      <c r="T897" s="13"/>
      <c r="U897" s="13"/>
      <c r="V897" s="13"/>
      <c r="W897" s="13"/>
    </row>
    <row r="898" spans="1:23" x14ac:dyDescent="0.25">
      <c r="A898" s="15" t="s">
        <v>544</v>
      </c>
      <c r="B898" s="13" t="s">
        <v>13</v>
      </c>
      <c r="C898" s="22" t="s">
        <v>585</v>
      </c>
      <c r="D898" s="29">
        <v>44376</v>
      </c>
      <c r="E898" s="18" t="s">
        <v>23</v>
      </c>
      <c r="F898" s="18"/>
      <c r="G898" s="13"/>
      <c r="H898" s="24">
        <v>44382</v>
      </c>
      <c r="I898" s="13" t="s">
        <v>94</v>
      </c>
      <c r="J898" s="13"/>
      <c r="K898" s="13" t="s">
        <v>357</v>
      </c>
      <c r="L898" s="13"/>
      <c r="M898" s="13"/>
      <c r="N898" s="13"/>
      <c r="O898" s="13"/>
      <c r="P898" s="13"/>
      <c r="Q898" s="13"/>
      <c r="R898" s="13"/>
      <c r="S898" s="13" t="s">
        <v>183</v>
      </c>
      <c r="T898" s="13"/>
      <c r="U898" s="13"/>
      <c r="V898" s="13"/>
      <c r="W898" s="13"/>
    </row>
    <row r="899" spans="1:23" x14ac:dyDescent="0.25">
      <c r="A899" s="15" t="s">
        <v>544</v>
      </c>
      <c r="B899" s="13" t="s">
        <v>13</v>
      </c>
      <c r="C899" s="22" t="s">
        <v>585</v>
      </c>
      <c r="D899" s="29">
        <v>44376</v>
      </c>
      <c r="E899" s="18" t="s">
        <v>23</v>
      </c>
      <c r="F899" s="18"/>
      <c r="G899" s="13"/>
      <c r="H899" s="24">
        <v>44382</v>
      </c>
      <c r="I899" s="13" t="s">
        <v>99</v>
      </c>
      <c r="J899" s="13"/>
      <c r="K899" s="13" t="s">
        <v>884</v>
      </c>
      <c r="L899" s="13"/>
      <c r="M899" s="13"/>
      <c r="N899" s="13"/>
      <c r="O899" s="13"/>
      <c r="P899" s="13"/>
      <c r="Q899" s="13"/>
      <c r="R899" s="13"/>
      <c r="S899" s="13" t="s">
        <v>319</v>
      </c>
      <c r="T899" s="13"/>
      <c r="U899" s="13"/>
      <c r="V899" s="13"/>
      <c r="W899" s="13"/>
    </row>
    <row r="900" spans="1:23" x14ac:dyDescent="0.25">
      <c r="A900" s="15" t="s">
        <v>544</v>
      </c>
      <c r="B900" s="13" t="s">
        <v>13</v>
      </c>
      <c r="C900" s="22" t="s">
        <v>585</v>
      </c>
      <c r="D900" s="29">
        <v>44376</v>
      </c>
      <c r="E900" s="18" t="s">
        <v>23</v>
      </c>
      <c r="F900" s="18"/>
      <c r="G900" s="13"/>
      <c r="H900" s="24">
        <v>44382</v>
      </c>
      <c r="I900" s="13" t="s">
        <v>102</v>
      </c>
      <c r="J900" s="13"/>
      <c r="K900" s="13" t="s">
        <v>884</v>
      </c>
      <c r="L900" s="13"/>
      <c r="M900" s="13"/>
      <c r="N900" s="13"/>
      <c r="O900" s="13"/>
      <c r="P900" s="13"/>
      <c r="Q900" s="13"/>
      <c r="R900" s="13"/>
      <c r="S900" s="13" t="s">
        <v>319</v>
      </c>
      <c r="T900" s="13"/>
      <c r="U900" s="13"/>
      <c r="V900" s="13"/>
      <c r="W900" s="13"/>
    </row>
    <row r="901" spans="1:23" s="25" customFormat="1" x14ac:dyDescent="0.25">
      <c r="A901" s="20">
        <v>309</v>
      </c>
      <c r="B901" s="21" t="s">
        <v>13</v>
      </c>
      <c r="C901" s="22" t="s">
        <v>1610</v>
      </c>
      <c r="D901" s="17">
        <v>44377</v>
      </c>
      <c r="E901" s="23" t="s">
        <v>23</v>
      </c>
      <c r="F901" s="23"/>
      <c r="G901" s="21"/>
      <c r="H901" s="24">
        <v>44386</v>
      </c>
      <c r="I901" s="21" t="s">
        <v>38</v>
      </c>
      <c r="J901" s="21">
        <v>2520</v>
      </c>
      <c r="K901" s="21" t="s">
        <v>1609</v>
      </c>
      <c r="L901" s="21">
        <v>6.4500000000000002E-2</v>
      </c>
      <c r="M901" s="21">
        <v>8.5000000000000006E-2</v>
      </c>
      <c r="N901" s="21">
        <v>162.54</v>
      </c>
      <c r="O901" s="21">
        <v>214.2</v>
      </c>
      <c r="P901" s="21">
        <v>21.13</v>
      </c>
      <c r="Q901" s="21">
        <v>17.739999999999998</v>
      </c>
      <c r="R901" s="21">
        <v>275</v>
      </c>
      <c r="S901" s="21">
        <v>44698.5</v>
      </c>
      <c r="T901" s="21"/>
      <c r="U901" s="21"/>
      <c r="V901" s="21"/>
      <c r="W901" s="21"/>
    </row>
    <row r="902" spans="1:23" x14ac:dyDescent="0.25">
      <c r="A902" s="15" t="s">
        <v>1612</v>
      </c>
      <c r="B902" s="13" t="s">
        <v>13</v>
      </c>
      <c r="C902" s="22" t="s">
        <v>15</v>
      </c>
      <c r="D902" s="29">
        <v>44377</v>
      </c>
      <c r="E902" s="18" t="s">
        <v>23</v>
      </c>
      <c r="F902" s="18"/>
      <c r="G902" s="13"/>
      <c r="H902" s="19">
        <v>44379</v>
      </c>
      <c r="I902" s="74" t="s">
        <v>89</v>
      </c>
      <c r="J902" s="13"/>
      <c r="K902" s="13">
        <v>48</v>
      </c>
      <c r="L902" s="13"/>
      <c r="M902" s="13"/>
      <c r="N902" s="13"/>
      <c r="O902" s="13"/>
      <c r="P902" s="13"/>
      <c r="Q902" s="13"/>
      <c r="R902" s="13"/>
      <c r="S902" s="13">
        <v>34992</v>
      </c>
      <c r="T902" s="13"/>
      <c r="U902" s="13"/>
      <c r="V902" s="13"/>
      <c r="W902" s="13"/>
    </row>
    <row r="903" spans="1:23" s="83" customFormat="1" x14ac:dyDescent="0.25">
      <c r="A903" s="77" t="s">
        <v>1614</v>
      </c>
      <c r="B903" s="78" t="s">
        <v>13</v>
      </c>
      <c r="C903" s="22" t="s">
        <v>1615</v>
      </c>
      <c r="D903" s="80">
        <v>44377</v>
      </c>
      <c r="E903" s="81" t="s">
        <v>23</v>
      </c>
      <c r="F903" s="81"/>
      <c r="G903" s="78"/>
      <c r="H903" s="82">
        <v>44391</v>
      </c>
      <c r="I903" s="78" t="s">
        <v>1613</v>
      </c>
      <c r="J903" s="78" t="s">
        <v>348</v>
      </c>
      <c r="K903" s="78"/>
      <c r="L903" s="78"/>
      <c r="M903" s="78"/>
      <c r="N903" s="78"/>
      <c r="O903" s="78"/>
      <c r="P903" s="78"/>
      <c r="Q903" s="78"/>
      <c r="R903" s="78"/>
      <c r="S903" s="78" t="s">
        <v>797</v>
      </c>
      <c r="T903" s="78"/>
      <c r="U903" s="78"/>
      <c r="V903" s="78"/>
      <c r="W903" s="78"/>
    </row>
    <row r="904" spans="1:23" s="83" customFormat="1" x14ac:dyDescent="0.25">
      <c r="A904" s="77" t="s">
        <v>1614</v>
      </c>
      <c r="B904" s="78" t="s">
        <v>13</v>
      </c>
      <c r="C904" s="22" t="s">
        <v>1615</v>
      </c>
      <c r="D904" s="80">
        <v>44377</v>
      </c>
      <c r="E904" s="81" t="s">
        <v>23</v>
      </c>
      <c r="F904" s="81"/>
      <c r="G904" s="78"/>
      <c r="H904" s="82">
        <v>44391</v>
      </c>
      <c r="I904" s="78" t="s">
        <v>241</v>
      </c>
      <c r="J904" s="78" t="s">
        <v>1616</v>
      </c>
      <c r="K904" s="78"/>
      <c r="L904" s="78"/>
      <c r="M904" s="78"/>
      <c r="N904" s="78"/>
      <c r="O904" s="78"/>
      <c r="P904" s="78"/>
      <c r="Q904" s="78"/>
      <c r="R904" s="78"/>
      <c r="S904" s="78" t="s">
        <v>1617</v>
      </c>
      <c r="T904" s="78"/>
      <c r="U904" s="78"/>
      <c r="V904" s="78"/>
      <c r="W904" s="78"/>
    </row>
    <row r="905" spans="1:23" x14ac:dyDescent="0.25">
      <c r="A905" s="15">
        <v>308</v>
      </c>
      <c r="B905" s="21" t="s">
        <v>13</v>
      </c>
      <c r="C905" s="22" t="s">
        <v>531</v>
      </c>
      <c r="D905" s="29">
        <v>44377</v>
      </c>
      <c r="E905" s="18" t="s">
        <v>23</v>
      </c>
      <c r="F905" s="18"/>
      <c r="G905" s="13"/>
      <c r="H905" s="31"/>
      <c r="I905" s="13" t="s">
        <v>1388</v>
      </c>
      <c r="J905" s="13">
        <v>89</v>
      </c>
      <c r="K905" s="13" t="s">
        <v>17</v>
      </c>
      <c r="L905" s="13" t="s">
        <v>17</v>
      </c>
      <c r="M905" s="13" t="s">
        <v>17</v>
      </c>
      <c r="N905" s="13" t="s">
        <v>17</v>
      </c>
      <c r="O905" s="13" t="s">
        <v>17</v>
      </c>
      <c r="P905" s="13" t="s">
        <v>17</v>
      </c>
      <c r="Q905" s="13">
        <v>56.45</v>
      </c>
      <c r="R905" s="13" t="s">
        <v>17</v>
      </c>
      <c r="S905" s="13">
        <v>5024.05</v>
      </c>
      <c r="T905" s="13"/>
      <c r="U905" s="13"/>
      <c r="V905" s="13"/>
      <c r="W905" s="13"/>
    </row>
    <row r="906" spans="1:23" x14ac:dyDescent="0.25">
      <c r="A906" s="15" t="s">
        <v>491</v>
      </c>
      <c r="B906" s="21" t="s">
        <v>13</v>
      </c>
      <c r="C906" s="22" t="s">
        <v>43</v>
      </c>
      <c r="D906" s="29">
        <v>44378</v>
      </c>
      <c r="E906" s="18" t="s">
        <v>23</v>
      </c>
      <c r="F906" s="18"/>
      <c r="G906" s="13"/>
      <c r="H906" s="19">
        <v>44379</v>
      </c>
      <c r="I906" s="13" t="s">
        <v>25</v>
      </c>
      <c r="J906" s="13"/>
      <c r="K906" s="13">
        <v>1</v>
      </c>
      <c r="L906" s="13"/>
      <c r="M906" s="13"/>
      <c r="N906" s="13"/>
      <c r="O906" s="13"/>
      <c r="P906" s="13"/>
      <c r="Q906" s="13"/>
      <c r="R906" s="13"/>
      <c r="S906" s="13">
        <v>8000</v>
      </c>
      <c r="T906" s="13"/>
      <c r="U906" s="13"/>
      <c r="V906" s="13"/>
      <c r="W906" s="13"/>
    </row>
    <row r="907" spans="1:23" s="25" customFormat="1" x14ac:dyDescent="0.25">
      <c r="A907" s="20" t="s">
        <v>547</v>
      </c>
      <c r="B907" s="21" t="s">
        <v>13</v>
      </c>
      <c r="C907" s="22" t="s">
        <v>37</v>
      </c>
      <c r="D907" s="17">
        <v>44378</v>
      </c>
      <c r="E907" s="23" t="s">
        <v>23</v>
      </c>
      <c r="F907" s="23"/>
      <c r="G907" s="21"/>
      <c r="H907" s="30"/>
      <c r="I907" s="21" t="s">
        <v>1619</v>
      </c>
      <c r="J907" s="21"/>
      <c r="K907" s="21" t="s">
        <v>36</v>
      </c>
      <c r="L907" s="21"/>
      <c r="M907" s="21"/>
      <c r="N907" s="21"/>
      <c r="O907" s="21"/>
      <c r="P907" s="21"/>
      <c r="Q907" s="21"/>
      <c r="R907" s="21"/>
      <c r="S907" s="21">
        <v>14670</v>
      </c>
      <c r="T907" s="21"/>
      <c r="U907" s="21"/>
      <c r="V907" s="21"/>
      <c r="W907" s="21"/>
    </row>
    <row r="908" spans="1:23" x14ac:dyDescent="0.25">
      <c r="A908" s="15" t="s">
        <v>546</v>
      </c>
      <c r="B908" s="21" t="s">
        <v>13</v>
      </c>
      <c r="C908" s="22" t="s">
        <v>548</v>
      </c>
      <c r="D908" s="29">
        <v>44378</v>
      </c>
      <c r="E908" s="18" t="s">
        <v>23</v>
      </c>
      <c r="F908" s="18"/>
      <c r="G908" s="13"/>
      <c r="H908" s="31"/>
      <c r="I908" s="13" t="s">
        <v>773</v>
      </c>
      <c r="J908" s="13" t="s">
        <v>1623</v>
      </c>
      <c r="K908" s="13"/>
      <c r="L908" s="13"/>
      <c r="M908" s="13"/>
      <c r="N908" s="13"/>
      <c r="O908" s="13"/>
      <c r="P908" s="13"/>
      <c r="Q908" s="13" t="s">
        <v>779</v>
      </c>
      <c r="R908" s="13"/>
      <c r="S908" s="13" t="s">
        <v>1629</v>
      </c>
      <c r="T908" s="13"/>
      <c r="U908" s="13"/>
      <c r="V908" s="13"/>
      <c r="W908" s="13"/>
    </row>
    <row r="909" spans="1:23" x14ac:dyDescent="0.25">
      <c r="A909" s="15" t="s">
        <v>546</v>
      </c>
      <c r="B909" s="21" t="s">
        <v>13</v>
      </c>
      <c r="C909" s="22" t="s">
        <v>548</v>
      </c>
      <c r="D909" s="29">
        <v>44378</v>
      </c>
      <c r="E909" s="18" t="s">
        <v>23</v>
      </c>
      <c r="F909" s="18"/>
      <c r="G909" s="103" t="s">
        <v>1695</v>
      </c>
      <c r="H909" s="31"/>
      <c r="I909" s="13" t="s">
        <v>1620</v>
      </c>
      <c r="J909" s="13" t="s">
        <v>1624</v>
      </c>
      <c r="K909" s="13">
        <v>116</v>
      </c>
      <c r="L909" s="13"/>
      <c r="M909" s="13"/>
      <c r="N909" s="13"/>
      <c r="O909" s="13"/>
      <c r="P909" s="13"/>
      <c r="Q909" s="13" t="s">
        <v>1626</v>
      </c>
      <c r="R909" s="13"/>
      <c r="S909" s="13" t="s">
        <v>1630</v>
      </c>
      <c r="T909" s="13"/>
      <c r="U909" s="13"/>
      <c r="V909" s="13"/>
      <c r="W909" s="13"/>
    </row>
    <row r="910" spans="1:23" x14ac:dyDescent="0.25">
      <c r="A910" s="15" t="s">
        <v>546</v>
      </c>
      <c r="B910" s="21" t="s">
        <v>13</v>
      </c>
      <c r="C910" s="22" t="s">
        <v>548</v>
      </c>
      <c r="D910" s="29">
        <v>44378</v>
      </c>
      <c r="E910" s="18" t="s">
        <v>23</v>
      </c>
      <c r="F910" s="18"/>
      <c r="G910" s="13"/>
      <c r="H910" s="19">
        <v>44384</v>
      </c>
      <c r="I910" s="13" t="s">
        <v>1621</v>
      </c>
      <c r="J910" s="13" t="s">
        <v>832</v>
      </c>
      <c r="K910" s="13">
        <v>272</v>
      </c>
      <c r="L910" s="13"/>
      <c r="M910" s="13"/>
      <c r="N910" s="13"/>
      <c r="O910" s="13"/>
      <c r="P910" s="13"/>
      <c r="Q910" s="13" t="s">
        <v>1627</v>
      </c>
      <c r="R910" s="13"/>
      <c r="S910" s="13" t="s">
        <v>1631</v>
      </c>
      <c r="T910" s="13"/>
      <c r="U910" s="13"/>
      <c r="V910" s="13"/>
      <c r="W910" s="13"/>
    </row>
    <row r="911" spans="1:23" x14ac:dyDescent="0.25">
      <c r="A911" s="15" t="s">
        <v>546</v>
      </c>
      <c r="B911" s="21" t="s">
        <v>13</v>
      </c>
      <c r="C911" s="22" t="s">
        <v>548</v>
      </c>
      <c r="D911" s="29">
        <v>44378</v>
      </c>
      <c r="E911" s="18" t="s">
        <v>23</v>
      </c>
      <c r="F911" s="18"/>
      <c r="G911" s="13" t="s">
        <v>590</v>
      </c>
      <c r="H911" s="31"/>
      <c r="I911" s="13" t="s">
        <v>1622</v>
      </c>
      <c r="J911" s="13" t="s">
        <v>1625</v>
      </c>
      <c r="K911" s="13"/>
      <c r="L911" s="13"/>
      <c r="M911" s="13"/>
      <c r="N911" s="13"/>
      <c r="O911" s="13"/>
      <c r="P911" s="13"/>
      <c r="Q911" s="13" t="s">
        <v>1628</v>
      </c>
      <c r="R911" s="13"/>
      <c r="S911" s="13" t="s">
        <v>1632</v>
      </c>
      <c r="T911" s="13"/>
      <c r="U911" s="13"/>
      <c r="V911" s="13"/>
      <c r="W911" s="13"/>
    </row>
    <row r="912" spans="1:23" x14ac:dyDescent="0.25">
      <c r="A912" s="15" t="s">
        <v>1633</v>
      </c>
      <c r="B912" s="13" t="s">
        <v>34</v>
      </c>
      <c r="C912" s="22" t="s">
        <v>16</v>
      </c>
      <c r="D912" s="29">
        <v>44378</v>
      </c>
      <c r="E912" s="18" t="s">
        <v>23</v>
      </c>
      <c r="F912" s="18"/>
      <c r="G912" s="13"/>
      <c r="H912" s="31"/>
      <c r="I912" s="13" t="s">
        <v>866</v>
      </c>
      <c r="J912" s="13">
        <v>522</v>
      </c>
      <c r="K912" s="13" t="s">
        <v>629</v>
      </c>
      <c r="L912" s="13">
        <v>0.15909999999999999</v>
      </c>
      <c r="M912" s="13">
        <v>0.26</v>
      </c>
      <c r="N912" s="13">
        <v>83.050200000000004</v>
      </c>
      <c r="O912" s="13">
        <v>135.72</v>
      </c>
      <c r="P912" s="13">
        <v>10.8</v>
      </c>
      <c r="Q912" s="13">
        <v>60.46</v>
      </c>
      <c r="R912" s="13">
        <v>380</v>
      </c>
      <c r="S912" s="13">
        <v>31559.08</v>
      </c>
      <c r="T912" s="13"/>
      <c r="U912" s="13"/>
      <c r="V912" s="13"/>
      <c r="W912" s="13"/>
    </row>
    <row r="913" spans="1:23" x14ac:dyDescent="0.25">
      <c r="A913" s="15">
        <v>311</v>
      </c>
      <c r="B913" s="13" t="s">
        <v>34</v>
      </c>
      <c r="C913" s="22" t="s">
        <v>328</v>
      </c>
      <c r="D913" s="29">
        <v>44378</v>
      </c>
      <c r="E913" s="18" t="s">
        <v>23</v>
      </c>
      <c r="F913" s="18"/>
      <c r="G913" s="13"/>
      <c r="H913" s="31"/>
      <c r="I913" s="13" t="s">
        <v>650</v>
      </c>
      <c r="J913" s="13">
        <v>156</v>
      </c>
      <c r="K913" s="13" t="s">
        <v>231</v>
      </c>
      <c r="L913" s="13">
        <v>0.30919999999999997</v>
      </c>
      <c r="M913" s="13">
        <v>1.1000000000000001</v>
      </c>
      <c r="N913" s="13">
        <v>48.235199999999999</v>
      </c>
      <c r="O913" s="13">
        <v>171.6</v>
      </c>
      <c r="P913" s="13">
        <v>6.27</v>
      </c>
      <c r="Q913" s="13">
        <v>101.42</v>
      </c>
      <c r="R913" s="13">
        <v>328</v>
      </c>
      <c r="S913" s="13">
        <v>15821.15</v>
      </c>
      <c r="T913" s="13"/>
      <c r="U913" s="13"/>
      <c r="V913" s="13"/>
      <c r="W913" s="13"/>
    </row>
    <row r="914" spans="1:23" x14ac:dyDescent="0.25">
      <c r="A914" s="15" t="s">
        <v>1649</v>
      </c>
      <c r="B914" s="13" t="s">
        <v>34</v>
      </c>
      <c r="C914" s="22" t="s">
        <v>541</v>
      </c>
      <c r="D914" s="29">
        <v>44377</v>
      </c>
      <c r="E914" s="18" t="s">
        <v>23</v>
      </c>
      <c r="F914" s="18"/>
      <c r="G914" s="13"/>
      <c r="H914" s="31"/>
      <c r="I914" s="13" t="s">
        <v>1637</v>
      </c>
      <c r="J914" s="13" t="s">
        <v>1639</v>
      </c>
      <c r="K914" s="13"/>
      <c r="L914" s="13"/>
      <c r="M914" s="13"/>
      <c r="N914" s="13"/>
      <c r="O914" s="13"/>
      <c r="P914" s="13"/>
      <c r="Q914" s="13"/>
      <c r="R914" s="13"/>
      <c r="S914" s="13" t="s">
        <v>1642</v>
      </c>
      <c r="T914" s="13"/>
      <c r="U914" s="13"/>
      <c r="V914" s="13"/>
      <c r="W914" s="13"/>
    </row>
    <row r="915" spans="1:23" x14ac:dyDescent="0.25">
      <c r="A915" s="15" t="s">
        <v>1649</v>
      </c>
      <c r="B915" s="13" t="s">
        <v>34</v>
      </c>
      <c r="C915" s="22" t="s">
        <v>541</v>
      </c>
      <c r="D915" s="29">
        <v>44377</v>
      </c>
      <c r="E915" s="18" t="s">
        <v>23</v>
      </c>
      <c r="F915" s="18"/>
      <c r="G915" s="13" t="s">
        <v>1691</v>
      </c>
      <c r="H915" s="31"/>
      <c r="I915" s="13" t="s">
        <v>534</v>
      </c>
      <c r="J915" s="13" t="s">
        <v>1640</v>
      </c>
      <c r="K915" s="13"/>
      <c r="L915" s="13"/>
      <c r="M915" s="13"/>
      <c r="N915" s="13"/>
      <c r="O915" s="13"/>
      <c r="P915" s="13"/>
      <c r="Q915" s="13"/>
      <c r="R915" s="13"/>
      <c r="S915" s="13" t="s">
        <v>1643</v>
      </c>
      <c r="T915" s="13"/>
      <c r="U915" s="13"/>
      <c r="V915" s="13"/>
      <c r="W915" s="13"/>
    </row>
    <row r="916" spans="1:23" x14ac:dyDescent="0.25">
      <c r="A916" s="15" t="s">
        <v>1649</v>
      </c>
      <c r="B916" s="13" t="s">
        <v>34</v>
      </c>
      <c r="C916" s="22" t="s">
        <v>541</v>
      </c>
      <c r="D916" s="29">
        <v>44377</v>
      </c>
      <c r="E916" s="18" t="s">
        <v>23</v>
      </c>
      <c r="F916" s="18"/>
      <c r="G916" s="13"/>
      <c r="H916" s="31"/>
      <c r="I916" s="13" t="s">
        <v>1638</v>
      </c>
      <c r="J916" s="13" t="s">
        <v>1282</v>
      </c>
      <c r="K916" s="13"/>
      <c r="L916" s="13"/>
      <c r="M916" s="13"/>
      <c r="N916" s="13"/>
      <c r="O916" s="13"/>
      <c r="P916" s="13"/>
      <c r="Q916" s="13"/>
      <c r="R916" s="13"/>
      <c r="S916" s="13" t="s">
        <v>1644</v>
      </c>
      <c r="T916" s="13"/>
      <c r="U916" s="13"/>
      <c r="V916" s="13"/>
      <c r="W916" s="13"/>
    </row>
    <row r="917" spans="1:23" x14ac:dyDescent="0.25">
      <c r="A917" s="15" t="s">
        <v>1649</v>
      </c>
      <c r="B917" s="13" t="s">
        <v>34</v>
      </c>
      <c r="C917" s="22" t="s">
        <v>541</v>
      </c>
      <c r="D917" s="29">
        <v>44377</v>
      </c>
      <c r="E917" s="18" t="s">
        <v>23</v>
      </c>
      <c r="F917" s="18"/>
      <c r="G917" s="13"/>
      <c r="H917" s="31"/>
      <c r="I917" s="13" t="s">
        <v>535</v>
      </c>
      <c r="J917" s="13" t="s">
        <v>1641</v>
      </c>
      <c r="K917" s="13"/>
      <c r="L917" s="13"/>
      <c r="M917" s="13"/>
      <c r="N917" s="13"/>
      <c r="O917" s="13"/>
      <c r="P917" s="13"/>
      <c r="Q917" s="13"/>
      <c r="R917" s="13"/>
      <c r="S917" s="13" t="s">
        <v>1645</v>
      </c>
      <c r="T917" s="13"/>
      <c r="U917" s="13"/>
      <c r="V917" s="13"/>
      <c r="W917" s="13"/>
    </row>
    <row r="918" spans="1:23" x14ac:dyDescent="0.25">
      <c r="A918" s="15" t="s">
        <v>1649</v>
      </c>
      <c r="B918" s="13" t="s">
        <v>34</v>
      </c>
      <c r="C918" s="22" t="s">
        <v>541</v>
      </c>
      <c r="D918" s="29">
        <v>44377</v>
      </c>
      <c r="E918" s="18" t="s">
        <v>23</v>
      </c>
      <c r="F918" s="18"/>
      <c r="G918" s="13"/>
      <c r="H918" s="31"/>
      <c r="I918" s="13" t="s">
        <v>950</v>
      </c>
      <c r="J918" s="13" t="s">
        <v>348</v>
      </c>
      <c r="K918" s="13"/>
      <c r="L918" s="13"/>
      <c r="M918" s="13"/>
      <c r="N918" s="13"/>
      <c r="O918" s="13"/>
      <c r="P918" s="13"/>
      <c r="Q918" s="13"/>
      <c r="R918" s="13"/>
      <c r="S918" s="13" t="s">
        <v>1646</v>
      </c>
      <c r="T918" s="13"/>
      <c r="U918" s="13"/>
      <c r="V918" s="13"/>
      <c r="W918" s="13"/>
    </row>
    <row r="919" spans="1:23" x14ac:dyDescent="0.25">
      <c r="A919" s="15" t="s">
        <v>1649</v>
      </c>
      <c r="B919" s="13" t="s">
        <v>34</v>
      </c>
      <c r="C919" s="22" t="s">
        <v>541</v>
      </c>
      <c r="D919" s="29">
        <v>44377</v>
      </c>
      <c r="E919" s="18" t="s">
        <v>23</v>
      </c>
      <c r="F919" s="18"/>
      <c r="G919" s="13"/>
      <c r="H919" s="31"/>
      <c r="I919" s="13" t="s">
        <v>537</v>
      </c>
      <c r="J919" s="13" t="s">
        <v>1496</v>
      </c>
      <c r="K919" s="13"/>
      <c r="L919" s="13"/>
      <c r="M919" s="13"/>
      <c r="N919" s="13"/>
      <c r="O919" s="13"/>
      <c r="P919" s="13"/>
      <c r="Q919" s="13"/>
      <c r="R919" s="13"/>
      <c r="S919" s="13" t="s">
        <v>1647</v>
      </c>
      <c r="T919" s="13"/>
      <c r="U919" s="13"/>
      <c r="V919" s="13"/>
      <c r="W919" s="13"/>
    </row>
    <row r="920" spans="1:23" x14ac:dyDescent="0.25">
      <c r="A920" s="15" t="s">
        <v>1649</v>
      </c>
      <c r="B920" s="13" t="s">
        <v>34</v>
      </c>
      <c r="C920" s="22" t="s">
        <v>541</v>
      </c>
      <c r="D920" s="29">
        <v>44377</v>
      </c>
      <c r="E920" s="18" t="s">
        <v>23</v>
      </c>
      <c r="F920" s="18"/>
      <c r="G920" s="13"/>
      <c r="H920" s="31"/>
      <c r="I920" s="13" t="s">
        <v>539</v>
      </c>
      <c r="J920" s="13" t="s">
        <v>977</v>
      </c>
      <c r="K920" s="13"/>
      <c r="L920" s="13"/>
      <c r="M920" s="13"/>
      <c r="N920" s="13"/>
      <c r="O920" s="13"/>
      <c r="P920" s="13"/>
      <c r="Q920" s="13"/>
      <c r="R920" s="13"/>
      <c r="S920" s="13" t="s">
        <v>1648</v>
      </c>
      <c r="T920" s="13"/>
      <c r="U920" s="13"/>
      <c r="V920" s="13"/>
      <c r="W920" s="13"/>
    </row>
    <row r="921" spans="1:23" x14ac:dyDescent="0.25">
      <c r="A921" s="15" t="s">
        <v>1651</v>
      </c>
      <c r="B921" s="21" t="s">
        <v>13</v>
      </c>
      <c r="C921" s="22" t="s">
        <v>15</v>
      </c>
      <c r="D921" s="29">
        <v>44379</v>
      </c>
      <c r="E921" s="18" t="s">
        <v>23</v>
      </c>
      <c r="F921" s="18"/>
      <c r="G921" s="13"/>
      <c r="H921" s="19">
        <v>44382</v>
      </c>
      <c r="I921" s="74" t="s">
        <v>89</v>
      </c>
      <c r="J921" s="13"/>
      <c r="K921" s="13">
        <v>48</v>
      </c>
      <c r="L921" s="13"/>
      <c r="M921" s="13"/>
      <c r="N921" s="13"/>
      <c r="O921" s="13"/>
      <c r="P921" s="13"/>
      <c r="Q921" s="13"/>
      <c r="R921" s="13"/>
      <c r="S921" s="13">
        <v>34992</v>
      </c>
      <c r="T921" s="13"/>
      <c r="U921" s="13"/>
      <c r="V921" s="13"/>
      <c r="W921" s="13"/>
    </row>
    <row r="922" spans="1:23" x14ac:dyDescent="0.25">
      <c r="A922" s="15" t="s">
        <v>1652</v>
      </c>
      <c r="B922" s="21" t="s">
        <v>13</v>
      </c>
      <c r="C922" s="22" t="s">
        <v>15</v>
      </c>
      <c r="D922" s="29">
        <v>44382</v>
      </c>
      <c r="E922" s="18" t="s">
        <v>23</v>
      </c>
      <c r="F922" s="18"/>
      <c r="G922" s="13"/>
      <c r="H922" s="19">
        <v>44384</v>
      </c>
      <c r="I922" s="74" t="s">
        <v>89</v>
      </c>
      <c r="J922" s="13"/>
      <c r="K922" s="13">
        <v>48</v>
      </c>
      <c r="L922" s="13"/>
      <c r="M922" s="13"/>
      <c r="N922" s="13"/>
      <c r="O922" s="13"/>
      <c r="P922" s="13"/>
      <c r="Q922" s="13"/>
      <c r="R922" s="13"/>
      <c r="S922" s="13">
        <v>34992</v>
      </c>
      <c r="T922" s="13"/>
      <c r="U922" s="13"/>
      <c r="V922" s="13"/>
      <c r="W922" s="13"/>
    </row>
    <row r="923" spans="1:23" x14ac:dyDescent="0.25">
      <c r="A923" s="15">
        <v>315</v>
      </c>
      <c r="B923" s="13" t="s">
        <v>34</v>
      </c>
      <c r="C923" s="22" t="s">
        <v>14</v>
      </c>
      <c r="D923" s="13"/>
      <c r="E923" s="18" t="s">
        <v>23</v>
      </c>
      <c r="F923" s="18"/>
      <c r="G923" s="13"/>
      <c r="H923" s="31"/>
      <c r="I923" s="13" t="s">
        <v>1655</v>
      </c>
      <c r="J923" s="13">
        <v>1996.5</v>
      </c>
      <c r="K923" s="13" t="s">
        <v>1656</v>
      </c>
      <c r="L923" s="13">
        <v>0.1061</v>
      </c>
      <c r="M923" s="13">
        <v>0.63800000000000001</v>
      </c>
      <c r="N923" s="13">
        <v>211.8287</v>
      </c>
      <c r="O923" s="13">
        <v>1273.7670000000001</v>
      </c>
      <c r="P923" s="13">
        <v>27.54</v>
      </c>
      <c r="Q923" s="13">
        <v>29.71</v>
      </c>
      <c r="R923" s="13">
        <v>280</v>
      </c>
      <c r="S923" s="13">
        <v>59312.02</v>
      </c>
      <c r="T923" s="13"/>
      <c r="U923" s="13"/>
      <c r="V923" s="13"/>
      <c r="W923" s="13"/>
    </row>
    <row r="924" spans="1:23" x14ac:dyDescent="0.25">
      <c r="A924" s="15" t="s">
        <v>1657</v>
      </c>
      <c r="B924" s="21" t="s">
        <v>13</v>
      </c>
      <c r="C924" s="22" t="s">
        <v>30</v>
      </c>
      <c r="D924" s="29">
        <v>44383</v>
      </c>
      <c r="E924" s="18" t="s">
        <v>23</v>
      </c>
      <c r="F924" s="18"/>
      <c r="G924" s="13"/>
      <c r="H924" s="19">
        <v>44386</v>
      </c>
      <c r="I924" s="13" t="s">
        <v>730</v>
      </c>
      <c r="J924" s="13"/>
      <c r="K924" s="13" t="s">
        <v>123</v>
      </c>
      <c r="L924" s="13"/>
      <c r="M924" s="13"/>
      <c r="N924" s="13"/>
      <c r="O924" s="13"/>
      <c r="P924" s="13"/>
      <c r="Q924" s="13"/>
      <c r="R924" s="13"/>
      <c r="S924" s="13" t="s">
        <v>158</v>
      </c>
      <c r="T924" s="13"/>
      <c r="U924" s="13"/>
      <c r="V924" s="13"/>
      <c r="W924" s="13"/>
    </row>
    <row r="925" spans="1:23" x14ac:dyDescent="0.25">
      <c r="A925" s="15" t="s">
        <v>1657</v>
      </c>
      <c r="B925" s="21" t="s">
        <v>13</v>
      </c>
      <c r="C925" s="22" t="s">
        <v>30</v>
      </c>
      <c r="D925" s="29">
        <v>44383</v>
      </c>
      <c r="E925" s="18" t="s">
        <v>23</v>
      </c>
      <c r="F925" s="18"/>
      <c r="G925" s="13"/>
      <c r="H925" s="19">
        <v>44386</v>
      </c>
      <c r="I925" s="13" t="s">
        <v>732</v>
      </c>
      <c r="J925" s="13"/>
      <c r="K925" s="13" t="s">
        <v>123</v>
      </c>
      <c r="L925" s="13"/>
      <c r="M925" s="13"/>
      <c r="N925" s="13"/>
      <c r="O925" s="13"/>
      <c r="P925" s="13"/>
      <c r="Q925" s="13"/>
      <c r="R925" s="13"/>
      <c r="S925" s="13" t="s">
        <v>586</v>
      </c>
      <c r="T925" s="13"/>
      <c r="U925" s="13"/>
      <c r="V925" s="13"/>
      <c r="W925" s="13"/>
    </row>
    <row r="926" spans="1:23" x14ac:dyDescent="0.25">
      <c r="A926" s="15" t="s">
        <v>1657</v>
      </c>
      <c r="B926" s="21" t="s">
        <v>13</v>
      </c>
      <c r="C926" s="22" t="s">
        <v>30</v>
      </c>
      <c r="D926" s="29">
        <v>44383</v>
      </c>
      <c r="E926" s="18" t="s">
        <v>23</v>
      </c>
      <c r="F926" s="18"/>
      <c r="G926" s="13"/>
      <c r="H926" s="19">
        <v>44386</v>
      </c>
      <c r="I926" s="13" t="s">
        <v>440</v>
      </c>
      <c r="J926" s="13"/>
      <c r="K926" s="13" t="s">
        <v>446</v>
      </c>
      <c r="L926" s="13"/>
      <c r="M926" s="13"/>
      <c r="N926" s="13"/>
      <c r="O926" s="13"/>
      <c r="P926" s="13"/>
      <c r="Q926" s="13"/>
      <c r="R926" s="13"/>
      <c r="S926" s="13" t="s">
        <v>614</v>
      </c>
      <c r="T926" s="13"/>
      <c r="U926" s="13"/>
      <c r="V926" s="13"/>
      <c r="W926" s="13"/>
    </row>
    <row r="927" spans="1:23" x14ac:dyDescent="0.25">
      <c r="A927" s="15" t="s">
        <v>1657</v>
      </c>
      <c r="B927" s="21" t="s">
        <v>13</v>
      </c>
      <c r="C927" s="22" t="s">
        <v>30</v>
      </c>
      <c r="D927" s="29">
        <v>44383</v>
      </c>
      <c r="E927" s="18" t="s">
        <v>23</v>
      </c>
      <c r="F927" s="18"/>
      <c r="G927" s="13"/>
      <c r="H927" s="19">
        <v>44386</v>
      </c>
      <c r="I927" s="13" t="s">
        <v>743</v>
      </c>
      <c r="J927" s="13"/>
      <c r="K927" s="13" t="s">
        <v>446</v>
      </c>
      <c r="L927" s="13"/>
      <c r="M927" s="13"/>
      <c r="N927" s="13"/>
      <c r="O927" s="13"/>
      <c r="P927" s="13"/>
      <c r="Q927" s="13"/>
      <c r="R927" s="13"/>
      <c r="S927" s="13" t="s">
        <v>1104</v>
      </c>
      <c r="T927" s="13"/>
      <c r="U927" s="13"/>
      <c r="V927" s="13"/>
      <c r="W927" s="13"/>
    </row>
    <row r="928" spans="1:23" x14ac:dyDescent="0.25">
      <c r="A928" s="15" t="s">
        <v>1657</v>
      </c>
      <c r="B928" s="21" t="s">
        <v>13</v>
      </c>
      <c r="C928" s="22" t="s">
        <v>30</v>
      </c>
      <c r="D928" s="29">
        <v>44383</v>
      </c>
      <c r="E928" s="18" t="s">
        <v>23</v>
      </c>
      <c r="F928" s="18"/>
      <c r="G928" s="13"/>
      <c r="H928" s="19">
        <v>44386</v>
      </c>
      <c r="I928" s="13" t="s">
        <v>733</v>
      </c>
      <c r="J928" s="13"/>
      <c r="K928" s="13" t="s">
        <v>26</v>
      </c>
      <c r="L928" s="13"/>
      <c r="M928" s="13"/>
      <c r="N928" s="13"/>
      <c r="O928" s="13"/>
      <c r="P928" s="13"/>
      <c r="Q928" s="13"/>
      <c r="R928" s="13"/>
      <c r="S928" s="13" t="s">
        <v>443</v>
      </c>
      <c r="T928" s="13"/>
      <c r="U928" s="13"/>
      <c r="V928" s="13"/>
      <c r="W928" s="13"/>
    </row>
    <row r="929" spans="1:23" x14ac:dyDescent="0.25">
      <c r="A929" s="15" t="s">
        <v>1657</v>
      </c>
      <c r="B929" s="21" t="s">
        <v>13</v>
      </c>
      <c r="C929" s="22" t="s">
        <v>30</v>
      </c>
      <c r="D929" s="29">
        <v>44383</v>
      </c>
      <c r="E929" s="18" t="s">
        <v>23</v>
      </c>
      <c r="F929" s="18"/>
      <c r="G929" s="13"/>
      <c r="H929" s="19">
        <v>44386</v>
      </c>
      <c r="I929" s="13" t="s">
        <v>736</v>
      </c>
      <c r="J929" s="13"/>
      <c r="K929" s="13" t="s">
        <v>108</v>
      </c>
      <c r="L929" s="13"/>
      <c r="M929" s="13"/>
      <c r="N929" s="13"/>
      <c r="O929" s="13"/>
      <c r="P929" s="13"/>
      <c r="Q929" s="13"/>
      <c r="R929" s="13"/>
      <c r="S929" s="13" t="s">
        <v>445</v>
      </c>
      <c r="T929" s="13"/>
      <c r="U929" s="13"/>
      <c r="V929" s="13"/>
      <c r="W929" s="13"/>
    </row>
    <row r="930" spans="1:23" x14ac:dyDescent="0.25">
      <c r="A930" s="15" t="s">
        <v>1657</v>
      </c>
      <c r="B930" s="21" t="s">
        <v>13</v>
      </c>
      <c r="C930" s="22" t="s">
        <v>30</v>
      </c>
      <c r="D930" s="29">
        <v>44383</v>
      </c>
      <c r="E930" s="18" t="s">
        <v>23</v>
      </c>
      <c r="F930" s="18"/>
      <c r="G930" s="13" t="s">
        <v>17</v>
      </c>
      <c r="H930" s="19">
        <v>44386</v>
      </c>
      <c r="I930" s="13" t="s">
        <v>738</v>
      </c>
      <c r="J930" s="13"/>
      <c r="K930" s="13" t="s">
        <v>123</v>
      </c>
      <c r="L930" s="13"/>
      <c r="M930" s="13"/>
      <c r="N930" s="13"/>
      <c r="O930" s="13"/>
      <c r="P930" s="13"/>
      <c r="Q930" s="13"/>
      <c r="R930" s="13"/>
      <c r="S930" s="13" t="s">
        <v>750</v>
      </c>
      <c r="T930" s="13"/>
      <c r="U930" s="13"/>
      <c r="V930" s="13"/>
      <c r="W930" s="13"/>
    </row>
    <row r="931" spans="1:23" x14ac:dyDescent="0.25">
      <c r="A931" s="15" t="s">
        <v>1657</v>
      </c>
      <c r="B931" s="21" t="s">
        <v>13</v>
      </c>
      <c r="C931" s="22" t="s">
        <v>30</v>
      </c>
      <c r="D931" s="29">
        <v>44383</v>
      </c>
      <c r="E931" s="18" t="s">
        <v>23</v>
      </c>
      <c r="F931" s="18"/>
      <c r="G931" s="13"/>
      <c r="H931" s="19">
        <v>44386</v>
      </c>
      <c r="I931" s="13" t="s">
        <v>282</v>
      </c>
      <c r="J931" s="13"/>
      <c r="K931" s="13" t="s">
        <v>446</v>
      </c>
      <c r="L931" s="13"/>
      <c r="M931" s="13"/>
      <c r="N931" s="13"/>
      <c r="O931" s="13"/>
      <c r="P931" s="13"/>
      <c r="Q931" s="13"/>
      <c r="R931" s="13"/>
      <c r="S931" s="13" t="s">
        <v>616</v>
      </c>
      <c r="T931" s="13"/>
      <c r="U931" s="13"/>
      <c r="V931" s="13"/>
      <c r="W931" s="13"/>
    </row>
    <row r="932" spans="1:23" x14ac:dyDescent="0.25">
      <c r="A932" s="15" t="s">
        <v>1657</v>
      </c>
      <c r="B932" s="21" t="s">
        <v>13</v>
      </c>
      <c r="C932" s="22" t="s">
        <v>30</v>
      </c>
      <c r="D932" s="29">
        <v>44383</v>
      </c>
      <c r="E932" s="18" t="s">
        <v>23</v>
      </c>
      <c r="F932" s="18"/>
      <c r="G932" s="13"/>
      <c r="H932" s="19">
        <v>44386</v>
      </c>
      <c r="I932" s="13" t="s">
        <v>206</v>
      </c>
      <c r="J932" s="13"/>
      <c r="K932" s="13" t="s">
        <v>1439</v>
      </c>
      <c r="L932" s="13"/>
      <c r="M932" s="13"/>
      <c r="N932" s="13"/>
      <c r="O932" s="13"/>
      <c r="P932" s="13"/>
      <c r="Q932" s="13"/>
      <c r="R932" s="13"/>
      <c r="S932" s="13" t="s">
        <v>1658</v>
      </c>
      <c r="T932" s="13"/>
      <c r="U932" s="13"/>
      <c r="V932" s="13"/>
      <c r="W932" s="13"/>
    </row>
    <row r="933" spans="1:23" x14ac:dyDescent="0.25">
      <c r="A933" s="15" t="s">
        <v>1659</v>
      </c>
      <c r="B933" s="21" t="s">
        <v>13</v>
      </c>
      <c r="C933" s="22" t="s">
        <v>15</v>
      </c>
      <c r="D933" s="29">
        <v>44384</v>
      </c>
      <c r="E933" s="18" t="s">
        <v>23</v>
      </c>
      <c r="F933" s="18"/>
      <c r="G933" s="13"/>
      <c r="H933" s="19">
        <v>44386</v>
      </c>
      <c r="I933" s="74" t="s">
        <v>89</v>
      </c>
      <c r="J933" s="13"/>
      <c r="K933" s="13">
        <v>48</v>
      </c>
      <c r="L933" s="13"/>
      <c r="M933" s="13"/>
      <c r="N933" s="13"/>
      <c r="O933" s="13"/>
      <c r="P933" s="13"/>
      <c r="Q933" s="13"/>
      <c r="R933" s="13"/>
      <c r="S933" s="13">
        <v>34992</v>
      </c>
      <c r="T933" s="13"/>
      <c r="U933" s="13"/>
      <c r="V933" s="13"/>
      <c r="W933" s="13"/>
    </row>
    <row r="934" spans="1:23" s="25" customFormat="1" x14ac:dyDescent="0.25">
      <c r="A934" s="20" t="s">
        <v>1662</v>
      </c>
      <c r="B934" s="21" t="s">
        <v>13</v>
      </c>
      <c r="C934" s="22" t="s">
        <v>621</v>
      </c>
      <c r="D934" s="17">
        <v>44384</v>
      </c>
      <c r="E934" s="23" t="s">
        <v>23</v>
      </c>
      <c r="F934" s="23"/>
      <c r="G934" s="21"/>
      <c r="H934" s="24">
        <v>44397</v>
      </c>
      <c r="I934" s="21" t="s">
        <v>1663</v>
      </c>
      <c r="J934" s="21"/>
      <c r="K934" s="21">
        <v>264</v>
      </c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</row>
    <row r="935" spans="1:23" x14ac:dyDescent="0.25">
      <c r="A935" s="15" t="s">
        <v>1661</v>
      </c>
      <c r="B935" s="13" t="s">
        <v>13</v>
      </c>
      <c r="C935" s="22" t="s">
        <v>554</v>
      </c>
      <c r="D935" s="29">
        <v>44384</v>
      </c>
      <c r="E935" s="18" t="s">
        <v>23</v>
      </c>
      <c r="F935" s="18"/>
      <c r="G935" s="13"/>
      <c r="H935" s="31"/>
      <c r="I935" s="13" t="s">
        <v>555</v>
      </c>
      <c r="J935" s="13"/>
      <c r="K935" s="13">
        <v>95</v>
      </c>
      <c r="L935" s="13"/>
      <c r="M935" s="13"/>
      <c r="N935" s="13"/>
      <c r="O935" s="13"/>
      <c r="P935" s="13"/>
      <c r="Q935" s="13"/>
      <c r="R935" s="13"/>
      <c r="S935" s="13">
        <v>65280</v>
      </c>
      <c r="T935" s="13"/>
      <c r="U935" s="13"/>
      <c r="V935" s="13"/>
      <c r="W935" s="13"/>
    </row>
    <row r="936" spans="1:23" x14ac:dyDescent="0.25">
      <c r="A936" s="15">
        <v>321</v>
      </c>
      <c r="B936" s="13" t="s">
        <v>13</v>
      </c>
      <c r="C936" s="22" t="s">
        <v>531</v>
      </c>
      <c r="D936" s="29">
        <v>44385</v>
      </c>
      <c r="E936" s="18" t="s">
        <v>23</v>
      </c>
      <c r="F936" s="18"/>
      <c r="G936" s="13"/>
      <c r="H936" s="19">
        <v>44386</v>
      </c>
      <c r="I936" s="13" t="s">
        <v>1388</v>
      </c>
      <c r="J936" s="13">
        <v>406</v>
      </c>
      <c r="K936" s="13" t="s">
        <v>17</v>
      </c>
      <c r="L936" s="13" t="s">
        <v>17</v>
      </c>
      <c r="M936" s="13" t="s">
        <v>17</v>
      </c>
      <c r="N936" s="13" t="s">
        <v>17</v>
      </c>
      <c r="O936" s="13" t="s">
        <v>17</v>
      </c>
      <c r="P936" s="13" t="s">
        <v>17</v>
      </c>
      <c r="Q936" s="13">
        <v>56.45</v>
      </c>
      <c r="R936" s="13">
        <v>566</v>
      </c>
      <c r="S936" s="13">
        <v>22918.7</v>
      </c>
      <c r="T936" s="13"/>
      <c r="U936" s="13"/>
      <c r="V936" s="13"/>
      <c r="W936" s="13"/>
    </row>
    <row r="937" spans="1:23" x14ac:dyDescent="0.25">
      <c r="A937" s="15" t="s">
        <v>1664</v>
      </c>
      <c r="B937" s="13" t="s">
        <v>34</v>
      </c>
      <c r="C937" s="22" t="s">
        <v>16</v>
      </c>
      <c r="D937" s="29">
        <v>44386</v>
      </c>
      <c r="E937" s="18" t="s">
        <v>23</v>
      </c>
      <c r="F937" s="18"/>
      <c r="G937" s="13"/>
      <c r="H937" s="31"/>
      <c r="I937" s="13" t="s">
        <v>862</v>
      </c>
      <c r="J937" s="13">
        <v>840</v>
      </c>
      <c r="K937" s="13" t="s">
        <v>662</v>
      </c>
      <c r="L937" s="13">
        <v>0.29970000000000002</v>
      </c>
      <c r="M937" s="13">
        <v>1.6739999999999999</v>
      </c>
      <c r="N937" s="13">
        <v>251.74799999999999</v>
      </c>
      <c r="O937" s="13">
        <v>1406.16</v>
      </c>
      <c r="P937" s="13">
        <v>32.729999999999997</v>
      </c>
      <c r="Q937" s="13">
        <v>89.91</v>
      </c>
      <c r="R937" s="13">
        <v>300</v>
      </c>
      <c r="S937" s="13">
        <v>75524.399999999994</v>
      </c>
      <c r="T937" s="13"/>
      <c r="U937" s="13"/>
      <c r="V937" s="13"/>
      <c r="W937" s="13"/>
    </row>
    <row r="938" spans="1:23" x14ac:dyDescent="0.25">
      <c r="A938" s="15" t="s">
        <v>1665</v>
      </c>
      <c r="B938" s="21" t="s">
        <v>13</v>
      </c>
      <c r="C938" s="22" t="s">
        <v>15</v>
      </c>
      <c r="D938" s="29">
        <v>44386</v>
      </c>
      <c r="E938" s="18" t="s">
        <v>23</v>
      </c>
      <c r="F938" s="18"/>
      <c r="G938" s="13"/>
      <c r="H938" s="19">
        <v>44389</v>
      </c>
      <c r="I938" s="74" t="s">
        <v>89</v>
      </c>
      <c r="J938" s="13"/>
      <c r="K938" s="13">
        <v>48</v>
      </c>
      <c r="L938" s="13"/>
      <c r="M938" s="13"/>
      <c r="N938" s="13"/>
      <c r="O938" s="13"/>
      <c r="P938" s="13"/>
      <c r="Q938" s="13"/>
      <c r="R938" s="13"/>
      <c r="S938" s="13">
        <v>34992</v>
      </c>
      <c r="T938" s="13"/>
      <c r="U938" s="13"/>
      <c r="V938" s="13"/>
      <c r="W938" s="13"/>
    </row>
    <row r="939" spans="1:23" x14ac:dyDescent="0.25">
      <c r="A939" s="15">
        <v>323</v>
      </c>
      <c r="B939" s="13" t="s">
        <v>13</v>
      </c>
      <c r="C939" s="22" t="s">
        <v>531</v>
      </c>
      <c r="D939" s="29">
        <v>44386</v>
      </c>
      <c r="E939" s="18" t="s">
        <v>23</v>
      </c>
      <c r="F939" s="18"/>
      <c r="G939" s="13"/>
      <c r="H939" s="19">
        <v>44386</v>
      </c>
      <c r="I939" s="13" t="s">
        <v>1388</v>
      </c>
      <c r="J939" s="13">
        <v>244</v>
      </c>
      <c r="K939" s="13" t="s">
        <v>17</v>
      </c>
      <c r="L939" s="13" t="s">
        <v>17</v>
      </c>
      <c r="M939" s="13" t="s">
        <v>17</v>
      </c>
      <c r="N939" s="13" t="s">
        <v>17</v>
      </c>
      <c r="O939" s="13" t="s">
        <v>17</v>
      </c>
      <c r="P939" s="13" t="s">
        <v>17</v>
      </c>
      <c r="Q939" s="13">
        <v>56.45</v>
      </c>
      <c r="R939" s="13">
        <v>566</v>
      </c>
      <c r="S939" s="13">
        <v>22918.7</v>
      </c>
      <c r="T939" s="13"/>
      <c r="U939" s="13"/>
      <c r="V939" s="13"/>
      <c r="W939" s="13"/>
    </row>
    <row r="940" spans="1:23" s="25" customFormat="1" x14ac:dyDescent="0.25">
      <c r="A940" s="20" t="s">
        <v>1671</v>
      </c>
      <c r="B940" s="21" t="s">
        <v>13</v>
      </c>
      <c r="C940" s="22" t="s">
        <v>1672</v>
      </c>
      <c r="D940" s="17">
        <v>44389</v>
      </c>
      <c r="E940" s="23" t="s">
        <v>23</v>
      </c>
      <c r="F940" s="23"/>
      <c r="G940" s="21"/>
      <c r="H940" s="24">
        <v>44405</v>
      </c>
      <c r="I940" s="21" t="s">
        <v>473</v>
      </c>
      <c r="J940" s="21"/>
      <c r="K940" s="21">
        <v>78</v>
      </c>
      <c r="L940" s="21"/>
      <c r="M940" s="21"/>
      <c r="N940" s="21"/>
      <c r="O940" s="21"/>
      <c r="P940" s="21"/>
      <c r="Q940" s="21"/>
      <c r="R940" s="21"/>
      <c r="S940" s="21">
        <v>101400</v>
      </c>
      <c r="T940" s="21"/>
      <c r="U940" s="21"/>
      <c r="V940" s="21"/>
      <c r="W940" s="21"/>
    </row>
    <row r="941" spans="1:23" x14ac:dyDescent="0.25">
      <c r="A941" s="15" t="s">
        <v>1674</v>
      </c>
      <c r="B941" s="21" t="s">
        <v>13</v>
      </c>
      <c r="C941" s="22" t="s">
        <v>15</v>
      </c>
      <c r="D941" s="29">
        <v>44389</v>
      </c>
      <c r="E941" s="18" t="s">
        <v>23</v>
      </c>
      <c r="F941" s="18"/>
      <c r="G941" s="13"/>
      <c r="H941" s="19">
        <v>44391</v>
      </c>
      <c r="I941" s="74" t="s">
        <v>89</v>
      </c>
      <c r="J941" s="13"/>
      <c r="K941" s="13">
        <v>48</v>
      </c>
      <c r="L941" s="13"/>
      <c r="M941" s="13"/>
      <c r="N941" s="13"/>
      <c r="O941" s="13"/>
      <c r="P941" s="13"/>
      <c r="Q941" s="13"/>
      <c r="R941" s="13"/>
      <c r="S941" s="13">
        <v>34992</v>
      </c>
      <c r="T941" s="13"/>
      <c r="U941" s="13"/>
      <c r="V941" s="13"/>
      <c r="W941" s="13"/>
    </row>
    <row r="942" spans="1:23" s="28" customFormat="1" x14ac:dyDescent="0.25">
      <c r="A942" s="104" t="s">
        <v>1676</v>
      </c>
      <c r="B942" s="26" t="s">
        <v>13</v>
      </c>
      <c r="C942" s="22" t="s">
        <v>945</v>
      </c>
      <c r="D942" s="105">
        <v>44389</v>
      </c>
      <c r="E942" s="106" t="s">
        <v>23</v>
      </c>
      <c r="F942" s="106"/>
      <c r="G942" s="26"/>
      <c r="H942" s="107">
        <v>44396</v>
      </c>
      <c r="I942" s="26" t="s">
        <v>1675</v>
      </c>
      <c r="J942" s="26" t="s">
        <v>348</v>
      </c>
      <c r="K942" s="26"/>
      <c r="L942" s="26"/>
      <c r="M942" s="26"/>
      <c r="N942" s="26"/>
      <c r="O942" s="26"/>
      <c r="P942" s="26"/>
      <c r="Q942" s="26"/>
      <c r="R942" s="26"/>
      <c r="S942" s="26" t="s">
        <v>1248</v>
      </c>
      <c r="T942" s="26"/>
      <c r="U942" s="26"/>
      <c r="V942" s="26"/>
      <c r="W942" s="26"/>
    </row>
    <row r="943" spans="1:23" x14ac:dyDescent="0.25">
      <c r="A943" s="15" t="s">
        <v>1772</v>
      </c>
      <c r="B943" s="21" t="s">
        <v>13</v>
      </c>
      <c r="C943" s="22" t="s">
        <v>43</v>
      </c>
      <c r="D943" s="29">
        <v>44390</v>
      </c>
      <c r="E943" s="18" t="s">
        <v>677</v>
      </c>
      <c r="F943" s="18"/>
      <c r="G943" s="13"/>
      <c r="H943" s="31"/>
      <c r="I943" s="13" t="s">
        <v>1677</v>
      </c>
      <c r="J943" s="13" t="s">
        <v>54</v>
      </c>
      <c r="K943" s="13"/>
      <c r="L943" s="13"/>
      <c r="M943" s="13"/>
      <c r="N943" s="13"/>
      <c r="O943" s="13"/>
      <c r="P943" s="13"/>
      <c r="Q943" s="13"/>
      <c r="R943" s="13"/>
      <c r="S943" s="13" t="s">
        <v>196</v>
      </c>
      <c r="T943" s="13"/>
      <c r="U943" s="13"/>
      <c r="V943" s="13"/>
      <c r="W943" s="13"/>
    </row>
    <row r="944" spans="1:23" x14ac:dyDescent="0.25">
      <c r="A944" s="15" t="s">
        <v>1772</v>
      </c>
      <c r="B944" s="21" t="s">
        <v>13</v>
      </c>
      <c r="C944" s="22" t="s">
        <v>43</v>
      </c>
      <c r="D944" s="29">
        <v>44390</v>
      </c>
      <c r="E944" s="18" t="s">
        <v>677</v>
      </c>
      <c r="F944" s="18"/>
      <c r="G944" s="13"/>
      <c r="H944" s="31"/>
      <c r="I944" s="13" t="s">
        <v>174</v>
      </c>
      <c r="J944" s="13" t="s">
        <v>1679</v>
      </c>
      <c r="K944" s="13"/>
      <c r="L944" s="13"/>
      <c r="M944" s="13"/>
      <c r="N944" s="13"/>
      <c r="O944" s="13"/>
      <c r="P944" s="13"/>
      <c r="Q944" s="13"/>
      <c r="R944" s="13"/>
      <c r="S944" s="13" t="s">
        <v>1681</v>
      </c>
      <c r="T944" s="13"/>
      <c r="U944" s="13"/>
      <c r="V944" s="13"/>
      <c r="W944" s="13"/>
    </row>
    <row r="945" spans="1:23" x14ac:dyDescent="0.25">
      <c r="A945" s="15" t="s">
        <v>1772</v>
      </c>
      <c r="B945" s="21" t="s">
        <v>13</v>
      </c>
      <c r="C945" s="22" t="s">
        <v>43</v>
      </c>
      <c r="D945" s="29">
        <v>44390</v>
      </c>
      <c r="E945" s="18" t="s">
        <v>677</v>
      </c>
      <c r="F945" s="18"/>
      <c r="G945" s="13"/>
      <c r="H945" s="31"/>
      <c r="I945" s="13" t="s">
        <v>1678</v>
      </c>
      <c r="J945" s="13" t="s">
        <v>1680</v>
      </c>
      <c r="K945" s="13"/>
      <c r="L945" s="13"/>
      <c r="M945" s="13"/>
      <c r="N945" s="13"/>
      <c r="O945" s="13"/>
      <c r="P945" s="13"/>
      <c r="Q945" s="13"/>
      <c r="R945" s="13"/>
      <c r="S945" s="13" t="s">
        <v>1682</v>
      </c>
      <c r="T945" s="13"/>
      <c r="U945" s="13"/>
      <c r="V945" s="13"/>
      <c r="W945" s="13"/>
    </row>
    <row r="946" spans="1:23" x14ac:dyDescent="0.25">
      <c r="A946" s="15" t="s">
        <v>1772</v>
      </c>
      <c r="B946" s="21" t="s">
        <v>13</v>
      </c>
      <c r="C946" s="22" t="s">
        <v>43</v>
      </c>
      <c r="D946" s="29">
        <v>44390</v>
      </c>
      <c r="E946" s="18" t="s">
        <v>677</v>
      </c>
      <c r="F946" s="18"/>
      <c r="G946" s="13"/>
      <c r="H946" s="31"/>
      <c r="I946" s="13" t="s">
        <v>173</v>
      </c>
      <c r="J946" s="13" t="s">
        <v>1680</v>
      </c>
      <c r="K946" s="13"/>
      <c r="L946" s="13"/>
      <c r="M946" s="13"/>
      <c r="N946" s="13"/>
      <c r="O946" s="13"/>
      <c r="P946" s="13"/>
      <c r="Q946" s="13"/>
      <c r="R946" s="13"/>
      <c r="S946" s="13" t="s">
        <v>1683</v>
      </c>
      <c r="T946" s="13"/>
      <c r="U946" s="13"/>
      <c r="V946" s="13"/>
      <c r="W946" s="13"/>
    </row>
    <row r="947" spans="1:23" x14ac:dyDescent="0.25">
      <c r="A947" s="15" t="s">
        <v>521</v>
      </c>
      <c r="B947" s="21" t="s">
        <v>13</v>
      </c>
      <c r="C947" s="22" t="s">
        <v>15</v>
      </c>
      <c r="D947" s="29">
        <v>44390</v>
      </c>
      <c r="E947" s="18" t="s">
        <v>23</v>
      </c>
      <c r="F947" s="18"/>
      <c r="G947" s="13"/>
      <c r="H947" s="19">
        <v>44393</v>
      </c>
      <c r="I947" s="74" t="s">
        <v>89</v>
      </c>
      <c r="J947" s="13"/>
      <c r="K947" s="13">
        <v>48</v>
      </c>
      <c r="L947" s="13"/>
      <c r="M947" s="13"/>
      <c r="N947" s="13"/>
      <c r="O947" s="13"/>
      <c r="P947" s="13"/>
      <c r="Q947" s="13"/>
      <c r="R947" s="13"/>
      <c r="S947" s="13">
        <v>34992</v>
      </c>
      <c r="T947" s="13"/>
      <c r="U947" s="13"/>
      <c r="V947" s="13"/>
      <c r="W947" s="13"/>
    </row>
    <row r="948" spans="1:23" x14ac:dyDescent="0.25">
      <c r="A948" s="104">
        <v>328</v>
      </c>
      <c r="B948" s="26" t="s">
        <v>13</v>
      </c>
      <c r="C948" s="22" t="s">
        <v>625</v>
      </c>
      <c r="D948" s="105">
        <v>44390</v>
      </c>
      <c r="E948" s="106" t="s">
        <v>23</v>
      </c>
      <c r="F948" s="106"/>
      <c r="G948" s="26"/>
      <c r="H948" s="107">
        <v>44396</v>
      </c>
      <c r="I948" s="26" t="s">
        <v>1684</v>
      </c>
      <c r="J948" s="13">
        <v>2034</v>
      </c>
      <c r="K948" s="13" t="s">
        <v>1685</v>
      </c>
      <c r="L948" s="13">
        <v>0.13450000000000001</v>
      </c>
      <c r="M948" s="13">
        <v>0.35499999999999998</v>
      </c>
      <c r="N948" s="13">
        <v>273.57299999999998</v>
      </c>
      <c r="O948" s="13">
        <v>722.07</v>
      </c>
      <c r="P948" s="13">
        <v>35.56</v>
      </c>
      <c r="Q948" s="13">
        <v>26.9</v>
      </c>
      <c r="R948" s="13">
        <v>200</v>
      </c>
      <c r="S948" s="13">
        <v>54714.6</v>
      </c>
      <c r="T948" s="13"/>
      <c r="U948" s="13"/>
      <c r="V948" s="13"/>
      <c r="W948" s="13"/>
    </row>
    <row r="949" spans="1:23" x14ac:dyDescent="0.25">
      <c r="A949" s="104">
        <v>328</v>
      </c>
      <c r="B949" s="26" t="s">
        <v>13</v>
      </c>
      <c r="C949" s="22" t="s">
        <v>625</v>
      </c>
      <c r="D949" s="105">
        <v>44390</v>
      </c>
      <c r="E949" s="106" t="s">
        <v>23</v>
      </c>
      <c r="F949" s="106"/>
      <c r="G949" s="26"/>
      <c r="H949" s="107">
        <v>44396</v>
      </c>
      <c r="I949" s="26" t="s">
        <v>1686</v>
      </c>
      <c r="J949" s="13">
        <v>1860</v>
      </c>
      <c r="K949" s="13" t="s">
        <v>1687</v>
      </c>
      <c r="L949" s="13">
        <v>0.1018</v>
      </c>
      <c r="M949" s="13">
        <v>0.26600000000000001</v>
      </c>
      <c r="N949" s="13">
        <v>189.34800000000001</v>
      </c>
      <c r="O949" s="13">
        <v>494.76</v>
      </c>
      <c r="P949" s="13">
        <v>24.62</v>
      </c>
      <c r="Q949" s="13">
        <v>20.36</v>
      </c>
      <c r="R949" s="13">
        <v>200</v>
      </c>
      <c r="S949" s="13">
        <v>37869.599999999999</v>
      </c>
      <c r="T949" s="13"/>
      <c r="U949" s="13"/>
      <c r="V949" s="13"/>
      <c r="W949" s="13"/>
    </row>
    <row r="950" spans="1:23" x14ac:dyDescent="0.25">
      <c r="A950" s="104">
        <v>328</v>
      </c>
      <c r="B950" s="26" t="s">
        <v>13</v>
      </c>
      <c r="C950" s="22" t="s">
        <v>625</v>
      </c>
      <c r="D950" s="105">
        <v>44390</v>
      </c>
      <c r="E950" s="106" t="s">
        <v>23</v>
      </c>
      <c r="F950" s="106"/>
      <c r="G950" s="26" t="s">
        <v>1706</v>
      </c>
      <c r="H950" s="107">
        <v>44396</v>
      </c>
      <c r="I950" s="26" t="s">
        <v>1688</v>
      </c>
      <c r="J950" s="13">
        <v>1752</v>
      </c>
      <c r="K950" s="13" t="s">
        <v>1689</v>
      </c>
      <c r="L950" s="13">
        <v>0.20730000000000001</v>
      </c>
      <c r="M950" s="13">
        <v>0.56100000000000005</v>
      </c>
      <c r="N950" s="13">
        <v>363.18959999999998</v>
      </c>
      <c r="O950" s="13">
        <v>982.87199999999996</v>
      </c>
      <c r="P950" s="13">
        <v>47.21</v>
      </c>
      <c r="Q950" s="13">
        <v>41.46</v>
      </c>
      <c r="R950" s="13">
        <v>200</v>
      </c>
      <c r="S950" s="13">
        <v>72637.919999999998</v>
      </c>
      <c r="T950" s="13"/>
      <c r="U950" s="13"/>
      <c r="V950" s="13"/>
      <c r="W950" s="13"/>
    </row>
    <row r="951" spans="1:23" x14ac:dyDescent="0.25">
      <c r="A951" s="104">
        <v>329</v>
      </c>
      <c r="B951" s="26" t="s">
        <v>13</v>
      </c>
      <c r="C951" s="22" t="s">
        <v>625</v>
      </c>
      <c r="D951" s="105">
        <v>44390</v>
      </c>
      <c r="E951" s="106" t="s">
        <v>23</v>
      </c>
      <c r="F951" s="106"/>
      <c r="G951" s="26" t="s">
        <v>1707</v>
      </c>
      <c r="H951" s="107">
        <v>44396</v>
      </c>
      <c r="I951" s="26" t="s">
        <v>1690</v>
      </c>
      <c r="J951" s="13">
        <v>112.5</v>
      </c>
      <c r="K951" s="13" t="s">
        <v>1393</v>
      </c>
      <c r="L951" s="13">
        <v>0.15329999999999999</v>
      </c>
      <c r="M951" s="13">
        <v>0.26600000000000001</v>
      </c>
      <c r="N951" s="13">
        <v>17.246300000000002</v>
      </c>
      <c r="O951" s="13">
        <v>29.925000000000001</v>
      </c>
      <c r="P951" s="13">
        <v>2.2400000000000002</v>
      </c>
      <c r="Q951" s="13">
        <v>45.99</v>
      </c>
      <c r="R951" s="13">
        <v>300</v>
      </c>
      <c r="S951" s="13">
        <v>5173.88</v>
      </c>
      <c r="T951" s="13"/>
      <c r="U951" s="13"/>
      <c r="V951" s="13"/>
      <c r="W951" s="13"/>
    </row>
    <row r="952" spans="1:23" x14ac:dyDescent="0.25">
      <c r="A952" s="15">
        <v>330</v>
      </c>
      <c r="B952" s="13" t="s">
        <v>34</v>
      </c>
      <c r="C952" s="22" t="s">
        <v>14</v>
      </c>
      <c r="D952" s="29">
        <v>44390</v>
      </c>
      <c r="E952" s="18" t="s">
        <v>23</v>
      </c>
      <c r="F952" s="18"/>
      <c r="G952" s="13"/>
      <c r="H952" s="31"/>
      <c r="I952" s="13" t="s">
        <v>628</v>
      </c>
      <c r="J952" s="13">
        <v>1343.1</v>
      </c>
      <c r="K952" s="13" t="s">
        <v>1001</v>
      </c>
      <c r="L952" s="13">
        <v>0.2009</v>
      </c>
      <c r="M952" s="13">
        <v>0.96</v>
      </c>
      <c r="N952" s="13">
        <v>269.8288</v>
      </c>
      <c r="O952" s="13">
        <v>1289.376</v>
      </c>
      <c r="P952" s="13">
        <v>35.08</v>
      </c>
      <c r="Q952" s="13">
        <v>56.25</v>
      </c>
      <c r="R952" s="13">
        <v>280</v>
      </c>
      <c r="S952" s="13">
        <v>75552.06</v>
      </c>
      <c r="T952" s="13"/>
      <c r="U952" s="13"/>
      <c r="V952" s="13"/>
      <c r="W952" s="13"/>
    </row>
    <row r="953" spans="1:23" x14ac:dyDescent="0.25">
      <c r="A953" s="15">
        <v>331</v>
      </c>
      <c r="B953" s="13" t="s">
        <v>34</v>
      </c>
      <c r="C953" s="22" t="s">
        <v>14</v>
      </c>
      <c r="D953" s="29">
        <v>44390</v>
      </c>
      <c r="E953" s="18" t="s">
        <v>23</v>
      </c>
      <c r="F953" s="18"/>
      <c r="G953" s="13"/>
      <c r="H953" s="31"/>
      <c r="I953" s="13" t="s">
        <v>1655</v>
      </c>
      <c r="J953" s="13">
        <v>484</v>
      </c>
      <c r="K953" s="13" t="s">
        <v>113</v>
      </c>
      <c r="L953" s="13">
        <v>0.1061</v>
      </c>
      <c r="M953" s="13">
        <v>0.63800000000000001</v>
      </c>
      <c r="N953" s="13">
        <v>51.352400000000003</v>
      </c>
      <c r="O953" s="13">
        <v>308.79199999999997</v>
      </c>
      <c r="P953" s="13">
        <v>6.68</v>
      </c>
      <c r="Q953" s="13">
        <v>29.71</v>
      </c>
      <c r="R953" s="13">
        <v>280</v>
      </c>
      <c r="S953" s="13">
        <v>14378.67</v>
      </c>
      <c r="T953" s="13"/>
      <c r="U953" s="13"/>
      <c r="V953" s="13"/>
      <c r="W953" s="13"/>
    </row>
    <row r="954" spans="1:23" x14ac:dyDescent="0.25">
      <c r="A954" s="15">
        <v>332</v>
      </c>
      <c r="B954" s="13" t="s">
        <v>34</v>
      </c>
      <c r="C954" s="22" t="s">
        <v>19</v>
      </c>
      <c r="D954" s="29">
        <v>44390</v>
      </c>
      <c r="E954" s="18" t="s">
        <v>23</v>
      </c>
      <c r="F954" s="18"/>
      <c r="G954" s="13" t="s">
        <v>1947</v>
      </c>
      <c r="H954" s="31"/>
      <c r="I954" s="13" t="s">
        <v>1117</v>
      </c>
      <c r="J954" s="13">
        <v>332.5</v>
      </c>
      <c r="K954" s="13" t="s">
        <v>1178</v>
      </c>
      <c r="L954" s="13">
        <v>0.27160000000000001</v>
      </c>
      <c r="M954" s="13">
        <v>0.72799999999999998</v>
      </c>
      <c r="N954" s="13">
        <v>90.307000000000002</v>
      </c>
      <c r="O954" s="13">
        <v>242.06</v>
      </c>
      <c r="P954" s="13">
        <v>11.74</v>
      </c>
      <c r="Q954" s="13">
        <v>58.94</v>
      </c>
      <c r="R954" s="13">
        <v>217</v>
      </c>
      <c r="S954" s="13">
        <v>19596.62</v>
      </c>
      <c r="T954" s="13"/>
      <c r="U954" s="13"/>
      <c r="V954" s="13"/>
      <c r="W954" s="13"/>
    </row>
    <row r="955" spans="1:23" x14ac:dyDescent="0.25">
      <c r="A955" s="15" t="s">
        <v>1693</v>
      </c>
      <c r="B955" s="13" t="s">
        <v>34</v>
      </c>
      <c r="C955" s="22" t="s">
        <v>16</v>
      </c>
      <c r="D955" s="29">
        <v>44390</v>
      </c>
      <c r="E955" s="18" t="s">
        <v>23</v>
      </c>
      <c r="F955" s="18"/>
      <c r="G955" s="13" t="s">
        <v>1943</v>
      </c>
      <c r="H955" s="31"/>
      <c r="I955" s="13" t="s">
        <v>862</v>
      </c>
      <c r="J955" s="13">
        <v>1866</v>
      </c>
      <c r="K955" s="13" t="s">
        <v>1692</v>
      </c>
      <c r="L955" s="13">
        <v>0.29970000000000002</v>
      </c>
      <c r="M955" s="13">
        <v>1.6739999999999999</v>
      </c>
      <c r="N955" s="13">
        <v>559.24019999999996</v>
      </c>
      <c r="O955" s="13">
        <v>3123.6840000000002</v>
      </c>
      <c r="P955" s="13">
        <v>72.7</v>
      </c>
      <c r="Q955" s="13">
        <v>89.91</v>
      </c>
      <c r="R955" s="13">
        <v>300</v>
      </c>
      <c r="S955" s="13">
        <v>167772.06</v>
      </c>
      <c r="T955" s="13"/>
      <c r="U955" s="13"/>
      <c r="V955" s="13"/>
      <c r="W955" s="13"/>
    </row>
    <row r="956" spans="1:23" x14ac:dyDescent="0.25">
      <c r="A956" s="15" t="s">
        <v>1773</v>
      </c>
      <c r="B956" s="21" t="s">
        <v>13</v>
      </c>
      <c r="C956" s="22" t="s">
        <v>1696</v>
      </c>
      <c r="D956" s="29">
        <v>44392</v>
      </c>
      <c r="E956" s="18" t="s">
        <v>23</v>
      </c>
      <c r="F956" s="18"/>
      <c r="G956" s="18"/>
      <c r="H956" s="19">
        <v>44431</v>
      </c>
      <c r="I956" s="13" t="s">
        <v>1697</v>
      </c>
      <c r="J956" s="13" t="s">
        <v>1798</v>
      </c>
      <c r="K956" s="13">
        <v>1468</v>
      </c>
      <c r="L956" s="13"/>
      <c r="M956" s="13"/>
      <c r="N956" s="13"/>
      <c r="O956" s="13"/>
      <c r="P956" s="13"/>
      <c r="Q956" s="13"/>
      <c r="R956" s="13"/>
      <c r="S956" s="13" t="s">
        <v>1805</v>
      </c>
      <c r="T956" s="13"/>
      <c r="U956" s="13"/>
      <c r="V956" s="13"/>
      <c r="W956" s="13"/>
    </row>
    <row r="957" spans="1:23" x14ac:dyDescent="0.25">
      <c r="A957" s="15" t="s">
        <v>1773</v>
      </c>
      <c r="B957" s="21" t="s">
        <v>13</v>
      </c>
      <c r="C957" s="22" t="s">
        <v>1696</v>
      </c>
      <c r="D957" s="29">
        <v>44392</v>
      </c>
      <c r="E957" s="18" t="s">
        <v>23</v>
      </c>
      <c r="F957" s="18"/>
      <c r="G957" s="18"/>
      <c r="H957" s="19">
        <v>44431</v>
      </c>
      <c r="I957" s="13" t="s">
        <v>1698</v>
      </c>
      <c r="J957" s="13" t="s">
        <v>1799</v>
      </c>
      <c r="K957" s="13">
        <v>332</v>
      </c>
      <c r="L957" s="13"/>
      <c r="M957" s="13"/>
      <c r="N957" s="13"/>
      <c r="O957" s="13"/>
      <c r="P957" s="13"/>
      <c r="Q957" s="13"/>
      <c r="R957" s="13"/>
      <c r="S957" s="13" t="s">
        <v>1806</v>
      </c>
      <c r="T957" s="13"/>
      <c r="U957" s="13"/>
      <c r="V957" s="13"/>
      <c r="W957" s="13"/>
    </row>
    <row r="958" spans="1:23" x14ac:dyDescent="0.25">
      <c r="A958" s="15" t="s">
        <v>1773</v>
      </c>
      <c r="B958" s="21" t="s">
        <v>13</v>
      </c>
      <c r="C958" s="22" t="s">
        <v>1696</v>
      </c>
      <c r="D958" s="29">
        <v>44392</v>
      </c>
      <c r="E958" s="18" t="s">
        <v>23</v>
      </c>
      <c r="F958" s="18"/>
      <c r="G958" s="18"/>
      <c r="H958" s="19">
        <v>44431</v>
      </c>
      <c r="I958" s="13" t="s">
        <v>1699</v>
      </c>
      <c r="J958" s="13" t="s">
        <v>1800</v>
      </c>
      <c r="K958" s="13">
        <v>430</v>
      </c>
      <c r="L958" s="13"/>
      <c r="M958" s="13"/>
      <c r="N958" s="13"/>
      <c r="O958" s="13"/>
      <c r="P958" s="13"/>
      <c r="Q958" s="13"/>
      <c r="R958" s="13"/>
      <c r="S958" s="13" t="s">
        <v>1807</v>
      </c>
      <c r="T958" s="13"/>
      <c r="U958" s="13"/>
      <c r="V958" s="13"/>
      <c r="W958" s="13"/>
    </row>
    <row r="959" spans="1:23" x14ac:dyDescent="0.25">
      <c r="A959" s="15" t="s">
        <v>1773</v>
      </c>
      <c r="B959" s="21" t="s">
        <v>13</v>
      </c>
      <c r="C959" s="22" t="s">
        <v>1696</v>
      </c>
      <c r="D959" s="29">
        <v>44392</v>
      </c>
      <c r="E959" s="18" t="s">
        <v>23</v>
      </c>
      <c r="F959" s="18"/>
      <c r="G959" s="18"/>
      <c r="H959" s="19">
        <v>44431</v>
      </c>
      <c r="I959" s="13" t="s">
        <v>1700</v>
      </c>
      <c r="J959" s="13" t="s">
        <v>1801</v>
      </c>
      <c r="K959" s="13">
        <v>270</v>
      </c>
      <c r="L959" s="13"/>
      <c r="M959" s="13"/>
      <c r="N959" s="13"/>
      <c r="O959" s="13"/>
      <c r="P959" s="13"/>
      <c r="Q959" s="13"/>
      <c r="R959" s="13"/>
      <c r="S959" s="13" t="s">
        <v>1808</v>
      </c>
      <c r="T959" s="13"/>
      <c r="U959" s="13"/>
      <c r="V959" s="13"/>
      <c r="W959" s="13"/>
    </row>
    <row r="960" spans="1:23" x14ac:dyDescent="0.25">
      <c r="A960" s="15" t="s">
        <v>1773</v>
      </c>
      <c r="B960" s="21" t="s">
        <v>13</v>
      </c>
      <c r="C960" s="22" t="s">
        <v>1696</v>
      </c>
      <c r="D960" s="29">
        <v>44392</v>
      </c>
      <c r="E960" s="18" t="s">
        <v>23</v>
      </c>
      <c r="F960" s="18"/>
      <c r="G960" s="18"/>
      <c r="H960" s="19">
        <v>44431</v>
      </c>
      <c r="I960" s="13" t="s">
        <v>1701</v>
      </c>
      <c r="J960" s="13" t="s">
        <v>1802</v>
      </c>
      <c r="K960" s="13">
        <v>279</v>
      </c>
      <c r="L960" s="13"/>
      <c r="M960" s="13"/>
      <c r="N960" s="13"/>
      <c r="O960" s="13"/>
      <c r="P960" s="13"/>
      <c r="Q960" s="13"/>
      <c r="R960" s="13"/>
      <c r="S960" s="13" t="s">
        <v>1809</v>
      </c>
      <c r="T960" s="13"/>
      <c r="U960" s="13"/>
      <c r="V960" s="13"/>
      <c r="W960" s="13"/>
    </row>
    <row r="961" spans="1:23" x14ac:dyDescent="0.25">
      <c r="A961" s="15" t="s">
        <v>1773</v>
      </c>
      <c r="B961" s="21" t="s">
        <v>13</v>
      </c>
      <c r="C961" s="22" t="s">
        <v>1696</v>
      </c>
      <c r="D961" s="29">
        <v>44392</v>
      </c>
      <c r="E961" s="18" t="s">
        <v>23</v>
      </c>
      <c r="F961" s="18"/>
      <c r="G961" s="18"/>
      <c r="H961" s="19">
        <v>44431</v>
      </c>
      <c r="I961" s="13" t="s">
        <v>537</v>
      </c>
      <c r="J961" s="13" t="s">
        <v>1640</v>
      </c>
      <c r="K961" s="13">
        <v>304</v>
      </c>
      <c r="L961" s="13"/>
      <c r="M961" s="13"/>
      <c r="N961" s="13"/>
      <c r="O961" s="13"/>
      <c r="P961" s="13"/>
      <c r="Q961" s="13"/>
      <c r="R961" s="13"/>
      <c r="S961" s="13" t="s">
        <v>1810</v>
      </c>
      <c r="T961" s="13"/>
      <c r="U961" s="13"/>
      <c r="V961" s="13"/>
      <c r="W961" s="13"/>
    </row>
    <row r="962" spans="1:23" x14ac:dyDescent="0.25">
      <c r="A962" s="15" t="s">
        <v>1773</v>
      </c>
      <c r="B962" s="21" t="s">
        <v>13</v>
      </c>
      <c r="C962" s="22" t="s">
        <v>1696</v>
      </c>
      <c r="D962" s="29">
        <v>44392</v>
      </c>
      <c r="E962" s="18" t="s">
        <v>23</v>
      </c>
      <c r="F962" s="18"/>
      <c r="G962" s="18"/>
      <c r="H962" s="19">
        <v>44431</v>
      </c>
      <c r="I962" s="13" t="s">
        <v>1702</v>
      </c>
      <c r="J962" s="13" t="s">
        <v>1803</v>
      </c>
      <c r="K962" s="13">
        <v>794</v>
      </c>
      <c r="L962" s="13"/>
      <c r="M962" s="13"/>
      <c r="N962" s="13"/>
      <c r="O962" s="13"/>
      <c r="P962" s="13"/>
      <c r="Q962" s="13"/>
      <c r="R962" s="13"/>
      <c r="S962" s="13" t="s">
        <v>1811</v>
      </c>
      <c r="T962" s="13"/>
      <c r="U962" s="13"/>
      <c r="V962" s="13"/>
      <c r="W962" s="13"/>
    </row>
    <row r="963" spans="1:23" x14ac:dyDescent="0.25">
      <c r="A963" s="15" t="s">
        <v>1773</v>
      </c>
      <c r="B963" s="21" t="s">
        <v>13</v>
      </c>
      <c r="C963" s="22" t="s">
        <v>1696</v>
      </c>
      <c r="D963" s="29">
        <v>44392</v>
      </c>
      <c r="E963" s="18" t="s">
        <v>23</v>
      </c>
      <c r="F963" s="18"/>
      <c r="G963" s="18"/>
      <c r="H963" s="19">
        <v>44431</v>
      </c>
      <c r="I963" s="13" t="s">
        <v>539</v>
      </c>
      <c r="J963" s="13" t="s">
        <v>1804</v>
      </c>
      <c r="K963" s="13">
        <v>373</v>
      </c>
      <c r="L963" s="13"/>
      <c r="M963" s="13"/>
      <c r="N963" s="13"/>
      <c r="O963" s="13"/>
      <c r="P963" s="13"/>
      <c r="Q963" s="13"/>
      <c r="R963" s="13"/>
      <c r="S963" s="13" t="s">
        <v>1812</v>
      </c>
      <c r="T963" s="13"/>
      <c r="U963" s="13"/>
      <c r="V963" s="13"/>
      <c r="W963" s="13"/>
    </row>
    <row r="964" spans="1:23" x14ac:dyDescent="0.25">
      <c r="A964" s="15" t="s">
        <v>564</v>
      </c>
      <c r="B964" s="13" t="s">
        <v>13</v>
      </c>
      <c r="C964" s="22" t="s">
        <v>30</v>
      </c>
      <c r="D964" s="29">
        <v>44392</v>
      </c>
      <c r="E964" s="18" t="s">
        <v>23</v>
      </c>
      <c r="F964" s="18"/>
      <c r="G964" s="13"/>
      <c r="H964" s="19">
        <v>44396</v>
      </c>
      <c r="I964" s="13" t="s">
        <v>871</v>
      </c>
      <c r="J964" s="13"/>
      <c r="K964" s="13" t="s">
        <v>1703</v>
      </c>
      <c r="L964" s="13"/>
      <c r="M964" s="13"/>
      <c r="N964" s="13"/>
      <c r="O964" s="13"/>
      <c r="P964" s="13"/>
      <c r="Q964" s="13"/>
      <c r="R964" s="13"/>
      <c r="S964" s="13" t="s">
        <v>1704</v>
      </c>
      <c r="T964" s="13"/>
      <c r="U964" s="13"/>
      <c r="V964" s="13"/>
      <c r="W964" s="13"/>
    </row>
    <row r="965" spans="1:23" x14ac:dyDescent="0.25">
      <c r="A965" s="15" t="s">
        <v>564</v>
      </c>
      <c r="B965" s="13" t="s">
        <v>13</v>
      </c>
      <c r="C965" s="22" t="s">
        <v>30</v>
      </c>
      <c r="D965" s="29">
        <v>44392</v>
      </c>
      <c r="E965" s="18" t="s">
        <v>23</v>
      </c>
      <c r="F965" s="18"/>
      <c r="G965" s="13"/>
      <c r="H965" s="19">
        <v>44396</v>
      </c>
      <c r="I965" s="13" t="s">
        <v>872</v>
      </c>
      <c r="J965" s="13"/>
      <c r="K965" s="13" t="s">
        <v>357</v>
      </c>
      <c r="L965" s="13"/>
      <c r="M965" s="13"/>
      <c r="N965" s="13"/>
      <c r="O965" s="13"/>
      <c r="P965" s="13"/>
      <c r="Q965" s="13"/>
      <c r="R965" s="13"/>
      <c r="S965" s="13" t="s">
        <v>942</v>
      </c>
      <c r="T965" s="13"/>
      <c r="U965" s="13"/>
      <c r="V965" s="13"/>
      <c r="W965" s="13"/>
    </row>
    <row r="966" spans="1:23" x14ac:dyDescent="0.25">
      <c r="A966" s="15" t="s">
        <v>565</v>
      </c>
      <c r="B966" s="13" t="s">
        <v>13</v>
      </c>
      <c r="C966" s="22" t="s">
        <v>30</v>
      </c>
      <c r="D966" s="29">
        <v>44392</v>
      </c>
      <c r="E966" s="18" t="s">
        <v>23</v>
      </c>
      <c r="F966" s="18"/>
      <c r="G966" s="13"/>
      <c r="H966" s="19">
        <v>44396</v>
      </c>
      <c r="I966" s="13" t="s">
        <v>568</v>
      </c>
      <c r="J966" s="13"/>
      <c r="K966" s="13" t="s">
        <v>26</v>
      </c>
      <c r="L966" s="13"/>
      <c r="M966" s="13"/>
      <c r="N966" s="13"/>
      <c r="O966" s="13"/>
      <c r="P966" s="13"/>
      <c r="Q966" s="13"/>
      <c r="R966" s="13"/>
      <c r="S966" s="13" t="s">
        <v>569</v>
      </c>
      <c r="T966" s="13"/>
      <c r="U966" s="13"/>
      <c r="V966" s="13"/>
      <c r="W966" s="13"/>
    </row>
    <row r="967" spans="1:23" x14ac:dyDescent="0.25">
      <c r="A967" s="15" t="s">
        <v>565</v>
      </c>
      <c r="B967" s="13" t="s">
        <v>13</v>
      </c>
      <c r="C967" s="22" t="s">
        <v>30</v>
      </c>
      <c r="D967" s="29">
        <v>44392</v>
      </c>
      <c r="E967" s="18" t="s">
        <v>23</v>
      </c>
      <c r="F967" s="18"/>
      <c r="G967" s="13"/>
      <c r="H967" s="19">
        <v>44396</v>
      </c>
      <c r="I967" s="13" t="s">
        <v>742</v>
      </c>
      <c r="J967" s="13"/>
      <c r="K967" s="13" t="s">
        <v>369</v>
      </c>
      <c r="L967" s="13"/>
      <c r="M967" s="13"/>
      <c r="N967" s="13"/>
      <c r="O967" s="13"/>
      <c r="P967" s="13"/>
      <c r="Q967" s="13"/>
      <c r="R967" s="13"/>
      <c r="S967" s="13" t="s">
        <v>126</v>
      </c>
      <c r="T967" s="13"/>
      <c r="U967" s="13"/>
      <c r="V967" s="13"/>
      <c r="W967" s="13"/>
    </row>
    <row r="968" spans="1:23" x14ac:dyDescent="0.25">
      <c r="A968" s="15" t="s">
        <v>565</v>
      </c>
      <c r="B968" s="13" t="s">
        <v>13</v>
      </c>
      <c r="C968" s="22" t="s">
        <v>30</v>
      </c>
      <c r="D968" s="29">
        <v>44392</v>
      </c>
      <c r="E968" s="18" t="s">
        <v>23</v>
      </c>
      <c r="F968" s="18"/>
      <c r="G968" s="13"/>
      <c r="H968" s="19">
        <v>44396</v>
      </c>
      <c r="I968" s="13" t="s">
        <v>730</v>
      </c>
      <c r="J968" s="13"/>
      <c r="K968" s="13" t="s">
        <v>123</v>
      </c>
      <c r="L968" s="13"/>
      <c r="M968" s="13"/>
      <c r="N968" s="13"/>
      <c r="O968" s="13"/>
      <c r="P968" s="13"/>
      <c r="Q968" s="13"/>
      <c r="R968" s="13"/>
      <c r="S968" s="13" t="s">
        <v>158</v>
      </c>
      <c r="T968" s="13"/>
      <c r="U968" s="13"/>
      <c r="V968" s="13"/>
      <c r="W968" s="13"/>
    </row>
    <row r="969" spans="1:23" x14ac:dyDescent="0.25">
      <c r="A969" s="15" t="s">
        <v>565</v>
      </c>
      <c r="B969" s="13" t="s">
        <v>13</v>
      </c>
      <c r="C969" s="22" t="s">
        <v>30</v>
      </c>
      <c r="D969" s="29">
        <v>44392</v>
      </c>
      <c r="E969" s="18" t="s">
        <v>23</v>
      </c>
      <c r="F969" s="18"/>
      <c r="G969" s="13"/>
      <c r="H969" s="19">
        <v>44396</v>
      </c>
      <c r="I969" s="13" t="s">
        <v>731</v>
      </c>
      <c r="J969" s="13"/>
      <c r="K969" s="13" t="s">
        <v>529</v>
      </c>
      <c r="L969" s="13"/>
      <c r="M969" s="13"/>
      <c r="N969" s="13"/>
      <c r="O969" s="13"/>
      <c r="P969" s="13"/>
      <c r="Q969" s="13"/>
      <c r="R969" s="13"/>
      <c r="S969" s="13" t="s">
        <v>748</v>
      </c>
      <c r="T969" s="13"/>
      <c r="U969" s="13"/>
      <c r="V969" s="13"/>
      <c r="W969" s="13"/>
    </row>
    <row r="970" spans="1:23" x14ac:dyDescent="0.25">
      <c r="A970" s="15" t="s">
        <v>565</v>
      </c>
      <c r="B970" s="13" t="s">
        <v>13</v>
      </c>
      <c r="C970" s="22" t="s">
        <v>30</v>
      </c>
      <c r="D970" s="29">
        <v>44392</v>
      </c>
      <c r="E970" s="18" t="s">
        <v>23</v>
      </c>
      <c r="F970" s="18"/>
      <c r="G970" s="13"/>
      <c r="H970" s="19">
        <v>44396</v>
      </c>
      <c r="I970" s="13" t="s">
        <v>732</v>
      </c>
      <c r="J970" s="13"/>
      <c r="K970" s="13" t="s">
        <v>123</v>
      </c>
      <c r="L970" s="13"/>
      <c r="M970" s="13"/>
      <c r="N970" s="13"/>
      <c r="O970" s="13"/>
      <c r="P970" s="13"/>
      <c r="Q970" s="13"/>
      <c r="R970" s="13"/>
      <c r="S970" s="13" t="s">
        <v>586</v>
      </c>
      <c r="T970" s="13"/>
      <c r="U970" s="13"/>
      <c r="V970" s="13"/>
      <c r="W970" s="13"/>
    </row>
    <row r="971" spans="1:23" x14ac:dyDescent="0.25">
      <c r="A971" s="15" t="s">
        <v>565</v>
      </c>
      <c r="B971" s="13" t="s">
        <v>13</v>
      </c>
      <c r="C971" s="22" t="s">
        <v>30</v>
      </c>
      <c r="D971" s="29">
        <v>44392</v>
      </c>
      <c r="E971" s="18" t="s">
        <v>23</v>
      </c>
      <c r="F971" s="18"/>
      <c r="G971" s="13"/>
      <c r="H971" s="19">
        <v>44396</v>
      </c>
      <c r="I971" s="13" t="s">
        <v>440</v>
      </c>
      <c r="J971" s="13"/>
      <c r="K971" s="13" t="s">
        <v>123</v>
      </c>
      <c r="L971" s="13"/>
      <c r="M971" s="13"/>
      <c r="N971" s="13"/>
      <c r="O971" s="13"/>
      <c r="P971" s="13"/>
      <c r="Q971" s="13"/>
      <c r="R971" s="13"/>
      <c r="S971" s="13" t="s">
        <v>97</v>
      </c>
      <c r="T971" s="13"/>
      <c r="U971" s="13"/>
      <c r="V971" s="13"/>
      <c r="W971" s="13"/>
    </row>
    <row r="972" spans="1:23" x14ac:dyDescent="0.25">
      <c r="A972" s="15" t="s">
        <v>565</v>
      </c>
      <c r="B972" s="13" t="s">
        <v>13</v>
      </c>
      <c r="C972" s="22" t="s">
        <v>30</v>
      </c>
      <c r="D972" s="29">
        <v>44392</v>
      </c>
      <c r="E972" s="18" t="s">
        <v>23</v>
      </c>
      <c r="F972" s="18"/>
      <c r="G972" s="13"/>
      <c r="H972" s="19">
        <v>44396</v>
      </c>
      <c r="I972" s="13" t="s">
        <v>743</v>
      </c>
      <c r="J972" s="13"/>
      <c r="K972" s="13" t="s">
        <v>446</v>
      </c>
      <c r="L972" s="13"/>
      <c r="M972" s="13"/>
      <c r="N972" s="13"/>
      <c r="O972" s="13"/>
      <c r="P972" s="13"/>
      <c r="Q972" s="13"/>
      <c r="R972" s="13"/>
      <c r="S972" s="13" t="s">
        <v>1104</v>
      </c>
      <c r="T972" s="13"/>
      <c r="U972" s="13"/>
      <c r="V972" s="13"/>
      <c r="W972" s="13"/>
    </row>
    <row r="973" spans="1:23" x14ac:dyDescent="0.25">
      <c r="A973" s="15" t="s">
        <v>565</v>
      </c>
      <c r="B973" s="13" t="s">
        <v>13</v>
      </c>
      <c r="C973" s="22" t="s">
        <v>30</v>
      </c>
      <c r="D973" s="29">
        <v>44392</v>
      </c>
      <c r="E973" s="18" t="s">
        <v>23</v>
      </c>
      <c r="F973" s="18"/>
      <c r="G973" s="13"/>
      <c r="H973" s="19">
        <v>44396</v>
      </c>
      <c r="I973" s="13" t="s">
        <v>744</v>
      </c>
      <c r="J973" s="13"/>
      <c r="K973" s="13" t="s">
        <v>746</v>
      </c>
      <c r="L973" s="13"/>
      <c r="M973" s="13"/>
      <c r="N973" s="13"/>
      <c r="O973" s="13"/>
      <c r="P973" s="13"/>
      <c r="Q973" s="13"/>
      <c r="R973" s="13"/>
      <c r="S973" s="13" t="s">
        <v>1105</v>
      </c>
      <c r="T973" s="13"/>
      <c r="U973" s="13"/>
      <c r="V973" s="13"/>
      <c r="W973" s="13"/>
    </row>
    <row r="974" spans="1:23" x14ac:dyDescent="0.25">
      <c r="A974" s="15" t="s">
        <v>565</v>
      </c>
      <c r="B974" s="13" t="s">
        <v>13</v>
      </c>
      <c r="C974" s="22" t="s">
        <v>30</v>
      </c>
      <c r="D974" s="29">
        <v>44392</v>
      </c>
      <c r="E974" s="18" t="s">
        <v>23</v>
      </c>
      <c r="F974" s="18"/>
      <c r="G974" s="13"/>
      <c r="H974" s="19">
        <v>44396</v>
      </c>
      <c r="I974" s="13" t="s">
        <v>733</v>
      </c>
      <c r="J974" s="13"/>
      <c r="K974" s="13" t="s">
        <v>446</v>
      </c>
      <c r="L974" s="13"/>
      <c r="M974" s="13"/>
      <c r="N974" s="13"/>
      <c r="O974" s="13"/>
      <c r="P974" s="13"/>
      <c r="Q974" s="13"/>
      <c r="R974" s="13"/>
      <c r="S974" s="13" t="s">
        <v>749</v>
      </c>
      <c r="T974" s="13"/>
      <c r="U974" s="13"/>
      <c r="V974" s="13"/>
      <c r="W974" s="13"/>
    </row>
    <row r="975" spans="1:23" x14ac:dyDescent="0.25">
      <c r="A975" s="15" t="s">
        <v>565</v>
      </c>
      <c r="B975" s="13" t="s">
        <v>13</v>
      </c>
      <c r="C975" s="22" t="s">
        <v>30</v>
      </c>
      <c r="D975" s="29">
        <v>44392</v>
      </c>
      <c r="E975" s="18" t="s">
        <v>23</v>
      </c>
      <c r="F975" s="18"/>
      <c r="G975" s="13"/>
      <c r="H975" s="19">
        <v>44396</v>
      </c>
      <c r="I975" s="13" t="s">
        <v>734</v>
      </c>
      <c r="J975" s="13"/>
      <c r="K975" s="13" t="s">
        <v>26</v>
      </c>
      <c r="L975" s="13"/>
      <c r="M975" s="13"/>
      <c r="N975" s="13"/>
      <c r="O975" s="13"/>
      <c r="P975" s="13"/>
      <c r="Q975" s="13"/>
      <c r="R975" s="13"/>
      <c r="S975" s="13" t="s">
        <v>572</v>
      </c>
      <c r="T975" s="13"/>
      <c r="U975" s="13"/>
      <c r="V975" s="13"/>
      <c r="W975" s="13"/>
    </row>
    <row r="976" spans="1:23" x14ac:dyDescent="0.25">
      <c r="A976" s="15" t="s">
        <v>565</v>
      </c>
      <c r="B976" s="13" t="s">
        <v>13</v>
      </c>
      <c r="C976" s="22" t="s">
        <v>30</v>
      </c>
      <c r="D976" s="29">
        <v>44392</v>
      </c>
      <c r="E976" s="18" t="s">
        <v>23</v>
      </c>
      <c r="F976" s="18"/>
      <c r="G976" s="13"/>
      <c r="H976" s="19">
        <v>44396</v>
      </c>
      <c r="I976" s="13" t="s">
        <v>735</v>
      </c>
      <c r="J976" s="13"/>
      <c r="K976" s="13" t="s">
        <v>26</v>
      </c>
      <c r="L976" s="13"/>
      <c r="M976" s="13"/>
      <c r="N976" s="13"/>
      <c r="O976" s="13"/>
      <c r="P976" s="13"/>
      <c r="Q976" s="13"/>
      <c r="R976" s="13"/>
      <c r="S976" s="13" t="s">
        <v>573</v>
      </c>
      <c r="T976" s="13"/>
      <c r="U976" s="13"/>
      <c r="V976" s="13"/>
      <c r="W976" s="13"/>
    </row>
    <row r="977" spans="1:23" x14ac:dyDescent="0.25">
      <c r="A977" s="15" t="s">
        <v>565</v>
      </c>
      <c r="B977" s="13" t="s">
        <v>13</v>
      </c>
      <c r="C977" s="22" t="s">
        <v>30</v>
      </c>
      <c r="D977" s="29">
        <v>44392</v>
      </c>
      <c r="E977" s="18" t="s">
        <v>23</v>
      </c>
      <c r="F977" s="18"/>
      <c r="G977" s="13"/>
      <c r="H977" s="19">
        <v>44396</v>
      </c>
      <c r="I977" s="13" t="s">
        <v>736</v>
      </c>
      <c r="J977" s="13"/>
      <c r="K977" s="13" t="s">
        <v>123</v>
      </c>
      <c r="L977" s="13"/>
      <c r="M977" s="13"/>
      <c r="N977" s="13"/>
      <c r="O977" s="13"/>
      <c r="P977" s="13"/>
      <c r="Q977" s="13"/>
      <c r="R977" s="13"/>
      <c r="S977" s="13" t="s">
        <v>185</v>
      </c>
      <c r="T977" s="13"/>
      <c r="U977" s="13"/>
      <c r="V977" s="13"/>
      <c r="W977" s="13"/>
    </row>
    <row r="978" spans="1:23" x14ac:dyDescent="0.25">
      <c r="A978" s="15" t="s">
        <v>565</v>
      </c>
      <c r="B978" s="13" t="s">
        <v>13</v>
      </c>
      <c r="C978" s="22" t="s">
        <v>30</v>
      </c>
      <c r="D978" s="29">
        <v>44392</v>
      </c>
      <c r="E978" s="18" t="s">
        <v>23</v>
      </c>
      <c r="F978" s="18"/>
      <c r="G978" s="13"/>
      <c r="H978" s="19">
        <v>44396</v>
      </c>
      <c r="I978" s="13" t="s">
        <v>737</v>
      </c>
      <c r="J978" s="13"/>
      <c r="K978" s="13" t="s">
        <v>108</v>
      </c>
      <c r="L978" s="13"/>
      <c r="M978" s="13"/>
      <c r="N978" s="13"/>
      <c r="O978" s="13"/>
      <c r="P978" s="13"/>
      <c r="Q978" s="13"/>
      <c r="R978" s="13"/>
      <c r="S978" s="13" t="s">
        <v>124</v>
      </c>
      <c r="T978" s="13"/>
      <c r="U978" s="13"/>
      <c r="V978" s="13"/>
      <c r="W978" s="13"/>
    </row>
    <row r="979" spans="1:23" x14ac:dyDescent="0.25">
      <c r="A979" s="15" t="s">
        <v>565</v>
      </c>
      <c r="B979" s="13" t="s">
        <v>13</v>
      </c>
      <c r="C979" s="22" t="s">
        <v>30</v>
      </c>
      <c r="D979" s="29">
        <v>44392</v>
      </c>
      <c r="E979" s="18" t="s">
        <v>23</v>
      </c>
      <c r="F979" s="18"/>
      <c r="G979" s="13"/>
      <c r="H979" s="19">
        <v>44396</v>
      </c>
      <c r="I979" s="13" t="s">
        <v>738</v>
      </c>
      <c r="J979" s="13"/>
      <c r="K979" s="13" t="s">
        <v>123</v>
      </c>
      <c r="L979" s="13"/>
      <c r="M979" s="13"/>
      <c r="N979" s="13"/>
      <c r="O979" s="13"/>
      <c r="P979" s="13"/>
      <c r="Q979" s="13"/>
      <c r="R979" s="13"/>
      <c r="S979" s="13" t="s">
        <v>750</v>
      </c>
      <c r="T979" s="13"/>
      <c r="U979" s="13"/>
      <c r="V979" s="13"/>
      <c r="W979" s="13"/>
    </row>
    <row r="980" spans="1:23" x14ac:dyDescent="0.25">
      <c r="A980" s="15" t="s">
        <v>565</v>
      </c>
      <c r="B980" s="13" t="s">
        <v>13</v>
      </c>
      <c r="C980" s="22" t="s">
        <v>30</v>
      </c>
      <c r="D980" s="29">
        <v>44392</v>
      </c>
      <c r="E980" s="18" t="s">
        <v>23</v>
      </c>
      <c r="F980" s="18"/>
      <c r="G980" s="13"/>
      <c r="H980" s="19">
        <v>44396</v>
      </c>
      <c r="I980" s="13" t="s">
        <v>282</v>
      </c>
      <c r="J980" s="13"/>
      <c r="K980" s="13" t="s">
        <v>123</v>
      </c>
      <c r="L980" s="13"/>
      <c r="M980" s="13"/>
      <c r="N980" s="13"/>
      <c r="O980" s="13"/>
      <c r="P980" s="13"/>
      <c r="Q980" s="13"/>
      <c r="R980" s="13"/>
      <c r="S980" s="13" t="s">
        <v>751</v>
      </c>
      <c r="T980" s="13"/>
      <c r="U980" s="13"/>
      <c r="V980" s="13"/>
      <c r="W980" s="13"/>
    </row>
    <row r="981" spans="1:23" x14ac:dyDescent="0.25">
      <c r="A981" s="15" t="s">
        <v>565</v>
      </c>
      <c r="B981" s="13" t="s">
        <v>13</v>
      </c>
      <c r="C981" s="22" t="s">
        <v>30</v>
      </c>
      <c r="D981" s="29">
        <v>44392</v>
      </c>
      <c r="E981" s="18" t="s">
        <v>23</v>
      </c>
      <c r="F981" s="18"/>
      <c r="G981" s="13"/>
      <c r="H981" s="19">
        <v>44396</v>
      </c>
      <c r="I981" s="13" t="s">
        <v>739</v>
      </c>
      <c r="J981" s="13"/>
      <c r="K981" s="13" t="s">
        <v>108</v>
      </c>
      <c r="L981" s="13"/>
      <c r="M981" s="13"/>
      <c r="N981" s="13"/>
      <c r="O981" s="13"/>
      <c r="P981" s="13"/>
      <c r="Q981" s="13"/>
      <c r="R981" s="13"/>
      <c r="S981" s="13" t="s">
        <v>574</v>
      </c>
      <c r="T981" s="13"/>
      <c r="U981" s="13"/>
      <c r="V981" s="13"/>
      <c r="W981" s="13"/>
    </row>
    <row r="982" spans="1:23" x14ac:dyDescent="0.25">
      <c r="A982" s="15" t="s">
        <v>565</v>
      </c>
      <c r="B982" s="13" t="s">
        <v>13</v>
      </c>
      <c r="C982" s="22" t="s">
        <v>30</v>
      </c>
      <c r="D982" s="29">
        <v>44392</v>
      </c>
      <c r="E982" s="18" t="s">
        <v>23</v>
      </c>
      <c r="F982" s="18"/>
      <c r="G982" s="13"/>
      <c r="H982" s="19">
        <v>44396</v>
      </c>
      <c r="I982" s="13" t="s">
        <v>740</v>
      </c>
      <c r="J982" s="13"/>
      <c r="K982" s="13" t="s">
        <v>103</v>
      </c>
      <c r="L982" s="13"/>
      <c r="M982" s="13"/>
      <c r="N982" s="13"/>
      <c r="O982" s="13"/>
      <c r="P982" s="13"/>
      <c r="Q982" s="13"/>
      <c r="R982" s="13"/>
      <c r="S982" s="13" t="s">
        <v>218</v>
      </c>
      <c r="T982" s="13"/>
      <c r="U982" s="13"/>
      <c r="V982" s="13"/>
      <c r="W982" s="13"/>
    </row>
    <row r="983" spans="1:23" x14ac:dyDescent="0.25">
      <c r="A983" s="15" t="s">
        <v>565</v>
      </c>
      <c r="B983" s="13" t="s">
        <v>13</v>
      </c>
      <c r="C983" s="22" t="s">
        <v>30</v>
      </c>
      <c r="D983" s="29">
        <v>44392</v>
      </c>
      <c r="E983" s="18" t="s">
        <v>23</v>
      </c>
      <c r="F983" s="18"/>
      <c r="G983" s="13"/>
      <c r="H983" s="19">
        <v>44396</v>
      </c>
      <c r="I983" s="13" t="s">
        <v>741</v>
      </c>
      <c r="J983" s="13"/>
      <c r="K983" s="13" t="s">
        <v>193</v>
      </c>
      <c r="L983" s="13"/>
      <c r="M983" s="13"/>
      <c r="N983" s="13"/>
      <c r="O983" s="13"/>
      <c r="P983" s="13"/>
      <c r="Q983" s="13"/>
      <c r="R983" s="13"/>
      <c r="S983" s="13" t="s">
        <v>857</v>
      </c>
      <c r="T983" s="13"/>
      <c r="U983" s="13"/>
      <c r="V983" s="13"/>
      <c r="W983" s="13"/>
    </row>
    <row r="984" spans="1:23" x14ac:dyDescent="0.25">
      <c r="A984" s="15" t="s">
        <v>565</v>
      </c>
      <c r="B984" s="13" t="s">
        <v>13</v>
      </c>
      <c r="C984" s="22" t="s">
        <v>30</v>
      </c>
      <c r="D984" s="29">
        <v>44392</v>
      </c>
      <c r="E984" s="18" t="s">
        <v>23</v>
      </c>
      <c r="F984" s="18"/>
      <c r="G984" s="13"/>
      <c r="H984" s="19">
        <v>44396</v>
      </c>
      <c r="I984" s="13" t="s">
        <v>745</v>
      </c>
      <c r="J984" s="13"/>
      <c r="K984" s="13" t="s">
        <v>318</v>
      </c>
      <c r="L984" s="13"/>
      <c r="M984" s="13"/>
      <c r="N984" s="13"/>
      <c r="O984" s="13"/>
      <c r="P984" s="13"/>
      <c r="Q984" s="13"/>
      <c r="R984" s="13"/>
      <c r="S984" s="13" t="s">
        <v>1151</v>
      </c>
      <c r="T984" s="13"/>
      <c r="U984" s="13"/>
      <c r="V984" s="13"/>
      <c r="W984" s="13"/>
    </row>
    <row r="985" spans="1:23" x14ac:dyDescent="0.25">
      <c r="A985" s="15" t="s">
        <v>565</v>
      </c>
      <c r="B985" s="13" t="s">
        <v>13</v>
      </c>
      <c r="C985" s="22" t="s">
        <v>30</v>
      </c>
      <c r="D985" s="29">
        <v>44392</v>
      </c>
      <c r="E985" s="18" t="s">
        <v>23</v>
      </c>
      <c r="F985" s="18"/>
      <c r="G985" s="13"/>
      <c r="H985" s="19">
        <v>44396</v>
      </c>
      <c r="I985" s="13" t="s">
        <v>206</v>
      </c>
      <c r="J985" s="13"/>
      <c r="K985" s="13" t="s">
        <v>1439</v>
      </c>
      <c r="L985" s="13"/>
      <c r="M985" s="13"/>
      <c r="N985" s="13"/>
      <c r="O985" s="13"/>
      <c r="P985" s="13"/>
      <c r="Q985" s="13"/>
      <c r="R985" s="13"/>
      <c r="S985" s="13" t="s">
        <v>1563</v>
      </c>
      <c r="T985" s="13"/>
      <c r="U985" s="13"/>
      <c r="V985" s="13"/>
      <c r="W985" s="13"/>
    </row>
    <row r="986" spans="1:23" x14ac:dyDescent="0.25">
      <c r="A986" s="15" t="s">
        <v>1705</v>
      </c>
      <c r="B986" s="13" t="s">
        <v>13</v>
      </c>
      <c r="C986" s="22" t="s">
        <v>15</v>
      </c>
      <c r="D986" s="29">
        <v>44393</v>
      </c>
      <c r="E986" s="18" t="s">
        <v>23</v>
      </c>
      <c r="F986" s="18"/>
      <c r="G986" s="13"/>
      <c r="H986" s="19">
        <v>44396</v>
      </c>
      <c r="I986" s="13" t="s">
        <v>230</v>
      </c>
      <c r="J986" s="13"/>
      <c r="K986" s="13">
        <v>48</v>
      </c>
      <c r="L986" s="13"/>
      <c r="M986" s="13"/>
      <c r="N986" s="13"/>
      <c r="O986" s="13"/>
      <c r="P986" s="13"/>
      <c r="Q986" s="13"/>
      <c r="R986" s="13"/>
      <c r="S986" s="13">
        <v>28320</v>
      </c>
      <c r="T986" s="13"/>
      <c r="U986" s="13"/>
      <c r="V986" s="13"/>
      <c r="W986" s="13"/>
    </row>
    <row r="987" spans="1:23" ht="30.75" x14ac:dyDescent="0.25">
      <c r="A987" s="15" t="s">
        <v>579</v>
      </c>
      <c r="B987" s="13" t="s">
        <v>34</v>
      </c>
      <c r="C987" s="22" t="s">
        <v>1708</v>
      </c>
      <c r="D987" s="29">
        <v>44396</v>
      </c>
      <c r="E987" s="18" t="s">
        <v>23</v>
      </c>
      <c r="F987" s="18"/>
      <c r="G987" s="13"/>
      <c r="H987" s="31"/>
      <c r="I987" s="74" t="s">
        <v>253</v>
      </c>
      <c r="J987" s="13"/>
      <c r="K987" s="13" t="s">
        <v>26</v>
      </c>
      <c r="L987" s="13"/>
      <c r="M987" s="13"/>
      <c r="N987" s="13"/>
      <c r="O987" s="13"/>
      <c r="P987" s="13"/>
      <c r="Q987" s="13"/>
      <c r="R987" s="13"/>
      <c r="S987" s="13" t="s">
        <v>1284</v>
      </c>
      <c r="T987" s="13"/>
      <c r="U987" s="13"/>
      <c r="V987" s="13"/>
      <c r="W987" s="13"/>
    </row>
    <row r="988" spans="1:23" x14ac:dyDescent="0.25">
      <c r="A988" s="15" t="s">
        <v>580</v>
      </c>
      <c r="B988" s="13" t="s">
        <v>13</v>
      </c>
      <c r="C988" s="22" t="s">
        <v>15</v>
      </c>
      <c r="D988" s="29">
        <v>44396</v>
      </c>
      <c r="E988" s="18" t="s">
        <v>23</v>
      </c>
      <c r="F988" s="18"/>
      <c r="G988" s="13"/>
      <c r="H988" s="19">
        <v>44398</v>
      </c>
      <c r="I988" s="74" t="s">
        <v>89</v>
      </c>
      <c r="J988" s="13"/>
      <c r="K988" s="13">
        <v>48</v>
      </c>
      <c r="L988" s="13"/>
      <c r="M988" s="13"/>
      <c r="N988" s="13"/>
      <c r="O988" s="13"/>
      <c r="P988" s="13"/>
      <c r="Q988" s="13"/>
      <c r="R988" s="13"/>
      <c r="S988" s="13">
        <v>34992</v>
      </c>
      <c r="T988" s="13"/>
      <c r="U988" s="13"/>
      <c r="V988" s="13"/>
      <c r="W988" s="13"/>
    </row>
    <row r="989" spans="1:23" x14ac:dyDescent="0.25">
      <c r="A989" s="15" t="s">
        <v>575</v>
      </c>
      <c r="B989" s="13" t="s">
        <v>13</v>
      </c>
      <c r="C989" s="22" t="s">
        <v>1709</v>
      </c>
      <c r="D989" s="29">
        <v>44396</v>
      </c>
      <c r="E989" s="18" t="s">
        <v>23</v>
      </c>
      <c r="F989" s="18"/>
      <c r="G989" s="13"/>
      <c r="H989" s="19">
        <v>44400</v>
      </c>
      <c r="I989" s="13" t="s">
        <v>99</v>
      </c>
      <c r="J989" s="13"/>
      <c r="K989" s="13" t="s">
        <v>884</v>
      </c>
      <c r="L989" s="13"/>
      <c r="M989" s="13"/>
      <c r="N989" s="13"/>
      <c r="O989" s="13"/>
      <c r="P989" s="13"/>
      <c r="Q989" s="13"/>
      <c r="R989" s="13"/>
      <c r="S989" s="13" t="s">
        <v>319</v>
      </c>
      <c r="T989" s="13"/>
      <c r="U989" s="13"/>
      <c r="V989" s="13"/>
      <c r="W989" s="13"/>
    </row>
    <row r="990" spans="1:23" x14ac:dyDescent="0.25">
      <c r="A990" s="15" t="s">
        <v>575</v>
      </c>
      <c r="B990" s="13" t="s">
        <v>13</v>
      </c>
      <c r="C990" s="22" t="s">
        <v>1709</v>
      </c>
      <c r="D990" s="29">
        <v>44396</v>
      </c>
      <c r="E990" s="18" t="s">
        <v>23</v>
      </c>
      <c r="F990" s="18"/>
      <c r="G990" s="13"/>
      <c r="H990" s="19">
        <v>44400</v>
      </c>
      <c r="I990" s="13" t="s">
        <v>102</v>
      </c>
      <c r="J990" s="13"/>
      <c r="K990" s="13" t="s">
        <v>884</v>
      </c>
      <c r="L990" s="13"/>
      <c r="M990" s="13"/>
      <c r="N990" s="13"/>
      <c r="O990" s="13"/>
      <c r="P990" s="13"/>
      <c r="Q990" s="13"/>
      <c r="R990" s="13"/>
      <c r="S990" s="13" t="s">
        <v>319</v>
      </c>
      <c r="T990" s="13"/>
      <c r="U990" s="13"/>
      <c r="V990" s="13"/>
      <c r="W990" s="13"/>
    </row>
    <row r="991" spans="1:23" x14ac:dyDescent="0.25">
      <c r="A991" s="15" t="s">
        <v>575</v>
      </c>
      <c r="B991" s="13" t="s">
        <v>13</v>
      </c>
      <c r="C991" s="22" t="s">
        <v>1709</v>
      </c>
      <c r="D991" s="29">
        <v>44396</v>
      </c>
      <c r="E991" s="18" t="s">
        <v>23</v>
      </c>
      <c r="F991" s="18"/>
      <c r="G991" s="13"/>
      <c r="H991" s="19">
        <v>44400</v>
      </c>
      <c r="I991" s="13" t="s">
        <v>95</v>
      </c>
      <c r="J991" s="13"/>
      <c r="K991" s="13" t="s">
        <v>318</v>
      </c>
      <c r="L991" s="13"/>
      <c r="M991" s="13"/>
      <c r="N991" s="13"/>
      <c r="O991" s="13"/>
      <c r="P991" s="13"/>
      <c r="Q991" s="13"/>
      <c r="R991" s="13"/>
      <c r="S991" s="13" t="s">
        <v>135</v>
      </c>
      <c r="T991" s="13"/>
      <c r="U991" s="13"/>
      <c r="V991" s="13"/>
      <c r="W991" s="13"/>
    </row>
    <row r="992" spans="1:23" x14ac:dyDescent="0.25">
      <c r="A992" s="15" t="s">
        <v>575</v>
      </c>
      <c r="B992" s="13" t="s">
        <v>13</v>
      </c>
      <c r="C992" s="22" t="s">
        <v>1709</v>
      </c>
      <c r="D992" s="29">
        <v>44396</v>
      </c>
      <c r="E992" s="18" t="s">
        <v>23</v>
      </c>
      <c r="F992" s="18"/>
      <c r="G992" s="13"/>
      <c r="H992" s="19">
        <v>44400</v>
      </c>
      <c r="I992" s="13" t="s">
        <v>98</v>
      </c>
      <c r="J992" s="13"/>
      <c r="K992" s="13" t="s">
        <v>318</v>
      </c>
      <c r="L992" s="13"/>
      <c r="M992" s="13"/>
      <c r="N992" s="13"/>
      <c r="O992" s="13"/>
      <c r="P992" s="13"/>
      <c r="Q992" s="13"/>
      <c r="R992" s="13"/>
      <c r="S992" s="13" t="s">
        <v>135</v>
      </c>
      <c r="T992" s="13"/>
      <c r="U992" s="13"/>
      <c r="V992" s="13"/>
      <c r="W992" s="13"/>
    </row>
    <row r="993" spans="1:24" x14ac:dyDescent="0.25">
      <c r="A993" s="15" t="s">
        <v>575</v>
      </c>
      <c r="B993" s="13" t="s">
        <v>13</v>
      </c>
      <c r="C993" s="22" t="s">
        <v>1709</v>
      </c>
      <c r="D993" s="29">
        <v>44396</v>
      </c>
      <c r="E993" s="18" t="s">
        <v>23</v>
      </c>
      <c r="F993" s="18"/>
      <c r="G993" s="13"/>
      <c r="H993" s="19">
        <v>44400</v>
      </c>
      <c r="I993" s="13" t="s">
        <v>92</v>
      </c>
      <c r="J993" s="13"/>
      <c r="K993" s="13" t="s">
        <v>357</v>
      </c>
      <c r="L993" s="13"/>
      <c r="M993" s="13"/>
      <c r="N993" s="13"/>
      <c r="O993" s="13"/>
      <c r="P993" s="13"/>
      <c r="Q993" s="13"/>
      <c r="R993" s="13"/>
      <c r="S993" s="13" t="s">
        <v>183</v>
      </c>
      <c r="T993" s="13"/>
      <c r="U993" s="13"/>
      <c r="V993" s="13"/>
      <c r="W993" s="13"/>
    </row>
    <row r="994" spans="1:24" x14ac:dyDescent="0.25">
      <c r="A994" s="15" t="s">
        <v>575</v>
      </c>
      <c r="B994" s="13" t="s">
        <v>13</v>
      </c>
      <c r="C994" s="22" t="s">
        <v>1709</v>
      </c>
      <c r="D994" s="29">
        <v>44396</v>
      </c>
      <c r="E994" s="18" t="s">
        <v>23</v>
      </c>
      <c r="F994" s="18"/>
      <c r="G994" s="13"/>
      <c r="H994" s="19">
        <v>44400</v>
      </c>
      <c r="I994" s="13" t="s">
        <v>94</v>
      </c>
      <c r="J994" s="13"/>
      <c r="K994" s="13" t="s">
        <v>357</v>
      </c>
      <c r="L994" s="13"/>
      <c r="M994" s="13"/>
      <c r="N994" s="13"/>
      <c r="O994" s="13"/>
      <c r="P994" s="13"/>
      <c r="Q994" s="13"/>
      <c r="R994" s="13"/>
      <c r="S994" s="13" t="s">
        <v>183</v>
      </c>
      <c r="T994" s="13"/>
      <c r="U994" s="13"/>
      <c r="V994" s="13"/>
      <c r="W994" s="13"/>
    </row>
    <row r="995" spans="1:24" x14ac:dyDescent="0.25">
      <c r="A995" s="15" t="s">
        <v>1710</v>
      </c>
      <c r="B995" s="13" t="s">
        <v>13</v>
      </c>
      <c r="C995" s="22" t="s">
        <v>1709</v>
      </c>
      <c r="D995" s="29">
        <v>44397</v>
      </c>
      <c r="E995" s="18" t="s">
        <v>23</v>
      </c>
      <c r="F995" s="18"/>
      <c r="G995" s="13"/>
      <c r="H995" s="19">
        <v>44400</v>
      </c>
      <c r="I995" s="13" t="s">
        <v>214</v>
      </c>
      <c r="J995" s="13"/>
      <c r="K995" s="13" t="s">
        <v>123</v>
      </c>
      <c r="L995" s="13"/>
      <c r="M995" s="13"/>
      <c r="N995" s="13"/>
      <c r="O995" s="13"/>
      <c r="P995" s="13"/>
      <c r="Q995" s="13"/>
      <c r="R995" s="13"/>
      <c r="S995" s="13" t="s">
        <v>493</v>
      </c>
      <c r="T995" s="13"/>
      <c r="U995" s="13"/>
      <c r="V995" s="13"/>
      <c r="W995" s="13"/>
    </row>
    <row r="996" spans="1:24" x14ac:dyDescent="0.25">
      <c r="A996" s="15" t="s">
        <v>1710</v>
      </c>
      <c r="B996" s="13" t="s">
        <v>13</v>
      </c>
      <c r="C996" s="22" t="s">
        <v>1709</v>
      </c>
      <c r="D996" s="29">
        <v>44397</v>
      </c>
      <c r="E996" s="18" t="s">
        <v>23</v>
      </c>
      <c r="F996" s="18"/>
      <c r="G996" s="13"/>
      <c r="H996" s="19">
        <v>44400</v>
      </c>
      <c r="I996" s="13" t="s">
        <v>215</v>
      </c>
      <c r="J996" s="13"/>
      <c r="K996" s="13" t="s">
        <v>123</v>
      </c>
      <c r="L996" s="13"/>
      <c r="M996" s="13"/>
      <c r="N996" s="13"/>
      <c r="O996" s="13"/>
      <c r="P996" s="13"/>
      <c r="Q996" s="13"/>
      <c r="R996" s="13"/>
      <c r="S996" s="13" t="s">
        <v>1711</v>
      </c>
      <c r="T996" s="13"/>
      <c r="U996" s="13"/>
      <c r="V996" s="13"/>
      <c r="W996" s="13"/>
    </row>
    <row r="997" spans="1:24" x14ac:dyDescent="0.25">
      <c r="A997" s="15" t="s">
        <v>1710</v>
      </c>
      <c r="B997" s="13" t="s">
        <v>13</v>
      </c>
      <c r="C997" s="22" t="s">
        <v>1709</v>
      </c>
      <c r="D997" s="29">
        <v>44397</v>
      </c>
      <c r="E997" s="18" t="s">
        <v>23</v>
      </c>
      <c r="F997" s="18"/>
      <c r="G997" s="13"/>
      <c r="H997" s="19">
        <v>44400</v>
      </c>
      <c r="I997" s="13" t="s">
        <v>216</v>
      </c>
      <c r="J997" s="13"/>
      <c r="K997" s="13" t="s">
        <v>123</v>
      </c>
      <c r="L997" s="13"/>
      <c r="M997" s="13"/>
      <c r="N997" s="13"/>
      <c r="O997" s="13"/>
      <c r="P997" s="13"/>
      <c r="Q997" s="13"/>
      <c r="R997" s="13"/>
      <c r="S997" s="13" t="s">
        <v>371</v>
      </c>
      <c r="T997" s="13"/>
      <c r="U997" s="13"/>
      <c r="V997" s="13"/>
      <c r="W997" s="13"/>
    </row>
    <row r="998" spans="1:24" x14ac:dyDescent="0.25">
      <c r="A998" s="15" t="s">
        <v>1710</v>
      </c>
      <c r="B998" s="13" t="s">
        <v>13</v>
      </c>
      <c r="C998" s="22" t="s">
        <v>1709</v>
      </c>
      <c r="D998" s="29">
        <v>44397</v>
      </c>
      <c r="E998" s="18" t="s">
        <v>23</v>
      </c>
      <c r="F998" s="18"/>
      <c r="G998" s="13"/>
      <c r="H998" s="19">
        <v>44400</v>
      </c>
      <c r="I998" s="13" t="s">
        <v>219</v>
      </c>
      <c r="J998" s="13"/>
      <c r="K998" s="13" t="s">
        <v>123</v>
      </c>
      <c r="L998" s="13"/>
      <c r="M998" s="13"/>
      <c r="N998" s="13"/>
      <c r="O998" s="13"/>
      <c r="P998" s="13"/>
      <c r="Q998" s="13"/>
      <c r="R998" s="13"/>
      <c r="S998" s="13" t="s">
        <v>371</v>
      </c>
      <c r="T998" s="13"/>
      <c r="U998" s="13"/>
      <c r="V998" s="13"/>
      <c r="W998" s="13"/>
    </row>
    <row r="999" spans="1:24" x14ac:dyDescent="0.25">
      <c r="A999" s="15" t="s">
        <v>1710</v>
      </c>
      <c r="B999" s="13" t="s">
        <v>13</v>
      </c>
      <c r="C999" s="22" t="s">
        <v>1709</v>
      </c>
      <c r="D999" s="29">
        <v>44397</v>
      </c>
      <c r="E999" s="18" t="s">
        <v>23</v>
      </c>
      <c r="F999" s="18"/>
      <c r="G999" s="13"/>
      <c r="H999" s="19">
        <v>44400</v>
      </c>
      <c r="I999" s="13" t="s">
        <v>220</v>
      </c>
      <c r="J999" s="13"/>
      <c r="K999" s="13" t="s">
        <v>123</v>
      </c>
      <c r="L999" s="13"/>
      <c r="M999" s="13"/>
      <c r="N999" s="13"/>
      <c r="O999" s="13"/>
      <c r="P999" s="13"/>
      <c r="Q999" s="13"/>
      <c r="R999" s="13"/>
      <c r="S999" s="13" t="s">
        <v>943</v>
      </c>
      <c r="T999" s="13"/>
      <c r="U999" s="13"/>
      <c r="V999" s="13"/>
      <c r="W999" s="13"/>
    </row>
    <row r="1000" spans="1:24" x14ac:dyDescent="0.25">
      <c r="A1000" s="15" t="s">
        <v>1710</v>
      </c>
      <c r="B1000" s="13" t="s">
        <v>13</v>
      </c>
      <c r="C1000" s="22" t="s">
        <v>1709</v>
      </c>
      <c r="D1000" s="29">
        <v>44397</v>
      </c>
      <c r="E1000" s="18" t="s">
        <v>23</v>
      </c>
      <c r="F1000" s="18"/>
      <c r="G1000" s="13"/>
      <c r="H1000" s="19">
        <v>44400</v>
      </c>
      <c r="I1000" s="13" t="s">
        <v>710</v>
      </c>
      <c r="J1000" s="13"/>
      <c r="K1000" s="13" t="s">
        <v>411</v>
      </c>
      <c r="L1000" s="13"/>
      <c r="M1000" s="13"/>
      <c r="N1000" s="13"/>
      <c r="O1000" s="13"/>
      <c r="P1000" s="13"/>
      <c r="Q1000" s="13"/>
      <c r="R1000" s="13"/>
      <c r="S1000" s="13" t="s">
        <v>577</v>
      </c>
      <c r="T1000" s="13"/>
      <c r="U1000" s="13"/>
      <c r="V1000" s="13"/>
      <c r="W1000" s="13"/>
    </row>
    <row r="1001" spans="1:24" x14ac:dyDescent="0.25">
      <c r="A1001" s="15" t="s">
        <v>1710</v>
      </c>
      <c r="B1001" s="13" t="s">
        <v>13</v>
      </c>
      <c r="C1001" s="22" t="s">
        <v>1709</v>
      </c>
      <c r="D1001" s="29">
        <v>44397</v>
      </c>
      <c r="E1001" s="18" t="s">
        <v>23</v>
      </c>
      <c r="F1001" s="18"/>
      <c r="G1001" s="13"/>
      <c r="H1001" s="19">
        <v>44400</v>
      </c>
      <c r="I1001" s="13" t="s">
        <v>711</v>
      </c>
      <c r="J1001" s="13"/>
      <c r="K1001" s="13" t="s">
        <v>411</v>
      </c>
      <c r="L1001" s="13"/>
      <c r="M1001" s="13"/>
      <c r="N1001" s="13"/>
      <c r="O1001" s="13"/>
      <c r="P1001" s="13"/>
      <c r="Q1001" s="13"/>
      <c r="R1001" s="13"/>
      <c r="S1001" s="13" t="s">
        <v>577</v>
      </c>
      <c r="T1001" s="13"/>
      <c r="U1001" s="13"/>
      <c r="V1001" s="13"/>
      <c r="W1001" s="13"/>
    </row>
    <row r="1002" spans="1:24" x14ac:dyDescent="0.25">
      <c r="A1002" s="15" t="s">
        <v>1710</v>
      </c>
      <c r="B1002" s="13" t="s">
        <v>13</v>
      </c>
      <c r="C1002" s="22" t="s">
        <v>1709</v>
      </c>
      <c r="D1002" s="29">
        <v>44397</v>
      </c>
      <c r="E1002" s="18" t="s">
        <v>23</v>
      </c>
      <c r="F1002" s="18"/>
      <c r="G1002" s="13"/>
      <c r="H1002" s="19">
        <v>44400</v>
      </c>
      <c r="I1002" s="13" t="s">
        <v>712</v>
      </c>
      <c r="J1002" s="13"/>
      <c r="K1002" s="13" t="s">
        <v>268</v>
      </c>
      <c r="L1002" s="13"/>
      <c r="M1002" s="13"/>
      <c r="N1002" s="13"/>
      <c r="O1002" s="13"/>
      <c r="P1002" s="13"/>
      <c r="Q1002" s="13"/>
      <c r="R1002" s="13"/>
      <c r="S1002" s="13" t="s">
        <v>74</v>
      </c>
      <c r="T1002" s="13"/>
      <c r="U1002" s="13"/>
      <c r="V1002" s="13"/>
      <c r="W1002" s="13"/>
    </row>
    <row r="1003" spans="1:24" x14ac:dyDescent="0.25">
      <c r="A1003" s="15" t="s">
        <v>1710</v>
      </c>
      <c r="B1003" s="13" t="s">
        <v>13</v>
      </c>
      <c r="C1003" s="22" t="s">
        <v>1709</v>
      </c>
      <c r="D1003" s="29">
        <v>44397</v>
      </c>
      <c r="E1003" s="18" t="s">
        <v>23</v>
      </c>
      <c r="F1003" s="57"/>
      <c r="G1003" s="58"/>
      <c r="H1003" s="19">
        <v>44400</v>
      </c>
      <c r="I1003" s="58" t="s">
        <v>713</v>
      </c>
      <c r="J1003" s="58"/>
      <c r="K1003" s="58" t="s">
        <v>181</v>
      </c>
      <c r="L1003" s="58"/>
      <c r="M1003" s="58"/>
      <c r="N1003" s="58"/>
      <c r="O1003" s="58"/>
      <c r="P1003" s="58"/>
      <c r="Q1003" s="58"/>
      <c r="R1003" s="58"/>
      <c r="S1003" s="58" t="s">
        <v>1712</v>
      </c>
      <c r="T1003" s="58"/>
      <c r="U1003" s="58"/>
      <c r="V1003" s="58"/>
      <c r="W1003" s="58"/>
    </row>
    <row r="1004" spans="1:24" x14ac:dyDescent="0.25">
      <c r="A1004" s="15" t="s">
        <v>1710</v>
      </c>
      <c r="B1004" s="13" t="s">
        <v>13</v>
      </c>
      <c r="C1004" s="22" t="s">
        <v>1709</v>
      </c>
      <c r="D1004" s="29">
        <v>44397</v>
      </c>
      <c r="E1004" s="18" t="s">
        <v>23</v>
      </c>
      <c r="F1004" s="18"/>
      <c r="G1004" s="13"/>
      <c r="H1004" s="19">
        <v>44400</v>
      </c>
      <c r="I1004" s="13" t="s">
        <v>714</v>
      </c>
      <c r="J1004" s="13"/>
      <c r="K1004" s="13" t="s">
        <v>268</v>
      </c>
      <c r="L1004" s="13"/>
      <c r="M1004" s="13"/>
      <c r="N1004" s="13"/>
      <c r="O1004" s="13"/>
      <c r="P1004" s="13"/>
      <c r="Q1004" s="13"/>
      <c r="R1004" s="13"/>
      <c r="S1004" s="13" t="s">
        <v>968</v>
      </c>
      <c r="T1004" s="13"/>
      <c r="U1004" s="13"/>
      <c r="V1004" s="13"/>
      <c r="W1004" s="13"/>
      <c r="X1004" s="13"/>
    </row>
    <row r="1005" spans="1:24" x14ac:dyDescent="0.25">
      <c r="A1005" s="15" t="s">
        <v>1710</v>
      </c>
      <c r="B1005" s="13" t="s">
        <v>13</v>
      </c>
      <c r="C1005" s="22" t="s">
        <v>1709</v>
      </c>
      <c r="D1005" s="29">
        <v>44397</v>
      </c>
      <c r="E1005" s="18" t="s">
        <v>23</v>
      </c>
      <c r="F1005" s="18"/>
      <c r="G1005" s="13"/>
      <c r="H1005" s="19">
        <v>44400</v>
      </c>
      <c r="I1005" s="13" t="s">
        <v>715</v>
      </c>
      <c r="J1005" s="13"/>
      <c r="K1005" s="13" t="s">
        <v>268</v>
      </c>
      <c r="L1005" s="13"/>
      <c r="M1005" s="13"/>
      <c r="N1005" s="13"/>
      <c r="O1005" s="13"/>
      <c r="P1005" s="13"/>
      <c r="Q1005" s="13"/>
      <c r="R1005" s="13"/>
      <c r="S1005" s="13" t="s">
        <v>968</v>
      </c>
      <c r="T1005" s="13"/>
      <c r="U1005" s="13"/>
      <c r="V1005" s="13"/>
      <c r="W1005" s="13"/>
      <c r="X1005" s="13"/>
    </row>
    <row r="1006" spans="1:24" x14ac:dyDescent="0.25">
      <c r="A1006" s="15" t="s">
        <v>1710</v>
      </c>
      <c r="B1006" s="13" t="s">
        <v>13</v>
      </c>
      <c r="C1006" s="22" t="s">
        <v>1709</v>
      </c>
      <c r="D1006" s="29">
        <v>44397</v>
      </c>
      <c r="E1006" s="18" t="s">
        <v>23</v>
      </c>
      <c r="F1006" s="18"/>
      <c r="G1006" s="13"/>
      <c r="H1006" s="19">
        <v>44400</v>
      </c>
      <c r="I1006" s="13" t="s">
        <v>716</v>
      </c>
      <c r="J1006" s="13"/>
      <c r="K1006" s="13" t="s">
        <v>411</v>
      </c>
      <c r="L1006" s="13"/>
      <c r="M1006" s="13"/>
      <c r="N1006" s="13"/>
      <c r="O1006" s="13"/>
      <c r="P1006" s="13"/>
      <c r="Q1006" s="13"/>
      <c r="R1006" s="13"/>
      <c r="S1006" s="13" t="s">
        <v>311</v>
      </c>
      <c r="T1006" s="13"/>
      <c r="U1006" s="13"/>
      <c r="V1006" s="13"/>
      <c r="W1006" s="13"/>
      <c r="X1006" s="13"/>
    </row>
    <row r="1007" spans="1:24" x14ac:dyDescent="0.25">
      <c r="A1007" s="15" t="s">
        <v>1710</v>
      </c>
      <c r="B1007" s="13" t="s">
        <v>13</v>
      </c>
      <c r="C1007" s="22" t="s">
        <v>1709</v>
      </c>
      <c r="D1007" s="29">
        <v>44397</v>
      </c>
      <c r="E1007" s="18" t="s">
        <v>23</v>
      </c>
      <c r="F1007" s="18"/>
      <c r="G1007" s="13"/>
      <c r="H1007" s="19">
        <v>44400</v>
      </c>
      <c r="I1007" s="13" t="s">
        <v>717</v>
      </c>
      <c r="J1007" s="13"/>
      <c r="K1007" s="13" t="s">
        <v>411</v>
      </c>
      <c r="L1007" s="13"/>
      <c r="M1007" s="13"/>
      <c r="N1007" s="13"/>
      <c r="O1007" s="13"/>
      <c r="P1007" s="13"/>
      <c r="Q1007" s="13"/>
      <c r="R1007" s="13"/>
      <c r="S1007" s="13" t="s">
        <v>311</v>
      </c>
      <c r="T1007" s="13"/>
      <c r="U1007" s="13"/>
      <c r="V1007" s="13"/>
      <c r="W1007" s="13"/>
      <c r="X1007" s="13"/>
    </row>
    <row r="1008" spans="1:24" x14ac:dyDescent="0.25">
      <c r="A1008" s="15" t="s">
        <v>1710</v>
      </c>
      <c r="B1008" s="13" t="s">
        <v>13</v>
      </c>
      <c r="C1008" s="22" t="s">
        <v>1709</v>
      </c>
      <c r="D1008" s="29">
        <v>44397</v>
      </c>
      <c r="E1008" s="18" t="s">
        <v>23</v>
      </c>
      <c r="F1008" s="18"/>
      <c r="G1008" s="13"/>
      <c r="H1008" s="19">
        <v>44400</v>
      </c>
      <c r="I1008" s="13" t="s">
        <v>718</v>
      </c>
      <c r="J1008" s="13"/>
      <c r="K1008" s="13" t="s">
        <v>411</v>
      </c>
      <c r="L1008" s="13"/>
      <c r="M1008" s="13"/>
      <c r="N1008" s="13"/>
      <c r="O1008" s="13"/>
      <c r="P1008" s="13"/>
      <c r="Q1008" s="13"/>
      <c r="R1008" s="13"/>
      <c r="S1008" s="13" t="s">
        <v>622</v>
      </c>
      <c r="T1008" s="13"/>
      <c r="U1008" s="13"/>
      <c r="V1008" s="13"/>
      <c r="W1008" s="13"/>
      <c r="X1008" s="13"/>
    </row>
    <row r="1009" spans="1:24" x14ac:dyDescent="0.25">
      <c r="A1009" s="15" t="s">
        <v>1710</v>
      </c>
      <c r="B1009" s="13" t="s">
        <v>13</v>
      </c>
      <c r="C1009" s="22" t="s">
        <v>1709</v>
      </c>
      <c r="D1009" s="29">
        <v>44397</v>
      </c>
      <c r="E1009" s="18" t="s">
        <v>23</v>
      </c>
      <c r="F1009" s="18"/>
      <c r="G1009" s="13"/>
      <c r="H1009" s="19">
        <v>44400</v>
      </c>
      <c r="I1009" s="13" t="s">
        <v>719</v>
      </c>
      <c r="J1009" s="13"/>
      <c r="K1009" s="13" t="s">
        <v>411</v>
      </c>
      <c r="L1009" s="13"/>
      <c r="M1009" s="13"/>
      <c r="N1009" s="13"/>
      <c r="O1009" s="13"/>
      <c r="P1009" s="13"/>
      <c r="Q1009" s="13"/>
      <c r="R1009" s="13"/>
      <c r="S1009" s="13" t="s">
        <v>622</v>
      </c>
      <c r="T1009" s="13"/>
      <c r="U1009" s="13"/>
      <c r="V1009" s="13"/>
      <c r="W1009" s="13"/>
      <c r="X1009" s="13"/>
    </row>
    <row r="1010" spans="1:24" x14ac:dyDescent="0.25">
      <c r="A1010" s="15">
        <v>335</v>
      </c>
      <c r="B1010" s="13" t="s">
        <v>13</v>
      </c>
      <c r="C1010" s="22" t="s">
        <v>674</v>
      </c>
      <c r="D1010" s="29">
        <v>44397</v>
      </c>
      <c r="E1010" s="18" t="s">
        <v>23</v>
      </c>
      <c r="F1010" s="18"/>
      <c r="G1010" s="13" t="s">
        <v>1732</v>
      </c>
      <c r="H1010" s="31"/>
      <c r="I1010" s="13" t="s">
        <v>600</v>
      </c>
      <c r="J1010" s="13">
        <v>1584</v>
      </c>
      <c r="K1010" s="13" t="s">
        <v>889</v>
      </c>
      <c r="L1010" s="13">
        <v>0.30719999999999997</v>
      </c>
      <c r="M1010" s="13">
        <v>0.69199999999999995</v>
      </c>
      <c r="N1010" s="13">
        <v>486.60480000000001</v>
      </c>
      <c r="O1010" s="13">
        <v>1096.1279999999999</v>
      </c>
      <c r="P1010" s="13">
        <v>63.26</v>
      </c>
      <c r="Q1010" s="13">
        <v>95.23</v>
      </c>
      <c r="R1010" s="13">
        <v>310</v>
      </c>
      <c r="S1010" s="13">
        <v>150847.49</v>
      </c>
      <c r="T1010" s="13"/>
      <c r="U1010" s="13"/>
      <c r="V1010" s="13"/>
      <c r="W1010" s="13"/>
      <c r="X1010" s="13"/>
    </row>
    <row r="1011" spans="1:24" x14ac:dyDescent="0.25">
      <c r="A1011" s="15">
        <v>337</v>
      </c>
      <c r="B1011" s="13" t="s">
        <v>13</v>
      </c>
      <c r="C1011" s="22" t="s">
        <v>24</v>
      </c>
      <c r="D1011" s="29">
        <v>44397</v>
      </c>
      <c r="E1011" s="18" t="s">
        <v>22</v>
      </c>
      <c r="F1011" s="18">
        <v>89</v>
      </c>
      <c r="G1011" s="13"/>
      <c r="H1011" s="31"/>
      <c r="I1011" s="13" t="s">
        <v>199</v>
      </c>
      <c r="J1011" s="13">
        <v>1939.8</v>
      </c>
      <c r="K1011" s="13" t="s">
        <v>390</v>
      </c>
      <c r="L1011" s="13">
        <v>0.40960000000000002</v>
      </c>
      <c r="M1011" s="13">
        <v>1.0529999999999999</v>
      </c>
      <c r="N1011" s="13">
        <v>794.5421</v>
      </c>
      <c r="O1011" s="13">
        <v>2042.6094000000001</v>
      </c>
      <c r="P1011" s="13">
        <v>103.29</v>
      </c>
      <c r="Q1011" s="13">
        <v>81.92</v>
      </c>
      <c r="R1011" s="13">
        <v>200</v>
      </c>
      <c r="S1011" s="13">
        <v>158908.42000000001</v>
      </c>
      <c r="T1011" s="13"/>
      <c r="U1011" s="13"/>
      <c r="V1011" s="13"/>
      <c r="W1011" s="13"/>
      <c r="X1011" s="13"/>
    </row>
    <row r="1012" spans="1:24" x14ac:dyDescent="0.25">
      <c r="A1012" s="15">
        <v>338</v>
      </c>
      <c r="B1012" s="13" t="s">
        <v>13</v>
      </c>
      <c r="C1012" s="22" t="s">
        <v>625</v>
      </c>
      <c r="D1012" s="29">
        <v>44397</v>
      </c>
      <c r="E1012" s="18" t="s">
        <v>23</v>
      </c>
      <c r="F1012" s="18"/>
      <c r="G1012" s="13"/>
      <c r="H1012" s="31"/>
      <c r="I1012" s="13" t="s">
        <v>1713</v>
      </c>
      <c r="J1012" s="13">
        <v>2169</v>
      </c>
      <c r="K1012" s="13" t="s">
        <v>563</v>
      </c>
      <c r="L1012" s="13">
        <v>9.5500000000000002E-2</v>
      </c>
      <c r="M1012" s="13">
        <v>0.249</v>
      </c>
      <c r="N1012" s="13">
        <v>207.1395</v>
      </c>
      <c r="O1012" s="13">
        <v>540.08100000000002</v>
      </c>
      <c r="P1012" s="13">
        <v>26.93</v>
      </c>
      <c r="Q1012" s="13">
        <v>19.100000000000001</v>
      </c>
      <c r="R1012" s="13">
        <v>200</v>
      </c>
      <c r="S1012" s="13">
        <v>41427.9</v>
      </c>
      <c r="T1012" s="13"/>
      <c r="U1012" s="13"/>
      <c r="V1012" s="13"/>
      <c r="W1012" s="13"/>
      <c r="X1012" s="13"/>
    </row>
    <row r="1013" spans="1:24" x14ac:dyDescent="0.25">
      <c r="A1013" s="15">
        <v>338</v>
      </c>
      <c r="B1013" s="13" t="s">
        <v>13</v>
      </c>
      <c r="C1013" s="22" t="s">
        <v>625</v>
      </c>
      <c r="D1013" s="29">
        <v>44397</v>
      </c>
      <c r="E1013" s="18" t="s">
        <v>23</v>
      </c>
      <c r="F1013" s="18"/>
      <c r="G1013" s="13"/>
      <c r="H1013" s="31"/>
      <c r="I1013" s="13" t="s">
        <v>1714</v>
      </c>
      <c r="J1013" s="13">
        <v>1893</v>
      </c>
      <c r="K1013" s="13" t="s">
        <v>1715</v>
      </c>
      <c r="L1013" s="13">
        <v>0.1113</v>
      </c>
      <c r="M1013" s="13">
        <v>0.29299999999999998</v>
      </c>
      <c r="N1013" s="13">
        <v>210.6909</v>
      </c>
      <c r="O1013" s="13">
        <v>554.649</v>
      </c>
      <c r="P1013" s="13">
        <v>27.39</v>
      </c>
      <c r="Q1013" s="13">
        <v>22.26</v>
      </c>
      <c r="R1013" s="13">
        <v>200</v>
      </c>
      <c r="S1013" s="13">
        <v>42138.18</v>
      </c>
      <c r="T1013" s="13"/>
      <c r="U1013" s="13"/>
      <c r="V1013" s="13"/>
      <c r="W1013" s="13"/>
      <c r="X1013" s="13"/>
    </row>
    <row r="1014" spans="1:24" x14ac:dyDescent="0.25">
      <c r="A1014" s="15">
        <v>339</v>
      </c>
      <c r="B1014" s="13" t="s">
        <v>13</v>
      </c>
      <c r="C1014" s="22" t="s">
        <v>1433</v>
      </c>
      <c r="D1014" s="29">
        <v>44397</v>
      </c>
      <c r="E1014" s="18" t="s">
        <v>23</v>
      </c>
      <c r="F1014" s="18"/>
      <c r="G1014" s="13"/>
      <c r="H1014" s="31"/>
      <c r="I1014" s="13" t="s">
        <v>1472</v>
      </c>
      <c r="J1014" s="13">
        <v>60</v>
      </c>
      <c r="K1014" s="13" t="s">
        <v>283</v>
      </c>
      <c r="L1014" s="13">
        <v>0.41239999999999999</v>
      </c>
      <c r="M1014" s="13">
        <v>1.1619999999999999</v>
      </c>
      <c r="N1014" s="13">
        <v>24.744</v>
      </c>
      <c r="O1014" s="13">
        <v>69.72</v>
      </c>
      <c r="P1014" s="13">
        <v>3.22</v>
      </c>
      <c r="Q1014" s="13">
        <v>133.33000000000001</v>
      </c>
      <c r="R1014" s="13">
        <v>323.31</v>
      </c>
      <c r="S1014" s="13">
        <v>8000</v>
      </c>
      <c r="T1014" s="13"/>
      <c r="U1014" s="13"/>
      <c r="V1014" s="13"/>
      <c r="W1014" s="13"/>
      <c r="X1014" s="13"/>
    </row>
    <row r="1015" spans="1:24" x14ac:dyDescent="0.25">
      <c r="A1015" s="15">
        <v>340</v>
      </c>
      <c r="B1015" s="13" t="s">
        <v>13</v>
      </c>
      <c r="C1015" s="22" t="s">
        <v>32</v>
      </c>
      <c r="D1015" s="29">
        <v>44397</v>
      </c>
      <c r="E1015" s="18" t="s">
        <v>23</v>
      </c>
      <c r="F1015" s="18"/>
      <c r="G1015" s="13"/>
      <c r="H1015" s="19">
        <v>44400</v>
      </c>
      <c r="I1015" s="13" t="s">
        <v>1218</v>
      </c>
      <c r="J1015" s="13">
        <v>371</v>
      </c>
      <c r="K1015" s="13" t="s">
        <v>343</v>
      </c>
      <c r="L1015" s="13">
        <v>0.2651</v>
      </c>
      <c r="M1015" s="13">
        <v>0.82099999999999995</v>
      </c>
      <c r="N1015" s="13">
        <v>98.352099999999993</v>
      </c>
      <c r="O1015" s="13">
        <v>304.59100000000001</v>
      </c>
      <c r="P1015" s="13">
        <v>12.79</v>
      </c>
      <c r="Q1015" s="13">
        <v>39.630000000000003</v>
      </c>
      <c r="R1015" s="13">
        <v>251</v>
      </c>
      <c r="S1015" s="13">
        <v>14702.73</v>
      </c>
      <c r="T1015" s="13"/>
      <c r="U1015" s="13"/>
      <c r="V1015" s="13"/>
      <c r="W1015" s="13"/>
      <c r="X1015" s="13"/>
    </row>
    <row r="1016" spans="1:24" x14ac:dyDescent="0.25">
      <c r="A1016" s="15" t="s">
        <v>578</v>
      </c>
      <c r="B1016" s="13" t="s">
        <v>13</v>
      </c>
      <c r="C1016" s="22" t="s">
        <v>15</v>
      </c>
      <c r="D1016" s="29">
        <v>44396</v>
      </c>
      <c r="E1016" s="18" t="s">
        <v>23</v>
      </c>
      <c r="F1016" s="18"/>
      <c r="G1016" s="13"/>
      <c r="H1016" s="19">
        <v>44400</v>
      </c>
      <c r="I1016" s="74" t="s">
        <v>89</v>
      </c>
      <c r="J1016" s="13"/>
      <c r="K1016" s="13">
        <v>48</v>
      </c>
      <c r="L1016" s="13"/>
      <c r="M1016" s="13"/>
      <c r="N1016" s="13"/>
      <c r="O1016" s="13"/>
      <c r="P1016" s="13"/>
      <c r="Q1016" s="13"/>
      <c r="R1016" s="13"/>
      <c r="S1016" s="13">
        <v>34992</v>
      </c>
      <c r="T1016" s="13"/>
      <c r="U1016" s="13"/>
      <c r="V1016" s="13"/>
      <c r="W1016" s="13"/>
    </row>
    <row r="1017" spans="1:24" x14ac:dyDescent="0.25">
      <c r="A1017" s="15" t="s">
        <v>1719</v>
      </c>
      <c r="B1017" s="13" t="s">
        <v>13</v>
      </c>
      <c r="C1017" s="22" t="s">
        <v>15</v>
      </c>
      <c r="D1017" s="29">
        <v>44399</v>
      </c>
      <c r="E1017" s="18" t="s">
        <v>23</v>
      </c>
      <c r="F1017" s="18"/>
      <c r="G1017" s="13"/>
      <c r="H1017" s="19">
        <v>44403</v>
      </c>
      <c r="I1017" s="74" t="s">
        <v>89</v>
      </c>
      <c r="J1017" s="13"/>
      <c r="K1017" s="13">
        <v>48</v>
      </c>
      <c r="L1017" s="13"/>
      <c r="M1017" s="13"/>
      <c r="N1017" s="13"/>
      <c r="O1017" s="13"/>
      <c r="P1017" s="13"/>
      <c r="Q1017" s="13"/>
      <c r="R1017" s="13"/>
      <c r="S1017" s="13">
        <v>34992</v>
      </c>
      <c r="T1017" s="13"/>
      <c r="U1017" s="13"/>
      <c r="V1017" s="13"/>
      <c r="W1017" s="13"/>
    </row>
    <row r="1018" spans="1:24" ht="30.75" x14ac:dyDescent="0.25">
      <c r="A1018" s="15" t="s">
        <v>1774</v>
      </c>
      <c r="B1018" s="13" t="s">
        <v>13</v>
      </c>
      <c r="C1018" s="22" t="s">
        <v>589</v>
      </c>
      <c r="D1018" s="17">
        <v>44399</v>
      </c>
      <c r="E1018" s="23" t="s">
        <v>23</v>
      </c>
      <c r="F1018" s="23"/>
      <c r="G1018" s="13" t="s">
        <v>1831</v>
      </c>
      <c r="H1018" s="19">
        <v>44410</v>
      </c>
      <c r="I1018" s="74" t="s">
        <v>676</v>
      </c>
      <c r="J1018" s="13">
        <v>8640</v>
      </c>
      <c r="K1018" s="13">
        <v>2880</v>
      </c>
      <c r="L1018" s="13"/>
      <c r="M1018" s="13"/>
      <c r="N1018" s="13"/>
      <c r="O1018" s="13"/>
      <c r="P1018" s="13"/>
      <c r="Q1018" s="13"/>
      <c r="R1018" s="13"/>
      <c r="S1018" s="13" t="s">
        <v>1720</v>
      </c>
      <c r="T1018" s="13"/>
      <c r="U1018" s="13"/>
      <c r="V1018" s="13"/>
      <c r="W1018" s="13"/>
      <c r="X1018" s="13"/>
    </row>
    <row r="1019" spans="1:24" x14ac:dyDescent="0.25">
      <c r="A1019" s="15">
        <v>344</v>
      </c>
      <c r="B1019" s="13" t="s">
        <v>34</v>
      </c>
      <c r="C1019" s="22" t="s">
        <v>19</v>
      </c>
      <c r="D1019" s="29">
        <v>44399</v>
      </c>
      <c r="E1019" s="18" t="s">
        <v>23</v>
      </c>
      <c r="F1019" s="18"/>
      <c r="G1019" s="13" t="s">
        <v>1948</v>
      </c>
      <c r="H1019" s="31"/>
      <c r="I1019" s="13" t="s">
        <v>1117</v>
      </c>
      <c r="J1019" s="13">
        <v>931</v>
      </c>
      <c r="K1019" s="13" t="s">
        <v>648</v>
      </c>
      <c r="L1019" s="13">
        <v>0.27160000000000001</v>
      </c>
      <c r="M1019" s="13">
        <v>0.72799999999999998</v>
      </c>
      <c r="N1019" s="13">
        <v>252.8596</v>
      </c>
      <c r="O1019" s="13">
        <v>677.76800000000003</v>
      </c>
      <c r="P1019" s="13">
        <v>32.869999999999997</v>
      </c>
      <c r="Q1019" s="13">
        <v>58.94</v>
      </c>
      <c r="R1019" s="13">
        <v>217</v>
      </c>
      <c r="S1019" s="13">
        <v>54870.53</v>
      </c>
      <c r="T1019" s="13"/>
      <c r="U1019" s="13"/>
      <c r="V1019" s="13"/>
      <c r="W1019" s="13"/>
      <c r="X1019" s="13"/>
    </row>
    <row r="1020" spans="1:24" x14ac:dyDescent="0.25">
      <c r="A1020" s="15">
        <v>345</v>
      </c>
      <c r="B1020" s="13" t="s">
        <v>34</v>
      </c>
      <c r="C1020" s="22" t="s">
        <v>14</v>
      </c>
      <c r="D1020" s="29">
        <v>44399</v>
      </c>
      <c r="E1020" s="18" t="s">
        <v>23</v>
      </c>
      <c r="F1020" s="18"/>
      <c r="G1020" s="13"/>
      <c r="H1020" s="31"/>
      <c r="I1020" s="13" t="s">
        <v>528</v>
      </c>
      <c r="J1020" s="13">
        <v>948.7</v>
      </c>
      <c r="K1020" s="13" t="s">
        <v>1180</v>
      </c>
      <c r="L1020" s="13">
        <v>6.2700000000000006E-2</v>
      </c>
      <c r="M1020" s="13">
        <v>0.122</v>
      </c>
      <c r="N1020" s="13">
        <v>59.483499999999999</v>
      </c>
      <c r="O1020" s="13">
        <v>115.7414</v>
      </c>
      <c r="P1020" s="13">
        <v>7.73</v>
      </c>
      <c r="Q1020" s="13">
        <v>17.559999999999999</v>
      </c>
      <c r="R1020" s="13">
        <v>280</v>
      </c>
      <c r="S1020" s="13">
        <v>16655.38</v>
      </c>
      <c r="T1020" s="13"/>
      <c r="U1020" s="13"/>
      <c r="V1020" s="13"/>
      <c r="W1020" s="13"/>
      <c r="X1020" s="13"/>
    </row>
    <row r="1021" spans="1:24" x14ac:dyDescent="0.25">
      <c r="A1021" s="15">
        <v>342</v>
      </c>
      <c r="B1021" s="13" t="s">
        <v>13</v>
      </c>
      <c r="C1021" s="22" t="s">
        <v>595</v>
      </c>
      <c r="D1021" s="29">
        <v>44400</v>
      </c>
      <c r="E1021" s="18" t="s">
        <v>23</v>
      </c>
      <c r="F1021" s="18"/>
      <c r="G1021" s="13" t="s">
        <v>1766</v>
      </c>
      <c r="H1021" s="31"/>
      <c r="I1021" s="13" t="s">
        <v>1721</v>
      </c>
      <c r="J1021" s="13">
        <v>1194</v>
      </c>
      <c r="K1021" s="13" t="s">
        <v>1722</v>
      </c>
      <c r="L1021" s="13">
        <v>0.04</v>
      </c>
      <c r="M1021" s="13">
        <v>6.0999999999999999E-2</v>
      </c>
      <c r="N1021" s="13">
        <v>47.76</v>
      </c>
      <c r="O1021" s="13">
        <v>72.834000000000003</v>
      </c>
      <c r="P1021" s="13">
        <v>6.21</v>
      </c>
      <c r="Q1021" s="13">
        <v>10.199999999999999</v>
      </c>
      <c r="R1021" s="13">
        <v>255</v>
      </c>
      <c r="S1021" s="13">
        <v>12178.8</v>
      </c>
      <c r="T1021" s="13"/>
      <c r="U1021" s="13"/>
      <c r="V1021" s="13"/>
      <c r="W1021" s="13"/>
      <c r="X1021" s="13"/>
    </row>
    <row r="1022" spans="1:24" x14ac:dyDescent="0.25">
      <c r="A1022" s="15">
        <v>346</v>
      </c>
      <c r="B1022" s="13" t="s">
        <v>13</v>
      </c>
      <c r="C1022" s="22" t="s">
        <v>32</v>
      </c>
      <c r="D1022" s="29">
        <v>44400</v>
      </c>
      <c r="E1022" s="18" t="s">
        <v>23</v>
      </c>
      <c r="F1022" s="18"/>
      <c r="G1022" s="13"/>
      <c r="H1022" s="31"/>
      <c r="I1022" s="13" t="s">
        <v>1218</v>
      </c>
      <c r="J1022" s="13">
        <v>540.6</v>
      </c>
      <c r="K1022" s="13" t="s">
        <v>647</v>
      </c>
      <c r="L1022" s="13">
        <v>0.2651</v>
      </c>
      <c r="M1022" s="13">
        <v>0.82099999999999995</v>
      </c>
      <c r="N1022" s="13">
        <v>143.31309999999999</v>
      </c>
      <c r="O1022" s="13">
        <v>443.83260000000001</v>
      </c>
      <c r="P1022" s="13">
        <v>18.63</v>
      </c>
      <c r="Q1022" s="13">
        <v>66.540000000000006</v>
      </c>
      <c r="R1022" s="13">
        <v>251</v>
      </c>
      <c r="S1022" s="13">
        <v>35971.58</v>
      </c>
      <c r="T1022" s="13"/>
      <c r="U1022" s="13"/>
      <c r="V1022" s="13"/>
      <c r="W1022" s="13"/>
      <c r="X1022" s="13"/>
    </row>
    <row r="1023" spans="1:24" x14ac:dyDescent="0.25">
      <c r="A1023" s="15">
        <v>347</v>
      </c>
      <c r="B1023" s="13" t="s">
        <v>13</v>
      </c>
      <c r="C1023" s="22" t="s">
        <v>32</v>
      </c>
      <c r="D1023" s="29">
        <v>44400</v>
      </c>
      <c r="E1023" s="18" t="s">
        <v>23</v>
      </c>
      <c r="F1023" s="18"/>
      <c r="G1023" s="13" t="s">
        <v>1764</v>
      </c>
      <c r="H1023" s="31"/>
      <c r="I1023" s="13" t="s">
        <v>1091</v>
      </c>
      <c r="J1023" s="13">
        <v>1848.85</v>
      </c>
      <c r="K1023" s="13" t="s">
        <v>1726</v>
      </c>
      <c r="L1023" s="13">
        <v>0.19400000000000001</v>
      </c>
      <c r="M1023" s="13">
        <v>0.35399999999999998</v>
      </c>
      <c r="N1023" s="13">
        <v>358.67689999999999</v>
      </c>
      <c r="O1023" s="13">
        <v>654.49289999999996</v>
      </c>
      <c r="P1023" s="13">
        <v>46.63</v>
      </c>
      <c r="Q1023" s="13">
        <v>58.2</v>
      </c>
      <c r="R1023" s="13">
        <v>300</v>
      </c>
      <c r="S1023" s="13">
        <v>107603.07</v>
      </c>
      <c r="T1023" s="13"/>
      <c r="U1023" s="13"/>
      <c r="V1023" s="13"/>
      <c r="W1023" s="13"/>
      <c r="X1023" s="13"/>
    </row>
    <row r="1024" spans="1:24" x14ac:dyDescent="0.25">
      <c r="A1024" s="15">
        <v>348</v>
      </c>
      <c r="B1024" s="13" t="s">
        <v>13</v>
      </c>
      <c r="C1024" s="22" t="s">
        <v>32</v>
      </c>
      <c r="D1024" s="29">
        <v>44400</v>
      </c>
      <c r="E1024" s="18" t="s">
        <v>23</v>
      </c>
      <c r="F1024" s="18"/>
      <c r="G1024" s="13" t="s">
        <v>1634</v>
      </c>
      <c r="H1024" s="31"/>
      <c r="I1024" s="13" t="s">
        <v>1395</v>
      </c>
      <c r="J1024" s="13">
        <v>61</v>
      </c>
      <c r="K1024" s="13" t="s">
        <v>283</v>
      </c>
      <c r="L1024" s="13">
        <v>0.25659999999999999</v>
      </c>
      <c r="M1024" s="13">
        <v>0.68899999999999995</v>
      </c>
      <c r="N1024" s="13">
        <v>15.6526</v>
      </c>
      <c r="O1024" s="13">
        <v>42.029000000000003</v>
      </c>
      <c r="P1024" s="13">
        <v>2.0299999999999998</v>
      </c>
      <c r="Q1024" s="13">
        <v>106.56</v>
      </c>
      <c r="R1024" s="13">
        <v>415.27</v>
      </c>
      <c r="S1024" s="13">
        <v>6500</v>
      </c>
      <c r="T1024" s="13"/>
      <c r="U1024" s="13"/>
      <c r="V1024" s="13"/>
      <c r="W1024" s="13"/>
      <c r="X1024" s="13"/>
    </row>
    <row r="1025" spans="1:24" x14ac:dyDescent="0.25">
      <c r="A1025" s="15" t="s">
        <v>584</v>
      </c>
      <c r="B1025" s="13" t="s">
        <v>13</v>
      </c>
      <c r="C1025" s="22" t="s">
        <v>15</v>
      </c>
      <c r="D1025" s="29">
        <v>44403</v>
      </c>
      <c r="E1025" s="18" t="s">
        <v>23</v>
      </c>
      <c r="F1025" s="18"/>
      <c r="G1025" s="13"/>
      <c r="H1025" s="19">
        <v>44405</v>
      </c>
      <c r="I1025" s="74" t="s">
        <v>89</v>
      </c>
      <c r="J1025" s="13"/>
      <c r="K1025" s="13">
        <v>48</v>
      </c>
      <c r="L1025" s="13"/>
      <c r="M1025" s="13"/>
      <c r="N1025" s="13"/>
      <c r="O1025" s="13"/>
      <c r="P1025" s="13"/>
      <c r="Q1025" s="13"/>
      <c r="R1025" s="13"/>
      <c r="S1025" s="13">
        <v>34992</v>
      </c>
      <c r="T1025" s="13"/>
      <c r="U1025" s="13"/>
      <c r="V1025" s="13"/>
      <c r="W1025" s="13"/>
    </row>
    <row r="1026" spans="1:24" x14ac:dyDescent="0.25">
      <c r="A1026" s="15">
        <v>349</v>
      </c>
      <c r="B1026" s="13" t="s">
        <v>13</v>
      </c>
      <c r="C1026" s="22" t="s">
        <v>1610</v>
      </c>
      <c r="D1026" s="29">
        <v>44403</v>
      </c>
      <c r="E1026" s="18" t="s">
        <v>23</v>
      </c>
      <c r="F1026" s="18"/>
      <c r="G1026" s="13" t="s">
        <v>1736</v>
      </c>
      <c r="H1026" s="31"/>
      <c r="I1026" s="13" t="s">
        <v>38</v>
      </c>
      <c r="J1026" s="13">
        <v>5964</v>
      </c>
      <c r="K1026" s="13" t="s">
        <v>1725</v>
      </c>
      <c r="L1026" s="13">
        <v>6.4500000000000002E-2</v>
      </c>
      <c r="M1026" s="13">
        <v>8.5000000000000006E-2</v>
      </c>
      <c r="N1026" s="13">
        <v>384.678</v>
      </c>
      <c r="O1026" s="13">
        <v>506.94</v>
      </c>
      <c r="P1026" s="13">
        <v>50.01</v>
      </c>
      <c r="Q1026" s="13">
        <v>17.739999999999998</v>
      </c>
      <c r="R1026" s="13">
        <v>275</v>
      </c>
      <c r="S1026" s="13">
        <v>105786.45</v>
      </c>
      <c r="T1026" s="13"/>
      <c r="U1026" s="13"/>
      <c r="V1026" s="13"/>
      <c r="W1026" s="13"/>
      <c r="X1026" s="13"/>
    </row>
    <row r="1027" spans="1:24" x14ac:dyDescent="0.25">
      <c r="A1027" s="15">
        <v>350</v>
      </c>
      <c r="B1027" s="13" t="s">
        <v>13</v>
      </c>
      <c r="C1027" s="22" t="s">
        <v>672</v>
      </c>
      <c r="D1027" s="29">
        <v>44403</v>
      </c>
      <c r="E1027" s="18" t="s">
        <v>23</v>
      </c>
      <c r="F1027" s="18"/>
      <c r="G1027" s="13" t="s">
        <v>1813</v>
      </c>
      <c r="H1027" s="31"/>
      <c r="I1027" s="13" t="s">
        <v>999</v>
      </c>
      <c r="J1027" s="13">
        <v>364</v>
      </c>
      <c r="K1027" s="13" t="s">
        <v>527</v>
      </c>
      <c r="L1027" s="13">
        <v>0.626</v>
      </c>
      <c r="M1027" s="13">
        <v>2.1960000000000002</v>
      </c>
      <c r="N1027" s="13">
        <v>227.864</v>
      </c>
      <c r="O1027" s="13">
        <v>799.34400000000005</v>
      </c>
      <c r="P1027" s="13">
        <v>29.62</v>
      </c>
      <c r="Q1027" s="13">
        <v>150.24</v>
      </c>
      <c r="R1027" s="13">
        <v>240</v>
      </c>
      <c r="S1027" s="13">
        <v>54687.360000000001</v>
      </c>
      <c r="T1027" s="13"/>
      <c r="U1027" s="13"/>
      <c r="V1027" s="13"/>
      <c r="W1027" s="13"/>
      <c r="X1027" s="13"/>
    </row>
    <row r="1028" spans="1:24" x14ac:dyDescent="0.25">
      <c r="A1028" s="15" t="s">
        <v>1740</v>
      </c>
      <c r="B1028" s="13" t="s">
        <v>34</v>
      </c>
      <c r="C1028" s="22" t="s">
        <v>16</v>
      </c>
      <c r="D1028" s="29">
        <v>44403</v>
      </c>
      <c r="E1028" s="18" t="s">
        <v>23</v>
      </c>
      <c r="F1028" s="18"/>
      <c r="G1028" s="13" t="s">
        <v>1944</v>
      </c>
      <c r="H1028" s="19">
        <v>44407</v>
      </c>
      <c r="I1028" s="74" t="s">
        <v>644</v>
      </c>
      <c r="J1028" s="13">
        <v>462</v>
      </c>
      <c r="K1028" s="13" t="s">
        <v>423</v>
      </c>
      <c r="L1028" s="13">
        <v>0.56989999999999996</v>
      </c>
      <c r="M1028" s="13">
        <v>1.304</v>
      </c>
      <c r="N1028" s="13">
        <v>263.29379999999998</v>
      </c>
      <c r="O1028" s="13">
        <v>602.44799999999998</v>
      </c>
      <c r="P1028" s="13">
        <v>34.229999999999997</v>
      </c>
      <c r="Q1028" s="13">
        <v>216.56</v>
      </c>
      <c r="R1028" s="13">
        <v>380</v>
      </c>
      <c r="S1028" s="13">
        <v>100051.64</v>
      </c>
      <c r="T1028" s="13"/>
      <c r="U1028" s="13"/>
      <c r="V1028" s="13"/>
      <c r="W1028" s="13"/>
      <c r="X1028" s="13"/>
    </row>
    <row r="1029" spans="1:24" x14ac:dyDescent="0.25">
      <c r="A1029" s="15" t="s">
        <v>1741</v>
      </c>
      <c r="B1029" s="13" t="s">
        <v>34</v>
      </c>
      <c r="C1029" s="22" t="s">
        <v>16</v>
      </c>
      <c r="D1029" s="29">
        <v>44403</v>
      </c>
      <c r="E1029" s="18" t="s">
        <v>23</v>
      </c>
      <c r="F1029" s="18"/>
      <c r="G1029" s="13"/>
      <c r="H1029" s="19">
        <v>44410</v>
      </c>
      <c r="I1029" s="13" t="s">
        <v>646</v>
      </c>
      <c r="J1029" s="13">
        <v>60</v>
      </c>
      <c r="K1029" s="13" t="s">
        <v>283</v>
      </c>
      <c r="L1029" s="13">
        <v>0.27260000000000001</v>
      </c>
      <c r="M1029" s="13">
        <v>0.72899999999999998</v>
      </c>
      <c r="N1029" s="13">
        <v>16.356000000000002</v>
      </c>
      <c r="O1029" s="13">
        <v>43.74</v>
      </c>
      <c r="P1029" s="13">
        <v>2.13</v>
      </c>
      <c r="Q1029" s="13">
        <v>81.78</v>
      </c>
      <c r="R1029" s="13">
        <v>300</v>
      </c>
      <c r="S1029" s="13">
        <v>4906.8</v>
      </c>
      <c r="T1029" s="13"/>
      <c r="U1029" s="13"/>
      <c r="V1029" s="13"/>
      <c r="W1029" s="13"/>
      <c r="X1029" s="13"/>
    </row>
    <row r="1030" spans="1:24" x14ac:dyDescent="0.25">
      <c r="A1030" s="15" t="s">
        <v>1742</v>
      </c>
      <c r="B1030" s="13" t="s">
        <v>34</v>
      </c>
      <c r="C1030" s="22" t="s">
        <v>16</v>
      </c>
      <c r="D1030" s="29">
        <v>44403</v>
      </c>
      <c r="E1030" s="18" t="s">
        <v>23</v>
      </c>
      <c r="F1030" s="18"/>
      <c r="G1030" s="13"/>
      <c r="H1030" s="19">
        <v>44410</v>
      </c>
      <c r="I1030" s="13" t="s">
        <v>862</v>
      </c>
      <c r="J1030" s="13">
        <v>318</v>
      </c>
      <c r="K1030" s="13" t="s">
        <v>140</v>
      </c>
      <c r="L1030" s="13">
        <v>0.29970000000000002</v>
      </c>
      <c r="M1030" s="13">
        <v>1.6739999999999999</v>
      </c>
      <c r="N1030" s="13">
        <v>95.304599999999994</v>
      </c>
      <c r="O1030" s="13">
        <v>532.33199999999999</v>
      </c>
      <c r="P1030" s="13">
        <v>12.39</v>
      </c>
      <c r="Q1030" s="13">
        <v>89.91</v>
      </c>
      <c r="R1030" s="13">
        <v>300</v>
      </c>
      <c r="S1030" s="13">
        <v>28591.38</v>
      </c>
      <c r="T1030" s="13"/>
      <c r="U1030" s="13"/>
      <c r="V1030" s="13"/>
      <c r="W1030" s="13"/>
      <c r="X1030" s="13"/>
    </row>
    <row r="1031" spans="1:24" x14ac:dyDescent="0.25">
      <c r="A1031" s="15">
        <v>353</v>
      </c>
      <c r="B1031" s="13" t="s">
        <v>13</v>
      </c>
      <c r="C1031" s="22" t="s">
        <v>1727</v>
      </c>
      <c r="D1031" s="29">
        <v>44404</v>
      </c>
      <c r="E1031" s="18" t="s">
        <v>23</v>
      </c>
      <c r="F1031" s="18"/>
      <c r="G1031" s="13"/>
      <c r="H1031" s="31"/>
      <c r="I1031" s="13" t="s">
        <v>1431</v>
      </c>
      <c r="J1031" s="13">
        <v>6</v>
      </c>
      <c r="K1031" s="13" t="s">
        <v>679</v>
      </c>
      <c r="L1031" s="13">
        <v>0.19259999999999999</v>
      </c>
      <c r="M1031" s="13">
        <v>0.33</v>
      </c>
      <c r="N1031" s="13">
        <v>1.1556</v>
      </c>
      <c r="O1031" s="13">
        <v>1.98</v>
      </c>
      <c r="P1031" s="13">
        <v>0.15</v>
      </c>
      <c r="Q1031" s="13">
        <v>52.97</v>
      </c>
      <c r="R1031" s="13">
        <v>275</v>
      </c>
      <c r="S1031" s="13">
        <v>317.79000000000002</v>
      </c>
      <c r="T1031" s="13"/>
      <c r="U1031" s="13"/>
      <c r="V1031" s="13"/>
      <c r="W1031" s="13"/>
      <c r="X1031" s="13"/>
    </row>
    <row r="1032" spans="1:24" s="25" customFormat="1" x14ac:dyDescent="0.25">
      <c r="A1032" s="20">
        <v>355</v>
      </c>
      <c r="B1032" s="21" t="s">
        <v>13</v>
      </c>
      <c r="C1032" s="22" t="s">
        <v>32</v>
      </c>
      <c r="D1032" s="17">
        <v>44405</v>
      </c>
      <c r="E1032" s="23" t="s">
        <v>23</v>
      </c>
      <c r="F1032" s="23"/>
      <c r="G1032" s="21" t="s">
        <v>1739</v>
      </c>
      <c r="H1032" s="30"/>
      <c r="I1032" s="21" t="s">
        <v>1218</v>
      </c>
      <c r="J1032" s="21">
        <v>1791.4</v>
      </c>
      <c r="K1032" s="21" t="s">
        <v>507</v>
      </c>
      <c r="L1032" s="21">
        <v>0.2651</v>
      </c>
      <c r="M1032" s="21">
        <v>0.82099999999999995</v>
      </c>
      <c r="N1032" s="21">
        <v>474.90010000000001</v>
      </c>
      <c r="O1032" s="21">
        <v>1470.7393999999999</v>
      </c>
      <c r="P1032" s="21">
        <v>61.74</v>
      </c>
      <c r="Q1032" s="21">
        <v>66.540000000000006</v>
      </c>
      <c r="R1032" s="21">
        <v>251</v>
      </c>
      <c r="S1032" s="21">
        <v>119199.94</v>
      </c>
      <c r="T1032" s="21"/>
      <c r="U1032" s="21"/>
      <c r="V1032" s="21"/>
      <c r="W1032" s="21"/>
      <c r="X1032" s="21"/>
    </row>
    <row r="1033" spans="1:24" s="25" customFormat="1" x14ac:dyDescent="0.25">
      <c r="A1033" s="20">
        <v>357</v>
      </c>
      <c r="B1033" s="21" t="s">
        <v>13</v>
      </c>
      <c r="C1033" s="22" t="s">
        <v>32</v>
      </c>
      <c r="D1033" s="17">
        <v>44405</v>
      </c>
      <c r="E1033" s="23" t="s">
        <v>23</v>
      </c>
      <c r="F1033" s="23"/>
      <c r="G1033" s="21"/>
      <c r="H1033" s="30"/>
      <c r="I1033" s="21" t="s">
        <v>1300</v>
      </c>
      <c r="J1033" s="21">
        <v>396.55</v>
      </c>
      <c r="K1033" s="21" t="s">
        <v>423</v>
      </c>
      <c r="L1033" s="21">
        <v>0.15790000000000001</v>
      </c>
      <c r="M1033" s="21">
        <v>0.309</v>
      </c>
      <c r="N1033" s="21">
        <v>62.615200000000002</v>
      </c>
      <c r="O1033" s="21">
        <v>122.53400000000001</v>
      </c>
      <c r="P1033" s="21">
        <v>8.14</v>
      </c>
      <c r="Q1033" s="21">
        <v>39.630000000000003</v>
      </c>
      <c r="R1033" s="21">
        <v>251</v>
      </c>
      <c r="S1033" s="21">
        <v>15716.43</v>
      </c>
      <c r="T1033" s="21"/>
      <c r="U1033" s="21"/>
      <c r="V1033" s="21"/>
      <c r="W1033" s="21"/>
      <c r="X1033" s="21"/>
    </row>
    <row r="1034" spans="1:24" s="25" customFormat="1" x14ac:dyDescent="0.25">
      <c r="A1034" s="20">
        <v>307</v>
      </c>
      <c r="B1034" s="21" t="s">
        <v>13</v>
      </c>
      <c r="C1034" s="22" t="s">
        <v>37</v>
      </c>
      <c r="D1034" s="17">
        <v>44405</v>
      </c>
      <c r="E1034" s="23" t="s">
        <v>23</v>
      </c>
      <c r="F1034" s="23"/>
      <c r="G1034" s="21" t="s">
        <v>1821</v>
      </c>
      <c r="H1034" s="24">
        <v>44413</v>
      </c>
      <c r="I1034" s="21" t="s">
        <v>1728</v>
      </c>
      <c r="J1034" s="21">
        <v>180</v>
      </c>
      <c r="K1034" s="21" t="s">
        <v>56</v>
      </c>
      <c r="L1034" s="21">
        <v>9.9900000000000003E-2</v>
      </c>
      <c r="M1034" s="21">
        <v>0.28599999999999998</v>
      </c>
      <c r="N1034" s="21">
        <v>17.981999999999999</v>
      </c>
      <c r="O1034" s="21">
        <v>51.48</v>
      </c>
      <c r="P1034" s="21">
        <v>2.34</v>
      </c>
      <c r="Q1034" s="21">
        <v>83.37</v>
      </c>
      <c r="R1034" s="21">
        <v>834.5</v>
      </c>
      <c r="S1034" s="21">
        <v>15005.96</v>
      </c>
      <c r="T1034" s="21"/>
      <c r="U1034" s="21"/>
      <c r="V1034" s="21"/>
      <c r="W1034" s="21"/>
      <c r="X1034" s="21"/>
    </row>
    <row r="1035" spans="1:24" s="25" customFormat="1" x14ac:dyDescent="0.25">
      <c r="A1035" s="20">
        <v>358</v>
      </c>
      <c r="B1035" s="21" t="s">
        <v>13</v>
      </c>
      <c r="C1035" s="22" t="s">
        <v>32</v>
      </c>
      <c r="D1035" s="17">
        <v>44405</v>
      </c>
      <c r="E1035" s="23" t="s">
        <v>23</v>
      </c>
      <c r="F1035" s="23"/>
      <c r="G1035" s="21"/>
      <c r="H1035" s="30"/>
      <c r="I1035" s="21" t="s">
        <v>1242</v>
      </c>
      <c r="J1035" s="21">
        <v>116.4</v>
      </c>
      <c r="K1035" s="21" t="s">
        <v>562</v>
      </c>
      <c r="L1035" s="21">
        <v>9.5600000000000004E-2</v>
      </c>
      <c r="M1035" s="21">
        <v>0.16</v>
      </c>
      <c r="N1035" s="21">
        <v>11.127800000000001</v>
      </c>
      <c r="O1035" s="21">
        <v>18.623999999999999</v>
      </c>
      <c r="P1035" s="21">
        <v>1.45</v>
      </c>
      <c r="Q1035" s="21">
        <v>24</v>
      </c>
      <c r="R1035" s="21">
        <v>251</v>
      </c>
      <c r="S1035" s="21">
        <v>2793.09</v>
      </c>
      <c r="T1035" s="21"/>
      <c r="U1035" s="21"/>
      <c r="V1035" s="21"/>
      <c r="W1035" s="21"/>
      <c r="X1035" s="21"/>
    </row>
    <row r="1036" spans="1:24" x14ac:dyDescent="0.25">
      <c r="A1036" s="15" t="s">
        <v>2833</v>
      </c>
      <c r="B1036" s="13" t="s">
        <v>34</v>
      </c>
      <c r="C1036" s="22" t="s">
        <v>541</v>
      </c>
      <c r="D1036" s="29">
        <v>44407</v>
      </c>
      <c r="E1036" s="18" t="s">
        <v>23</v>
      </c>
      <c r="F1036" s="18"/>
      <c r="G1036" s="13"/>
      <c r="H1036" s="31"/>
      <c r="I1036" s="13" t="s">
        <v>1758</v>
      </c>
      <c r="J1036" s="109" t="s">
        <v>1759</v>
      </c>
      <c r="K1036" s="13">
        <v>1</v>
      </c>
      <c r="L1036" s="13"/>
      <c r="M1036" s="13"/>
      <c r="N1036" s="13"/>
      <c r="O1036" s="13"/>
      <c r="P1036" s="13"/>
      <c r="Q1036" s="13">
        <v>171.93</v>
      </c>
      <c r="R1036" s="13"/>
      <c r="S1036" s="13"/>
      <c r="T1036" s="13"/>
      <c r="U1036" s="13"/>
      <c r="V1036" s="13"/>
      <c r="W1036" s="13"/>
      <c r="X1036" s="13"/>
    </row>
    <row r="1037" spans="1:24" x14ac:dyDescent="0.25">
      <c r="A1037" s="15" t="s">
        <v>2833</v>
      </c>
      <c r="B1037" s="13" t="s">
        <v>34</v>
      </c>
      <c r="C1037" s="22" t="s">
        <v>541</v>
      </c>
      <c r="D1037" s="29">
        <v>44407</v>
      </c>
      <c r="E1037" s="18" t="s">
        <v>23</v>
      </c>
      <c r="F1037" s="18"/>
      <c r="G1037" s="13"/>
      <c r="H1037" s="31"/>
      <c r="I1037" s="13" t="s">
        <v>1756</v>
      </c>
      <c r="J1037" s="109" t="s">
        <v>125</v>
      </c>
      <c r="K1037" s="13">
        <v>8</v>
      </c>
      <c r="L1037" s="13"/>
      <c r="M1037" s="13"/>
      <c r="N1037" s="13"/>
      <c r="O1037" s="13"/>
      <c r="P1037" s="13"/>
      <c r="Q1037" s="13">
        <v>171.93</v>
      </c>
      <c r="R1037" s="13"/>
      <c r="S1037" s="13"/>
      <c r="T1037" s="13"/>
      <c r="U1037" s="13"/>
      <c r="V1037" s="13"/>
      <c r="W1037" s="13"/>
      <c r="X1037" s="13"/>
    </row>
    <row r="1038" spans="1:24" x14ac:dyDescent="0.25">
      <c r="A1038" s="15" t="s">
        <v>2833</v>
      </c>
      <c r="B1038" s="13" t="s">
        <v>34</v>
      </c>
      <c r="C1038" s="22" t="s">
        <v>541</v>
      </c>
      <c r="D1038" s="29">
        <v>44407</v>
      </c>
      <c r="E1038" s="18" t="s">
        <v>23</v>
      </c>
      <c r="F1038" s="18"/>
      <c r="G1038" s="13"/>
      <c r="H1038" s="31"/>
      <c r="I1038" s="13" t="s">
        <v>1757</v>
      </c>
      <c r="J1038" s="109" t="s">
        <v>1760</v>
      </c>
      <c r="K1038" s="13">
        <v>14</v>
      </c>
      <c r="L1038" s="13"/>
      <c r="M1038" s="13"/>
      <c r="N1038" s="13"/>
      <c r="O1038" s="13"/>
      <c r="P1038" s="13"/>
      <c r="Q1038" s="13">
        <v>171.93</v>
      </c>
      <c r="R1038" s="13"/>
      <c r="S1038" s="13"/>
      <c r="T1038" s="13"/>
      <c r="U1038" s="13"/>
      <c r="V1038" s="13"/>
      <c r="W1038" s="13"/>
      <c r="X1038" s="13"/>
    </row>
    <row r="1039" spans="1:24" x14ac:dyDescent="0.25">
      <c r="A1039" s="15">
        <v>354</v>
      </c>
      <c r="B1039" s="13" t="s">
        <v>34</v>
      </c>
      <c r="C1039" s="22" t="s">
        <v>14</v>
      </c>
      <c r="D1039" s="29">
        <v>44405</v>
      </c>
      <c r="E1039" s="18" t="s">
        <v>23</v>
      </c>
      <c r="F1039" s="18"/>
      <c r="G1039" s="13"/>
      <c r="H1039" s="19">
        <v>44407</v>
      </c>
      <c r="I1039" s="13" t="s">
        <v>488</v>
      </c>
      <c r="J1039" s="13">
        <v>5987.4</v>
      </c>
      <c r="K1039" s="13" t="s">
        <v>1729</v>
      </c>
      <c r="L1039" s="13">
        <v>3.9300000000000002E-2</v>
      </c>
      <c r="M1039" s="13">
        <v>7.8E-2</v>
      </c>
      <c r="N1039" s="13">
        <v>235.3048</v>
      </c>
      <c r="O1039" s="13">
        <v>467.0172</v>
      </c>
      <c r="P1039" s="13">
        <v>30.59</v>
      </c>
      <c r="Q1039" s="13">
        <v>11</v>
      </c>
      <c r="R1039" s="13">
        <v>280</v>
      </c>
      <c r="S1039" s="13">
        <v>65885.350000000006</v>
      </c>
      <c r="T1039" s="13"/>
      <c r="U1039" s="13"/>
      <c r="V1039" s="13"/>
      <c r="W1039" s="13"/>
      <c r="X1039" s="13"/>
    </row>
    <row r="1040" spans="1:24" x14ac:dyDescent="0.25">
      <c r="A1040" s="15">
        <v>356</v>
      </c>
      <c r="B1040" s="13" t="s">
        <v>34</v>
      </c>
      <c r="C1040" s="22" t="s">
        <v>14</v>
      </c>
      <c r="D1040" s="29">
        <v>44405</v>
      </c>
      <c r="E1040" s="18" t="s">
        <v>23</v>
      </c>
      <c r="F1040" s="18"/>
      <c r="G1040" s="13"/>
      <c r="H1040" s="19">
        <v>44407</v>
      </c>
      <c r="I1040" s="13" t="s">
        <v>528</v>
      </c>
      <c r="J1040" s="13">
        <v>2104.1</v>
      </c>
      <c r="K1040" s="13" t="s">
        <v>1730</v>
      </c>
      <c r="L1040" s="13">
        <v>6.2700000000000006E-2</v>
      </c>
      <c r="M1040" s="13">
        <v>0.122</v>
      </c>
      <c r="N1040" s="13">
        <v>131.9271</v>
      </c>
      <c r="O1040" s="13">
        <v>256.7002</v>
      </c>
      <c r="P1040" s="13">
        <v>17.149999999999999</v>
      </c>
      <c r="Q1040" s="13">
        <v>17.559999999999999</v>
      </c>
      <c r="R1040" s="13">
        <v>280</v>
      </c>
      <c r="S1040" s="13">
        <v>36939.58</v>
      </c>
      <c r="T1040" s="13"/>
      <c r="U1040" s="13"/>
      <c r="V1040" s="13"/>
      <c r="W1040" s="13"/>
      <c r="X1040" s="13"/>
    </row>
    <row r="1041" spans="1:24" x14ac:dyDescent="0.25">
      <c r="A1041" s="15" t="s">
        <v>1743</v>
      </c>
      <c r="B1041" s="13" t="s">
        <v>34</v>
      </c>
      <c r="C1041" s="22" t="s">
        <v>16</v>
      </c>
      <c r="D1041" s="29">
        <v>44405</v>
      </c>
      <c r="E1041" s="18" t="s">
        <v>23</v>
      </c>
      <c r="F1041" s="18"/>
      <c r="G1041" s="13"/>
      <c r="H1041" s="19">
        <v>44410</v>
      </c>
      <c r="I1041" s="13" t="s">
        <v>646</v>
      </c>
      <c r="J1041" s="13">
        <v>930</v>
      </c>
      <c r="K1041" s="13" t="s">
        <v>1511</v>
      </c>
      <c r="L1041" s="13">
        <v>0.27260000000000001</v>
      </c>
      <c r="M1041" s="13">
        <v>0.72899999999999998</v>
      </c>
      <c r="N1041" s="13">
        <v>253.518</v>
      </c>
      <c r="O1041" s="13">
        <v>677.97</v>
      </c>
      <c r="P1041" s="13">
        <v>32.96</v>
      </c>
      <c r="Q1041" s="13">
        <v>81.78</v>
      </c>
      <c r="R1041" s="13">
        <v>300</v>
      </c>
      <c r="S1041" s="13">
        <v>76055.399999999994</v>
      </c>
      <c r="T1041" s="13"/>
      <c r="U1041" s="13"/>
      <c r="V1041" s="13"/>
      <c r="W1041" s="13"/>
      <c r="X1041" s="13"/>
    </row>
    <row r="1042" spans="1:24" x14ac:dyDescent="0.25">
      <c r="A1042" s="15" t="s">
        <v>588</v>
      </c>
      <c r="B1042" s="13" t="s">
        <v>13</v>
      </c>
      <c r="C1042" s="22" t="s">
        <v>15</v>
      </c>
      <c r="D1042" s="29">
        <v>44405</v>
      </c>
      <c r="E1042" s="18" t="s">
        <v>23</v>
      </c>
      <c r="F1042" s="18"/>
      <c r="G1042" s="13"/>
      <c r="H1042" s="19">
        <v>44407</v>
      </c>
      <c r="I1042" s="74" t="s">
        <v>89</v>
      </c>
      <c r="J1042" s="13"/>
      <c r="K1042" s="13">
        <v>48</v>
      </c>
      <c r="L1042" s="13"/>
      <c r="M1042" s="13"/>
      <c r="N1042" s="13"/>
      <c r="O1042" s="13"/>
      <c r="P1042" s="13"/>
      <c r="Q1042" s="13"/>
      <c r="R1042" s="13"/>
      <c r="S1042" s="13">
        <v>34992</v>
      </c>
      <c r="T1042" s="13"/>
      <c r="U1042" s="13"/>
      <c r="V1042" s="13"/>
      <c r="W1042" s="13"/>
      <c r="X1042" s="13"/>
    </row>
    <row r="1043" spans="1:24" x14ac:dyDescent="0.25">
      <c r="A1043" s="15" t="s">
        <v>1775</v>
      </c>
      <c r="B1043" s="13" t="s">
        <v>13</v>
      </c>
      <c r="C1043" s="22" t="s">
        <v>284</v>
      </c>
      <c r="D1043" s="29">
        <v>44405</v>
      </c>
      <c r="E1043" s="18" t="s">
        <v>677</v>
      </c>
      <c r="F1043" s="18"/>
      <c r="G1043" s="13" t="s">
        <v>1779</v>
      </c>
      <c r="H1043" s="31"/>
      <c r="I1043" s="13" t="s">
        <v>1404</v>
      </c>
      <c r="J1043" s="13">
        <v>48</v>
      </c>
      <c r="K1043" s="13">
        <v>8</v>
      </c>
      <c r="L1043" s="13"/>
      <c r="M1043" s="13"/>
      <c r="N1043" s="13"/>
      <c r="O1043" s="13"/>
      <c r="P1043" s="13"/>
      <c r="Q1043" s="13"/>
      <c r="R1043" s="13"/>
      <c r="S1043" s="13">
        <v>20600</v>
      </c>
      <c r="T1043" s="13"/>
      <c r="U1043" s="13"/>
      <c r="V1043" s="13"/>
      <c r="W1043" s="13"/>
      <c r="X1043" s="13"/>
    </row>
    <row r="1044" spans="1:24" x14ac:dyDescent="0.25">
      <c r="A1044" s="15">
        <v>360</v>
      </c>
      <c r="B1044" s="13" t="s">
        <v>34</v>
      </c>
      <c r="C1044" s="22" t="s">
        <v>14</v>
      </c>
      <c r="D1044" s="29">
        <v>44406</v>
      </c>
      <c r="E1044" s="18" t="s">
        <v>23</v>
      </c>
      <c r="F1044" s="18"/>
      <c r="G1044" s="13"/>
      <c r="H1044" s="19">
        <v>44410</v>
      </c>
      <c r="I1044" s="13" t="s">
        <v>528</v>
      </c>
      <c r="J1044" s="13">
        <v>1176.5999999999999</v>
      </c>
      <c r="K1044" s="13" t="s">
        <v>1001</v>
      </c>
      <c r="L1044" s="13">
        <v>6.2700000000000006E-2</v>
      </c>
      <c r="M1044" s="13">
        <v>0.122</v>
      </c>
      <c r="N1044" s="13">
        <v>73.772800000000004</v>
      </c>
      <c r="O1044" s="13">
        <v>143.54519999999999</v>
      </c>
      <c r="P1044" s="13">
        <v>9.59</v>
      </c>
      <c r="Q1044" s="13">
        <v>17.559999999999999</v>
      </c>
      <c r="R1044" s="13">
        <v>280</v>
      </c>
      <c r="S1044" s="13">
        <v>20656.39</v>
      </c>
      <c r="T1044" s="13"/>
      <c r="U1044" s="13"/>
      <c r="V1044" s="13"/>
      <c r="W1044" s="13"/>
      <c r="X1044" s="13"/>
    </row>
    <row r="1045" spans="1:24" s="25" customFormat="1" x14ac:dyDescent="0.25">
      <c r="A1045" s="20">
        <v>361</v>
      </c>
      <c r="B1045" s="21" t="s">
        <v>13</v>
      </c>
      <c r="C1045" s="22" t="s">
        <v>32</v>
      </c>
      <c r="D1045" s="17">
        <v>44407</v>
      </c>
      <c r="E1045" s="23" t="s">
        <v>23</v>
      </c>
      <c r="F1045" s="23"/>
      <c r="G1045" s="21" t="s">
        <v>1754</v>
      </c>
      <c r="H1045" s="24"/>
      <c r="I1045" s="21" t="s">
        <v>626</v>
      </c>
      <c r="J1045" s="21">
        <v>1876.95</v>
      </c>
      <c r="K1045" s="21" t="s">
        <v>1733</v>
      </c>
      <c r="L1045" s="21">
        <v>0.12230000000000001</v>
      </c>
      <c r="M1045" s="21">
        <v>0.16200000000000001</v>
      </c>
      <c r="N1045" s="21">
        <v>229.55099999999999</v>
      </c>
      <c r="O1045" s="21">
        <v>304.0659</v>
      </c>
      <c r="P1045" s="21">
        <v>29.84</v>
      </c>
      <c r="Q1045" s="21">
        <v>30.7</v>
      </c>
      <c r="R1045" s="21">
        <v>251</v>
      </c>
      <c r="S1045" s="21">
        <v>57617.3</v>
      </c>
      <c r="T1045" s="21"/>
      <c r="U1045" s="21"/>
      <c r="V1045" s="21"/>
      <c r="W1045" s="21"/>
      <c r="X1045" s="21"/>
    </row>
    <row r="1046" spans="1:24" s="25" customFormat="1" x14ac:dyDescent="0.25">
      <c r="A1046" s="20">
        <v>362</v>
      </c>
      <c r="B1046" s="21" t="s">
        <v>13</v>
      </c>
      <c r="C1046" s="22" t="s">
        <v>674</v>
      </c>
      <c r="D1046" s="17">
        <v>44407</v>
      </c>
      <c r="E1046" s="23" t="s">
        <v>23</v>
      </c>
      <c r="F1046" s="23"/>
      <c r="G1046" s="21"/>
      <c r="H1046" s="24"/>
      <c r="I1046" s="21" t="s">
        <v>1734</v>
      </c>
      <c r="J1046" s="21">
        <v>1215</v>
      </c>
      <c r="K1046" s="21" t="s">
        <v>1735</v>
      </c>
      <c r="L1046" s="21">
        <v>0.14929999999999999</v>
      </c>
      <c r="M1046" s="21">
        <v>0.56599999999999995</v>
      </c>
      <c r="N1046" s="21">
        <v>181.39949999999999</v>
      </c>
      <c r="O1046" s="21">
        <v>687.69</v>
      </c>
      <c r="P1046" s="21">
        <v>23.58</v>
      </c>
      <c r="Q1046" s="21">
        <v>44.79</v>
      </c>
      <c r="R1046" s="21">
        <v>300</v>
      </c>
      <c r="S1046" s="21">
        <v>54419.85</v>
      </c>
      <c r="T1046" s="21"/>
      <c r="U1046" s="21"/>
      <c r="V1046" s="21"/>
      <c r="W1046" s="21"/>
      <c r="X1046" s="21"/>
    </row>
    <row r="1047" spans="1:24" x14ac:dyDescent="0.25">
      <c r="A1047" s="15" t="s">
        <v>592</v>
      </c>
      <c r="B1047" s="13" t="s">
        <v>13</v>
      </c>
      <c r="C1047" s="22" t="s">
        <v>583</v>
      </c>
      <c r="D1047" s="29">
        <v>44407</v>
      </c>
      <c r="E1047" s="18" t="s">
        <v>23</v>
      </c>
      <c r="F1047" s="18"/>
      <c r="G1047" s="13"/>
      <c r="H1047" s="19"/>
      <c r="I1047" s="13" t="s">
        <v>89</v>
      </c>
      <c r="J1047" s="13"/>
      <c r="K1047" s="13">
        <v>48</v>
      </c>
      <c r="L1047" s="13"/>
      <c r="M1047" s="13"/>
      <c r="N1047" s="13"/>
      <c r="O1047" s="13"/>
      <c r="P1047" s="13"/>
      <c r="Q1047" s="13"/>
      <c r="R1047" s="13"/>
      <c r="S1047" s="13">
        <v>34992</v>
      </c>
      <c r="T1047" s="13"/>
      <c r="U1047" s="13"/>
      <c r="V1047" s="13"/>
      <c r="W1047" s="13"/>
      <c r="X1047" s="13"/>
    </row>
    <row r="1048" spans="1:24" x14ac:dyDescent="0.25">
      <c r="A1048" s="15" t="s">
        <v>1738</v>
      </c>
      <c r="B1048" s="13" t="s">
        <v>34</v>
      </c>
      <c r="C1048" s="22" t="s">
        <v>16</v>
      </c>
      <c r="D1048" s="29">
        <v>44410</v>
      </c>
      <c r="E1048" s="18" t="s">
        <v>23</v>
      </c>
      <c r="F1048" s="18"/>
      <c r="G1048" s="13" t="s">
        <v>1848</v>
      </c>
      <c r="H1048" s="19"/>
      <c r="I1048" s="13" t="s">
        <v>995</v>
      </c>
      <c r="J1048" s="13">
        <v>210</v>
      </c>
      <c r="K1048" s="13" t="s">
        <v>1607</v>
      </c>
      <c r="L1048" s="13">
        <v>0.56989999999999996</v>
      </c>
      <c r="M1048" s="13">
        <v>1.304</v>
      </c>
      <c r="N1048" s="13">
        <v>119.679</v>
      </c>
      <c r="O1048" s="13">
        <v>273.83999999999997</v>
      </c>
      <c r="P1048" s="13">
        <v>15.56</v>
      </c>
      <c r="Q1048" s="13">
        <v>216.56</v>
      </c>
      <c r="R1048" s="13">
        <v>380</v>
      </c>
      <c r="S1048" s="13">
        <v>45478.02</v>
      </c>
      <c r="T1048" s="13"/>
      <c r="U1048" s="13"/>
      <c r="V1048" s="13"/>
      <c r="W1048" s="13"/>
      <c r="X1048" s="13"/>
    </row>
    <row r="1049" spans="1:24" x14ac:dyDescent="0.25">
      <c r="A1049" s="15">
        <v>363</v>
      </c>
      <c r="B1049" s="13" t="s">
        <v>34</v>
      </c>
      <c r="C1049" s="22" t="s">
        <v>19</v>
      </c>
      <c r="D1049" s="29">
        <v>44410</v>
      </c>
      <c r="E1049" s="18" t="s">
        <v>23</v>
      </c>
      <c r="F1049" s="18"/>
      <c r="G1049" s="13" t="s">
        <v>1947</v>
      </c>
      <c r="H1049" s="19"/>
      <c r="I1049" s="13" t="s">
        <v>1117</v>
      </c>
      <c r="J1049" s="13">
        <v>234.5</v>
      </c>
      <c r="K1049" s="13" t="s">
        <v>59</v>
      </c>
      <c r="L1049" s="13">
        <v>0.27160000000000001</v>
      </c>
      <c r="M1049" s="13">
        <v>0.72799999999999998</v>
      </c>
      <c r="N1049" s="13">
        <v>63.690199999999997</v>
      </c>
      <c r="O1049" s="13">
        <v>170.71600000000001</v>
      </c>
      <c r="P1049" s="13">
        <v>8.2799999999999994</v>
      </c>
      <c r="Q1049" s="13">
        <v>80.67</v>
      </c>
      <c r="R1049" s="13">
        <v>297</v>
      </c>
      <c r="S1049" s="13">
        <v>18915.990000000002</v>
      </c>
      <c r="T1049" s="13"/>
      <c r="U1049" s="13"/>
      <c r="V1049" s="13"/>
      <c r="W1049" s="13"/>
      <c r="X1049" s="13"/>
    </row>
    <row r="1050" spans="1:24" x14ac:dyDescent="0.25">
      <c r="A1050" s="15" t="s">
        <v>627</v>
      </c>
      <c r="B1050" s="13" t="s">
        <v>13</v>
      </c>
      <c r="C1050" s="22" t="s">
        <v>583</v>
      </c>
      <c r="D1050" s="29">
        <v>44410</v>
      </c>
      <c r="E1050" s="18" t="s">
        <v>23</v>
      </c>
      <c r="F1050" s="18"/>
      <c r="G1050" s="13"/>
      <c r="H1050" s="19">
        <v>44412</v>
      </c>
      <c r="I1050" s="13" t="s">
        <v>89</v>
      </c>
      <c r="J1050" s="13"/>
      <c r="K1050" s="13">
        <v>48</v>
      </c>
      <c r="L1050" s="13"/>
      <c r="M1050" s="13"/>
      <c r="N1050" s="13"/>
      <c r="O1050" s="13"/>
      <c r="P1050" s="13"/>
      <c r="Q1050" s="13"/>
      <c r="R1050" s="13"/>
      <c r="S1050" s="13">
        <v>34992</v>
      </c>
      <c r="T1050" s="13"/>
      <c r="U1050" s="13"/>
      <c r="V1050" s="13"/>
      <c r="W1050" s="13"/>
      <c r="X1050" s="13"/>
    </row>
    <row r="1051" spans="1:24" x14ac:dyDescent="0.25">
      <c r="A1051" s="15" t="s">
        <v>1744</v>
      </c>
      <c r="B1051" s="13" t="s">
        <v>13</v>
      </c>
      <c r="C1051" s="22" t="s">
        <v>30</v>
      </c>
      <c r="D1051" s="29">
        <v>44410</v>
      </c>
      <c r="E1051" s="18" t="s">
        <v>23</v>
      </c>
      <c r="F1051" s="18"/>
      <c r="G1051" s="13"/>
      <c r="H1051" s="19"/>
      <c r="I1051" s="13" t="s">
        <v>206</v>
      </c>
      <c r="J1051" s="13"/>
      <c r="K1051" s="13" t="s">
        <v>1745</v>
      </c>
      <c r="L1051" s="13"/>
      <c r="M1051" s="13"/>
      <c r="N1051" s="13"/>
      <c r="O1051" s="13"/>
      <c r="P1051" s="13"/>
      <c r="Q1051" s="13"/>
      <c r="R1051" s="13"/>
      <c r="S1051" s="13" t="s">
        <v>1563</v>
      </c>
      <c r="T1051" s="13"/>
      <c r="U1051" s="13"/>
      <c r="V1051" s="13"/>
      <c r="W1051" s="13"/>
      <c r="X1051" s="13"/>
    </row>
    <row r="1052" spans="1:24" x14ac:dyDescent="0.25">
      <c r="A1052" s="15" t="s">
        <v>1744</v>
      </c>
      <c r="B1052" s="13" t="s">
        <v>13</v>
      </c>
      <c r="C1052" s="22" t="s">
        <v>30</v>
      </c>
      <c r="D1052" s="29">
        <v>44410</v>
      </c>
      <c r="E1052" s="18" t="s">
        <v>23</v>
      </c>
      <c r="F1052" s="18"/>
      <c r="G1052" s="13"/>
      <c r="H1052" s="19">
        <v>44417</v>
      </c>
      <c r="I1052" s="13" t="s">
        <v>568</v>
      </c>
      <c r="J1052" s="13"/>
      <c r="K1052" s="13" t="s">
        <v>108</v>
      </c>
      <c r="L1052" s="13"/>
      <c r="M1052" s="13"/>
      <c r="N1052" s="13"/>
      <c r="O1052" s="13"/>
      <c r="P1052" s="13"/>
      <c r="Q1052" s="13"/>
      <c r="R1052" s="13"/>
      <c r="S1052" s="13" t="s">
        <v>334</v>
      </c>
      <c r="T1052" s="13"/>
      <c r="U1052" s="13"/>
      <c r="V1052" s="13"/>
      <c r="W1052" s="13"/>
      <c r="X1052" s="13"/>
    </row>
    <row r="1053" spans="1:24" x14ac:dyDescent="0.25">
      <c r="A1053" s="15" t="s">
        <v>1744</v>
      </c>
      <c r="B1053" s="13" t="s">
        <v>13</v>
      </c>
      <c r="C1053" s="22" t="s">
        <v>30</v>
      </c>
      <c r="D1053" s="29">
        <v>44410</v>
      </c>
      <c r="E1053" s="18" t="s">
        <v>23</v>
      </c>
      <c r="F1053" s="18"/>
      <c r="G1053" s="13"/>
      <c r="H1053" s="19">
        <v>44417</v>
      </c>
      <c r="I1053" s="13" t="s">
        <v>742</v>
      </c>
      <c r="J1053" s="13"/>
      <c r="K1053" s="13" t="s">
        <v>75</v>
      </c>
      <c r="L1053" s="13"/>
      <c r="M1053" s="13"/>
      <c r="N1053" s="13"/>
      <c r="O1053" s="13"/>
      <c r="P1053" s="13"/>
      <c r="Q1053" s="13"/>
      <c r="R1053" s="13"/>
      <c r="S1053" s="13" t="s">
        <v>504</v>
      </c>
      <c r="T1053" s="13"/>
      <c r="U1053" s="13"/>
      <c r="V1053" s="13"/>
      <c r="W1053" s="13"/>
      <c r="X1053" s="13"/>
    </row>
    <row r="1054" spans="1:24" x14ac:dyDescent="0.25">
      <c r="A1054" s="15" t="s">
        <v>1744</v>
      </c>
      <c r="B1054" s="13" t="s">
        <v>13</v>
      </c>
      <c r="C1054" s="22" t="s">
        <v>30</v>
      </c>
      <c r="D1054" s="29">
        <v>44410</v>
      </c>
      <c r="E1054" s="18" t="s">
        <v>23</v>
      </c>
      <c r="F1054" s="18"/>
      <c r="G1054" s="13"/>
      <c r="H1054" s="19">
        <v>44417</v>
      </c>
      <c r="I1054" s="13" t="s">
        <v>730</v>
      </c>
      <c r="J1054" s="13"/>
      <c r="K1054" s="13" t="s">
        <v>108</v>
      </c>
      <c r="L1054" s="13"/>
      <c r="M1054" s="13"/>
      <c r="N1054" s="13"/>
      <c r="O1054" s="13"/>
      <c r="P1054" s="13"/>
      <c r="Q1054" s="13"/>
      <c r="R1054" s="13"/>
      <c r="S1054" s="13" t="s">
        <v>356</v>
      </c>
      <c r="T1054" s="13"/>
      <c r="U1054" s="13"/>
      <c r="V1054" s="13"/>
      <c r="W1054" s="13"/>
      <c r="X1054" s="13"/>
    </row>
    <row r="1055" spans="1:24" x14ac:dyDescent="0.25">
      <c r="A1055" s="15" t="s">
        <v>1744</v>
      </c>
      <c r="B1055" s="13" t="s">
        <v>13</v>
      </c>
      <c r="C1055" s="22" t="s">
        <v>30</v>
      </c>
      <c r="D1055" s="29">
        <v>44410</v>
      </c>
      <c r="E1055" s="18" t="s">
        <v>23</v>
      </c>
      <c r="F1055" s="18"/>
      <c r="G1055" s="13"/>
      <c r="H1055" s="19">
        <v>44417</v>
      </c>
      <c r="I1055" s="13" t="s">
        <v>731</v>
      </c>
      <c r="J1055" s="13"/>
      <c r="K1055" s="13" t="s">
        <v>181</v>
      </c>
      <c r="L1055" s="13"/>
      <c r="M1055" s="13"/>
      <c r="N1055" s="13"/>
      <c r="O1055" s="13"/>
      <c r="P1055" s="13"/>
      <c r="Q1055" s="13"/>
      <c r="R1055" s="13"/>
      <c r="S1055" s="13" t="s">
        <v>854</v>
      </c>
      <c r="T1055" s="13"/>
      <c r="U1055" s="13"/>
      <c r="V1055" s="13"/>
      <c r="W1055" s="13"/>
      <c r="X1055" s="13"/>
    </row>
    <row r="1056" spans="1:24" x14ac:dyDescent="0.25">
      <c r="A1056" s="15" t="s">
        <v>1744</v>
      </c>
      <c r="B1056" s="13" t="s">
        <v>13</v>
      </c>
      <c r="C1056" s="22" t="s">
        <v>30</v>
      </c>
      <c r="D1056" s="29">
        <v>44410</v>
      </c>
      <c r="E1056" s="18" t="s">
        <v>23</v>
      </c>
      <c r="F1056" s="18"/>
      <c r="G1056" s="13"/>
      <c r="H1056" s="19">
        <v>44417</v>
      </c>
      <c r="I1056" s="13" t="s">
        <v>732</v>
      </c>
      <c r="J1056" s="13"/>
      <c r="K1056" s="13" t="s">
        <v>108</v>
      </c>
      <c r="L1056" s="13"/>
      <c r="M1056" s="13"/>
      <c r="N1056" s="13"/>
      <c r="O1056" s="13"/>
      <c r="P1056" s="13"/>
      <c r="Q1056" s="13"/>
      <c r="R1056" s="13"/>
      <c r="S1056" s="13" t="s">
        <v>131</v>
      </c>
      <c r="T1056" s="13"/>
      <c r="U1056" s="13"/>
      <c r="V1056" s="13"/>
      <c r="W1056" s="13"/>
      <c r="X1056" s="13"/>
    </row>
    <row r="1057" spans="1:24" x14ac:dyDescent="0.25">
      <c r="A1057" s="15" t="s">
        <v>1744</v>
      </c>
      <c r="B1057" s="13" t="s">
        <v>13</v>
      </c>
      <c r="C1057" s="22" t="s">
        <v>30</v>
      </c>
      <c r="D1057" s="29">
        <v>44410</v>
      </c>
      <c r="E1057" s="18" t="s">
        <v>23</v>
      </c>
      <c r="F1057" s="18"/>
      <c r="G1057" s="13"/>
      <c r="H1057" s="19">
        <v>44417</v>
      </c>
      <c r="I1057" s="13" t="s">
        <v>440</v>
      </c>
      <c r="J1057" s="13"/>
      <c r="K1057" s="13" t="s">
        <v>108</v>
      </c>
      <c r="L1057" s="13"/>
      <c r="M1057" s="13"/>
      <c r="N1057" s="13"/>
      <c r="O1057" s="13"/>
      <c r="P1057" s="13"/>
      <c r="Q1057" s="13"/>
      <c r="R1057" s="13"/>
      <c r="S1057" s="13" t="s">
        <v>442</v>
      </c>
      <c r="T1057" s="13"/>
      <c r="U1057" s="13"/>
      <c r="V1057" s="13"/>
      <c r="W1057" s="13"/>
      <c r="X1057" s="13"/>
    </row>
    <row r="1058" spans="1:24" x14ac:dyDescent="0.25">
      <c r="A1058" s="15" t="s">
        <v>1744</v>
      </c>
      <c r="B1058" s="13" t="s">
        <v>13</v>
      </c>
      <c r="C1058" s="22" t="s">
        <v>30</v>
      </c>
      <c r="D1058" s="29">
        <v>44410</v>
      </c>
      <c r="E1058" s="18" t="s">
        <v>23</v>
      </c>
      <c r="F1058" s="18"/>
      <c r="G1058" s="13"/>
      <c r="H1058" s="19">
        <v>44417</v>
      </c>
      <c r="I1058" s="13" t="s">
        <v>743</v>
      </c>
      <c r="J1058" s="13"/>
      <c r="K1058" s="13" t="s">
        <v>123</v>
      </c>
      <c r="L1058" s="13"/>
      <c r="M1058" s="13"/>
      <c r="N1058" s="13"/>
      <c r="O1058" s="13"/>
      <c r="P1058" s="13"/>
      <c r="Q1058" s="13"/>
      <c r="R1058" s="13"/>
      <c r="S1058" s="13" t="s">
        <v>855</v>
      </c>
      <c r="T1058" s="13"/>
      <c r="U1058" s="13"/>
      <c r="V1058" s="13"/>
      <c r="W1058" s="13"/>
      <c r="X1058" s="13"/>
    </row>
    <row r="1059" spans="1:24" x14ac:dyDescent="0.25">
      <c r="A1059" s="15" t="s">
        <v>1744</v>
      </c>
      <c r="B1059" s="13" t="s">
        <v>13</v>
      </c>
      <c r="C1059" s="22" t="s">
        <v>30</v>
      </c>
      <c r="D1059" s="29">
        <v>44410</v>
      </c>
      <c r="E1059" s="18" t="s">
        <v>23</v>
      </c>
      <c r="F1059" s="18"/>
      <c r="G1059" s="13"/>
      <c r="H1059" s="19">
        <v>44417</v>
      </c>
      <c r="I1059" s="13" t="s">
        <v>744</v>
      </c>
      <c r="J1059" s="13"/>
      <c r="K1059" s="13" t="s">
        <v>852</v>
      </c>
      <c r="L1059" s="13"/>
      <c r="M1059" s="13"/>
      <c r="N1059" s="13"/>
      <c r="O1059" s="13"/>
      <c r="P1059" s="13"/>
      <c r="Q1059" s="13"/>
      <c r="R1059" s="13"/>
      <c r="S1059" s="13" t="s">
        <v>358</v>
      </c>
      <c r="T1059" s="13"/>
      <c r="U1059" s="13"/>
      <c r="V1059" s="13"/>
      <c r="W1059" s="13"/>
      <c r="X1059" s="13"/>
    </row>
    <row r="1060" spans="1:24" x14ac:dyDescent="0.25">
      <c r="A1060" s="15" t="s">
        <v>1744</v>
      </c>
      <c r="B1060" s="13" t="s">
        <v>13</v>
      </c>
      <c r="C1060" s="22" t="s">
        <v>30</v>
      </c>
      <c r="D1060" s="29">
        <v>44410</v>
      </c>
      <c r="E1060" s="18" t="s">
        <v>23</v>
      </c>
      <c r="F1060" s="18"/>
      <c r="G1060" s="13"/>
      <c r="H1060" s="19">
        <v>44417</v>
      </c>
      <c r="I1060" s="13" t="s">
        <v>733</v>
      </c>
      <c r="J1060" s="13"/>
      <c r="K1060" s="13" t="s">
        <v>75</v>
      </c>
      <c r="L1060" s="13"/>
      <c r="M1060" s="13"/>
      <c r="N1060" s="13"/>
      <c r="O1060" s="13"/>
      <c r="P1060" s="13"/>
      <c r="Q1060" s="13"/>
      <c r="R1060" s="13"/>
      <c r="S1060" s="13" t="s">
        <v>503</v>
      </c>
      <c r="T1060" s="13"/>
      <c r="U1060" s="13"/>
      <c r="V1060" s="13"/>
      <c r="W1060" s="13"/>
      <c r="X1060" s="13"/>
    </row>
    <row r="1061" spans="1:24" x14ac:dyDescent="0.25">
      <c r="A1061" s="15" t="s">
        <v>1744</v>
      </c>
      <c r="B1061" s="13" t="s">
        <v>13</v>
      </c>
      <c r="C1061" s="22" t="s">
        <v>30</v>
      </c>
      <c r="D1061" s="29">
        <v>44410</v>
      </c>
      <c r="E1061" s="18" t="s">
        <v>23</v>
      </c>
      <c r="F1061" s="18"/>
      <c r="G1061" s="13"/>
      <c r="H1061" s="19">
        <v>44417</v>
      </c>
      <c r="I1061" s="13" t="s">
        <v>734</v>
      </c>
      <c r="J1061" s="13"/>
      <c r="K1061" s="13" t="s">
        <v>108</v>
      </c>
      <c r="L1061" s="13"/>
      <c r="M1061" s="13"/>
      <c r="N1061" s="13"/>
      <c r="O1061" s="13"/>
      <c r="P1061" s="13"/>
      <c r="Q1061" s="13"/>
      <c r="R1061" s="13"/>
      <c r="S1061" s="13" t="s">
        <v>856</v>
      </c>
      <c r="T1061" s="13"/>
      <c r="U1061" s="13"/>
      <c r="V1061" s="13"/>
      <c r="W1061" s="13"/>
      <c r="X1061" s="13"/>
    </row>
    <row r="1062" spans="1:24" x14ac:dyDescent="0.25">
      <c r="A1062" s="15" t="s">
        <v>1744</v>
      </c>
      <c r="B1062" s="13" t="s">
        <v>13</v>
      </c>
      <c r="C1062" s="22" t="s">
        <v>30</v>
      </c>
      <c r="D1062" s="29">
        <v>44410</v>
      </c>
      <c r="E1062" s="18" t="s">
        <v>23</v>
      </c>
      <c r="F1062" s="18"/>
      <c r="G1062" s="13"/>
      <c r="H1062" s="19">
        <v>44417</v>
      </c>
      <c r="I1062" s="13" t="s">
        <v>735</v>
      </c>
      <c r="J1062" s="13"/>
      <c r="K1062" s="13" t="s">
        <v>108</v>
      </c>
      <c r="L1062" s="13"/>
      <c r="M1062" s="13"/>
      <c r="N1062" s="13"/>
      <c r="O1062" s="13"/>
      <c r="P1062" s="13"/>
      <c r="Q1062" s="13"/>
      <c r="R1062" s="13"/>
      <c r="S1062" s="13" t="s">
        <v>429</v>
      </c>
      <c r="T1062" s="13"/>
      <c r="U1062" s="13"/>
      <c r="V1062" s="13"/>
      <c r="W1062" s="13"/>
      <c r="X1062" s="13"/>
    </row>
    <row r="1063" spans="1:24" x14ac:dyDescent="0.25">
      <c r="A1063" s="15" t="s">
        <v>1744</v>
      </c>
      <c r="B1063" s="13" t="s">
        <v>13</v>
      </c>
      <c r="C1063" s="22" t="s">
        <v>30</v>
      </c>
      <c r="D1063" s="29">
        <v>44410</v>
      </c>
      <c r="E1063" s="18" t="s">
        <v>23</v>
      </c>
      <c r="F1063" s="18"/>
      <c r="G1063" s="13"/>
      <c r="H1063" s="19">
        <v>44417</v>
      </c>
      <c r="I1063" s="13" t="s">
        <v>736</v>
      </c>
      <c r="J1063" s="13"/>
      <c r="K1063" s="13" t="s">
        <v>108</v>
      </c>
      <c r="L1063" s="13"/>
      <c r="M1063" s="13"/>
      <c r="N1063" s="13"/>
      <c r="O1063" s="13"/>
      <c r="P1063" s="13"/>
      <c r="Q1063" s="13"/>
      <c r="R1063" s="13"/>
      <c r="S1063" s="13" t="s">
        <v>445</v>
      </c>
      <c r="T1063" s="13"/>
      <c r="U1063" s="13"/>
      <c r="V1063" s="13"/>
      <c r="W1063" s="13"/>
      <c r="X1063" s="13"/>
    </row>
    <row r="1064" spans="1:24" x14ac:dyDescent="0.25">
      <c r="A1064" s="15" t="s">
        <v>1744</v>
      </c>
      <c r="B1064" s="13" t="s">
        <v>13</v>
      </c>
      <c r="C1064" s="22" t="s">
        <v>30</v>
      </c>
      <c r="D1064" s="29">
        <v>44410</v>
      </c>
      <c r="E1064" s="18" t="s">
        <v>23</v>
      </c>
      <c r="F1064" s="18"/>
      <c r="G1064" s="13"/>
      <c r="H1064" s="19">
        <v>44417</v>
      </c>
      <c r="I1064" s="13" t="s">
        <v>737</v>
      </c>
      <c r="J1064" s="13"/>
      <c r="K1064" s="13" t="s">
        <v>123</v>
      </c>
      <c r="L1064" s="13"/>
      <c r="M1064" s="13"/>
      <c r="N1064" s="13"/>
      <c r="O1064" s="13"/>
      <c r="P1064" s="13"/>
      <c r="Q1064" s="13"/>
      <c r="R1064" s="13"/>
      <c r="S1064" s="13" t="s">
        <v>180</v>
      </c>
      <c r="T1064" s="13"/>
      <c r="U1064" s="13"/>
      <c r="V1064" s="13"/>
      <c r="W1064" s="13"/>
      <c r="X1064" s="13"/>
    </row>
    <row r="1065" spans="1:24" x14ac:dyDescent="0.25">
      <c r="A1065" s="15" t="s">
        <v>1744</v>
      </c>
      <c r="B1065" s="13" t="s">
        <v>13</v>
      </c>
      <c r="C1065" s="22" t="s">
        <v>30</v>
      </c>
      <c r="D1065" s="29">
        <v>44410</v>
      </c>
      <c r="E1065" s="18" t="s">
        <v>23</v>
      </c>
      <c r="F1065" s="18"/>
      <c r="G1065" s="13"/>
      <c r="H1065" s="19">
        <v>44417</v>
      </c>
      <c r="I1065" s="13" t="s">
        <v>738</v>
      </c>
      <c r="J1065" s="13"/>
      <c r="K1065" s="13" t="s">
        <v>108</v>
      </c>
      <c r="L1065" s="13"/>
      <c r="M1065" s="13"/>
      <c r="N1065" s="13"/>
      <c r="O1065" s="13"/>
      <c r="P1065" s="13"/>
      <c r="Q1065" s="13"/>
      <c r="R1065" s="13"/>
      <c r="S1065" s="13" t="s">
        <v>448</v>
      </c>
      <c r="T1065" s="13"/>
      <c r="U1065" s="13"/>
      <c r="V1065" s="13"/>
      <c r="W1065" s="13"/>
      <c r="X1065" s="13"/>
    </row>
    <row r="1066" spans="1:24" x14ac:dyDescent="0.25">
      <c r="A1066" s="15" t="s">
        <v>1744</v>
      </c>
      <c r="B1066" s="13" t="s">
        <v>13</v>
      </c>
      <c r="C1066" s="22" t="s">
        <v>30</v>
      </c>
      <c r="D1066" s="29">
        <v>44410</v>
      </c>
      <c r="E1066" s="18" t="s">
        <v>23</v>
      </c>
      <c r="F1066" s="18"/>
      <c r="G1066" s="13"/>
      <c r="H1066" s="19">
        <v>44417</v>
      </c>
      <c r="I1066" s="13" t="s">
        <v>282</v>
      </c>
      <c r="J1066" s="13"/>
      <c r="K1066" s="13" t="s">
        <v>108</v>
      </c>
      <c r="L1066" s="13"/>
      <c r="M1066" s="13"/>
      <c r="N1066" s="13"/>
      <c r="O1066" s="13"/>
      <c r="P1066" s="13"/>
      <c r="Q1066" s="13"/>
      <c r="R1066" s="13"/>
      <c r="S1066" s="13" t="s">
        <v>133</v>
      </c>
      <c r="T1066" s="13"/>
      <c r="U1066" s="13"/>
      <c r="V1066" s="13"/>
      <c r="W1066" s="13"/>
      <c r="X1066" s="13"/>
    </row>
    <row r="1067" spans="1:24" x14ac:dyDescent="0.25">
      <c r="A1067" s="15" t="s">
        <v>1744</v>
      </c>
      <c r="B1067" s="13" t="s">
        <v>13</v>
      </c>
      <c r="C1067" s="22" t="s">
        <v>30</v>
      </c>
      <c r="D1067" s="29">
        <v>44410</v>
      </c>
      <c r="E1067" s="18" t="s">
        <v>23</v>
      </c>
      <c r="F1067" s="18"/>
      <c r="G1067" s="13"/>
      <c r="H1067" s="19">
        <v>44417</v>
      </c>
      <c r="I1067" s="13" t="s">
        <v>739</v>
      </c>
      <c r="J1067" s="13"/>
      <c r="K1067" s="13" t="s">
        <v>123</v>
      </c>
      <c r="L1067" s="13"/>
      <c r="M1067" s="13"/>
      <c r="N1067" s="13"/>
      <c r="O1067" s="13"/>
      <c r="P1067" s="13"/>
      <c r="Q1067" s="13"/>
      <c r="R1067" s="13"/>
      <c r="S1067" s="13" t="s">
        <v>617</v>
      </c>
      <c r="T1067" s="13"/>
      <c r="U1067" s="13"/>
      <c r="V1067" s="13"/>
      <c r="W1067" s="13"/>
      <c r="X1067" s="13"/>
    </row>
    <row r="1068" spans="1:24" x14ac:dyDescent="0.25">
      <c r="A1068" s="15" t="s">
        <v>1744</v>
      </c>
      <c r="B1068" s="13" t="s">
        <v>13</v>
      </c>
      <c r="C1068" s="22" t="s">
        <v>30</v>
      </c>
      <c r="D1068" s="29">
        <v>44410</v>
      </c>
      <c r="E1068" s="18" t="s">
        <v>23</v>
      </c>
      <c r="F1068" s="18"/>
      <c r="G1068" s="13"/>
      <c r="H1068" s="19">
        <v>44417</v>
      </c>
      <c r="I1068" s="13" t="s">
        <v>740</v>
      </c>
      <c r="J1068" s="13"/>
      <c r="K1068" s="13" t="s">
        <v>76</v>
      </c>
      <c r="L1068" s="13"/>
      <c r="M1068" s="13"/>
      <c r="N1068" s="13"/>
      <c r="O1068" s="13"/>
      <c r="P1068" s="13"/>
      <c r="Q1068" s="13"/>
      <c r="R1068" s="13"/>
      <c r="S1068" s="13" t="s">
        <v>1530</v>
      </c>
      <c r="T1068" s="13"/>
      <c r="U1068" s="13"/>
      <c r="V1068" s="13"/>
      <c r="W1068" s="13"/>
      <c r="X1068" s="13"/>
    </row>
    <row r="1069" spans="1:24" x14ac:dyDescent="0.25">
      <c r="A1069" s="15" t="s">
        <v>1744</v>
      </c>
      <c r="B1069" s="13" t="s">
        <v>13</v>
      </c>
      <c r="C1069" s="22" t="s">
        <v>30</v>
      </c>
      <c r="D1069" s="29">
        <v>44410</v>
      </c>
      <c r="E1069" s="18" t="s">
        <v>23</v>
      </c>
      <c r="F1069" s="18"/>
      <c r="G1069" s="13"/>
      <c r="H1069" s="19">
        <v>44417</v>
      </c>
      <c r="I1069" s="13" t="s">
        <v>741</v>
      </c>
      <c r="J1069" s="13"/>
      <c r="K1069" s="13" t="s">
        <v>193</v>
      </c>
      <c r="L1069" s="13"/>
      <c r="M1069" s="13"/>
      <c r="N1069" s="13"/>
      <c r="O1069" s="13"/>
      <c r="P1069" s="13"/>
      <c r="Q1069" s="13"/>
      <c r="R1069" s="13"/>
      <c r="S1069" s="13" t="s">
        <v>857</v>
      </c>
      <c r="T1069" s="13"/>
      <c r="U1069" s="13"/>
      <c r="V1069" s="13"/>
      <c r="W1069" s="13"/>
      <c r="X1069" s="13"/>
    </row>
    <row r="1070" spans="1:24" x14ac:dyDescent="0.25">
      <c r="A1070" s="15" t="s">
        <v>1744</v>
      </c>
      <c r="B1070" s="13" t="s">
        <v>13</v>
      </c>
      <c r="C1070" s="22" t="s">
        <v>30</v>
      </c>
      <c r="D1070" s="29">
        <v>44410</v>
      </c>
      <c r="E1070" s="18" t="s">
        <v>23</v>
      </c>
      <c r="F1070" s="18"/>
      <c r="G1070" s="13"/>
      <c r="H1070" s="19">
        <v>44417</v>
      </c>
      <c r="I1070" s="13" t="s">
        <v>745</v>
      </c>
      <c r="J1070" s="13"/>
      <c r="K1070" s="13" t="s">
        <v>54</v>
      </c>
      <c r="L1070" s="13"/>
      <c r="M1070" s="13"/>
      <c r="N1070" s="13"/>
      <c r="O1070" s="13"/>
      <c r="P1070" s="13"/>
      <c r="Q1070" s="13"/>
      <c r="R1070" s="13"/>
      <c r="S1070" s="13" t="s">
        <v>127</v>
      </c>
      <c r="T1070" s="13"/>
      <c r="U1070" s="13"/>
      <c r="V1070" s="13"/>
      <c r="W1070" s="13"/>
      <c r="X1070" s="13"/>
    </row>
    <row r="1071" spans="1:24" s="25" customFormat="1" x14ac:dyDescent="0.25">
      <c r="A1071" s="20">
        <v>364</v>
      </c>
      <c r="B1071" s="21" t="s">
        <v>13</v>
      </c>
      <c r="C1071" s="22" t="s">
        <v>32</v>
      </c>
      <c r="D1071" s="17">
        <v>44411</v>
      </c>
      <c r="E1071" s="23" t="s">
        <v>23</v>
      </c>
      <c r="F1071" s="23"/>
      <c r="G1071" s="21"/>
      <c r="H1071" s="24"/>
      <c r="I1071" s="21" t="s">
        <v>626</v>
      </c>
      <c r="J1071" s="21">
        <v>780.85</v>
      </c>
      <c r="K1071" s="21" t="s">
        <v>144</v>
      </c>
      <c r="L1071" s="21">
        <v>0.12230000000000001</v>
      </c>
      <c r="M1071" s="21">
        <v>0.16200000000000001</v>
      </c>
      <c r="N1071" s="21">
        <v>95.498000000000005</v>
      </c>
      <c r="O1071" s="21">
        <v>126.49769999999999</v>
      </c>
      <c r="P1071" s="21">
        <v>12.41</v>
      </c>
      <c r="Q1071" s="21">
        <v>30.7</v>
      </c>
      <c r="R1071" s="21">
        <v>251</v>
      </c>
      <c r="S1071" s="21">
        <v>23972.1</v>
      </c>
      <c r="T1071" s="21"/>
      <c r="U1071" s="21"/>
      <c r="V1071" s="21"/>
      <c r="W1071" s="21"/>
      <c r="X1071" s="21"/>
    </row>
    <row r="1072" spans="1:24" x14ac:dyDescent="0.25">
      <c r="A1072" s="15">
        <v>347</v>
      </c>
      <c r="B1072" s="13" t="s">
        <v>13</v>
      </c>
      <c r="C1072" s="22" t="s">
        <v>289</v>
      </c>
      <c r="D1072" s="29">
        <v>44411</v>
      </c>
      <c r="E1072" s="18" t="s">
        <v>23</v>
      </c>
      <c r="F1072" s="18"/>
      <c r="G1072" s="13"/>
      <c r="H1072" s="19">
        <v>44414</v>
      </c>
      <c r="I1072" s="13" t="s">
        <v>1746</v>
      </c>
      <c r="J1072" s="13"/>
      <c r="K1072" s="13">
        <v>10</v>
      </c>
      <c r="L1072" s="13"/>
      <c r="M1072" s="13"/>
      <c r="N1072" s="13"/>
      <c r="O1072" s="13"/>
      <c r="P1072" s="13"/>
      <c r="Q1072" s="13"/>
      <c r="R1072" s="13"/>
      <c r="S1072" s="13">
        <v>17100</v>
      </c>
      <c r="T1072" s="13"/>
      <c r="U1072" s="13"/>
      <c r="V1072" s="13"/>
      <c r="W1072" s="13"/>
      <c r="X1072" s="13"/>
    </row>
    <row r="1073" spans="1:24" s="25" customFormat="1" x14ac:dyDescent="0.25">
      <c r="A1073" s="20">
        <v>365</v>
      </c>
      <c r="B1073" s="21" t="s">
        <v>13</v>
      </c>
      <c r="C1073" s="22" t="s">
        <v>32</v>
      </c>
      <c r="D1073" s="17">
        <v>44411</v>
      </c>
      <c r="E1073" s="23" t="s">
        <v>23</v>
      </c>
      <c r="F1073" s="23"/>
      <c r="G1073" s="21" t="s">
        <v>1707</v>
      </c>
      <c r="H1073" s="24"/>
      <c r="I1073" s="21" t="s">
        <v>1300</v>
      </c>
      <c r="J1073" s="21">
        <v>1205.0999999999999</v>
      </c>
      <c r="K1073" s="21" t="s">
        <v>727</v>
      </c>
      <c r="L1073" s="21">
        <v>0.15790000000000001</v>
      </c>
      <c r="M1073" s="21">
        <v>0.309</v>
      </c>
      <c r="N1073" s="21">
        <v>190.28530000000001</v>
      </c>
      <c r="O1073" s="21">
        <v>372.3759</v>
      </c>
      <c r="P1073" s="21">
        <v>24.74</v>
      </c>
      <c r="Q1073" s="21">
        <v>39.630000000000003</v>
      </c>
      <c r="R1073" s="21">
        <v>251</v>
      </c>
      <c r="S1073" s="21">
        <v>47761.61</v>
      </c>
      <c r="T1073" s="21"/>
      <c r="U1073" s="21"/>
      <c r="V1073" s="21"/>
      <c r="W1073" s="21"/>
      <c r="X1073" s="21"/>
    </row>
    <row r="1074" spans="1:24" s="25" customFormat="1" x14ac:dyDescent="0.25">
      <c r="A1074" s="20">
        <v>366</v>
      </c>
      <c r="B1074" s="21" t="s">
        <v>13</v>
      </c>
      <c r="C1074" s="22" t="s">
        <v>32</v>
      </c>
      <c r="D1074" s="17">
        <v>44411</v>
      </c>
      <c r="E1074" s="23" t="s">
        <v>23</v>
      </c>
      <c r="F1074" s="23"/>
      <c r="G1074" s="21"/>
      <c r="H1074" s="24"/>
      <c r="I1074" s="21" t="s">
        <v>1242</v>
      </c>
      <c r="J1074" s="21">
        <v>2216.4499999999998</v>
      </c>
      <c r="K1074" s="21" t="s">
        <v>1748</v>
      </c>
      <c r="L1074" s="21">
        <v>9.5600000000000004E-2</v>
      </c>
      <c r="M1074" s="21">
        <v>0.16</v>
      </c>
      <c r="N1074" s="21">
        <v>211.89259999999999</v>
      </c>
      <c r="O1074" s="21">
        <v>354.63200000000001</v>
      </c>
      <c r="P1074" s="21">
        <v>27.55</v>
      </c>
      <c r="Q1074" s="21">
        <v>24</v>
      </c>
      <c r="R1074" s="21">
        <v>251</v>
      </c>
      <c r="S1074" s="21">
        <v>53194.8</v>
      </c>
      <c r="T1074" s="21"/>
      <c r="U1074" s="21"/>
      <c r="V1074" s="21"/>
      <c r="W1074" s="21"/>
      <c r="X1074" s="21"/>
    </row>
    <row r="1075" spans="1:24" x14ac:dyDescent="0.25">
      <c r="A1075" s="15">
        <v>367</v>
      </c>
      <c r="B1075" s="13" t="s">
        <v>13</v>
      </c>
      <c r="C1075" s="22" t="s">
        <v>672</v>
      </c>
      <c r="D1075" s="29">
        <v>44411</v>
      </c>
      <c r="E1075" s="18" t="s">
        <v>23</v>
      </c>
      <c r="F1075" s="18"/>
      <c r="G1075" s="13"/>
      <c r="H1075" s="19"/>
      <c r="I1075" s="13" t="s">
        <v>999</v>
      </c>
      <c r="J1075" s="13">
        <v>65</v>
      </c>
      <c r="K1075" s="13">
        <v>10</v>
      </c>
      <c r="L1075" s="13">
        <v>0.626</v>
      </c>
      <c r="M1075" s="13">
        <v>2.1960000000000002</v>
      </c>
      <c r="N1075" s="13">
        <v>40.69</v>
      </c>
      <c r="O1075" s="13">
        <v>142.74</v>
      </c>
      <c r="P1075" s="13">
        <v>5.29</v>
      </c>
      <c r="Q1075" s="13">
        <v>150.24</v>
      </c>
      <c r="R1075" s="13">
        <v>240</v>
      </c>
      <c r="S1075" s="13">
        <v>9765.6</v>
      </c>
      <c r="T1075" s="13"/>
      <c r="U1075" s="13"/>
      <c r="V1075" s="13"/>
      <c r="W1075" s="13"/>
      <c r="X1075" s="13"/>
    </row>
    <row r="1076" spans="1:24" s="25" customFormat="1" x14ac:dyDescent="0.25">
      <c r="A1076" s="20">
        <v>368</v>
      </c>
      <c r="B1076" s="21" t="s">
        <v>13</v>
      </c>
      <c r="C1076" s="22" t="s">
        <v>1750</v>
      </c>
      <c r="D1076" s="17">
        <v>44411</v>
      </c>
      <c r="E1076" s="23" t="s">
        <v>23</v>
      </c>
      <c r="F1076" s="23"/>
      <c r="G1076" s="21"/>
      <c r="H1076" s="24">
        <v>44413</v>
      </c>
      <c r="I1076" s="21" t="s">
        <v>1749</v>
      </c>
      <c r="J1076" s="21">
        <v>382.2</v>
      </c>
      <c r="K1076" s="21" t="s">
        <v>109</v>
      </c>
      <c r="L1076" s="21">
        <v>0.39269999999999999</v>
      </c>
      <c r="M1076" s="21">
        <v>0.872</v>
      </c>
      <c r="N1076" s="21">
        <v>150.0899</v>
      </c>
      <c r="O1076" s="21">
        <v>333.27839999999998</v>
      </c>
      <c r="P1076" s="21">
        <v>19.510000000000002</v>
      </c>
      <c r="Q1076" s="21">
        <v>117.81</v>
      </c>
      <c r="R1076" s="21">
        <v>300</v>
      </c>
      <c r="S1076" s="21">
        <v>45026.98</v>
      </c>
      <c r="T1076" s="21"/>
      <c r="U1076" s="21"/>
      <c r="V1076" s="21"/>
      <c r="W1076" s="21"/>
      <c r="X1076" s="21"/>
    </row>
    <row r="1077" spans="1:24" s="25" customFormat="1" x14ac:dyDescent="0.25">
      <c r="A1077" s="20">
        <v>369</v>
      </c>
      <c r="B1077" s="21" t="s">
        <v>13</v>
      </c>
      <c r="C1077" s="22" t="s">
        <v>1750</v>
      </c>
      <c r="D1077" s="17">
        <v>44411</v>
      </c>
      <c r="E1077" s="23" t="s">
        <v>23</v>
      </c>
      <c r="F1077" s="23"/>
      <c r="G1077" s="21"/>
      <c r="H1077" s="24">
        <v>44417</v>
      </c>
      <c r="I1077" s="21" t="s">
        <v>1751</v>
      </c>
      <c r="J1077" s="21">
        <v>651.70000000000005</v>
      </c>
      <c r="K1077" s="21" t="s">
        <v>1752</v>
      </c>
      <c r="L1077" s="21">
        <v>0.66659999999999997</v>
      </c>
      <c r="M1077" s="21">
        <v>1.994</v>
      </c>
      <c r="N1077" s="21">
        <v>434.42320000000001</v>
      </c>
      <c r="O1077" s="21">
        <v>1299.4898000000001</v>
      </c>
      <c r="P1077" s="21">
        <v>56.48</v>
      </c>
      <c r="Q1077" s="21">
        <v>199.98</v>
      </c>
      <c r="R1077" s="21">
        <v>300</v>
      </c>
      <c r="S1077" s="21">
        <v>130326.97</v>
      </c>
      <c r="T1077" s="21"/>
      <c r="U1077" s="21"/>
      <c r="V1077" s="21"/>
      <c r="W1077" s="21"/>
      <c r="X1077" s="21"/>
    </row>
    <row r="1078" spans="1:24" s="25" customFormat="1" x14ac:dyDescent="0.25">
      <c r="A1078" s="20">
        <v>370</v>
      </c>
      <c r="B1078" s="21" t="s">
        <v>13</v>
      </c>
      <c r="C1078" s="22" t="s">
        <v>1750</v>
      </c>
      <c r="D1078" s="17">
        <v>44411</v>
      </c>
      <c r="E1078" s="23" t="s">
        <v>23</v>
      </c>
      <c r="F1078" s="23"/>
      <c r="G1078" s="21"/>
      <c r="H1078" s="24">
        <v>44417</v>
      </c>
      <c r="I1078" s="21" t="s">
        <v>1753</v>
      </c>
      <c r="J1078" s="21">
        <v>1068.2</v>
      </c>
      <c r="K1078" s="21" t="s">
        <v>324</v>
      </c>
      <c r="L1078" s="21">
        <v>0.247</v>
      </c>
      <c r="M1078" s="21">
        <v>0.498</v>
      </c>
      <c r="N1078" s="21">
        <v>263.84539999999998</v>
      </c>
      <c r="O1078" s="21">
        <v>531.96360000000004</v>
      </c>
      <c r="P1078" s="21">
        <v>34.299999999999997</v>
      </c>
      <c r="Q1078" s="21">
        <v>74.099999999999994</v>
      </c>
      <c r="R1078" s="21">
        <v>300</v>
      </c>
      <c r="S1078" s="21">
        <v>79153.62</v>
      </c>
      <c r="T1078" s="21"/>
      <c r="U1078" s="21"/>
      <c r="V1078" s="21"/>
      <c r="W1078" s="21"/>
      <c r="X1078" s="21"/>
    </row>
    <row r="1079" spans="1:24" x14ac:dyDescent="0.25">
      <c r="A1079" s="15" t="s">
        <v>1755</v>
      </c>
      <c r="B1079" s="13" t="s">
        <v>13</v>
      </c>
      <c r="C1079" s="22" t="s">
        <v>15</v>
      </c>
      <c r="D1079" s="29">
        <v>44412</v>
      </c>
      <c r="E1079" s="18" t="s">
        <v>23</v>
      </c>
      <c r="F1079" s="18"/>
      <c r="G1079" s="13"/>
      <c r="H1079" s="19">
        <v>44414</v>
      </c>
      <c r="I1079" s="13" t="s">
        <v>89</v>
      </c>
      <c r="J1079" s="13"/>
      <c r="K1079" s="13">
        <v>48</v>
      </c>
      <c r="L1079" s="13"/>
      <c r="M1079" s="13"/>
      <c r="N1079" s="13"/>
      <c r="O1079" s="13"/>
      <c r="P1079" s="13"/>
      <c r="Q1079" s="13"/>
      <c r="R1079" s="13"/>
      <c r="S1079" s="13">
        <v>34992</v>
      </c>
      <c r="T1079" s="13"/>
      <c r="U1079" s="13"/>
      <c r="V1079" s="13"/>
      <c r="W1079" s="13"/>
      <c r="X1079" s="13"/>
    </row>
    <row r="1080" spans="1:24" x14ac:dyDescent="0.25">
      <c r="A1080" s="15" t="s">
        <v>2834</v>
      </c>
      <c r="B1080" s="13" t="s">
        <v>34</v>
      </c>
      <c r="C1080" s="22" t="s">
        <v>541</v>
      </c>
      <c r="D1080" s="29">
        <v>44412</v>
      </c>
      <c r="E1080" s="18" t="s">
        <v>23</v>
      </c>
      <c r="F1080" s="18"/>
      <c r="G1080" s="13"/>
      <c r="H1080" s="19">
        <v>44417</v>
      </c>
      <c r="I1080" s="13" t="s">
        <v>859</v>
      </c>
      <c r="J1080" s="13">
        <v>1647</v>
      </c>
      <c r="K1080" s="13">
        <v>270</v>
      </c>
      <c r="L1080" s="13"/>
      <c r="M1080" s="13"/>
      <c r="N1080" s="13"/>
      <c r="O1080" s="13"/>
      <c r="P1080" s="13"/>
      <c r="Q1080" s="13"/>
      <c r="R1080" s="13"/>
      <c r="S1080" s="13">
        <v>51880.5</v>
      </c>
      <c r="T1080" s="13"/>
      <c r="U1080" s="13"/>
      <c r="V1080" s="13"/>
      <c r="W1080" s="13"/>
      <c r="X1080" s="13"/>
    </row>
    <row r="1081" spans="1:24" x14ac:dyDescent="0.25">
      <c r="A1081" s="15" t="s">
        <v>1761</v>
      </c>
      <c r="B1081" s="13" t="s">
        <v>34</v>
      </c>
      <c r="C1081" s="22" t="s">
        <v>16</v>
      </c>
      <c r="D1081" s="29">
        <v>44413</v>
      </c>
      <c r="E1081" s="18" t="s">
        <v>23</v>
      </c>
      <c r="F1081" s="18"/>
      <c r="G1081" s="13"/>
      <c r="H1081" s="19">
        <v>44420</v>
      </c>
      <c r="I1081" s="13" t="s">
        <v>995</v>
      </c>
      <c r="J1081" s="13">
        <v>210</v>
      </c>
      <c r="K1081" s="13" t="s">
        <v>1607</v>
      </c>
      <c r="L1081" s="13">
        <v>0.56989999999999996</v>
      </c>
      <c r="M1081" s="13">
        <v>1.304</v>
      </c>
      <c r="N1081" s="13">
        <v>119.679</v>
      </c>
      <c r="O1081" s="13">
        <v>273.83999999999997</v>
      </c>
      <c r="P1081" s="13">
        <v>15.56</v>
      </c>
      <c r="Q1081" s="13">
        <v>216.56</v>
      </c>
      <c r="R1081" s="13">
        <v>380</v>
      </c>
      <c r="S1081" s="13">
        <v>45478.02</v>
      </c>
      <c r="T1081" s="13"/>
      <c r="U1081" s="13"/>
      <c r="V1081" s="13"/>
      <c r="W1081" s="13"/>
      <c r="X1081" s="13"/>
    </row>
    <row r="1082" spans="1:24" x14ac:dyDescent="0.25">
      <c r="A1082" s="15" t="s">
        <v>1762</v>
      </c>
      <c r="B1082" s="13" t="s">
        <v>34</v>
      </c>
      <c r="C1082" s="22" t="s">
        <v>16</v>
      </c>
      <c r="D1082" s="29">
        <v>44413</v>
      </c>
      <c r="E1082" s="18" t="s">
        <v>23</v>
      </c>
      <c r="F1082" s="18"/>
      <c r="G1082" s="13"/>
      <c r="H1082" s="19">
        <v>44420</v>
      </c>
      <c r="I1082" s="13" t="s">
        <v>791</v>
      </c>
      <c r="J1082" s="13">
        <v>1050</v>
      </c>
      <c r="K1082" s="13" t="s">
        <v>420</v>
      </c>
      <c r="L1082" s="13">
        <v>0.3498</v>
      </c>
      <c r="M1082" s="13">
        <v>1.425</v>
      </c>
      <c r="N1082" s="13">
        <v>367.29</v>
      </c>
      <c r="O1082" s="13">
        <v>1496.25</v>
      </c>
      <c r="P1082" s="13">
        <v>47.75</v>
      </c>
      <c r="Q1082" s="13">
        <v>104.94</v>
      </c>
      <c r="R1082" s="13">
        <v>300</v>
      </c>
      <c r="S1082" s="13">
        <v>110187</v>
      </c>
      <c r="T1082" s="13"/>
      <c r="U1082" s="13"/>
      <c r="V1082" s="13"/>
      <c r="W1082" s="13"/>
      <c r="X1082" s="13"/>
    </row>
    <row r="1083" spans="1:24" x14ac:dyDescent="0.25">
      <c r="A1083" s="15">
        <v>372</v>
      </c>
      <c r="B1083" s="13" t="s">
        <v>34</v>
      </c>
      <c r="C1083" s="22" t="s">
        <v>328</v>
      </c>
      <c r="D1083" s="29">
        <v>44413</v>
      </c>
      <c r="E1083" s="18" t="s">
        <v>23</v>
      </c>
      <c r="F1083" s="18"/>
      <c r="G1083" s="13" t="s">
        <v>1791</v>
      </c>
      <c r="H1083" s="19">
        <v>44420</v>
      </c>
      <c r="I1083" s="13" t="s">
        <v>650</v>
      </c>
      <c r="J1083" s="13">
        <v>960</v>
      </c>
      <c r="K1083" s="13" t="s">
        <v>116</v>
      </c>
      <c r="L1083" s="13">
        <v>0.30919999999999997</v>
      </c>
      <c r="M1083" s="13">
        <v>1.1000000000000001</v>
      </c>
      <c r="N1083" s="13">
        <v>296.83199999999999</v>
      </c>
      <c r="O1083" s="13">
        <v>1056</v>
      </c>
      <c r="P1083" s="13">
        <v>38.590000000000003</v>
      </c>
      <c r="Q1083" s="13">
        <v>101.42</v>
      </c>
      <c r="R1083" s="13">
        <v>328</v>
      </c>
      <c r="S1083" s="13">
        <v>97360.9</v>
      </c>
      <c r="T1083" s="13"/>
      <c r="U1083" s="13"/>
      <c r="V1083" s="13"/>
      <c r="W1083" s="13"/>
      <c r="X1083" s="13"/>
    </row>
    <row r="1084" spans="1:24" x14ac:dyDescent="0.25">
      <c r="A1084" s="15">
        <v>373</v>
      </c>
      <c r="B1084" s="13" t="s">
        <v>34</v>
      </c>
      <c r="C1084" s="22" t="s">
        <v>19</v>
      </c>
      <c r="D1084" s="29">
        <v>44413</v>
      </c>
      <c r="E1084" s="18" t="s">
        <v>23</v>
      </c>
      <c r="F1084" s="18"/>
      <c r="G1084" s="13" t="s">
        <v>1949</v>
      </c>
      <c r="H1084" s="19">
        <v>44420</v>
      </c>
      <c r="I1084" s="13" t="s">
        <v>1117</v>
      </c>
      <c r="J1084" s="13">
        <v>161</v>
      </c>
      <c r="K1084" s="13" t="s">
        <v>525</v>
      </c>
      <c r="L1084" s="13">
        <v>0.27160000000000001</v>
      </c>
      <c r="M1084" s="13">
        <v>0.72799999999999998</v>
      </c>
      <c r="N1084" s="13">
        <v>43.727600000000002</v>
      </c>
      <c r="O1084" s="13">
        <v>117.208</v>
      </c>
      <c r="P1084" s="13">
        <v>5.68</v>
      </c>
      <c r="Q1084" s="13">
        <v>80.67</v>
      </c>
      <c r="R1084" s="13">
        <v>297</v>
      </c>
      <c r="S1084" s="13">
        <v>12987.1</v>
      </c>
      <c r="T1084" s="13"/>
      <c r="U1084" s="13"/>
      <c r="V1084" s="13"/>
      <c r="W1084" s="13"/>
      <c r="X1084" s="13"/>
    </row>
    <row r="1085" spans="1:24" x14ac:dyDescent="0.25">
      <c r="A1085" s="15">
        <v>374</v>
      </c>
      <c r="B1085" s="13" t="s">
        <v>34</v>
      </c>
      <c r="C1085" s="22" t="s">
        <v>14</v>
      </c>
      <c r="D1085" s="29">
        <v>44413</v>
      </c>
      <c r="E1085" s="18" t="s">
        <v>23</v>
      </c>
      <c r="F1085" s="18"/>
      <c r="G1085" s="13"/>
      <c r="H1085" s="19">
        <v>44420</v>
      </c>
      <c r="I1085" s="13" t="s">
        <v>528</v>
      </c>
      <c r="J1085" s="13">
        <v>874.5</v>
      </c>
      <c r="K1085" s="13" t="s">
        <v>87</v>
      </c>
      <c r="L1085" s="13">
        <v>6.2700000000000006E-2</v>
      </c>
      <c r="M1085" s="13">
        <v>0.122</v>
      </c>
      <c r="N1085" s="13">
        <v>54.831200000000003</v>
      </c>
      <c r="O1085" s="13">
        <v>106.68899999999999</v>
      </c>
      <c r="P1085" s="13">
        <v>7.13</v>
      </c>
      <c r="Q1085" s="13">
        <v>17.559999999999999</v>
      </c>
      <c r="R1085" s="13">
        <v>280</v>
      </c>
      <c r="S1085" s="13">
        <v>15352.72</v>
      </c>
      <c r="T1085" s="13"/>
      <c r="U1085" s="13"/>
      <c r="V1085" s="13"/>
      <c r="W1085" s="13"/>
      <c r="X1085" s="13"/>
    </row>
    <row r="1086" spans="1:24" x14ac:dyDescent="0.25">
      <c r="A1086" s="15" t="s">
        <v>1776</v>
      </c>
      <c r="B1086" s="13" t="s">
        <v>13</v>
      </c>
      <c r="C1086" s="22" t="s">
        <v>37</v>
      </c>
      <c r="D1086" s="29">
        <v>44413</v>
      </c>
      <c r="E1086" s="18" t="s">
        <v>23</v>
      </c>
      <c r="F1086" s="18"/>
      <c r="G1086" s="13"/>
      <c r="H1086" s="31"/>
      <c r="I1086" s="13" t="s">
        <v>1152</v>
      </c>
      <c r="J1086" s="13"/>
      <c r="K1086" s="13">
        <v>12</v>
      </c>
      <c r="L1086" s="13"/>
      <c r="M1086" s="13"/>
      <c r="N1086" s="13"/>
      <c r="O1086" s="13"/>
      <c r="P1086" s="13"/>
      <c r="Q1086" s="13"/>
      <c r="R1086" s="13"/>
      <c r="S1086" s="13">
        <v>17200</v>
      </c>
      <c r="T1086" s="13"/>
      <c r="U1086" s="13"/>
      <c r="V1086" s="13"/>
      <c r="W1086" s="13"/>
      <c r="X1086" s="13"/>
    </row>
    <row r="1087" spans="1:24" x14ac:dyDescent="0.25">
      <c r="A1087" s="15" t="s">
        <v>596</v>
      </c>
      <c r="B1087" s="13" t="s">
        <v>13</v>
      </c>
      <c r="C1087" s="22" t="s">
        <v>15</v>
      </c>
      <c r="D1087" s="29">
        <v>44414</v>
      </c>
      <c r="E1087" s="18" t="s">
        <v>23</v>
      </c>
      <c r="F1087" s="18"/>
      <c r="G1087" s="13"/>
      <c r="H1087" s="19">
        <v>44417</v>
      </c>
      <c r="I1087" s="13" t="s">
        <v>89</v>
      </c>
      <c r="J1087" s="13"/>
      <c r="K1087" s="13">
        <v>48</v>
      </c>
      <c r="L1087" s="13"/>
      <c r="M1087" s="13"/>
      <c r="N1087" s="13"/>
      <c r="O1087" s="13"/>
      <c r="P1087" s="13"/>
      <c r="Q1087" s="13"/>
      <c r="R1087" s="13"/>
      <c r="S1087" s="13">
        <v>34992</v>
      </c>
      <c r="T1087" s="13"/>
      <c r="U1087" s="13"/>
      <c r="V1087" s="13"/>
      <c r="W1087" s="13"/>
      <c r="X1087" s="13"/>
    </row>
    <row r="1088" spans="1:24" x14ac:dyDescent="0.25">
      <c r="A1088" s="15" t="s">
        <v>1777</v>
      </c>
      <c r="B1088" s="13" t="s">
        <v>13</v>
      </c>
      <c r="C1088" s="22" t="s">
        <v>1765</v>
      </c>
      <c r="D1088" s="29">
        <v>44414</v>
      </c>
      <c r="E1088" s="18" t="s">
        <v>23</v>
      </c>
      <c r="F1088" s="18"/>
      <c r="G1088" s="13"/>
      <c r="H1088" s="19">
        <v>44428</v>
      </c>
      <c r="I1088" s="13" t="s">
        <v>77</v>
      </c>
      <c r="J1088" s="13"/>
      <c r="K1088" s="13"/>
      <c r="L1088" s="13"/>
      <c r="M1088" s="13"/>
      <c r="N1088" s="13"/>
      <c r="O1088" s="13"/>
      <c r="P1088" s="13"/>
      <c r="Q1088" s="13"/>
      <c r="R1088" s="13"/>
      <c r="S1088" s="13">
        <v>23800</v>
      </c>
      <c r="T1088" s="13"/>
      <c r="U1088" s="13"/>
      <c r="V1088" s="13"/>
      <c r="W1088" s="13"/>
      <c r="X1088" s="13"/>
    </row>
    <row r="1089" spans="1:24" x14ac:dyDescent="0.25">
      <c r="A1089" s="15" t="s">
        <v>1778</v>
      </c>
      <c r="B1089" s="13" t="s">
        <v>13</v>
      </c>
      <c r="C1089" s="22" t="s">
        <v>15</v>
      </c>
      <c r="D1089" s="29">
        <v>44417</v>
      </c>
      <c r="E1089" s="18" t="s">
        <v>23</v>
      </c>
      <c r="F1089" s="18"/>
      <c r="G1089" s="13"/>
      <c r="H1089" s="19">
        <v>44419</v>
      </c>
      <c r="I1089" s="13" t="s">
        <v>89</v>
      </c>
      <c r="J1089" s="13"/>
      <c r="K1089" s="13">
        <v>48</v>
      </c>
      <c r="L1089" s="13"/>
      <c r="M1089" s="13"/>
      <c r="N1089" s="13"/>
      <c r="O1089" s="13"/>
      <c r="P1089" s="13"/>
      <c r="Q1089" s="13"/>
      <c r="R1089" s="13"/>
      <c r="S1089" s="13">
        <v>34992</v>
      </c>
      <c r="T1089" s="13"/>
      <c r="U1089" s="13"/>
      <c r="V1089" s="13"/>
      <c r="W1089" s="13"/>
      <c r="X1089" s="13"/>
    </row>
    <row r="1090" spans="1:24" s="25" customFormat="1" x14ac:dyDescent="0.25">
      <c r="A1090" s="20">
        <v>376</v>
      </c>
      <c r="B1090" s="21" t="s">
        <v>13</v>
      </c>
      <c r="C1090" s="22" t="s">
        <v>674</v>
      </c>
      <c r="D1090" s="17">
        <v>44418</v>
      </c>
      <c r="E1090" s="23" t="s">
        <v>23</v>
      </c>
      <c r="F1090" s="23"/>
      <c r="G1090" s="21"/>
      <c r="H1090" s="24">
        <v>44424</v>
      </c>
      <c r="I1090" s="21" t="s">
        <v>600</v>
      </c>
      <c r="J1090" s="21">
        <v>1314</v>
      </c>
      <c r="K1090" s="21" t="s">
        <v>944</v>
      </c>
      <c r="L1090" s="21">
        <v>0.30719999999999997</v>
      </c>
      <c r="M1090" s="21">
        <v>0.69199999999999995</v>
      </c>
      <c r="N1090" s="21">
        <v>403.66079999999999</v>
      </c>
      <c r="O1090" s="21">
        <v>909.28800000000001</v>
      </c>
      <c r="P1090" s="21">
        <v>52.48</v>
      </c>
      <c r="Q1090" s="21">
        <v>95.23</v>
      </c>
      <c r="R1090" s="21">
        <v>310</v>
      </c>
      <c r="S1090" s="21">
        <v>125134.85</v>
      </c>
      <c r="T1090" s="21"/>
      <c r="U1090" s="21"/>
      <c r="V1090" s="21"/>
      <c r="W1090" s="21"/>
      <c r="X1090" s="21"/>
    </row>
    <row r="1091" spans="1:24" s="25" customFormat="1" x14ac:dyDescent="0.25">
      <c r="A1091" s="20">
        <v>377</v>
      </c>
      <c r="B1091" s="21" t="s">
        <v>13</v>
      </c>
      <c r="C1091" s="22" t="s">
        <v>1768</v>
      </c>
      <c r="D1091" s="17">
        <v>44418</v>
      </c>
      <c r="E1091" s="23" t="s">
        <v>23</v>
      </c>
      <c r="F1091" s="23"/>
      <c r="G1091" s="21" t="s">
        <v>721</v>
      </c>
      <c r="H1091" s="30"/>
      <c r="I1091" s="21" t="s">
        <v>1767</v>
      </c>
      <c r="J1091" s="21">
        <v>1408</v>
      </c>
      <c r="K1091" s="21" t="s">
        <v>667</v>
      </c>
      <c r="L1091" s="21">
        <v>9.74E-2</v>
      </c>
      <c r="M1091" s="21">
        <v>0.37</v>
      </c>
      <c r="N1091" s="21">
        <v>137.13919999999999</v>
      </c>
      <c r="O1091" s="21">
        <v>520.96</v>
      </c>
      <c r="P1091" s="21">
        <v>17.829999999999998</v>
      </c>
      <c r="Q1091" s="21">
        <v>28.05</v>
      </c>
      <c r="R1091" s="21">
        <v>288</v>
      </c>
      <c r="S1091" s="21">
        <v>39496.089999999997</v>
      </c>
      <c r="T1091" s="21"/>
      <c r="U1091" s="21"/>
      <c r="V1091" s="21"/>
      <c r="W1091" s="21"/>
      <c r="X1091" s="21"/>
    </row>
    <row r="1092" spans="1:24" s="25" customFormat="1" x14ac:dyDescent="0.25">
      <c r="A1092" s="20">
        <v>378</v>
      </c>
      <c r="B1092" s="21" t="s">
        <v>13</v>
      </c>
      <c r="C1092" s="22" t="s">
        <v>32</v>
      </c>
      <c r="D1092" s="17">
        <v>44418</v>
      </c>
      <c r="E1092" s="23" t="s">
        <v>23</v>
      </c>
      <c r="F1092" s="23"/>
      <c r="G1092" s="21" t="s">
        <v>1873</v>
      </c>
      <c r="H1092" s="24">
        <v>44424</v>
      </c>
      <c r="I1092" s="21" t="s">
        <v>1242</v>
      </c>
      <c r="J1092" s="21">
        <v>2400.75</v>
      </c>
      <c r="K1092" s="21" t="s">
        <v>1796</v>
      </c>
      <c r="L1092" s="21">
        <v>9.5600000000000004E-2</v>
      </c>
      <c r="M1092" s="21">
        <v>0.16</v>
      </c>
      <c r="N1092" s="21">
        <v>201.69210000000001</v>
      </c>
      <c r="O1092" s="21">
        <v>337.56</v>
      </c>
      <c r="P1092" s="21">
        <v>26.22</v>
      </c>
      <c r="Q1092" s="21">
        <v>24</v>
      </c>
      <c r="R1092" s="21">
        <v>251</v>
      </c>
      <c r="S1092" s="21">
        <v>50634</v>
      </c>
      <c r="T1092" s="21"/>
      <c r="U1092" s="21"/>
      <c r="V1092" s="21"/>
      <c r="W1092" s="21"/>
      <c r="X1092" s="21"/>
    </row>
    <row r="1093" spans="1:24" s="25" customFormat="1" x14ac:dyDescent="0.25">
      <c r="A1093" s="20">
        <v>378</v>
      </c>
      <c r="B1093" s="21" t="s">
        <v>13</v>
      </c>
      <c r="C1093" s="22" t="s">
        <v>32</v>
      </c>
      <c r="D1093" s="17">
        <v>44418</v>
      </c>
      <c r="E1093" s="23" t="s">
        <v>23</v>
      </c>
      <c r="F1093" s="23"/>
      <c r="G1093" s="21" t="s">
        <v>1874</v>
      </c>
      <c r="H1093" s="30"/>
      <c r="I1093" s="21" t="s">
        <v>1242</v>
      </c>
      <c r="J1093" s="21">
        <v>2134</v>
      </c>
      <c r="K1093" s="21" t="s">
        <v>1789</v>
      </c>
      <c r="L1093" s="21">
        <v>9.5600000000000004E-2</v>
      </c>
      <c r="M1093" s="21">
        <v>0.16</v>
      </c>
      <c r="N1093" s="21">
        <v>204.0104</v>
      </c>
      <c r="O1093" s="21">
        <v>341.44</v>
      </c>
      <c r="P1093" s="21">
        <v>26.52</v>
      </c>
      <c r="Q1093" s="21">
        <v>36.33</v>
      </c>
      <c r="R1093" s="21">
        <v>380</v>
      </c>
      <c r="S1093" s="21">
        <v>77523.95</v>
      </c>
      <c r="T1093" s="21"/>
      <c r="U1093" s="21"/>
      <c r="V1093" s="21"/>
      <c r="W1093" s="21"/>
      <c r="X1093" s="21"/>
    </row>
    <row r="1094" spans="1:24" s="25" customFormat="1" x14ac:dyDescent="0.25">
      <c r="A1094" s="20">
        <v>379</v>
      </c>
      <c r="B1094" s="21" t="s">
        <v>13</v>
      </c>
      <c r="C1094" s="22" t="s">
        <v>625</v>
      </c>
      <c r="D1094" s="17">
        <v>44418</v>
      </c>
      <c r="E1094" s="23" t="s">
        <v>23</v>
      </c>
      <c r="F1094" s="23"/>
      <c r="G1094" s="21" t="s">
        <v>1820</v>
      </c>
      <c r="H1094" s="30"/>
      <c r="I1094" s="21" t="s">
        <v>1769</v>
      </c>
      <c r="J1094" s="21">
        <v>1966.5</v>
      </c>
      <c r="K1094" s="21" t="s">
        <v>523</v>
      </c>
      <c r="L1094" s="21">
        <v>0.13400000000000001</v>
      </c>
      <c r="M1094" s="21">
        <v>0.23200000000000001</v>
      </c>
      <c r="N1094" s="21">
        <v>263.51100000000002</v>
      </c>
      <c r="O1094" s="21">
        <v>456.22800000000001</v>
      </c>
      <c r="P1094" s="21">
        <v>34.26</v>
      </c>
      <c r="Q1094" s="21">
        <v>40.200000000000003</v>
      </c>
      <c r="R1094" s="21">
        <v>300</v>
      </c>
      <c r="S1094" s="21">
        <v>79053.3</v>
      </c>
      <c r="T1094" s="21"/>
      <c r="U1094" s="21"/>
      <c r="V1094" s="21"/>
      <c r="W1094" s="21"/>
      <c r="X1094" s="21"/>
    </row>
    <row r="1095" spans="1:24" x14ac:dyDescent="0.25">
      <c r="A1095" s="15" t="s">
        <v>1770</v>
      </c>
      <c r="B1095" s="13" t="s">
        <v>34</v>
      </c>
      <c r="C1095" s="22" t="s">
        <v>16</v>
      </c>
      <c r="D1095" s="29">
        <v>44418</v>
      </c>
      <c r="E1095" s="18" t="s">
        <v>23</v>
      </c>
      <c r="F1095" s="18"/>
      <c r="G1095" s="13"/>
      <c r="H1095" s="31"/>
      <c r="I1095" s="13" t="s">
        <v>995</v>
      </c>
      <c r="J1095" s="13">
        <v>312</v>
      </c>
      <c r="K1095" s="13" t="s">
        <v>302</v>
      </c>
      <c r="L1095" s="13">
        <v>0.56989999999999996</v>
      </c>
      <c r="M1095" s="13">
        <v>1.304</v>
      </c>
      <c r="N1095" s="13">
        <v>177.80879999999999</v>
      </c>
      <c r="O1095" s="13">
        <v>406.84800000000001</v>
      </c>
      <c r="P1095" s="13">
        <v>23.12</v>
      </c>
      <c r="Q1095" s="13">
        <v>216.56</v>
      </c>
      <c r="R1095" s="13">
        <v>380</v>
      </c>
      <c r="S1095" s="13">
        <v>67566.720000000001</v>
      </c>
      <c r="T1095" s="13"/>
      <c r="U1095" s="13"/>
      <c r="V1095" s="13"/>
      <c r="W1095" s="13"/>
      <c r="X1095" s="13"/>
    </row>
    <row r="1096" spans="1:24" x14ac:dyDescent="0.25">
      <c r="A1096" s="15" t="s">
        <v>1771</v>
      </c>
      <c r="B1096" s="13" t="s">
        <v>34</v>
      </c>
      <c r="C1096" s="22" t="s">
        <v>16</v>
      </c>
      <c r="D1096" s="29">
        <v>44418</v>
      </c>
      <c r="E1096" s="18" t="s">
        <v>23</v>
      </c>
      <c r="F1096" s="18"/>
      <c r="G1096" s="13"/>
      <c r="H1096" s="31"/>
      <c r="I1096" s="13" t="s">
        <v>866</v>
      </c>
      <c r="J1096" s="13">
        <v>2136</v>
      </c>
      <c r="K1096" s="13" t="s">
        <v>517</v>
      </c>
      <c r="L1096" s="13">
        <v>0.15909999999999999</v>
      </c>
      <c r="M1096" s="13">
        <v>0.26</v>
      </c>
      <c r="N1096" s="13">
        <v>339.83760000000001</v>
      </c>
      <c r="O1096" s="13">
        <v>555.36</v>
      </c>
      <c r="P1096" s="13">
        <v>44.18</v>
      </c>
      <c r="Q1096" s="13">
        <v>60.46</v>
      </c>
      <c r="R1096" s="13">
        <v>380</v>
      </c>
      <c r="S1096" s="13">
        <v>129138.29</v>
      </c>
      <c r="T1096" s="13"/>
      <c r="U1096" s="13"/>
      <c r="V1096" s="13"/>
      <c r="W1096" s="13"/>
      <c r="X1096" s="13"/>
    </row>
    <row r="1097" spans="1:24" x14ac:dyDescent="0.25">
      <c r="A1097" s="15" t="s">
        <v>1780</v>
      </c>
      <c r="B1097" s="13" t="s">
        <v>13</v>
      </c>
      <c r="C1097" s="22" t="s">
        <v>1783</v>
      </c>
      <c r="D1097" s="29">
        <v>44418</v>
      </c>
      <c r="E1097" s="18" t="s">
        <v>23</v>
      </c>
      <c r="F1097" s="18"/>
      <c r="G1097" s="13" t="s">
        <v>1857</v>
      </c>
      <c r="H1097" s="19">
        <v>44438</v>
      </c>
      <c r="I1097" s="13" t="s">
        <v>1781</v>
      </c>
      <c r="J1097" s="13"/>
      <c r="K1097" s="13">
        <v>160</v>
      </c>
      <c r="L1097" s="13"/>
      <c r="M1097" s="13"/>
      <c r="N1097" s="13"/>
      <c r="O1097" s="13"/>
      <c r="P1097" s="13"/>
      <c r="Q1097" s="13"/>
      <c r="R1097" s="13"/>
      <c r="S1097" s="13" t="s">
        <v>1784</v>
      </c>
      <c r="T1097" s="13"/>
      <c r="U1097" s="13"/>
      <c r="V1097" s="13"/>
      <c r="W1097" s="13"/>
      <c r="X1097" s="13"/>
    </row>
    <row r="1098" spans="1:24" x14ac:dyDescent="0.25">
      <c r="A1098" s="15" t="s">
        <v>1780</v>
      </c>
      <c r="B1098" s="13" t="s">
        <v>13</v>
      </c>
      <c r="C1098" s="22" t="s">
        <v>1783</v>
      </c>
      <c r="D1098" s="29">
        <v>44418</v>
      </c>
      <c r="E1098" s="18" t="s">
        <v>23</v>
      </c>
      <c r="F1098" s="18"/>
      <c r="G1098" s="13" t="s">
        <v>1858</v>
      </c>
      <c r="H1098" s="19">
        <v>44438</v>
      </c>
      <c r="I1098" s="13" t="s">
        <v>1782</v>
      </c>
      <c r="J1098" s="13"/>
      <c r="K1098" s="13">
        <v>202</v>
      </c>
      <c r="L1098" s="13"/>
      <c r="M1098" s="13"/>
      <c r="N1098" s="13"/>
      <c r="O1098" s="13"/>
      <c r="P1098" s="13"/>
      <c r="Q1098" s="13"/>
      <c r="R1098" s="13"/>
      <c r="S1098" s="13" t="s">
        <v>1785</v>
      </c>
      <c r="T1098" s="13"/>
      <c r="U1098" s="13"/>
      <c r="V1098" s="13"/>
      <c r="W1098" s="13"/>
      <c r="X1098" s="13"/>
    </row>
    <row r="1099" spans="1:24" x14ac:dyDescent="0.25">
      <c r="A1099" s="15">
        <v>380</v>
      </c>
      <c r="B1099" s="13" t="s">
        <v>34</v>
      </c>
      <c r="C1099" s="22" t="s">
        <v>1786</v>
      </c>
      <c r="D1099" s="29">
        <v>44418</v>
      </c>
      <c r="E1099" s="18" t="s">
        <v>23</v>
      </c>
      <c r="F1099" s="18"/>
      <c r="G1099" s="13" t="s">
        <v>1790</v>
      </c>
      <c r="H1099" s="19">
        <v>44421</v>
      </c>
      <c r="I1099" s="13" t="s">
        <v>639</v>
      </c>
      <c r="J1099" s="13">
        <v>642</v>
      </c>
      <c r="K1099" s="13" t="s">
        <v>1473</v>
      </c>
      <c r="L1099" s="13">
        <v>0.35859999999999997</v>
      </c>
      <c r="M1099" s="13">
        <v>1.518</v>
      </c>
      <c r="N1099" s="13">
        <v>230.22120000000001</v>
      </c>
      <c r="O1099" s="13">
        <v>974.55600000000004</v>
      </c>
      <c r="P1099" s="13">
        <v>29.93</v>
      </c>
      <c r="Q1099" s="13">
        <v>98.62</v>
      </c>
      <c r="R1099" s="13">
        <v>275</v>
      </c>
      <c r="S1099" s="13">
        <v>63310.83</v>
      </c>
      <c r="T1099" s="13"/>
      <c r="U1099" s="13"/>
      <c r="V1099" s="13"/>
      <c r="W1099" s="13"/>
      <c r="X1099" s="13"/>
    </row>
    <row r="1100" spans="1:24" x14ac:dyDescent="0.25">
      <c r="A1100" s="15">
        <v>380</v>
      </c>
      <c r="B1100" s="13" t="s">
        <v>34</v>
      </c>
      <c r="C1100" s="22" t="s">
        <v>1786</v>
      </c>
      <c r="D1100" s="29">
        <v>44418</v>
      </c>
      <c r="E1100" s="18" t="s">
        <v>23</v>
      </c>
      <c r="F1100" s="18"/>
      <c r="G1100" s="13"/>
      <c r="H1100" s="19">
        <v>44421</v>
      </c>
      <c r="I1100" s="13" t="s">
        <v>645</v>
      </c>
      <c r="J1100" s="13">
        <v>240</v>
      </c>
      <c r="K1100" s="13" t="s">
        <v>272</v>
      </c>
      <c r="L1100" s="13">
        <v>0.5323</v>
      </c>
      <c r="M1100" s="13">
        <v>2.5880000000000001</v>
      </c>
      <c r="N1100" s="13">
        <v>127.752</v>
      </c>
      <c r="O1100" s="13">
        <v>621.12</v>
      </c>
      <c r="P1100" s="13">
        <v>16.61</v>
      </c>
      <c r="Q1100" s="13">
        <v>146.38</v>
      </c>
      <c r="R1100" s="13">
        <v>275</v>
      </c>
      <c r="S1100" s="13">
        <v>35131.800000000003</v>
      </c>
      <c r="T1100" s="13"/>
      <c r="U1100" s="13"/>
      <c r="V1100" s="13"/>
      <c r="W1100" s="13"/>
      <c r="X1100" s="13"/>
    </row>
    <row r="1101" spans="1:24" x14ac:dyDescent="0.25">
      <c r="A1101" s="15">
        <v>381</v>
      </c>
      <c r="B1101" s="13" t="s">
        <v>34</v>
      </c>
      <c r="C1101" s="22" t="s">
        <v>328</v>
      </c>
      <c r="D1101" s="29">
        <v>44418</v>
      </c>
      <c r="E1101" s="18" t="s">
        <v>23</v>
      </c>
      <c r="F1101" s="18"/>
      <c r="G1101" s="13"/>
      <c r="H1101" s="19">
        <v>44425</v>
      </c>
      <c r="I1101" s="13" t="s">
        <v>650</v>
      </c>
      <c r="J1101" s="13">
        <v>150</v>
      </c>
      <c r="K1101" s="13" t="s">
        <v>1393</v>
      </c>
      <c r="L1101" s="13">
        <v>0.30919999999999997</v>
      </c>
      <c r="M1101" s="13">
        <v>1.1000000000000001</v>
      </c>
      <c r="N1101" s="13">
        <v>46.38</v>
      </c>
      <c r="O1101" s="13">
        <v>165</v>
      </c>
      <c r="P1101" s="13">
        <v>6.03</v>
      </c>
      <c r="Q1101" s="13">
        <v>101.42</v>
      </c>
      <c r="R1101" s="13">
        <v>328</v>
      </c>
      <c r="S1101" s="13">
        <v>15212.64</v>
      </c>
      <c r="T1101" s="13"/>
      <c r="U1101" s="13"/>
      <c r="V1101" s="13"/>
      <c r="W1101" s="13"/>
      <c r="X1101" s="13"/>
    </row>
    <row r="1102" spans="1:24" x14ac:dyDescent="0.25">
      <c r="A1102" s="15" t="s">
        <v>1787</v>
      </c>
      <c r="B1102" s="13" t="s">
        <v>13</v>
      </c>
      <c r="C1102" s="22" t="s">
        <v>15</v>
      </c>
      <c r="D1102" s="29">
        <v>44419</v>
      </c>
      <c r="E1102" s="18" t="s">
        <v>23</v>
      </c>
      <c r="F1102" s="18"/>
      <c r="G1102" s="13"/>
      <c r="H1102" s="19">
        <v>44421</v>
      </c>
      <c r="I1102" s="13" t="s">
        <v>89</v>
      </c>
      <c r="J1102" s="13"/>
      <c r="K1102" s="13">
        <v>48</v>
      </c>
      <c r="L1102" s="13"/>
      <c r="M1102" s="13"/>
      <c r="N1102" s="13"/>
      <c r="O1102" s="13"/>
      <c r="P1102" s="13"/>
      <c r="Q1102" s="13"/>
      <c r="R1102" s="13"/>
      <c r="S1102" s="13">
        <v>34992</v>
      </c>
      <c r="T1102" s="13"/>
      <c r="U1102" s="13"/>
      <c r="V1102" s="13"/>
      <c r="W1102" s="13"/>
      <c r="X1102" s="13"/>
    </row>
    <row r="1103" spans="1:24" x14ac:dyDescent="0.25">
      <c r="A1103" s="15" t="s">
        <v>1835</v>
      </c>
      <c r="B1103" s="13" t="s">
        <v>13</v>
      </c>
      <c r="C1103" s="22" t="s">
        <v>674</v>
      </c>
      <c r="D1103" s="29">
        <v>44419</v>
      </c>
      <c r="E1103" s="18" t="s">
        <v>23</v>
      </c>
      <c r="F1103" s="18"/>
      <c r="G1103" s="13"/>
      <c r="H1103" s="19">
        <v>44425</v>
      </c>
      <c r="I1103" s="13" t="s">
        <v>1788</v>
      </c>
      <c r="J1103" s="13">
        <v>228</v>
      </c>
      <c r="K1103" s="13">
        <v>80</v>
      </c>
      <c r="L1103" s="13"/>
      <c r="M1103" s="13"/>
      <c r="N1103" s="13"/>
      <c r="O1103" s="13"/>
      <c r="P1103" s="13"/>
      <c r="Q1103" s="13"/>
      <c r="R1103" s="13"/>
      <c r="S1103" s="13">
        <v>9000</v>
      </c>
      <c r="T1103" s="13"/>
      <c r="U1103" s="13"/>
      <c r="V1103" s="13"/>
      <c r="W1103" s="13"/>
      <c r="X1103" s="13"/>
    </row>
    <row r="1104" spans="1:24" x14ac:dyDescent="0.25">
      <c r="A1104" s="15" t="s">
        <v>1792</v>
      </c>
      <c r="B1104" s="13" t="s">
        <v>13</v>
      </c>
      <c r="C1104" s="22" t="s">
        <v>30</v>
      </c>
      <c r="D1104" s="29">
        <v>44420</v>
      </c>
      <c r="E1104" s="18" t="s">
        <v>23</v>
      </c>
      <c r="F1104" s="18"/>
      <c r="G1104" s="13"/>
      <c r="H1104" s="19">
        <v>44425</v>
      </c>
      <c r="I1104" s="13" t="s">
        <v>710</v>
      </c>
      <c r="J1104" s="13"/>
      <c r="K1104" s="13" t="s">
        <v>446</v>
      </c>
      <c r="L1104" s="13"/>
      <c r="M1104" s="13"/>
      <c r="N1104" s="13"/>
      <c r="O1104" s="13"/>
      <c r="P1104" s="13"/>
      <c r="Q1104" s="13"/>
      <c r="R1104" s="13"/>
      <c r="S1104" s="13" t="s">
        <v>1793</v>
      </c>
      <c r="T1104" s="13"/>
      <c r="U1104" s="13"/>
      <c r="V1104" s="13"/>
      <c r="W1104" s="13"/>
      <c r="X1104" s="13"/>
    </row>
    <row r="1105" spans="1:24" x14ac:dyDescent="0.25">
      <c r="A1105" s="15" t="s">
        <v>1792</v>
      </c>
      <c r="B1105" s="13" t="s">
        <v>13</v>
      </c>
      <c r="C1105" s="22" t="s">
        <v>30</v>
      </c>
      <c r="D1105" s="29">
        <v>44420</v>
      </c>
      <c r="E1105" s="18" t="s">
        <v>23</v>
      </c>
      <c r="F1105" s="18"/>
      <c r="G1105" s="13"/>
      <c r="H1105" s="19">
        <v>44425</v>
      </c>
      <c r="I1105" s="13" t="s">
        <v>711</v>
      </c>
      <c r="J1105" s="13"/>
      <c r="K1105" s="13" t="s">
        <v>446</v>
      </c>
      <c r="L1105" s="13"/>
      <c r="M1105" s="13"/>
      <c r="N1105" s="13"/>
      <c r="O1105" s="13"/>
      <c r="P1105" s="13"/>
      <c r="Q1105" s="13"/>
      <c r="R1105" s="13"/>
      <c r="S1105" s="13" t="s">
        <v>1793</v>
      </c>
      <c r="T1105" s="13"/>
      <c r="U1105" s="13"/>
      <c r="V1105" s="13"/>
      <c r="W1105" s="13"/>
      <c r="X1105" s="13"/>
    </row>
    <row r="1106" spans="1:24" x14ac:dyDescent="0.25">
      <c r="A1106" s="15" t="s">
        <v>1792</v>
      </c>
      <c r="B1106" s="13" t="s">
        <v>13</v>
      </c>
      <c r="C1106" s="22" t="s">
        <v>30</v>
      </c>
      <c r="D1106" s="29">
        <v>44420</v>
      </c>
      <c r="E1106" s="18" t="s">
        <v>23</v>
      </c>
      <c r="F1106" s="18"/>
      <c r="G1106" s="13"/>
      <c r="H1106" s="19">
        <v>44425</v>
      </c>
      <c r="I1106" s="13" t="s">
        <v>712</v>
      </c>
      <c r="J1106" s="13"/>
      <c r="K1106" s="13" t="s">
        <v>54</v>
      </c>
      <c r="L1106" s="13"/>
      <c r="M1106" s="13"/>
      <c r="N1106" s="13"/>
      <c r="O1106" s="13"/>
      <c r="P1106" s="13"/>
      <c r="Q1106" s="13"/>
      <c r="R1106" s="13"/>
      <c r="S1106" s="13" t="s">
        <v>1186</v>
      </c>
      <c r="T1106" s="13"/>
      <c r="U1106" s="13"/>
      <c r="V1106" s="13"/>
      <c r="W1106" s="13"/>
      <c r="X1106" s="13"/>
    </row>
    <row r="1107" spans="1:24" x14ac:dyDescent="0.25">
      <c r="A1107" s="15" t="s">
        <v>1792</v>
      </c>
      <c r="B1107" s="13" t="s">
        <v>13</v>
      </c>
      <c r="C1107" s="22" t="s">
        <v>30</v>
      </c>
      <c r="D1107" s="29">
        <v>44420</v>
      </c>
      <c r="E1107" s="18" t="s">
        <v>23</v>
      </c>
      <c r="F1107" s="18"/>
      <c r="G1107" s="13"/>
      <c r="H1107" s="19">
        <v>44425</v>
      </c>
      <c r="I1107" s="13" t="s">
        <v>713</v>
      </c>
      <c r="J1107" s="13"/>
      <c r="K1107" s="13" t="s">
        <v>96</v>
      </c>
      <c r="L1107" s="13"/>
      <c r="M1107" s="13"/>
      <c r="N1107" s="13"/>
      <c r="O1107" s="13"/>
      <c r="P1107" s="13"/>
      <c r="Q1107" s="13"/>
      <c r="R1107" s="13"/>
      <c r="S1107" s="13" t="s">
        <v>1794</v>
      </c>
      <c r="T1107" s="13"/>
      <c r="U1107" s="13"/>
      <c r="V1107" s="13"/>
      <c r="W1107" s="13"/>
      <c r="X1107" s="13"/>
    </row>
    <row r="1108" spans="1:24" x14ac:dyDescent="0.25">
      <c r="A1108" s="15" t="s">
        <v>1792</v>
      </c>
      <c r="B1108" s="13" t="s">
        <v>13</v>
      </c>
      <c r="C1108" s="22" t="s">
        <v>30</v>
      </c>
      <c r="D1108" s="29">
        <v>44420</v>
      </c>
      <c r="E1108" s="18" t="s">
        <v>23</v>
      </c>
      <c r="F1108" s="18"/>
      <c r="G1108" s="13"/>
      <c r="H1108" s="19">
        <v>44425</v>
      </c>
      <c r="I1108" s="13" t="s">
        <v>714</v>
      </c>
      <c r="J1108" s="13"/>
      <c r="K1108" s="13" t="s">
        <v>54</v>
      </c>
      <c r="L1108" s="13"/>
      <c r="M1108" s="13"/>
      <c r="N1108" s="13"/>
      <c r="O1108" s="13"/>
      <c r="P1108" s="13"/>
      <c r="Q1108" s="13"/>
      <c r="R1108" s="13"/>
      <c r="S1108" s="13" t="s">
        <v>1319</v>
      </c>
      <c r="T1108" s="13"/>
      <c r="U1108" s="13"/>
      <c r="V1108" s="13"/>
      <c r="W1108" s="13"/>
      <c r="X1108" s="13"/>
    </row>
    <row r="1109" spans="1:24" x14ac:dyDescent="0.25">
      <c r="A1109" s="15" t="s">
        <v>1792</v>
      </c>
      <c r="B1109" s="13" t="s">
        <v>13</v>
      </c>
      <c r="C1109" s="22" t="s">
        <v>30</v>
      </c>
      <c r="D1109" s="29">
        <v>44420</v>
      </c>
      <c r="E1109" s="18" t="s">
        <v>23</v>
      </c>
      <c r="F1109" s="18"/>
      <c r="G1109" s="13"/>
      <c r="H1109" s="19">
        <v>44425</v>
      </c>
      <c r="I1109" s="13" t="s">
        <v>715</v>
      </c>
      <c r="J1109" s="13"/>
      <c r="K1109" s="13" t="s">
        <v>54</v>
      </c>
      <c r="L1109" s="13"/>
      <c r="M1109" s="13"/>
      <c r="N1109" s="13"/>
      <c r="O1109" s="13"/>
      <c r="P1109" s="13"/>
      <c r="Q1109" s="13"/>
      <c r="R1109" s="13"/>
      <c r="S1109" s="13" t="s">
        <v>1319</v>
      </c>
      <c r="T1109" s="13"/>
      <c r="U1109" s="13"/>
      <c r="V1109" s="13"/>
      <c r="W1109" s="13"/>
      <c r="X1109" s="13"/>
    </row>
    <row r="1110" spans="1:24" x14ac:dyDescent="0.25">
      <c r="A1110" s="15" t="s">
        <v>1792</v>
      </c>
      <c r="B1110" s="13" t="s">
        <v>13</v>
      </c>
      <c r="C1110" s="22" t="s">
        <v>30</v>
      </c>
      <c r="D1110" s="29">
        <v>44420</v>
      </c>
      <c r="E1110" s="18" t="s">
        <v>23</v>
      </c>
      <c r="F1110" s="18"/>
      <c r="G1110" s="13"/>
      <c r="H1110" s="19">
        <v>44425</v>
      </c>
      <c r="I1110" s="13" t="s">
        <v>716</v>
      </c>
      <c r="J1110" s="13"/>
      <c r="K1110" s="13" t="s">
        <v>446</v>
      </c>
      <c r="L1110" s="13"/>
      <c r="M1110" s="13"/>
      <c r="N1110" s="13"/>
      <c r="O1110" s="13"/>
      <c r="P1110" s="13"/>
      <c r="Q1110" s="13"/>
      <c r="R1110" s="13"/>
      <c r="S1110" s="13" t="s">
        <v>805</v>
      </c>
      <c r="T1110" s="13"/>
      <c r="U1110" s="13"/>
      <c r="V1110" s="13"/>
      <c r="W1110" s="13"/>
      <c r="X1110" s="13"/>
    </row>
    <row r="1111" spans="1:24" x14ac:dyDescent="0.25">
      <c r="A1111" s="15" t="s">
        <v>1792</v>
      </c>
      <c r="B1111" s="13" t="s">
        <v>13</v>
      </c>
      <c r="C1111" s="22" t="s">
        <v>30</v>
      </c>
      <c r="D1111" s="29">
        <v>44420</v>
      </c>
      <c r="E1111" s="18" t="s">
        <v>23</v>
      </c>
      <c r="F1111" s="18"/>
      <c r="G1111" s="13"/>
      <c r="H1111" s="19">
        <v>44425</v>
      </c>
      <c r="I1111" s="13" t="s">
        <v>717</v>
      </c>
      <c r="J1111" s="13"/>
      <c r="K1111" s="13" t="s">
        <v>446</v>
      </c>
      <c r="L1111" s="13"/>
      <c r="M1111" s="13"/>
      <c r="N1111" s="13"/>
      <c r="O1111" s="13"/>
      <c r="P1111" s="13"/>
      <c r="Q1111" s="13"/>
      <c r="R1111" s="13"/>
      <c r="S1111" s="13" t="s">
        <v>805</v>
      </c>
      <c r="T1111" s="13"/>
      <c r="U1111" s="13"/>
      <c r="V1111" s="13"/>
      <c r="W1111" s="13"/>
      <c r="X1111" s="13"/>
    </row>
    <row r="1112" spans="1:24" x14ac:dyDescent="0.25">
      <c r="A1112" s="15" t="s">
        <v>1792</v>
      </c>
      <c r="B1112" s="13" t="s">
        <v>13</v>
      </c>
      <c r="C1112" s="22" t="s">
        <v>30</v>
      </c>
      <c r="D1112" s="29">
        <v>44420</v>
      </c>
      <c r="E1112" s="18" t="s">
        <v>23</v>
      </c>
      <c r="F1112" s="18"/>
      <c r="G1112" s="13"/>
      <c r="H1112" s="19">
        <v>44425</v>
      </c>
      <c r="I1112" s="13" t="s">
        <v>718</v>
      </c>
      <c r="J1112" s="13"/>
      <c r="K1112" s="13" t="s">
        <v>446</v>
      </c>
      <c r="L1112" s="13"/>
      <c r="M1112" s="13"/>
      <c r="N1112" s="13"/>
      <c r="O1112" s="13"/>
      <c r="P1112" s="13"/>
      <c r="Q1112" s="13"/>
      <c r="R1112" s="13"/>
      <c r="S1112" s="13" t="s">
        <v>965</v>
      </c>
      <c r="T1112" s="13"/>
      <c r="U1112" s="13"/>
      <c r="V1112" s="13"/>
      <c r="W1112" s="13"/>
      <c r="X1112" s="13"/>
    </row>
    <row r="1113" spans="1:24" x14ac:dyDescent="0.25">
      <c r="A1113" s="15" t="s">
        <v>1792</v>
      </c>
      <c r="B1113" s="13" t="s">
        <v>13</v>
      </c>
      <c r="C1113" s="22" t="s">
        <v>30</v>
      </c>
      <c r="D1113" s="29">
        <v>44420</v>
      </c>
      <c r="E1113" s="18" t="s">
        <v>23</v>
      </c>
      <c r="F1113" s="18"/>
      <c r="G1113" s="13"/>
      <c r="H1113" s="19">
        <v>44425</v>
      </c>
      <c r="I1113" s="13" t="s">
        <v>719</v>
      </c>
      <c r="J1113" s="13"/>
      <c r="K1113" s="13" t="s">
        <v>446</v>
      </c>
      <c r="L1113" s="13"/>
      <c r="M1113" s="13"/>
      <c r="N1113" s="13"/>
      <c r="O1113" s="13"/>
      <c r="P1113" s="13"/>
      <c r="Q1113" s="13"/>
      <c r="R1113" s="13"/>
      <c r="S1113" s="13" t="s">
        <v>965</v>
      </c>
      <c r="T1113" s="13"/>
      <c r="U1113" s="13"/>
      <c r="V1113" s="13"/>
      <c r="W1113" s="13"/>
      <c r="X1113" s="13"/>
    </row>
    <row r="1114" spans="1:24" x14ac:dyDescent="0.25">
      <c r="A1114" s="15" t="s">
        <v>1792</v>
      </c>
      <c r="B1114" s="13" t="s">
        <v>13</v>
      </c>
      <c r="C1114" s="22" t="s">
        <v>30</v>
      </c>
      <c r="D1114" s="29">
        <v>44420</v>
      </c>
      <c r="E1114" s="18" t="s">
        <v>23</v>
      </c>
      <c r="F1114" s="18"/>
      <c r="G1114" s="13"/>
      <c r="H1114" s="19">
        <v>44425</v>
      </c>
      <c r="I1114" s="13" t="s">
        <v>871</v>
      </c>
      <c r="J1114" s="13"/>
      <c r="K1114" s="13" t="s">
        <v>125</v>
      </c>
      <c r="L1114" s="13"/>
      <c r="M1114" s="13"/>
      <c r="N1114" s="13"/>
      <c r="O1114" s="13"/>
      <c r="P1114" s="13"/>
      <c r="Q1114" s="13"/>
      <c r="R1114" s="13"/>
      <c r="S1114" s="13" t="s">
        <v>724</v>
      </c>
      <c r="T1114" s="13"/>
      <c r="U1114" s="13"/>
      <c r="V1114" s="13"/>
      <c r="W1114" s="13"/>
      <c r="X1114" s="13"/>
    </row>
    <row r="1115" spans="1:24" x14ac:dyDescent="0.25">
      <c r="A1115" s="15" t="s">
        <v>1792</v>
      </c>
      <c r="B1115" s="13" t="s">
        <v>13</v>
      </c>
      <c r="C1115" s="22" t="s">
        <v>30</v>
      </c>
      <c r="D1115" s="29">
        <v>44420</v>
      </c>
      <c r="E1115" s="18" t="s">
        <v>23</v>
      </c>
      <c r="F1115" s="18"/>
      <c r="G1115" s="13"/>
      <c r="H1115" s="19">
        <v>44425</v>
      </c>
      <c r="I1115" s="13" t="s">
        <v>872</v>
      </c>
      <c r="J1115" s="13"/>
      <c r="K1115" s="13" t="s">
        <v>248</v>
      </c>
      <c r="L1115" s="13"/>
      <c r="M1115" s="13"/>
      <c r="N1115" s="13"/>
      <c r="O1115" s="13"/>
      <c r="P1115" s="13"/>
      <c r="Q1115" s="13"/>
      <c r="R1115" s="13"/>
      <c r="S1115" s="13" t="s">
        <v>965</v>
      </c>
      <c r="T1115" s="13"/>
      <c r="U1115" s="13"/>
      <c r="V1115" s="13"/>
      <c r="W1115" s="13"/>
      <c r="X1115" s="13"/>
    </row>
    <row r="1116" spans="1:24" x14ac:dyDescent="0.25">
      <c r="A1116" s="15" t="s">
        <v>1795</v>
      </c>
      <c r="B1116" s="13" t="s">
        <v>13</v>
      </c>
      <c r="C1116" s="22" t="s">
        <v>15</v>
      </c>
      <c r="D1116" s="29">
        <v>44420</v>
      </c>
      <c r="E1116" s="18" t="s">
        <v>23</v>
      </c>
      <c r="F1116" s="18"/>
      <c r="G1116" s="13"/>
      <c r="H1116" s="19">
        <v>44424</v>
      </c>
      <c r="I1116" s="13" t="s">
        <v>89</v>
      </c>
      <c r="J1116" s="13"/>
      <c r="K1116" s="13">
        <v>48</v>
      </c>
      <c r="L1116" s="13"/>
      <c r="M1116" s="13"/>
      <c r="N1116" s="13"/>
      <c r="O1116" s="13"/>
      <c r="P1116" s="13"/>
      <c r="Q1116" s="13"/>
      <c r="R1116" s="13"/>
      <c r="S1116" s="13">
        <v>34992</v>
      </c>
      <c r="T1116" s="13"/>
      <c r="U1116" s="13"/>
      <c r="V1116" s="13"/>
      <c r="W1116" s="13"/>
      <c r="X1116" s="13"/>
    </row>
    <row r="1117" spans="1:24" x14ac:dyDescent="0.25">
      <c r="A1117" s="15">
        <v>383</v>
      </c>
      <c r="B1117" s="13" t="s">
        <v>13</v>
      </c>
      <c r="C1117" s="22" t="s">
        <v>1432</v>
      </c>
      <c r="D1117" s="29">
        <v>44421</v>
      </c>
      <c r="E1117" s="18" t="s">
        <v>23</v>
      </c>
      <c r="F1117" s="18"/>
      <c r="G1117" s="13"/>
      <c r="H1117" s="19">
        <v>44425</v>
      </c>
      <c r="I1117" s="13" t="s">
        <v>1797</v>
      </c>
      <c r="J1117" s="13">
        <v>114</v>
      </c>
      <c r="K1117" s="13" t="s">
        <v>304</v>
      </c>
      <c r="L1117" s="13">
        <v>0.29759999999999998</v>
      </c>
      <c r="M1117" s="13">
        <v>0.67600000000000005</v>
      </c>
      <c r="N1117" s="13">
        <v>33.926400000000001</v>
      </c>
      <c r="O1117" s="13">
        <v>77.063999999999993</v>
      </c>
      <c r="P1117" s="13">
        <v>4.41</v>
      </c>
      <c r="Q1117" s="13">
        <v>89.28</v>
      </c>
      <c r="R1117" s="13">
        <v>300</v>
      </c>
      <c r="S1117" s="13">
        <v>10177.92</v>
      </c>
      <c r="T1117" s="13"/>
      <c r="U1117" s="13"/>
      <c r="V1117" s="13"/>
      <c r="W1117" s="13"/>
      <c r="X1117" s="13"/>
    </row>
    <row r="1118" spans="1:24" x14ac:dyDescent="0.25">
      <c r="A1118" s="15" t="s">
        <v>1814</v>
      </c>
      <c r="B1118" s="13" t="s">
        <v>13</v>
      </c>
      <c r="C1118" s="22" t="s">
        <v>15</v>
      </c>
      <c r="D1118" s="29">
        <v>44424</v>
      </c>
      <c r="E1118" s="18" t="s">
        <v>23</v>
      </c>
      <c r="F1118" s="18"/>
      <c r="G1118" s="13"/>
      <c r="H1118" s="19">
        <v>44426</v>
      </c>
      <c r="I1118" s="13" t="s">
        <v>89</v>
      </c>
      <c r="J1118" s="13"/>
      <c r="K1118" s="13">
        <v>48</v>
      </c>
      <c r="L1118" s="13"/>
      <c r="M1118" s="13"/>
      <c r="N1118" s="13"/>
      <c r="O1118" s="13"/>
      <c r="P1118" s="13"/>
      <c r="Q1118" s="13"/>
      <c r="R1118" s="13"/>
      <c r="S1118" s="13">
        <v>34992</v>
      </c>
      <c r="T1118" s="13"/>
      <c r="U1118" s="13"/>
      <c r="V1118" s="13"/>
      <c r="W1118" s="13"/>
      <c r="X1118" s="13"/>
    </row>
    <row r="1119" spans="1:24" x14ac:dyDescent="0.25">
      <c r="A1119" s="15" t="s">
        <v>604</v>
      </c>
      <c r="B1119" s="13" t="s">
        <v>13</v>
      </c>
      <c r="C1119" s="22" t="s">
        <v>548</v>
      </c>
      <c r="D1119" s="29">
        <v>44424</v>
      </c>
      <c r="E1119" s="18" t="s">
        <v>23</v>
      </c>
      <c r="F1119" s="18"/>
      <c r="G1119" s="13"/>
      <c r="H1119" s="19">
        <v>44435</v>
      </c>
      <c r="I1119" s="13" t="s">
        <v>1222</v>
      </c>
      <c r="J1119" s="13" t="s">
        <v>1815</v>
      </c>
      <c r="K1119" s="13">
        <v>11</v>
      </c>
      <c r="L1119" s="13"/>
      <c r="M1119" s="13"/>
      <c r="N1119" s="13"/>
      <c r="O1119" s="13"/>
      <c r="P1119" s="13"/>
      <c r="Q1119" s="13"/>
      <c r="R1119" s="13"/>
      <c r="S1119" s="13" t="s">
        <v>1817</v>
      </c>
      <c r="T1119" s="13"/>
      <c r="U1119" s="13"/>
      <c r="V1119" s="13"/>
      <c r="W1119" s="13"/>
      <c r="X1119" s="13"/>
    </row>
    <row r="1120" spans="1:24" x14ac:dyDescent="0.25">
      <c r="A1120" s="15" t="s">
        <v>604</v>
      </c>
      <c r="B1120" s="13" t="s">
        <v>13</v>
      </c>
      <c r="C1120" s="22" t="s">
        <v>548</v>
      </c>
      <c r="D1120" s="29">
        <v>44424</v>
      </c>
      <c r="E1120" s="18" t="s">
        <v>23</v>
      </c>
      <c r="F1120" s="18"/>
      <c r="G1120" s="13"/>
      <c r="H1120" s="19">
        <v>44435</v>
      </c>
      <c r="I1120" s="13" t="s">
        <v>1223</v>
      </c>
      <c r="J1120" s="13" t="s">
        <v>452</v>
      </c>
      <c r="K1120" s="13">
        <v>55</v>
      </c>
      <c r="L1120" s="13"/>
      <c r="M1120" s="13"/>
      <c r="N1120" s="13"/>
      <c r="O1120" s="13"/>
      <c r="P1120" s="13"/>
      <c r="Q1120" s="13"/>
      <c r="R1120" s="13"/>
      <c r="S1120" s="13" t="s">
        <v>1818</v>
      </c>
      <c r="T1120" s="13"/>
      <c r="U1120" s="13"/>
      <c r="V1120" s="13"/>
      <c r="W1120" s="13"/>
      <c r="X1120" s="13"/>
    </row>
    <row r="1121" spans="1:24" x14ac:dyDescent="0.25">
      <c r="A1121" s="15" t="s">
        <v>604</v>
      </c>
      <c r="B1121" s="13" t="s">
        <v>13</v>
      </c>
      <c r="C1121" s="22" t="s">
        <v>548</v>
      </c>
      <c r="D1121" s="29">
        <v>44424</v>
      </c>
      <c r="E1121" s="18" t="s">
        <v>23</v>
      </c>
      <c r="F1121" s="18"/>
      <c r="G1121" s="110" t="s">
        <v>1860</v>
      </c>
      <c r="H1121" s="19">
        <v>44435</v>
      </c>
      <c r="I1121" s="13" t="s">
        <v>773</v>
      </c>
      <c r="J1121" s="13" t="s">
        <v>1816</v>
      </c>
      <c r="K1121" s="13">
        <v>4130</v>
      </c>
      <c r="L1121" s="13"/>
      <c r="M1121" s="13"/>
      <c r="N1121" s="13"/>
      <c r="O1121" s="13"/>
      <c r="P1121" s="13"/>
      <c r="Q1121" s="13"/>
      <c r="R1121" s="13"/>
      <c r="S1121" s="13" t="s">
        <v>1819</v>
      </c>
      <c r="T1121" s="13"/>
      <c r="U1121" s="13"/>
      <c r="V1121" s="13"/>
      <c r="W1121" s="13"/>
      <c r="X1121" s="13"/>
    </row>
    <row r="1122" spans="1:24" x14ac:dyDescent="0.25">
      <c r="A1122" s="15" t="s">
        <v>607</v>
      </c>
      <c r="B1122" s="13" t="s">
        <v>13</v>
      </c>
      <c r="C1122" s="22" t="s">
        <v>625</v>
      </c>
      <c r="D1122" s="29">
        <v>44425</v>
      </c>
      <c r="E1122" s="18" t="s">
        <v>23</v>
      </c>
      <c r="F1122" s="18"/>
      <c r="G1122" s="13" t="s">
        <v>1821</v>
      </c>
      <c r="H1122" s="31"/>
      <c r="I1122" s="13" t="s">
        <v>1690</v>
      </c>
      <c r="J1122" s="13">
        <v>103.5</v>
      </c>
      <c r="K1122" s="13" t="s">
        <v>1822</v>
      </c>
      <c r="L1122" s="13"/>
      <c r="M1122" s="13"/>
      <c r="N1122" s="13"/>
      <c r="O1122" s="13"/>
      <c r="P1122" s="13"/>
      <c r="Q1122" s="13"/>
      <c r="R1122" s="13"/>
      <c r="S1122" s="13">
        <v>10997</v>
      </c>
      <c r="T1122" s="13"/>
      <c r="U1122" s="13"/>
      <c r="V1122" s="13"/>
      <c r="W1122" s="13"/>
      <c r="X1122" s="13"/>
    </row>
    <row r="1123" spans="1:24" x14ac:dyDescent="0.25">
      <c r="A1123" s="15" t="s">
        <v>1823</v>
      </c>
      <c r="B1123" s="13" t="s">
        <v>34</v>
      </c>
      <c r="C1123" s="22" t="s">
        <v>16</v>
      </c>
      <c r="D1123" s="29">
        <v>44425</v>
      </c>
      <c r="E1123" s="18" t="s">
        <v>23</v>
      </c>
      <c r="F1123" s="18"/>
      <c r="G1123" s="13"/>
      <c r="H1123" s="19">
        <v>44432</v>
      </c>
      <c r="I1123" s="13" t="s">
        <v>791</v>
      </c>
      <c r="J1123" s="13">
        <v>1080</v>
      </c>
      <c r="K1123" s="13" t="s">
        <v>203</v>
      </c>
      <c r="L1123" s="13">
        <v>0.3498</v>
      </c>
      <c r="M1123" s="13">
        <v>1.425</v>
      </c>
      <c r="N1123" s="13">
        <v>377.78399999999999</v>
      </c>
      <c r="O1123" s="13">
        <v>1539</v>
      </c>
      <c r="P1123" s="13">
        <v>49.11</v>
      </c>
      <c r="Q1123" s="13">
        <v>104.94</v>
      </c>
      <c r="R1123" s="13">
        <v>300</v>
      </c>
      <c r="S1123" s="13">
        <v>113335.2</v>
      </c>
      <c r="T1123" s="13"/>
      <c r="U1123" s="13"/>
      <c r="V1123" s="13"/>
      <c r="W1123" s="13"/>
      <c r="X1123" s="13"/>
    </row>
    <row r="1124" spans="1:24" x14ac:dyDescent="0.25">
      <c r="A1124" s="15">
        <v>387</v>
      </c>
      <c r="B1124" s="13" t="s">
        <v>13</v>
      </c>
      <c r="C1124" s="22" t="s">
        <v>1825</v>
      </c>
      <c r="D1124" s="29">
        <v>44425</v>
      </c>
      <c r="E1124" s="18" t="s">
        <v>23</v>
      </c>
      <c r="F1124" s="18"/>
      <c r="G1124" s="13"/>
      <c r="H1124" s="19">
        <v>44447</v>
      </c>
      <c r="I1124" s="13" t="s">
        <v>1824</v>
      </c>
      <c r="J1124" s="13">
        <v>324</v>
      </c>
      <c r="K1124" s="13" t="s">
        <v>170</v>
      </c>
      <c r="L1124" s="13">
        <v>0.33660000000000001</v>
      </c>
      <c r="M1124" s="13">
        <v>1.2350000000000001</v>
      </c>
      <c r="N1124" s="13">
        <v>109.05840000000001</v>
      </c>
      <c r="O1124" s="13">
        <v>400.14</v>
      </c>
      <c r="P1124" s="13">
        <v>14.18</v>
      </c>
      <c r="Q1124" s="13">
        <v>100.98</v>
      </c>
      <c r="R1124" s="13">
        <v>300</v>
      </c>
      <c r="S1124" s="13">
        <v>32717.52</v>
      </c>
      <c r="T1124" s="13"/>
      <c r="U1124" s="13"/>
      <c r="V1124" s="13"/>
      <c r="W1124" s="13"/>
      <c r="X1124" s="13"/>
    </row>
    <row r="1125" spans="1:24" x14ac:dyDescent="0.25">
      <c r="A1125" s="15">
        <v>386</v>
      </c>
      <c r="B1125" s="13" t="s">
        <v>34</v>
      </c>
      <c r="C1125" s="22" t="s">
        <v>1828</v>
      </c>
      <c r="D1125" s="29">
        <v>44425</v>
      </c>
      <c r="E1125" s="18" t="s">
        <v>23</v>
      </c>
      <c r="F1125" s="18"/>
      <c r="G1125" s="13" t="s">
        <v>1829</v>
      </c>
      <c r="H1125" s="19">
        <v>44427</v>
      </c>
      <c r="I1125" s="13" t="s">
        <v>1826</v>
      </c>
      <c r="J1125" s="13">
        <v>603.9</v>
      </c>
      <c r="K1125" s="13" t="s">
        <v>1827</v>
      </c>
      <c r="L1125" s="13">
        <v>0.25190000000000001</v>
      </c>
      <c r="M1125" s="13">
        <v>0.84099999999999997</v>
      </c>
      <c r="N1125" s="13">
        <v>152.1224</v>
      </c>
      <c r="O1125" s="13">
        <v>507.87990000000002</v>
      </c>
      <c r="P1125" s="13">
        <v>19.78</v>
      </c>
      <c r="Q1125" s="13">
        <v>75.569999999999993</v>
      </c>
      <c r="R1125" s="13">
        <v>300</v>
      </c>
      <c r="S1125" s="13">
        <v>45636.72</v>
      </c>
      <c r="T1125" s="13"/>
      <c r="U1125" s="13"/>
      <c r="V1125" s="13"/>
      <c r="W1125" s="13"/>
      <c r="X1125" s="13"/>
    </row>
    <row r="1126" spans="1:24" x14ac:dyDescent="0.25">
      <c r="A1126" s="15">
        <v>389</v>
      </c>
      <c r="B1126" s="13" t="s">
        <v>13</v>
      </c>
      <c r="C1126" s="22" t="s">
        <v>674</v>
      </c>
      <c r="D1126" s="29">
        <v>44425</v>
      </c>
      <c r="E1126" s="18" t="s">
        <v>23</v>
      </c>
      <c r="F1126" s="18"/>
      <c r="G1126" s="74" t="s">
        <v>1889</v>
      </c>
      <c r="H1126" s="19">
        <v>44432</v>
      </c>
      <c r="I1126" s="13" t="s">
        <v>600</v>
      </c>
      <c r="J1126" s="13">
        <v>2052</v>
      </c>
      <c r="K1126" s="13" t="s">
        <v>285</v>
      </c>
      <c r="L1126" s="13">
        <v>0.30719999999999997</v>
      </c>
      <c r="M1126" s="13">
        <v>0.69199999999999995</v>
      </c>
      <c r="N1126" s="13">
        <v>630.37440000000004</v>
      </c>
      <c r="O1126" s="13">
        <v>1419.9839999999999</v>
      </c>
      <c r="P1126" s="13">
        <v>81.95</v>
      </c>
      <c r="Q1126" s="13">
        <v>95.23</v>
      </c>
      <c r="R1126" s="13">
        <v>310</v>
      </c>
      <c r="S1126" s="13">
        <v>195416.06</v>
      </c>
      <c r="T1126" s="13"/>
      <c r="U1126" s="13"/>
      <c r="V1126" s="13"/>
      <c r="W1126" s="13"/>
      <c r="X1126" s="13"/>
    </row>
    <row r="1127" spans="1:24" x14ac:dyDescent="0.25">
      <c r="A1127" s="15">
        <v>390</v>
      </c>
      <c r="B1127" s="13" t="s">
        <v>13</v>
      </c>
      <c r="C1127" s="22" t="s">
        <v>32</v>
      </c>
      <c r="D1127" s="29">
        <v>44425</v>
      </c>
      <c r="E1127" s="18" t="s">
        <v>23</v>
      </c>
      <c r="F1127" s="18"/>
      <c r="G1127" s="13"/>
      <c r="H1127" s="31"/>
      <c r="I1127" s="13" t="s">
        <v>1242</v>
      </c>
      <c r="J1127" s="13">
        <v>509.25</v>
      </c>
      <c r="K1127" s="13" t="s">
        <v>274</v>
      </c>
      <c r="L1127" s="13">
        <v>9.5600000000000004E-2</v>
      </c>
      <c r="M1127" s="13">
        <v>0.16</v>
      </c>
      <c r="N1127" s="13">
        <v>48.6843</v>
      </c>
      <c r="O1127" s="13">
        <v>81.48</v>
      </c>
      <c r="P1127" s="13">
        <v>6.33</v>
      </c>
      <c r="Q1127" s="13">
        <v>30.02</v>
      </c>
      <c r="R1127" s="13">
        <v>314</v>
      </c>
      <c r="S1127" s="13">
        <v>15286.87</v>
      </c>
      <c r="T1127" s="13"/>
      <c r="U1127" s="13"/>
      <c r="V1127" s="13"/>
      <c r="W1127" s="13"/>
      <c r="X1127" s="13"/>
    </row>
    <row r="1128" spans="1:24" x14ac:dyDescent="0.25">
      <c r="A1128" s="15">
        <v>391</v>
      </c>
      <c r="B1128" s="13" t="s">
        <v>13</v>
      </c>
      <c r="C1128" s="22" t="s">
        <v>1432</v>
      </c>
      <c r="D1128" s="29">
        <v>44425</v>
      </c>
      <c r="E1128" s="18" t="s">
        <v>23</v>
      </c>
      <c r="F1128" s="18"/>
      <c r="G1128" s="13"/>
      <c r="H1128" s="31"/>
      <c r="I1128" s="13" t="s">
        <v>1400</v>
      </c>
      <c r="J1128" s="13">
        <v>186</v>
      </c>
      <c r="K1128" s="13" t="s">
        <v>519</v>
      </c>
      <c r="L1128" s="13">
        <v>0.29759999999999998</v>
      </c>
      <c r="M1128" s="13">
        <v>0.67600000000000005</v>
      </c>
      <c r="N1128" s="13">
        <v>55.3536</v>
      </c>
      <c r="O1128" s="13">
        <v>125.736</v>
      </c>
      <c r="P1128" s="13">
        <v>7.2</v>
      </c>
      <c r="Q1128" s="13">
        <v>89.28</v>
      </c>
      <c r="R1128" s="13">
        <v>300</v>
      </c>
      <c r="S1128" s="13">
        <v>16606.080000000002</v>
      </c>
      <c r="T1128" s="13"/>
      <c r="U1128" s="13"/>
      <c r="V1128" s="13"/>
      <c r="W1128" s="13"/>
      <c r="X1128" s="13"/>
    </row>
    <row r="1129" spans="1:24" x14ac:dyDescent="0.25">
      <c r="A1129" s="15" t="s">
        <v>609</v>
      </c>
      <c r="B1129" s="13" t="s">
        <v>13</v>
      </c>
      <c r="C1129" s="22" t="s">
        <v>883</v>
      </c>
      <c r="D1129" s="29">
        <v>44426</v>
      </c>
      <c r="E1129" s="18" t="s">
        <v>23</v>
      </c>
      <c r="F1129" s="18"/>
      <c r="G1129" s="13"/>
      <c r="H1129" s="19">
        <v>44434</v>
      </c>
      <c r="I1129" s="13" t="s">
        <v>1830</v>
      </c>
      <c r="J1129" s="13">
        <v>156</v>
      </c>
      <c r="K1129" s="13">
        <v>26</v>
      </c>
      <c r="L1129" s="13"/>
      <c r="M1129" s="13"/>
      <c r="N1129" s="13"/>
      <c r="O1129" s="13"/>
      <c r="P1129" s="13"/>
      <c r="Q1129" s="13"/>
      <c r="R1129" s="13"/>
      <c r="S1129" s="13">
        <v>10300</v>
      </c>
      <c r="T1129" s="13"/>
      <c r="U1129" s="13"/>
      <c r="V1129" s="13"/>
      <c r="W1129" s="13"/>
      <c r="X1129" s="13"/>
    </row>
    <row r="1130" spans="1:24" x14ac:dyDescent="0.25">
      <c r="A1130" s="15" t="s">
        <v>610</v>
      </c>
      <c r="B1130" s="13" t="s">
        <v>13</v>
      </c>
      <c r="C1130" s="22" t="s">
        <v>594</v>
      </c>
      <c r="D1130" s="29">
        <v>44426</v>
      </c>
      <c r="E1130" s="18" t="s">
        <v>23</v>
      </c>
      <c r="F1130" s="18"/>
      <c r="G1130" s="13"/>
      <c r="H1130" s="19">
        <v>44428</v>
      </c>
      <c r="I1130" s="13" t="s">
        <v>89</v>
      </c>
      <c r="J1130" s="13"/>
      <c r="K1130" s="13">
        <v>48</v>
      </c>
      <c r="L1130" s="13"/>
      <c r="M1130" s="13"/>
      <c r="N1130" s="13"/>
      <c r="O1130" s="13"/>
      <c r="P1130" s="13"/>
      <c r="Q1130" s="13"/>
      <c r="R1130" s="13"/>
      <c r="S1130" s="13">
        <v>34992</v>
      </c>
      <c r="T1130" s="13"/>
      <c r="U1130" s="13"/>
      <c r="V1130" s="13"/>
      <c r="W1130" s="13"/>
      <c r="X1130" s="13"/>
    </row>
    <row r="1131" spans="1:24" x14ac:dyDescent="0.25">
      <c r="A1131" s="15" t="s">
        <v>1834</v>
      </c>
      <c r="B1131" s="13" t="s">
        <v>13</v>
      </c>
      <c r="C1131" s="22" t="s">
        <v>674</v>
      </c>
      <c r="D1131" s="29">
        <v>44426</v>
      </c>
      <c r="E1131" s="18" t="s">
        <v>23</v>
      </c>
      <c r="F1131" s="18"/>
      <c r="G1131" s="13"/>
      <c r="H1131" s="31"/>
      <c r="I1131" s="13" t="s">
        <v>1833</v>
      </c>
      <c r="J1131" s="13" t="s">
        <v>1832</v>
      </c>
      <c r="K1131" s="13">
        <v>718</v>
      </c>
      <c r="L1131" s="13"/>
      <c r="M1131" s="13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</row>
    <row r="1132" spans="1:24" x14ac:dyDescent="0.25">
      <c r="A1132" s="15" t="s">
        <v>1836</v>
      </c>
      <c r="B1132" s="13" t="s">
        <v>13</v>
      </c>
      <c r="C1132" s="22" t="s">
        <v>1596</v>
      </c>
      <c r="D1132" s="29">
        <v>44426</v>
      </c>
      <c r="E1132" s="18" t="s">
        <v>23</v>
      </c>
      <c r="F1132" s="18"/>
      <c r="G1132" s="13" t="s">
        <v>1843</v>
      </c>
      <c r="H1132" s="19">
        <v>44431</v>
      </c>
      <c r="I1132" s="13" t="s">
        <v>177</v>
      </c>
      <c r="J1132" s="13"/>
      <c r="K1132" s="13">
        <v>25</v>
      </c>
      <c r="L1132" s="13"/>
      <c r="M1132" s="13"/>
      <c r="N1132" s="13"/>
      <c r="O1132" s="13"/>
      <c r="P1132" s="13"/>
      <c r="Q1132" s="13"/>
      <c r="R1132" s="13"/>
      <c r="S1132" s="13">
        <v>9000</v>
      </c>
      <c r="T1132" s="13"/>
      <c r="U1132" s="13"/>
      <c r="V1132" s="13"/>
      <c r="W1132" s="13"/>
      <c r="X1132" s="13"/>
    </row>
    <row r="1133" spans="1:24" x14ac:dyDescent="0.25">
      <c r="A1133" s="15" t="s">
        <v>1838</v>
      </c>
      <c r="B1133" s="13" t="s">
        <v>13</v>
      </c>
      <c r="C1133" s="22" t="s">
        <v>43</v>
      </c>
      <c r="D1133" s="29">
        <v>44428</v>
      </c>
      <c r="E1133" s="18" t="s">
        <v>23</v>
      </c>
      <c r="F1133" s="18"/>
      <c r="G1133" s="13"/>
      <c r="H1133" s="19">
        <v>44445</v>
      </c>
      <c r="I1133" s="13" t="s">
        <v>551</v>
      </c>
      <c r="J1133" s="13" t="s">
        <v>31</v>
      </c>
      <c r="K1133" s="13">
        <v>16</v>
      </c>
      <c r="L1133" s="13"/>
      <c r="M1133" s="13"/>
      <c r="N1133" s="13"/>
      <c r="O1133" s="13"/>
      <c r="P1133" s="13"/>
      <c r="Q1133" s="13"/>
      <c r="R1133" s="13"/>
      <c r="S1133" s="13" t="s">
        <v>1839</v>
      </c>
      <c r="T1133" s="13"/>
      <c r="U1133" s="13"/>
      <c r="V1133" s="13"/>
      <c r="W1133" s="13"/>
      <c r="X1133" s="13"/>
    </row>
    <row r="1134" spans="1:24" x14ac:dyDescent="0.25">
      <c r="A1134" s="15" t="s">
        <v>1838</v>
      </c>
      <c r="B1134" s="13" t="s">
        <v>13</v>
      </c>
      <c r="C1134" s="22" t="s">
        <v>43</v>
      </c>
      <c r="D1134" s="29">
        <v>44428</v>
      </c>
      <c r="E1134" s="18" t="s">
        <v>23</v>
      </c>
      <c r="F1134" s="18"/>
      <c r="G1134" s="13"/>
      <c r="H1134" s="19">
        <v>44445</v>
      </c>
      <c r="I1134" s="13" t="s">
        <v>349</v>
      </c>
      <c r="J1134" s="13" t="s">
        <v>432</v>
      </c>
      <c r="K1134" s="13">
        <v>13</v>
      </c>
      <c r="L1134" s="13"/>
      <c r="M1134" s="13"/>
      <c r="N1134" s="13"/>
      <c r="O1134" s="13"/>
      <c r="P1134" s="13"/>
      <c r="Q1134" s="13"/>
      <c r="R1134" s="13"/>
      <c r="S1134" s="13" t="s">
        <v>1840</v>
      </c>
      <c r="T1134" s="13"/>
      <c r="U1134" s="13"/>
      <c r="V1134" s="13"/>
      <c r="W1134" s="13"/>
      <c r="X1134" s="13"/>
    </row>
    <row r="1135" spans="1:24" x14ac:dyDescent="0.25">
      <c r="A1135" s="15" t="s">
        <v>1838</v>
      </c>
      <c r="B1135" s="13" t="s">
        <v>13</v>
      </c>
      <c r="C1135" s="22" t="s">
        <v>43</v>
      </c>
      <c r="D1135" s="29">
        <v>44428</v>
      </c>
      <c r="E1135" s="18" t="s">
        <v>23</v>
      </c>
      <c r="F1135" s="18"/>
      <c r="G1135" s="13"/>
      <c r="H1135" s="19">
        <v>44445</v>
      </c>
      <c r="I1135" s="13" t="s">
        <v>760</v>
      </c>
      <c r="J1135" s="13" t="s">
        <v>1866</v>
      </c>
      <c r="K1135" s="13">
        <v>92</v>
      </c>
      <c r="L1135" s="13"/>
      <c r="M1135" s="13"/>
      <c r="N1135" s="13"/>
      <c r="O1135" s="13"/>
      <c r="P1135" s="13"/>
      <c r="Q1135" s="13"/>
      <c r="R1135" s="13"/>
      <c r="S1135" s="13" t="s">
        <v>1867</v>
      </c>
      <c r="T1135" s="13"/>
      <c r="U1135" s="13"/>
      <c r="V1135" s="13"/>
      <c r="W1135" s="13"/>
      <c r="X1135" s="13"/>
    </row>
    <row r="1136" spans="1:24" x14ac:dyDescent="0.25">
      <c r="A1136" s="15" t="s">
        <v>1838</v>
      </c>
      <c r="B1136" s="13" t="s">
        <v>13</v>
      </c>
      <c r="C1136" s="22" t="s">
        <v>43</v>
      </c>
      <c r="D1136" s="29">
        <v>44428</v>
      </c>
      <c r="E1136" s="18" t="s">
        <v>23</v>
      </c>
      <c r="F1136" s="18"/>
      <c r="G1136" s="13"/>
      <c r="H1136" s="19">
        <v>44445</v>
      </c>
      <c r="I1136" s="13" t="s">
        <v>1837</v>
      </c>
      <c r="J1136" s="13" t="s">
        <v>248</v>
      </c>
      <c r="K1136" s="13">
        <v>3</v>
      </c>
      <c r="L1136" s="13"/>
      <c r="M1136" s="13"/>
      <c r="N1136" s="13"/>
      <c r="O1136" s="13"/>
      <c r="P1136" s="13"/>
      <c r="Q1136" s="13"/>
      <c r="R1136" s="13"/>
      <c r="S1136" s="13" t="s">
        <v>1841</v>
      </c>
      <c r="T1136" s="13"/>
      <c r="U1136" s="13"/>
      <c r="V1136" s="13"/>
      <c r="W1136" s="13"/>
      <c r="X1136" s="13"/>
    </row>
    <row r="1137" spans="1:24" x14ac:dyDescent="0.25">
      <c r="A1137" s="15" t="s">
        <v>1838</v>
      </c>
      <c r="B1137" s="13" t="s">
        <v>13</v>
      </c>
      <c r="C1137" s="22" t="s">
        <v>43</v>
      </c>
      <c r="D1137" s="29">
        <v>44428</v>
      </c>
      <c r="E1137" s="18" t="s">
        <v>23</v>
      </c>
      <c r="F1137" s="18"/>
      <c r="G1137" s="13"/>
      <c r="H1137" s="19">
        <v>44445</v>
      </c>
      <c r="I1137" s="13" t="s">
        <v>275</v>
      </c>
      <c r="J1137" s="13" t="s">
        <v>70</v>
      </c>
      <c r="K1137" s="13">
        <v>12</v>
      </c>
      <c r="L1137" s="13"/>
      <c r="M1137" s="13"/>
      <c r="N1137" s="13"/>
      <c r="O1137" s="13"/>
      <c r="P1137" s="13"/>
      <c r="Q1137" s="13"/>
      <c r="R1137" s="13"/>
      <c r="S1137" s="13" t="s">
        <v>1842</v>
      </c>
      <c r="T1137" s="13"/>
      <c r="U1137" s="13"/>
      <c r="V1137" s="13"/>
      <c r="W1137" s="13"/>
      <c r="X1137" s="13"/>
    </row>
    <row r="1138" spans="1:24" x14ac:dyDescent="0.25">
      <c r="A1138" s="15" t="s">
        <v>1844</v>
      </c>
      <c r="B1138" s="13" t="s">
        <v>13</v>
      </c>
      <c r="C1138" s="22" t="s">
        <v>15</v>
      </c>
      <c r="D1138" s="29">
        <v>44428</v>
      </c>
      <c r="E1138" s="18" t="s">
        <v>23</v>
      </c>
      <c r="F1138" s="18"/>
      <c r="G1138" s="13"/>
      <c r="H1138" s="19">
        <v>44431</v>
      </c>
      <c r="I1138" s="13" t="s">
        <v>89</v>
      </c>
      <c r="J1138" s="13"/>
      <c r="K1138" s="13">
        <v>48</v>
      </c>
      <c r="L1138" s="13"/>
      <c r="M1138" s="13"/>
      <c r="N1138" s="13"/>
      <c r="O1138" s="13"/>
      <c r="P1138" s="13"/>
      <c r="Q1138" s="13"/>
      <c r="R1138" s="13"/>
      <c r="S1138" s="13">
        <v>34992</v>
      </c>
      <c r="T1138" s="13"/>
      <c r="U1138" s="13"/>
      <c r="V1138" s="13"/>
      <c r="W1138" s="13"/>
      <c r="X1138" s="13"/>
    </row>
    <row r="1139" spans="1:24" x14ac:dyDescent="0.25">
      <c r="A1139" s="15">
        <v>394</v>
      </c>
      <c r="B1139" s="13" t="s">
        <v>34</v>
      </c>
      <c r="C1139" s="22" t="s">
        <v>79</v>
      </c>
      <c r="D1139" s="29">
        <v>44431</v>
      </c>
      <c r="E1139" s="18" t="s">
        <v>23</v>
      </c>
      <c r="F1139" s="18"/>
      <c r="G1139" s="13"/>
      <c r="H1139" s="31"/>
      <c r="I1139" s="13" t="s">
        <v>78</v>
      </c>
      <c r="J1139" s="13">
        <v>3552</v>
      </c>
      <c r="K1139" s="13" t="s">
        <v>1849</v>
      </c>
      <c r="L1139" s="13">
        <v>0.20230000000000001</v>
      </c>
      <c r="M1139" s="13">
        <v>0.499</v>
      </c>
      <c r="N1139" s="13">
        <v>718.56960000000004</v>
      </c>
      <c r="O1139" s="13">
        <v>1772.4480000000001</v>
      </c>
      <c r="P1139" s="13">
        <v>93.41</v>
      </c>
      <c r="Q1139" s="13">
        <v>36.409999999999997</v>
      </c>
      <c r="R1139" s="13">
        <v>180</v>
      </c>
      <c r="S1139" s="13">
        <v>129342.53</v>
      </c>
      <c r="T1139" s="13"/>
      <c r="U1139" s="13"/>
      <c r="V1139" s="13"/>
      <c r="W1139" s="13"/>
      <c r="X1139" s="13" t="s">
        <v>1859</v>
      </c>
    </row>
    <row r="1140" spans="1:24" x14ac:dyDescent="0.25">
      <c r="A1140" s="15" t="s">
        <v>1851</v>
      </c>
      <c r="B1140" s="13" t="s">
        <v>13</v>
      </c>
      <c r="C1140" s="22" t="s">
        <v>1850</v>
      </c>
      <c r="D1140" s="29">
        <v>44431</v>
      </c>
      <c r="E1140" s="18" t="s">
        <v>23</v>
      </c>
      <c r="F1140" s="18"/>
      <c r="G1140" s="13"/>
      <c r="H1140" s="19">
        <v>44435</v>
      </c>
      <c r="I1140" s="13" t="s">
        <v>752</v>
      </c>
      <c r="J1140" s="13" t="s">
        <v>103</v>
      </c>
      <c r="K1140" s="13"/>
      <c r="L1140" s="13"/>
      <c r="M1140" s="13"/>
      <c r="N1140" s="13"/>
      <c r="O1140" s="13"/>
      <c r="P1140" s="13"/>
      <c r="Q1140" s="13"/>
      <c r="R1140" s="13"/>
      <c r="S1140" s="13" t="s">
        <v>1284</v>
      </c>
      <c r="T1140" s="13"/>
      <c r="U1140" s="13"/>
      <c r="V1140" s="13"/>
      <c r="W1140" s="13"/>
      <c r="X1140" s="13"/>
    </row>
    <row r="1141" spans="1:24" x14ac:dyDescent="0.25">
      <c r="A1141" s="15" t="s">
        <v>1851</v>
      </c>
      <c r="B1141" s="13" t="s">
        <v>13</v>
      </c>
      <c r="C1141" s="22" t="s">
        <v>1850</v>
      </c>
      <c r="D1141" s="29">
        <v>44431</v>
      </c>
      <c r="E1141" s="18" t="s">
        <v>23</v>
      </c>
      <c r="F1141" s="18"/>
      <c r="G1141" s="13"/>
      <c r="H1141" s="19">
        <v>44435</v>
      </c>
      <c r="I1141" s="13" t="s">
        <v>753</v>
      </c>
      <c r="J1141" s="13" t="s">
        <v>250</v>
      </c>
      <c r="K1141" s="13"/>
      <c r="L1141" s="13"/>
      <c r="M1141" s="13"/>
      <c r="N1141" s="13"/>
      <c r="O1141" s="13"/>
      <c r="P1141" s="13"/>
      <c r="Q1141" s="13"/>
      <c r="R1141" s="13"/>
      <c r="S1141" s="13" t="s">
        <v>1852</v>
      </c>
      <c r="T1141" s="13"/>
      <c r="U1141" s="13"/>
      <c r="V1141" s="13"/>
      <c r="W1141" s="13"/>
      <c r="X1141" s="13"/>
    </row>
    <row r="1142" spans="1:24" x14ac:dyDescent="0.25">
      <c r="A1142" s="15" t="s">
        <v>1851</v>
      </c>
      <c r="B1142" s="13" t="s">
        <v>13</v>
      </c>
      <c r="C1142" s="22" t="s">
        <v>1850</v>
      </c>
      <c r="D1142" s="29">
        <v>44431</v>
      </c>
      <c r="E1142" s="18" t="s">
        <v>23</v>
      </c>
      <c r="F1142" s="18"/>
      <c r="G1142" s="13"/>
      <c r="H1142" s="19">
        <v>44435</v>
      </c>
      <c r="I1142" s="13" t="s">
        <v>754</v>
      </c>
      <c r="J1142" s="13" t="s">
        <v>53</v>
      </c>
      <c r="K1142" s="13"/>
      <c r="L1142" s="13"/>
      <c r="M1142" s="13"/>
      <c r="N1142" s="13"/>
      <c r="O1142" s="13"/>
      <c r="P1142" s="13"/>
      <c r="Q1142" s="13"/>
      <c r="R1142" s="13"/>
      <c r="S1142" s="13" t="s">
        <v>1853</v>
      </c>
      <c r="T1142" s="13"/>
      <c r="U1142" s="13"/>
      <c r="V1142" s="13"/>
      <c r="W1142" s="13"/>
      <c r="X1142" s="13"/>
    </row>
    <row r="1143" spans="1:24" x14ac:dyDescent="0.25">
      <c r="A1143" s="15" t="s">
        <v>1854</v>
      </c>
      <c r="B1143" s="13" t="s">
        <v>13</v>
      </c>
      <c r="C1143" s="22" t="s">
        <v>284</v>
      </c>
      <c r="D1143" s="29">
        <v>44432</v>
      </c>
      <c r="E1143" s="18" t="s">
        <v>23</v>
      </c>
      <c r="F1143" s="18"/>
      <c r="G1143" s="13"/>
      <c r="H1143" s="19">
        <v>44434</v>
      </c>
      <c r="I1143" s="13" t="s">
        <v>69</v>
      </c>
      <c r="J1143" s="13" t="s">
        <v>66</v>
      </c>
      <c r="K1143" s="13">
        <v>30</v>
      </c>
      <c r="L1143" s="13"/>
      <c r="M1143" s="13"/>
      <c r="N1143" s="13"/>
      <c r="O1143" s="13"/>
      <c r="P1143" s="13"/>
      <c r="Q1143" s="13"/>
      <c r="R1143" s="13"/>
      <c r="S1143" s="13" t="s">
        <v>1855</v>
      </c>
      <c r="T1143" s="13"/>
      <c r="U1143" s="13"/>
      <c r="V1143" s="13"/>
      <c r="W1143" s="13"/>
      <c r="X1143" s="13"/>
    </row>
    <row r="1144" spans="1:24" x14ac:dyDescent="0.25">
      <c r="A1144" s="15" t="s">
        <v>1854</v>
      </c>
      <c r="B1144" s="13" t="s">
        <v>13</v>
      </c>
      <c r="C1144" s="22" t="s">
        <v>284</v>
      </c>
      <c r="D1144" s="29">
        <v>44432</v>
      </c>
      <c r="E1144" s="18" t="s">
        <v>23</v>
      </c>
      <c r="F1144" s="18"/>
      <c r="G1144" s="13"/>
      <c r="H1144" s="19">
        <v>44434</v>
      </c>
      <c r="I1144" s="13" t="s">
        <v>433</v>
      </c>
      <c r="J1144" s="13" t="s">
        <v>396</v>
      </c>
      <c r="K1144" s="13">
        <v>9</v>
      </c>
      <c r="L1144" s="13"/>
      <c r="M1144" s="13"/>
      <c r="N1144" s="13"/>
      <c r="O1144" s="13"/>
      <c r="P1144" s="13"/>
      <c r="Q1144" s="13"/>
      <c r="R1144" s="13"/>
      <c r="S1144" s="13" t="s">
        <v>1284</v>
      </c>
      <c r="T1144" s="13"/>
      <c r="U1144" s="13"/>
      <c r="V1144" s="13"/>
      <c r="W1144" s="13"/>
      <c r="X1144" s="13"/>
    </row>
    <row r="1145" spans="1:24" x14ac:dyDescent="0.25">
      <c r="A1145" s="15" t="s">
        <v>1854</v>
      </c>
      <c r="B1145" s="13" t="s">
        <v>13</v>
      </c>
      <c r="C1145" s="22" t="s">
        <v>284</v>
      </c>
      <c r="D1145" s="29">
        <v>44432</v>
      </c>
      <c r="E1145" s="18" t="s">
        <v>23</v>
      </c>
      <c r="F1145" s="18"/>
      <c r="G1145" s="13"/>
      <c r="H1145" s="19">
        <v>44434</v>
      </c>
      <c r="I1145" s="13" t="s">
        <v>63</v>
      </c>
      <c r="J1145" s="13" t="s">
        <v>64</v>
      </c>
      <c r="K1145" s="13">
        <v>22</v>
      </c>
      <c r="L1145" s="13"/>
      <c r="M1145" s="13"/>
      <c r="N1145" s="13"/>
      <c r="O1145" s="13"/>
      <c r="P1145" s="13"/>
      <c r="Q1145" s="13"/>
      <c r="R1145" s="13"/>
      <c r="S1145" s="13" t="s">
        <v>1284</v>
      </c>
      <c r="T1145" s="13"/>
      <c r="U1145" s="13"/>
      <c r="V1145" s="13"/>
      <c r="W1145" s="13"/>
      <c r="X1145" s="13"/>
    </row>
    <row r="1146" spans="1:24" x14ac:dyDescent="0.25">
      <c r="A1146" s="15" t="s">
        <v>1854</v>
      </c>
      <c r="B1146" s="13" t="s">
        <v>13</v>
      </c>
      <c r="C1146" s="22" t="s">
        <v>284</v>
      </c>
      <c r="D1146" s="29">
        <v>44432</v>
      </c>
      <c r="E1146" s="18" t="s">
        <v>23</v>
      </c>
      <c r="F1146" s="18"/>
      <c r="G1146" s="13"/>
      <c r="H1146" s="19">
        <v>44434</v>
      </c>
      <c r="I1146" s="13" t="s">
        <v>29</v>
      </c>
      <c r="J1146" s="13" t="s">
        <v>62</v>
      </c>
      <c r="K1146" s="13">
        <v>32</v>
      </c>
      <c r="L1146" s="13"/>
      <c r="M1146" s="13"/>
      <c r="N1146" s="13"/>
      <c r="O1146" s="13"/>
      <c r="P1146" s="13"/>
      <c r="Q1146" s="13"/>
      <c r="R1146" s="13"/>
      <c r="S1146" s="13" t="s">
        <v>1285</v>
      </c>
      <c r="T1146" s="13"/>
      <c r="U1146" s="13"/>
      <c r="V1146" s="13"/>
      <c r="W1146" s="13"/>
      <c r="X1146" s="13"/>
    </row>
    <row r="1147" spans="1:24" x14ac:dyDescent="0.25">
      <c r="A1147" s="15" t="s">
        <v>1856</v>
      </c>
      <c r="B1147" s="13" t="s">
        <v>13</v>
      </c>
      <c r="C1147" s="22" t="s">
        <v>284</v>
      </c>
      <c r="D1147" s="29">
        <v>44432</v>
      </c>
      <c r="E1147" s="18" t="s">
        <v>23</v>
      </c>
      <c r="F1147" s="18"/>
      <c r="G1147" s="13"/>
      <c r="H1147" s="19">
        <v>44434</v>
      </c>
      <c r="I1147" s="13" t="s">
        <v>316</v>
      </c>
      <c r="J1147" s="13">
        <v>60</v>
      </c>
      <c r="K1147" s="13">
        <v>10</v>
      </c>
      <c r="L1147" s="13"/>
      <c r="M1147" s="13"/>
      <c r="N1147" s="13"/>
      <c r="O1147" s="13"/>
      <c r="P1147" s="13"/>
      <c r="Q1147" s="13"/>
      <c r="R1147" s="13"/>
      <c r="S1147" s="13" t="s">
        <v>1284</v>
      </c>
      <c r="T1147" s="13"/>
      <c r="U1147" s="13"/>
      <c r="V1147" s="13"/>
      <c r="W1147" s="13"/>
      <c r="X1147" s="13"/>
    </row>
    <row r="1148" spans="1:24" x14ac:dyDescent="0.25">
      <c r="A1148" s="15">
        <v>395</v>
      </c>
      <c r="B1148" s="13" t="s">
        <v>13</v>
      </c>
      <c r="C1148" s="22" t="s">
        <v>32</v>
      </c>
      <c r="D1148" s="29">
        <v>44432</v>
      </c>
      <c r="E1148" s="18" t="s">
        <v>23</v>
      </c>
      <c r="F1148" s="18"/>
      <c r="G1148" s="13"/>
      <c r="H1148" s="19">
        <v>44440</v>
      </c>
      <c r="I1148" s="13" t="s">
        <v>1218</v>
      </c>
      <c r="J1148" s="13">
        <v>1007</v>
      </c>
      <c r="K1148" s="13" t="s">
        <v>1861</v>
      </c>
      <c r="L1148" s="13">
        <v>0.2651</v>
      </c>
      <c r="M1148" s="13">
        <v>0.82099999999999995</v>
      </c>
      <c r="N1148" s="13">
        <v>266.95569999999998</v>
      </c>
      <c r="O1148" s="13">
        <v>826.74699999999996</v>
      </c>
      <c r="P1148" s="13">
        <v>34.700000000000003</v>
      </c>
      <c r="Q1148" s="13">
        <v>66.540000000000006</v>
      </c>
      <c r="R1148" s="13">
        <v>251</v>
      </c>
      <c r="S1148" s="13">
        <v>67005.88</v>
      </c>
      <c r="T1148" s="13"/>
      <c r="U1148" s="13"/>
      <c r="V1148" s="13"/>
      <c r="W1148" s="13"/>
      <c r="X1148" s="13"/>
    </row>
    <row r="1149" spans="1:24" ht="30.75" x14ac:dyDescent="0.25">
      <c r="A1149" s="15">
        <v>396</v>
      </c>
      <c r="B1149" s="13" t="s">
        <v>13</v>
      </c>
      <c r="C1149" s="22" t="s">
        <v>32</v>
      </c>
      <c r="D1149" s="29">
        <v>44432</v>
      </c>
      <c r="E1149" s="18" t="s">
        <v>23</v>
      </c>
      <c r="F1149" s="18"/>
      <c r="G1149" s="111" t="s">
        <v>1891</v>
      </c>
      <c r="H1149" s="19">
        <v>44440</v>
      </c>
      <c r="I1149" s="13" t="s">
        <v>1242</v>
      </c>
      <c r="J1149" s="13">
        <v>5262.25</v>
      </c>
      <c r="K1149" s="13" t="s">
        <v>1862</v>
      </c>
      <c r="L1149" s="13">
        <v>9.5600000000000004E-2</v>
      </c>
      <c r="M1149" s="13">
        <v>0.16</v>
      </c>
      <c r="N1149" s="13">
        <v>503.0711</v>
      </c>
      <c r="O1149" s="13">
        <v>841.96</v>
      </c>
      <c r="P1149" s="13">
        <v>65.400000000000006</v>
      </c>
      <c r="Q1149" s="13">
        <v>30.02</v>
      </c>
      <c r="R1149" s="13">
        <v>314</v>
      </c>
      <c r="S1149" s="13">
        <v>157964.32999999999</v>
      </c>
      <c r="T1149" s="13"/>
      <c r="U1149" s="13"/>
      <c r="V1149" s="13"/>
      <c r="W1149" s="13"/>
      <c r="X1149" s="13"/>
    </row>
    <row r="1150" spans="1:24" x14ac:dyDescent="0.25">
      <c r="A1150" s="15">
        <v>398</v>
      </c>
      <c r="B1150" s="13" t="s">
        <v>13</v>
      </c>
      <c r="C1150" s="22" t="s">
        <v>1750</v>
      </c>
      <c r="D1150" s="29">
        <v>44432</v>
      </c>
      <c r="E1150" s="18" t="s">
        <v>23</v>
      </c>
      <c r="F1150" s="18"/>
      <c r="G1150" s="13"/>
      <c r="H1150" s="19">
        <v>44435</v>
      </c>
      <c r="I1150" s="13" t="s">
        <v>1863</v>
      </c>
      <c r="J1150" s="13">
        <v>343</v>
      </c>
      <c r="K1150" s="13" t="s">
        <v>343</v>
      </c>
      <c r="L1150" s="13">
        <v>0.39269999999999999</v>
      </c>
      <c r="M1150" s="13">
        <v>0.872</v>
      </c>
      <c r="N1150" s="13">
        <v>134.6961</v>
      </c>
      <c r="O1150" s="13">
        <v>299.096</v>
      </c>
      <c r="P1150" s="13">
        <v>17.510000000000002</v>
      </c>
      <c r="Q1150" s="13">
        <v>117.81</v>
      </c>
      <c r="R1150" s="13">
        <v>300</v>
      </c>
      <c r="S1150" s="13">
        <v>40408.83</v>
      </c>
      <c r="T1150" s="13"/>
      <c r="U1150" s="13"/>
      <c r="V1150" s="13"/>
      <c r="W1150" s="13"/>
      <c r="X1150" s="13"/>
    </row>
    <row r="1151" spans="1:24" x14ac:dyDescent="0.25">
      <c r="A1151" s="15">
        <v>399</v>
      </c>
      <c r="B1151" s="13" t="s">
        <v>13</v>
      </c>
      <c r="C1151" s="22" t="s">
        <v>674</v>
      </c>
      <c r="D1151" s="29">
        <v>44432</v>
      </c>
      <c r="E1151" s="18" t="s">
        <v>23</v>
      </c>
      <c r="F1151" s="18"/>
      <c r="G1151" s="13" t="s">
        <v>1886</v>
      </c>
      <c r="H1151" s="31"/>
      <c r="I1151" s="13" t="s">
        <v>600</v>
      </c>
      <c r="J1151" s="13">
        <v>2718</v>
      </c>
      <c r="K1151" s="13" t="s">
        <v>1864</v>
      </c>
      <c r="L1151" s="13">
        <v>0.30719999999999997</v>
      </c>
      <c r="M1151" s="13">
        <v>0.69199999999999995</v>
      </c>
      <c r="N1151" s="13">
        <v>834.96960000000001</v>
      </c>
      <c r="O1151" s="13">
        <v>1880.856</v>
      </c>
      <c r="P1151" s="13">
        <v>108.55</v>
      </c>
      <c r="Q1151" s="13">
        <v>95.23</v>
      </c>
      <c r="R1151" s="13">
        <v>310</v>
      </c>
      <c r="S1151" s="13">
        <v>258840.58</v>
      </c>
      <c r="T1151" s="13"/>
      <c r="U1151" s="13"/>
      <c r="V1151" s="13"/>
      <c r="W1151" s="13"/>
      <c r="X1151" s="13"/>
    </row>
    <row r="1152" spans="1:24" x14ac:dyDescent="0.25">
      <c r="A1152" s="15" t="s">
        <v>1865</v>
      </c>
      <c r="B1152" s="13" t="s">
        <v>13</v>
      </c>
      <c r="C1152" s="22" t="s">
        <v>15</v>
      </c>
      <c r="D1152" s="29">
        <v>44433</v>
      </c>
      <c r="E1152" s="18" t="s">
        <v>23</v>
      </c>
      <c r="F1152" s="18"/>
      <c r="G1152" s="13"/>
      <c r="H1152" s="19">
        <v>44435</v>
      </c>
      <c r="I1152" s="13" t="s">
        <v>89</v>
      </c>
      <c r="J1152" s="13"/>
      <c r="K1152" s="13">
        <v>48</v>
      </c>
      <c r="L1152" s="13"/>
      <c r="M1152" s="13"/>
      <c r="N1152" s="13"/>
      <c r="O1152" s="13"/>
      <c r="P1152" s="13"/>
      <c r="Q1152" s="13"/>
      <c r="R1152" s="13"/>
      <c r="S1152" s="13">
        <v>34992</v>
      </c>
      <c r="T1152" s="13"/>
      <c r="U1152" s="13"/>
      <c r="V1152" s="13"/>
      <c r="W1152" s="13"/>
      <c r="X1152" s="13"/>
    </row>
    <row r="1153" spans="1:24" x14ac:dyDescent="0.25">
      <c r="A1153" s="15" t="s">
        <v>1868</v>
      </c>
      <c r="B1153" s="13" t="s">
        <v>13</v>
      </c>
      <c r="C1153" s="22" t="s">
        <v>43</v>
      </c>
      <c r="D1153" s="29">
        <v>44434</v>
      </c>
      <c r="E1153" s="18" t="s">
        <v>23</v>
      </c>
      <c r="F1153" s="18"/>
      <c r="G1153" s="13"/>
      <c r="H1153" s="19">
        <v>44445</v>
      </c>
      <c r="I1153" s="13" t="s">
        <v>143</v>
      </c>
      <c r="J1153" s="13">
        <v>510</v>
      </c>
      <c r="K1153" s="13">
        <v>100</v>
      </c>
      <c r="L1153" s="13"/>
      <c r="M1153" s="13"/>
      <c r="N1153" s="13"/>
      <c r="O1153" s="13"/>
      <c r="P1153" s="13"/>
      <c r="Q1153" s="13"/>
      <c r="R1153" s="13"/>
      <c r="S1153" s="13">
        <v>38000</v>
      </c>
      <c r="T1153" s="13"/>
      <c r="U1153" s="13"/>
      <c r="V1153" s="13"/>
      <c r="W1153" s="13"/>
      <c r="X1153" s="13"/>
    </row>
    <row r="1154" spans="1:24" x14ac:dyDescent="0.25">
      <c r="A1154" s="15">
        <v>401</v>
      </c>
      <c r="B1154" s="13" t="s">
        <v>13</v>
      </c>
      <c r="C1154" s="22" t="s">
        <v>32</v>
      </c>
      <c r="D1154" s="29">
        <v>44434</v>
      </c>
      <c r="E1154" s="18" t="s">
        <v>23</v>
      </c>
      <c r="F1154" s="18"/>
      <c r="G1154" s="13"/>
      <c r="H1154" s="19">
        <v>44440</v>
      </c>
      <c r="I1154" s="13" t="s">
        <v>1598</v>
      </c>
      <c r="J1154" s="13">
        <v>793</v>
      </c>
      <c r="K1154" s="13" t="s">
        <v>1869</v>
      </c>
      <c r="L1154" s="13">
        <v>0.2651</v>
      </c>
      <c r="M1154" s="13">
        <v>0.82099999999999995</v>
      </c>
      <c r="N1154" s="13">
        <v>210.2243</v>
      </c>
      <c r="O1154" s="13">
        <v>651.053</v>
      </c>
      <c r="P1154" s="13">
        <v>27.33</v>
      </c>
      <c r="Q1154" s="13">
        <v>66.540000000000006</v>
      </c>
      <c r="R1154" s="13">
        <v>251</v>
      </c>
      <c r="S1154" s="13">
        <v>52766.3</v>
      </c>
      <c r="T1154" s="13"/>
      <c r="U1154" s="13"/>
      <c r="V1154" s="13"/>
      <c r="W1154" s="13"/>
      <c r="X1154" s="13"/>
    </row>
    <row r="1155" spans="1:24" x14ac:dyDescent="0.25">
      <c r="A1155" s="15">
        <v>402</v>
      </c>
      <c r="B1155" s="13" t="s">
        <v>13</v>
      </c>
      <c r="C1155" s="22" t="s">
        <v>1750</v>
      </c>
      <c r="D1155" s="29">
        <v>44434</v>
      </c>
      <c r="E1155" s="18" t="s">
        <v>23</v>
      </c>
      <c r="F1155" s="18"/>
      <c r="G1155" s="13"/>
      <c r="H1155" s="19">
        <v>44441</v>
      </c>
      <c r="I1155" s="13" t="s">
        <v>1863</v>
      </c>
      <c r="J1155" s="13">
        <v>411.6</v>
      </c>
      <c r="K1155" s="13" t="s">
        <v>1139</v>
      </c>
      <c r="L1155" s="13">
        <v>0.39269999999999999</v>
      </c>
      <c r="M1155" s="13">
        <v>0.872</v>
      </c>
      <c r="N1155" s="13">
        <v>161.6353</v>
      </c>
      <c r="O1155" s="13">
        <v>358.91520000000003</v>
      </c>
      <c r="P1155" s="13">
        <v>21.01</v>
      </c>
      <c r="Q1155" s="13">
        <v>117.81</v>
      </c>
      <c r="R1155" s="13">
        <v>300</v>
      </c>
      <c r="S1155" s="13">
        <v>48490.6</v>
      </c>
      <c r="T1155" s="13"/>
      <c r="U1155" s="13"/>
      <c r="V1155" s="13"/>
      <c r="W1155" s="13"/>
      <c r="X1155" s="13"/>
    </row>
    <row r="1156" spans="1:24" x14ac:dyDescent="0.25">
      <c r="A1156" s="15">
        <v>403</v>
      </c>
      <c r="B1156" s="13" t="s">
        <v>13</v>
      </c>
      <c r="C1156" s="22" t="s">
        <v>595</v>
      </c>
      <c r="D1156" s="29">
        <v>44434</v>
      </c>
      <c r="E1156" s="18" t="s">
        <v>23</v>
      </c>
      <c r="F1156" s="18"/>
      <c r="G1156" s="13"/>
      <c r="H1156" s="19">
        <v>44448</v>
      </c>
      <c r="I1156" s="13" t="s">
        <v>149</v>
      </c>
      <c r="J1156" s="13">
        <v>855</v>
      </c>
      <c r="K1156" s="13" t="s">
        <v>165</v>
      </c>
      <c r="L1156" s="13">
        <v>0.18360000000000001</v>
      </c>
      <c r="M1156" s="13">
        <v>0.39400000000000002</v>
      </c>
      <c r="N1156" s="13">
        <v>156.97800000000001</v>
      </c>
      <c r="O1156" s="13">
        <v>336.87</v>
      </c>
      <c r="P1156" s="13">
        <v>20.41</v>
      </c>
      <c r="Q1156" s="13">
        <v>55.08</v>
      </c>
      <c r="R1156" s="13">
        <v>300</v>
      </c>
      <c r="S1156" s="13">
        <v>47093.4</v>
      </c>
      <c r="T1156" s="13"/>
      <c r="U1156" s="13"/>
      <c r="V1156" s="13"/>
      <c r="W1156" s="13"/>
      <c r="X1156" s="13"/>
    </row>
    <row r="1157" spans="1:24" x14ac:dyDescent="0.25">
      <c r="A1157" s="15" t="s">
        <v>1870</v>
      </c>
      <c r="B1157" s="13" t="s">
        <v>34</v>
      </c>
      <c r="C1157" s="22" t="s">
        <v>16</v>
      </c>
      <c r="D1157" s="29">
        <v>44434</v>
      </c>
      <c r="E1157" s="18" t="s">
        <v>23</v>
      </c>
      <c r="F1157" s="18"/>
      <c r="G1157" s="13" t="s">
        <v>1985</v>
      </c>
      <c r="H1157" s="31"/>
      <c r="I1157" s="13" t="s">
        <v>646</v>
      </c>
      <c r="J1157" s="13">
        <v>1092</v>
      </c>
      <c r="K1157" s="13" t="s">
        <v>1121</v>
      </c>
      <c r="L1157" s="13">
        <v>0.27260000000000001</v>
      </c>
      <c r="M1157" s="13">
        <v>0.72899999999999998</v>
      </c>
      <c r="N1157" s="13">
        <v>297.67919999999998</v>
      </c>
      <c r="O1157" s="13">
        <v>796.06799999999998</v>
      </c>
      <c r="P1157" s="13">
        <v>38.700000000000003</v>
      </c>
      <c r="Q1157" s="13">
        <v>81.78</v>
      </c>
      <c r="R1157" s="13">
        <v>300</v>
      </c>
      <c r="S1157" s="13">
        <v>89303.76</v>
      </c>
      <c r="T1157" s="13"/>
      <c r="U1157" s="13"/>
      <c r="V1157" s="13"/>
      <c r="W1157" s="13"/>
      <c r="X1157" s="13"/>
    </row>
    <row r="1158" spans="1:24" x14ac:dyDescent="0.25">
      <c r="A1158" s="15" t="s">
        <v>1871</v>
      </c>
      <c r="B1158" s="13" t="s">
        <v>13</v>
      </c>
      <c r="C1158" s="22" t="s">
        <v>15</v>
      </c>
      <c r="D1158" s="29">
        <v>44435</v>
      </c>
      <c r="E1158" s="18" t="s">
        <v>23</v>
      </c>
      <c r="F1158" s="18"/>
      <c r="G1158" s="13"/>
      <c r="H1158" s="19">
        <v>44438</v>
      </c>
      <c r="I1158" s="13" t="s">
        <v>89</v>
      </c>
      <c r="J1158" s="13"/>
      <c r="K1158" s="13">
        <v>48</v>
      </c>
      <c r="L1158" s="13"/>
      <c r="M1158" s="13"/>
      <c r="N1158" s="13"/>
      <c r="O1158" s="13"/>
      <c r="P1158" s="13"/>
      <c r="Q1158" s="13"/>
      <c r="R1158" s="13"/>
      <c r="S1158" s="13">
        <v>34992</v>
      </c>
      <c r="T1158" s="13"/>
      <c r="U1158" s="13"/>
      <c r="V1158" s="13"/>
      <c r="W1158" s="13"/>
      <c r="X1158" s="13"/>
    </row>
    <row r="1159" spans="1:24" ht="30.75" x14ac:dyDescent="0.25">
      <c r="A1159" s="15" t="s">
        <v>1875</v>
      </c>
      <c r="B1159" s="13" t="s">
        <v>13</v>
      </c>
      <c r="C1159" s="22" t="s">
        <v>653</v>
      </c>
      <c r="D1159" s="29">
        <v>44438</v>
      </c>
      <c r="E1159" s="18" t="s">
        <v>23</v>
      </c>
      <c r="F1159" s="18"/>
      <c r="G1159" s="74" t="s">
        <v>1911</v>
      </c>
      <c r="H1159" s="19">
        <v>44448</v>
      </c>
      <c r="I1159" s="13" t="s">
        <v>1876</v>
      </c>
      <c r="J1159" s="13">
        <v>15705</v>
      </c>
      <c r="K1159" s="13">
        <v>5235</v>
      </c>
      <c r="L1159" s="13"/>
      <c r="M1159" s="13"/>
      <c r="N1159" s="13"/>
      <c r="O1159" s="13"/>
      <c r="P1159" s="13"/>
      <c r="Q1159" s="13"/>
      <c r="R1159" s="13"/>
      <c r="S1159" s="13">
        <v>229293</v>
      </c>
      <c r="T1159" s="13"/>
      <c r="U1159" s="13"/>
      <c r="V1159" s="13"/>
      <c r="W1159" s="13"/>
      <c r="X1159" s="13"/>
    </row>
    <row r="1160" spans="1:24" x14ac:dyDescent="0.25">
      <c r="A1160" s="15">
        <v>405</v>
      </c>
      <c r="B1160" s="13" t="s">
        <v>13</v>
      </c>
      <c r="C1160" s="22" t="s">
        <v>1879</v>
      </c>
      <c r="D1160" s="29">
        <v>44438</v>
      </c>
      <c r="E1160" s="18" t="s">
        <v>23</v>
      </c>
      <c r="F1160" s="18"/>
      <c r="G1160" s="13"/>
      <c r="H1160" s="31"/>
      <c r="I1160" s="13" t="s">
        <v>1877</v>
      </c>
      <c r="J1160" s="13">
        <v>3756</v>
      </c>
      <c r="K1160" s="13" t="s">
        <v>1878</v>
      </c>
      <c r="L1160" s="13">
        <v>0.113</v>
      </c>
      <c r="M1160" s="13">
        <v>0.30499999999999999</v>
      </c>
      <c r="N1160" s="13">
        <v>424.428</v>
      </c>
      <c r="O1160" s="13">
        <v>1145.58</v>
      </c>
      <c r="P1160" s="13">
        <v>55.18</v>
      </c>
      <c r="Q1160" s="13">
        <v>35.6</v>
      </c>
      <c r="R1160" s="13">
        <v>315</v>
      </c>
      <c r="S1160" s="13">
        <v>133713.60000000001</v>
      </c>
      <c r="T1160" s="13"/>
      <c r="U1160" s="13"/>
      <c r="V1160" s="13"/>
      <c r="W1160" s="13"/>
      <c r="X1160" s="13"/>
    </row>
    <row r="1161" spans="1:24" x14ac:dyDescent="0.25">
      <c r="A1161" s="15">
        <v>406</v>
      </c>
      <c r="B1161" s="13" t="s">
        <v>13</v>
      </c>
      <c r="C1161" s="22" t="s">
        <v>672</v>
      </c>
      <c r="D1161" s="29">
        <v>44438</v>
      </c>
      <c r="E1161" s="18" t="s">
        <v>23</v>
      </c>
      <c r="F1161" s="18"/>
      <c r="G1161" s="13" t="s">
        <v>1892</v>
      </c>
      <c r="H1161" s="19">
        <v>44442</v>
      </c>
      <c r="I1161" s="13" t="s">
        <v>1142</v>
      </c>
      <c r="J1161" s="13">
        <v>618</v>
      </c>
      <c r="K1161" s="13" t="s">
        <v>1880</v>
      </c>
      <c r="L1161" s="13">
        <v>0.31</v>
      </c>
      <c r="M1161" s="13">
        <v>1.2010000000000001</v>
      </c>
      <c r="N1161" s="13">
        <v>191.58</v>
      </c>
      <c r="O1161" s="13">
        <v>742.21799999999996</v>
      </c>
      <c r="P1161" s="13">
        <v>24.91</v>
      </c>
      <c r="Q1161" s="13">
        <v>74.400000000000006</v>
      </c>
      <c r="R1161" s="13">
        <v>240</v>
      </c>
      <c r="S1161" s="13">
        <v>45979.199999999997</v>
      </c>
      <c r="T1161" s="13"/>
      <c r="U1161" s="13"/>
      <c r="V1161" s="13"/>
      <c r="W1161" s="13"/>
      <c r="X1161" s="13"/>
    </row>
    <row r="1162" spans="1:24" ht="45.75" x14ac:dyDescent="0.25">
      <c r="A1162" s="15" t="s">
        <v>1883</v>
      </c>
      <c r="B1162" s="13" t="s">
        <v>34</v>
      </c>
      <c r="C1162" s="22" t="s">
        <v>1884</v>
      </c>
      <c r="D1162" s="29">
        <v>44438</v>
      </c>
      <c r="E1162" s="18" t="s">
        <v>23</v>
      </c>
      <c r="F1162" s="18"/>
      <c r="G1162" s="13"/>
      <c r="H1162" s="31"/>
      <c r="I1162" s="74" t="s">
        <v>1881</v>
      </c>
      <c r="J1162" s="13"/>
      <c r="K1162" s="13"/>
      <c r="L1162" s="13"/>
      <c r="M1162" s="13"/>
      <c r="N1162" s="13"/>
      <c r="O1162" s="13"/>
      <c r="P1162" s="13"/>
      <c r="Q1162" s="13"/>
      <c r="R1162" s="13"/>
      <c r="S1162" s="13" t="s">
        <v>1882</v>
      </c>
      <c r="T1162" s="13"/>
      <c r="U1162" s="13"/>
      <c r="V1162" s="13"/>
      <c r="W1162" s="13"/>
      <c r="X1162" s="13"/>
    </row>
    <row r="1163" spans="1:24" x14ac:dyDescent="0.25">
      <c r="A1163" s="15">
        <v>407</v>
      </c>
      <c r="B1163" s="13" t="s">
        <v>13</v>
      </c>
      <c r="C1163" s="22" t="s">
        <v>672</v>
      </c>
      <c r="D1163" s="29">
        <v>44439</v>
      </c>
      <c r="E1163" s="18" t="s">
        <v>23</v>
      </c>
      <c r="F1163" s="18"/>
      <c r="G1163" s="110"/>
      <c r="H1163" s="19">
        <v>44445</v>
      </c>
      <c r="I1163" s="13" t="s">
        <v>1140</v>
      </c>
      <c r="J1163" s="13">
        <v>793.6</v>
      </c>
      <c r="K1163" s="13" t="s">
        <v>1885</v>
      </c>
      <c r="L1163" s="13">
        <v>0.31</v>
      </c>
      <c r="M1163" s="13">
        <v>1.2010000000000001</v>
      </c>
      <c r="N1163" s="13">
        <v>246.01599999999999</v>
      </c>
      <c r="O1163" s="13">
        <v>953.11360000000002</v>
      </c>
      <c r="P1163" s="13">
        <v>31.98</v>
      </c>
      <c r="Q1163" s="13">
        <v>85.25</v>
      </c>
      <c r="R1163" s="13">
        <v>275</v>
      </c>
      <c r="S1163" s="13">
        <v>67654.399999999994</v>
      </c>
      <c r="T1163" s="13"/>
      <c r="U1163" s="13"/>
      <c r="V1163" s="13"/>
      <c r="W1163" s="13"/>
      <c r="X1163" s="13"/>
    </row>
    <row r="1164" spans="1:24" x14ac:dyDescent="0.25">
      <c r="A1164" s="15" t="s">
        <v>1887</v>
      </c>
      <c r="B1164" s="13" t="s">
        <v>13</v>
      </c>
      <c r="C1164" s="22" t="s">
        <v>37</v>
      </c>
      <c r="D1164" s="29">
        <v>44440</v>
      </c>
      <c r="E1164" s="18" t="s">
        <v>23</v>
      </c>
      <c r="F1164" s="18"/>
      <c r="G1164" s="13"/>
      <c r="H1164" s="19">
        <v>44447</v>
      </c>
      <c r="I1164" s="13" t="s">
        <v>1888</v>
      </c>
      <c r="J1164" s="13"/>
      <c r="K1164" s="13">
        <v>60</v>
      </c>
      <c r="L1164" s="13"/>
      <c r="M1164" s="13"/>
      <c r="N1164" s="13"/>
      <c r="O1164" s="13"/>
      <c r="P1164" s="13"/>
      <c r="Q1164" s="13"/>
      <c r="R1164" s="13"/>
      <c r="S1164" s="13">
        <v>86000</v>
      </c>
      <c r="T1164" s="13"/>
      <c r="U1164" s="13"/>
      <c r="V1164" s="13"/>
      <c r="W1164" s="13"/>
      <c r="X1164" s="13"/>
    </row>
    <row r="1165" spans="1:24" x14ac:dyDescent="0.25">
      <c r="A1165" s="15" t="s">
        <v>1890</v>
      </c>
      <c r="B1165" s="13" t="s">
        <v>13</v>
      </c>
      <c r="C1165" s="22" t="s">
        <v>15</v>
      </c>
      <c r="D1165" s="29">
        <v>44440</v>
      </c>
      <c r="E1165" s="18" t="s">
        <v>23</v>
      </c>
      <c r="F1165" s="18"/>
      <c r="G1165" s="13"/>
      <c r="H1165" s="19">
        <v>44442</v>
      </c>
      <c r="I1165" s="13" t="s">
        <v>89</v>
      </c>
      <c r="J1165" s="13"/>
      <c r="K1165" s="13">
        <v>48</v>
      </c>
      <c r="L1165" s="13"/>
      <c r="M1165" s="13"/>
      <c r="N1165" s="13"/>
      <c r="O1165" s="13"/>
      <c r="P1165" s="13"/>
      <c r="Q1165" s="13"/>
      <c r="R1165" s="13"/>
      <c r="S1165" s="13">
        <v>34992</v>
      </c>
      <c r="T1165" s="13"/>
      <c r="U1165" s="13"/>
      <c r="V1165" s="13"/>
      <c r="W1165" s="13"/>
      <c r="X1165" s="13"/>
    </row>
    <row r="1166" spans="1:24" x14ac:dyDescent="0.25">
      <c r="A1166" s="15" t="s">
        <v>1897</v>
      </c>
      <c r="B1166" s="13" t="s">
        <v>13</v>
      </c>
      <c r="C1166" s="22" t="s">
        <v>43</v>
      </c>
      <c r="D1166" s="29">
        <v>44442</v>
      </c>
      <c r="E1166" s="18" t="s">
        <v>23</v>
      </c>
      <c r="F1166" s="18"/>
      <c r="G1166" s="13"/>
      <c r="H1166" s="19">
        <v>44448</v>
      </c>
      <c r="I1166" s="13" t="s">
        <v>1893</v>
      </c>
      <c r="J1166" s="13" t="s">
        <v>70</v>
      </c>
      <c r="K1166" s="13">
        <v>12</v>
      </c>
      <c r="L1166" s="13"/>
      <c r="M1166" s="13"/>
      <c r="N1166" s="13"/>
      <c r="O1166" s="13"/>
      <c r="P1166" s="13"/>
      <c r="Q1166" s="13"/>
      <c r="R1166" s="13"/>
      <c r="S1166" s="13" t="s">
        <v>1899</v>
      </c>
      <c r="T1166" s="13"/>
      <c r="U1166" s="13"/>
      <c r="V1166" s="13"/>
      <c r="W1166" s="13"/>
      <c r="X1166" s="13"/>
    </row>
    <row r="1167" spans="1:24" x14ac:dyDescent="0.25">
      <c r="A1167" s="15" t="s">
        <v>1897</v>
      </c>
      <c r="B1167" s="13" t="s">
        <v>13</v>
      </c>
      <c r="C1167" s="22" t="s">
        <v>43</v>
      </c>
      <c r="D1167" s="29">
        <v>44442</v>
      </c>
      <c r="E1167" s="18" t="s">
        <v>23</v>
      </c>
      <c r="F1167" s="18"/>
      <c r="G1167" s="13"/>
      <c r="H1167" s="19">
        <v>44448</v>
      </c>
      <c r="I1167" s="13" t="s">
        <v>1894</v>
      </c>
      <c r="J1167" s="13" t="s">
        <v>96</v>
      </c>
      <c r="K1167" s="13">
        <v>2</v>
      </c>
      <c r="L1167" s="13"/>
      <c r="M1167" s="13"/>
      <c r="N1167" s="13"/>
      <c r="O1167" s="13"/>
      <c r="P1167" s="13"/>
      <c r="Q1167" s="13"/>
      <c r="R1167" s="13"/>
      <c r="S1167" s="13" t="s">
        <v>1900</v>
      </c>
      <c r="T1167" s="13"/>
      <c r="U1167" s="13"/>
      <c r="V1167" s="13"/>
      <c r="W1167" s="13"/>
      <c r="X1167" s="13"/>
    </row>
    <row r="1168" spans="1:24" x14ac:dyDescent="0.25">
      <c r="A1168" s="15" t="s">
        <v>1897</v>
      </c>
      <c r="B1168" s="13" t="s">
        <v>13</v>
      </c>
      <c r="C1168" s="22" t="s">
        <v>43</v>
      </c>
      <c r="D1168" s="29">
        <v>44442</v>
      </c>
      <c r="E1168" s="18" t="s">
        <v>23</v>
      </c>
      <c r="F1168" s="18"/>
      <c r="G1168" s="13"/>
      <c r="H1168" s="19">
        <v>44448</v>
      </c>
      <c r="I1168" s="13" t="s">
        <v>17</v>
      </c>
      <c r="J1168" s="13" t="s">
        <v>233</v>
      </c>
      <c r="K1168" s="13">
        <v>5</v>
      </c>
      <c r="L1168" s="13"/>
      <c r="M1168" s="13"/>
      <c r="N1168" s="13"/>
      <c r="O1168" s="13"/>
      <c r="P1168" s="13"/>
      <c r="Q1168" s="13"/>
      <c r="R1168" s="13"/>
      <c r="S1168" s="13" t="s">
        <v>1901</v>
      </c>
      <c r="T1168" s="13"/>
      <c r="U1168" s="13"/>
      <c r="V1168" s="13"/>
      <c r="W1168" s="13"/>
      <c r="X1168" s="13"/>
    </row>
    <row r="1169" spans="1:24" x14ac:dyDescent="0.25">
      <c r="A1169" s="15" t="s">
        <v>1897</v>
      </c>
      <c r="B1169" s="13" t="s">
        <v>13</v>
      </c>
      <c r="C1169" s="22" t="s">
        <v>43</v>
      </c>
      <c r="D1169" s="29">
        <v>44442</v>
      </c>
      <c r="E1169" s="18" t="s">
        <v>23</v>
      </c>
      <c r="F1169" s="18"/>
      <c r="G1169" s="13"/>
      <c r="H1169" s="19">
        <v>44448</v>
      </c>
      <c r="I1169" s="13" t="s">
        <v>1895</v>
      </c>
      <c r="J1169" s="13" t="s">
        <v>490</v>
      </c>
      <c r="K1169" s="13">
        <v>10</v>
      </c>
      <c r="L1169" s="13"/>
      <c r="M1169" s="13"/>
      <c r="N1169" s="13"/>
      <c r="O1169" s="13"/>
      <c r="P1169" s="13"/>
      <c r="Q1169" s="13"/>
      <c r="R1169" s="13"/>
      <c r="S1169" s="13" t="s">
        <v>1902</v>
      </c>
      <c r="T1169" s="13"/>
      <c r="U1169" s="13"/>
      <c r="V1169" s="13"/>
      <c r="W1169" s="13"/>
      <c r="X1169" s="13"/>
    </row>
    <row r="1170" spans="1:24" x14ac:dyDescent="0.25">
      <c r="A1170" s="15" t="s">
        <v>1897</v>
      </c>
      <c r="B1170" s="13" t="s">
        <v>13</v>
      </c>
      <c r="C1170" s="22" t="s">
        <v>43</v>
      </c>
      <c r="D1170" s="29">
        <v>44442</v>
      </c>
      <c r="E1170" s="18" t="s">
        <v>23</v>
      </c>
      <c r="F1170" s="18"/>
      <c r="G1170" s="13"/>
      <c r="H1170" s="19">
        <v>44448</v>
      </c>
      <c r="I1170" s="13" t="s">
        <v>1896</v>
      </c>
      <c r="J1170" s="13" t="s">
        <v>277</v>
      </c>
      <c r="K1170" s="13">
        <v>200</v>
      </c>
      <c r="L1170" s="13"/>
      <c r="M1170" s="13"/>
      <c r="N1170" s="13"/>
      <c r="O1170" s="13"/>
      <c r="P1170" s="13"/>
      <c r="Q1170" s="13"/>
      <c r="R1170" s="13"/>
      <c r="S1170" s="13" t="s">
        <v>1903</v>
      </c>
      <c r="T1170" s="13"/>
      <c r="U1170" s="13"/>
      <c r="V1170" s="13"/>
      <c r="W1170" s="13"/>
      <c r="X1170" s="13"/>
    </row>
    <row r="1171" spans="1:24" x14ac:dyDescent="0.25">
      <c r="A1171" s="15" t="s">
        <v>1897</v>
      </c>
      <c r="B1171" s="13" t="s">
        <v>13</v>
      </c>
      <c r="C1171" s="22" t="s">
        <v>43</v>
      </c>
      <c r="D1171" s="29">
        <v>44442</v>
      </c>
      <c r="E1171" s="18" t="s">
        <v>23</v>
      </c>
      <c r="F1171" s="18"/>
      <c r="G1171" s="13" t="s">
        <v>1707</v>
      </c>
      <c r="H1171" s="19">
        <v>44448</v>
      </c>
      <c r="I1171" s="13" t="s">
        <v>143</v>
      </c>
      <c r="J1171" s="13" t="s">
        <v>1898</v>
      </c>
      <c r="K1171" s="13">
        <v>70</v>
      </c>
      <c r="L1171" s="13"/>
      <c r="M1171" s="13"/>
      <c r="N1171" s="13"/>
      <c r="O1171" s="13"/>
      <c r="P1171" s="13"/>
      <c r="Q1171" s="13"/>
      <c r="R1171" s="13"/>
      <c r="S1171" s="13" t="s">
        <v>1904</v>
      </c>
      <c r="T1171" s="13"/>
      <c r="U1171" s="13"/>
      <c r="V1171" s="13"/>
      <c r="W1171" s="13"/>
      <c r="X1171" s="13"/>
    </row>
    <row r="1172" spans="1:24" x14ac:dyDescent="0.25">
      <c r="A1172" s="15" t="s">
        <v>1905</v>
      </c>
      <c r="B1172" s="13" t="s">
        <v>13</v>
      </c>
      <c r="C1172" s="22" t="s">
        <v>583</v>
      </c>
      <c r="D1172" s="29">
        <v>44442</v>
      </c>
      <c r="E1172" s="18" t="s">
        <v>23</v>
      </c>
      <c r="F1172" s="18"/>
      <c r="G1172" s="13"/>
      <c r="H1172" s="19">
        <v>44445</v>
      </c>
      <c r="I1172" s="13" t="s">
        <v>1906</v>
      </c>
      <c r="J1172" s="13"/>
      <c r="K1172" s="13">
        <v>48</v>
      </c>
      <c r="L1172" s="13"/>
      <c r="M1172" s="13"/>
      <c r="N1172" s="13"/>
      <c r="O1172" s="13"/>
      <c r="P1172" s="13"/>
      <c r="Q1172" s="13"/>
      <c r="R1172" s="13"/>
      <c r="S1172" s="13">
        <v>34992</v>
      </c>
      <c r="T1172" s="13"/>
      <c r="U1172" s="13"/>
      <c r="V1172" s="13"/>
      <c r="W1172" s="13"/>
      <c r="X1172" s="13"/>
    </row>
    <row r="1173" spans="1:24" x14ac:dyDescent="0.25">
      <c r="A1173" s="15">
        <v>409</v>
      </c>
      <c r="B1173" s="13" t="s">
        <v>13</v>
      </c>
      <c r="C1173" s="22" t="s">
        <v>1907</v>
      </c>
      <c r="D1173" s="29">
        <v>44445</v>
      </c>
      <c r="E1173" s="18" t="s">
        <v>23</v>
      </c>
      <c r="F1173" s="18"/>
      <c r="G1173" s="13" t="s">
        <v>1912</v>
      </c>
      <c r="H1173" s="19">
        <v>44447</v>
      </c>
      <c r="I1173" s="13" t="s">
        <v>1908</v>
      </c>
      <c r="J1173" s="13">
        <v>42</v>
      </c>
      <c r="K1173" s="13" t="s">
        <v>407</v>
      </c>
      <c r="L1173" s="13">
        <v>0.5605</v>
      </c>
      <c r="M1173" s="13">
        <v>2.254</v>
      </c>
      <c r="N1173" s="13">
        <v>23.541</v>
      </c>
      <c r="O1173" s="13">
        <v>94.668000000000006</v>
      </c>
      <c r="P1173" s="13">
        <v>3.06</v>
      </c>
      <c r="Q1173" s="13">
        <v>154.13999999999999</v>
      </c>
      <c r="R1173" s="13">
        <v>275</v>
      </c>
      <c r="S1173" s="13">
        <v>6473.78</v>
      </c>
      <c r="T1173" s="13"/>
      <c r="U1173" s="13"/>
      <c r="V1173" s="13"/>
      <c r="W1173" s="13"/>
      <c r="X1173" s="13"/>
    </row>
    <row r="1174" spans="1:24" x14ac:dyDescent="0.25">
      <c r="A1174" s="15" t="s">
        <v>1909</v>
      </c>
      <c r="B1174" s="13" t="s">
        <v>13</v>
      </c>
      <c r="C1174" s="22" t="s">
        <v>37</v>
      </c>
      <c r="D1174" s="29">
        <v>44445</v>
      </c>
      <c r="E1174" s="18" t="s">
        <v>23</v>
      </c>
      <c r="F1174" s="18"/>
      <c r="G1174" s="13"/>
      <c r="H1174" s="19"/>
      <c r="I1174" s="13" t="s">
        <v>145</v>
      </c>
      <c r="J1174" s="13"/>
      <c r="K1174" s="13">
        <v>24</v>
      </c>
      <c r="L1174" s="13"/>
      <c r="M1174" s="13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</row>
    <row r="1175" spans="1:24" x14ac:dyDescent="0.25">
      <c r="A1175" s="15">
        <v>413</v>
      </c>
      <c r="B1175" s="13" t="s">
        <v>13</v>
      </c>
      <c r="C1175" s="22" t="s">
        <v>625</v>
      </c>
      <c r="D1175" s="29">
        <v>44446</v>
      </c>
      <c r="E1175" s="18" t="s">
        <v>23</v>
      </c>
      <c r="F1175" s="18"/>
      <c r="G1175" s="13"/>
      <c r="H1175" s="19">
        <v>44502</v>
      </c>
      <c r="I1175" s="13" t="s">
        <v>1910</v>
      </c>
      <c r="J1175" s="13">
        <v>45</v>
      </c>
      <c r="K1175" s="13" t="s">
        <v>283</v>
      </c>
      <c r="L1175" s="13">
        <v>0.1973</v>
      </c>
      <c r="M1175" s="13">
        <v>0.34399999999999997</v>
      </c>
      <c r="N1175" s="13">
        <v>8.8785000000000007</v>
      </c>
      <c r="O1175" s="13">
        <v>15.48</v>
      </c>
      <c r="P1175" s="13">
        <v>1.1499999999999999</v>
      </c>
      <c r="Q1175" s="13">
        <v>59.19</v>
      </c>
      <c r="R1175" s="13">
        <v>300</v>
      </c>
      <c r="S1175" s="13">
        <v>2663.55</v>
      </c>
      <c r="T1175" s="13"/>
      <c r="U1175" s="13"/>
      <c r="V1175" s="13"/>
      <c r="W1175" s="13"/>
      <c r="X1175" s="13"/>
    </row>
    <row r="1176" spans="1:24" x14ac:dyDescent="0.25">
      <c r="A1176" s="15" t="s">
        <v>1923</v>
      </c>
      <c r="B1176" s="13" t="s">
        <v>13</v>
      </c>
      <c r="C1176" s="22" t="s">
        <v>1696</v>
      </c>
      <c r="D1176" s="29">
        <v>44447</v>
      </c>
      <c r="E1176" s="18" t="s">
        <v>23</v>
      </c>
      <c r="F1176" s="18"/>
      <c r="G1176" s="13"/>
      <c r="H1176" s="31"/>
      <c r="I1176" s="13" t="s">
        <v>1913</v>
      </c>
      <c r="J1176" s="13" t="s">
        <v>66</v>
      </c>
      <c r="K1176" s="13">
        <v>30</v>
      </c>
      <c r="L1176" s="13"/>
      <c r="M1176" s="13"/>
      <c r="N1176" s="13"/>
      <c r="O1176" s="13"/>
      <c r="P1176" s="13"/>
      <c r="Q1176" s="13"/>
      <c r="R1176" s="13"/>
      <c r="S1176" s="13" t="s">
        <v>1925</v>
      </c>
      <c r="T1176" s="13"/>
      <c r="U1176" s="13"/>
      <c r="V1176" s="13"/>
      <c r="W1176" s="13"/>
      <c r="X1176" s="13"/>
    </row>
    <row r="1177" spans="1:24" x14ac:dyDescent="0.25">
      <c r="A1177" s="15" t="s">
        <v>1923</v>
      </c>
      <c r="B1177" s="13" t="s">
        <v>13</v>
      </c>
      <c r="C1177" s="22" t="s">
        <v>1696</v>
      </c>
      <c r="D1177" s="29">
        <v>44447</v>
      </c>
      <c r="E1177" s="18" t="s">
        <v>23</v>
      </c>
      <c r="F1177" s="18"/>
      <c r="G1177" s="13"/>
      <c r="H1177" s="31"/>
      <c r="I1177" s="13" t="s">
        <v>1914</v>
      </c>
      <c r="J1177" s="13" t="s">
        <v>66</v>
      </c>
      <c r="K1177" s="13">
        <v>30</v>
      </c>
      <c r="L1177" s="13"/>
      <c r="M1177" s="13"/>
      <c r="N1177" s="13"/>
      <c r="O1177" s="13"/>
      <c r="P1177" s="13"/>
      <c r="Q1177" s="13"/>
      <c r="R1177" s="13"/>
      <c r="S1177" s="13" t="s">
        <v>1926</v>
      </c>
      <c r="T1177" s="13"/>
      <c r="U1177" s="13"/>
      <c r="V1177" s="13"/>
      <c r="W1177" s="13"/>
      <c r="X1177" s="13"/>
    </row>
    <row r="1178" spans="1:24" x14ac:dyDescent="0.25">
      <c r="A1178" s="15" t="s">
        <v>1923</v>
      </c>
      <c r="B1178" s="13" t="s">
        <v>13</v>
      </c>
      <c r="C1178" s="22" t="s">
        <v>1696</v>
      </c>
      <c r="D1178" s="29">
        <v>44447</v>
      </c>
      <c r="E1178" s="18" t="s">
        <v>23</v>
      </c>
      <c r="F1178" s="18"/>
      <c r="G1178" s="13"/>
      <c r="H1178" s="31"/>
      <c r="I1178" s="13" t="s">
        <v>1915</v>
      </c>
      <c r="J1178" s="13" t="s">
        <v>66</v>
      </c>
      <c r="K1178" s="13">
        <v>30</v>
      </c>
      <c r="L1178" s="13"/>
      <c r="M1178" s="13"/>
      <c r="N1178" s="13"/>
      <c r="O1178" s="13"/>
      <c r="P1178" s="13"/>
      <c r="Q1178" s="13"/>
      <c r="R1178" s="13"/>
      <c r="S1178" s="13" t="s">
        <v>1927</v>
      </c>
      <c r="T1178" s="13"/>
      <c r="U1178" s="13"/>
      <c r="V1178" s="13"/>
      <c r="W1178" s="13"/>
      <c r="X1178" s="13"/>
    </row>
    <row r="1179" spans="1:24" x14ac:dyDescent="0.25">
      <c r="A1179" s="15" t="s">
        <v>1923</v>
      </c>
      <c r="B1179" s="13" t="s">
        <v>13</v>
      </c>
      <c r="C1179" s="22" t="s">
        <v>1696</v>
      </c>
      <c r="D1179" s="29">
        <v>44447</v>
      </c>
      <c r="E1179" s="18" t="s">
        <v>23</v>
      </c>
      <c r="F1179" s="18"/>
      <c r="G1179" s="13"/>
      <c r="H1179" s="31"/>
      <c r="I1179" s="13" t="s">
        <v>1916</v>
      </c>
      <c r="J1179" s="13" t="s">
        <v>379</v>
      </c>
      <c r="K1179" s="13">
        <v>50</v>
      </c>
      <c r="L1179" s="13"/>
      <c r="M1179" s="13"/>
      <c r="N1179" s="13"/>
      <c r="O1179" s="13"/>
      <c r="P1179" s="13"/>
      <c r="Q1179" s="13"/>
      <c r="R1179" s="13"/>
      <c r="S1179" s="13" t="s">
        <v>1928</v>
      </c>
      <c r="T1179" s="13"/>
      <c r="U1179" s="13"/>
      <c r="V1179" s="13"/>
      <c r="W1179" s="13"/>
      <c r="X1179" s="13"/>
    </row>
    <row r="1180" spans="1:24" x14ac:dyDescent="0.25">
      <c r="A1180" s="15" t="s">
        <v>1923</v>
      </c>
      <c r="B1180" s="13" t="s">
        <v>13</v>
      </c>
      <c r="C1180" s="22" t="s">
        <v>1696</v>
      </c>
      <c r="D1180" s="29">
        <v>44447</v>
      </c>
      <c r="E1180" s="18" t="s">
        <v>23</v>
      </c>
      <c r="F1180" s="18"/>
      <c r="G1180" s="13"/>
      <c r="H1180" s="31"/>
      <c r="I1180" s="13" t="s">
        <v>1917</v>
      </c>
      <c r="J1180" s="13" t="s">
        <v>100</v>
      </c>
      <c r="K1180" s="13">
        <v>20</v>
      </c>
      <c r="L1180" s="13"/>
      <c r="M1180" s="13"/>
      <c r="N1180" s="13"/>
      <c r="O1180" s="13"/>
      <c r="P1180" s="13"/>
      <c r="Q1180" s="13"/>
      <c r="R1180" s="13"/>
      <c r="S1180" s="13" t="s">
        <v>1929</v>
      </c>
      <c r="T1180" s="13"/>
      <c r="U1180" s="13"/>
      <c r="V1180" s="13"/>
      <c r="W1180" s="13"/>
      <c r="X1180" s="13"/>
    </row>
    <row r="1181" spans="1:24" x14ac:dyDescent="0.25">
      <c r="A1181" s="15" t="s">
        <v>1923</v>
      </c>
      <c r="B1181" s="13" t="s">
        <v>13</v>
      </c>
      <c r="C1181" s="22" t="s">
        <v>1696</v>
      </c>
      <c r="D1181" s="29">
        <v>44447</v>
      </c>
      <c r="E1181" s="18" t="s">
        <v>23</v>
      </c>
      <c r="F1181" s="18"/>
      <c r="G1181" s="13"/>
      <c r="H1181" s="31"/>
      <c r="I1181" s="13" t="s">
        <v>1918</v>
      </c>
      <c r="J1181" s="13" t="s">
        <v>379</v>
      </c>
      <c r="K1181" s="13">
        <v>50</v>
      </c>
      <c r="L1181" s="13"/>
      <c r="M1181" s="13"/>
      <c r="N1181" s="13"/>
      <c r="O1181" s="13"/>
      <c r="P1181" s="13"/>
      <c r="Q1181" s="13"/>
      <c r="R1181" s="13"/>
      <c r="S1181" s="13" t="s">
        <v>1928</v>
      </c>
      <c r="T1181" s="13"/>
      <c r="U1181" s="13"/>
      <c r="V1181" s="13"/>
      <c r="W1181" s="13"/>
      <c r="X1181" s="13"/>
    </row>
    <row r="1182" spans="1:24" x14ac:dyDescent="0.25">
      <c r="A1182" s="15" t="s">
        <v>1923</v>
      </c>
      <c r="B1182" s="13" t="s">
        <v>13</v>
      </c>
      <c r="C1182" s="22" t="s">
        <v>1696</v>
      </c>
      <c r="D1182" s="29">
        <v>44447</v>
      </c>
      <c r="E1182" s="18" t="s">
        <v>23</v>
      </c>
      <c r="F1182" s="18"/>
      <c r="G1182" s="13"/>
      <c r="H1182" s="31"/>
      <c r="I1182" s="13" t="s">
        <v>1919</v>
      </c>
      <c r="J1182" s="13" t="s">
        <v>379</v>
      </c>
      <c r="K1182" s="13">
        <v>50</v>
      </c>
      <c r="L1182" s="13"/>
      <c r="M1182" s="13"/>
      <c r="N1182" s="13"/>
      <c r="O1182" s="13"/>
      <c r="P1182" s="13"/>
      <c r="Q1182" s="13"/>
      <c r="R1182" s="13"/>
      <c r="S1182" s="13" t="s">
        <v>1929</v>
      </c>
      <c r="T1182" s="13"/>
      <c r="U1182" s="13"/>
      <c r="V1182" s="13"/>
      <c r="W1182" s="13"/>
      <c r="X1182" s="13"/>
    </row>
    <row r="1183" spans="1:24" x14ac:dyDescent="0.25">
      <c r="A1183" s="15" t="s">
        <v>1923</v>
      </c>
      <c r="B1183" s="13" t="s">
        <v>13</v>
      </c>
      <c r="C1183" s="22" t="s">
        <v>1696</v>
      </c>
      <c r="D1183" s="29">
        <v>44447</v>
      </c>
      <c r="E1183" s="18" t="s">
        <v>23</v>
      </c>
      <c r="F1183" s="18"/>
      <c r="G1183" s="13"/>
      <c r="H1183" s="31"/>
      <c r="I1183" s="13" t="s">
        <v>1920</v>
      </c>
      <c r="J1183" s="13" t="s">
        <v>379</v>
      </c>
      <c r="K1183" s="13">
        <v>50</v>
      </c>
      <c r="L1183" s="13"/>
      <c r="M1183" s="13"/>
      <c r="N1183" s="13"/>
      <c r="O1183" s="13"/>
      <c r="P1183" s="13"/>
      <c r="Q1183" s="13"/>
      <c r="R1183" s="13"/>
      <c r="S1183" s="13" t="s">
        <v>1930</v>
      </c>
      <c r="T1183" s="13"/>
      <c r="U1183" s="13"/>
      <c r="V1183" s="13"/>
      <c r="W1183" s="13"/>
      <c r="X1183" s="13"/>
    </row>
    <row r="1184" spans="1:24" x14ac:dyDescent="0.25">
      <c r="A1184" s="15" t="s">
        <v>1923</v>
      </c>
      <c r="B1184" s="13" t="s">
        <v>13</v>
      </c>
      <c r="C1184" s="22" t="s">
        <v>1696</v>
      </c>
      <c r="D1184" s="29">
        <v>44447</v>
      </c>
      <c r="E1184" s="18" t="s">
        <v>23</v>
      </c>
      <c r="F1184" s="18"/>
      <c r="G1184" s="13"/>
      <c r="H1184" s="31"/>
      <c r="I1184" s="13" t="s">
        <v>1921</v>
      </c>
      <c r="J1184" s="13" t="s">
        <v>66</v>
      </c>
      <c r="K1184" s="13">
        <v>30</v>
      </c>
      <c r="L1184" s="13"/>
      <c r="M1184" s="13"/>
      <c r="N1184" s="13"/>
      <c r="O1184" s="13"/>
      <c r="P1184" s="13"/>
      <c r="Q1184" s="13"/>
      <c r="R1184" s="13"/>
      <c r="S1184" s="13" t="s">
        <v>1931</v>
      </c>
      <c r="T1184" s="13"/>
      <c r="U1184" s="13"/>
      <c r="V1184" s="13"/>
      <c r="W1184" s="13"/>
      <c r="X1184" s="13"/>
    </row>
    <row r="1185" spans="1:24" x14ac:dyDescent="0.25">
      <c r="A1185" s="15" t="s">
        <v>1923</v>
      </c>
      <c r="B1185" s="13" t="s">
        <v>13</v>
      </c>
      <c r="C1185" s="22" t="s">
        <v>1696</v>
      </c>
      <c r="D1185" s="29">
        <v>44447</v>
      </c>
      <c r="E1185" s="18" t="s">
        <v>23</v>
      </c>
      <c r="F1185" s="18"/>
      <c r="G1185" s="13"/>
      <c r="H1185" s="31"/>
      <c r="I1185" s="13" t="s">
        <v>953</v>
      </c>
      <c r="J1185" s="13" t="s">
        <v>66</v>
      </c>
      <c r="K1185" s="13">
        <v>30</v>
      </c>
      <c r="L1185" s="13"/>
      <c r="M1185" s="13"/>
      <c r="N1185" s="13"/>
      <c r="O1185" s="13"/>
      <c r="P1185" s="13"/>
      <c r="Q1185" s="13"/>
      <c r="R1185" s="13"/>
      <c r="S1185" s="13" t="s">
        <v>1932</v>
      </c>
      <c r="T1185" s="13"/>
      <c r="U1185" s="13"/>
      <c r="V1185" s="13"/>
      <c r="W1185" s="13"/>
      <c r="X1185" s="13"/>
    </row>
    <row r="1186" spans="1:24" x14ac:dyDescent="0.25">
      <c r="A1186" s="15" t="s">
        <v>1923</v>
      </c>
      <c r="B1186" s="13" t="s">
        <v>13</v>
      </c>
      <c r="C1186" s="22" t="s">
        <v>1696</v>
      </c>
      <c r="D1186" s="29">
        <v>44447</v>
      </c>
      <c r="E1186" s="18" t="s">
        <v>23</v>
      </c>
      <c r="F1186" s="18"/>
      <c r="G1186" s="13"/>
      <c r="H1186" s="31"/>
      <c r="I1186" s="13" t="s">
        <v>1922</v>
      </c>
      <c r="J1186" s="13" t="s">
        <v>1924</v>
      </c>
      <c r="K1186" s="13">
        <v>1402</v>
      </c>
      <c r="L1186" s="13"/>
      <c r="M1186" s="13"/>
      <c r="N1186" s="13"/>
      <c r="O1186" s="13"/>
      <c r="P1186" s="13"/>
      <c r="Q1186" s="13"/>
      <c r="R1186" s="13"/>
      <c r="S1186" s="13" t="s">
        <v>1933</v>
      </c>
      <c r="T1186" s="13"/>
      <c r="U1186" s="13"/>
      <c r="V1186" s="13"/>
      <c r="W1186" s="13"/>
      <c r="X1186" s="13"/>
    </row>
    <row r="1187" spans="1:24" x14ac:dyDescent="0.25">
      <c r="A1187" s="15">
        <v>415</v>
      </c>
      <c r="B1187" s="13" t="s">
        <v>13</v>
      </c>
      <c r="C1187" s="22" t="s">
        <v>672</v>
      </c>
      <c r="D1187" s="29">
        <v>44449</v>
      </c>
      <c r="E1187" s="18" t="s">
        <v>23</v>
      </c>
      <c r="F1187" s="18"/>
      <c r="G1187" s="13" t="s">
        <v>1976</v>
      </c>
      <c r="H1187" s="31"/>
      <c r="I1187" s="13" t="s">
        <v>1265</v>
      </c>
      <c r="J1187" s="13">
        <v>351</v>
      </c>
      <c r="K1187" s="13" t="s">
        <v>170</v>
      </c>
      <c r="L1187" s="13">
        <v>0.62</v>
      </c>
      <c r="M1187" s="13">
        <v>2.544</v>
      </c>
      <c r="N1187" s="13">
        <v>217.62</v>
      </c>
      <c r="O1187" s="13">
        <v>892.94399999999996</v>
      </c>
      <c r="P1187" s="13">
        <v>28.29</v>
      </c>
      <c r="Q1187" s="13">
        <v>170.5</v>
      </c>
      <c r="R1187" s="13">
        <v>275</v>
      </c>
      <c r="S1187" s="13">
        <v>59845.5</v>
      </c>
      <c r="T1187" s="13"/>
      <c r="U1187" s="13"/>
      <c r="V1187" s="13"/>
      <c r="W1187" s="13"/>
      <c r="X1187" s="13"/>
    </row>
    <row r="1188" spans="1:24" x14ac:dyDescent="0.25">
      <c r="A1188" s="15">
        <v>417</v>
      </c>
      <c r="B1188" s="13" t="s">
        <v>13</v>
      </c>
      <c r="C1188" s="22" t="s">
        <v>1825</v>
      </c>
      <c r="D1188" s="29">
        <v>44449</v>
      </c>
      <c r="E1188" s="18" t="s">
        <v>23</v>
      </c>
      <c r="F1188" s="18"/>
      <c r="G1188" s="13"/>
      <c r="H1188" s="31"/>
      <c r="I1188" s="13" t="s">
        <v>1935</v>
      </c>
      <c r="J1188" s="13">
        <v>2076</v>
      </c>
      <c r="K1188" s="13" t="s">
        <v>1936</v>
      </c>
      <c r="L1188" s="13">
        <v>0.1938</v>
      </c>
      <c r="M1188" s="13">
        <v>0.63600000000000001</v>
      </c>
      <c r="N1188" s="13">
        <v>402.3288</v>
      </c>
      <c r="O1188" s="13">
        <v>1320.336</v>
      </c>
      <c r="P1188" s="13">
        <v>52.3</v>
      </c>
      <c r="Q1188" s="13">
        <v>58.14</v>
      </c>
      <c r="R1188" s="13">
        <v>300</v>
      </c>
      <c r="S1188" s="13">
        <v>120698.64</v>
      </c>
      <c r="T1188" s="13"/>
      <c r="U1188" s="13"/>
      <c r="V1188" s="13"/>
      <c r="W1188" s="13"/>
      <c r="X1188" s="13"/>
    </row>
    <row r="1189" spans="1:24" x14ac:dyDescent="0.25">
      <c r="A1189" s="15" t="s">
        <v>1937</v>
      </c>
      <c r="B1189" s="13" t="s">
        <v>13</v>
      </c>
      <c r="C1189" s="22" t="s">
        <v>15</v>
      </c>
      <c r="D1189" s="29">
        <v>44449</v>
      </c>
      <c r="E1189" s="18" t="s">
        <v>23</v>
      </c>
      <c r="F1189" s="18"/>
      <c r="G1189" s="13"/>
      <c r="H1189" s="19">
        <v>44452</v>
      </c>
      <c r="I1189" s="13" t="s">
        <v>89</v>
      </c>
      <c r="J1189" s="13"/>
      <c r="K1189" s="13">
        <v>48</v>
      </c>
      <c r="L1189" s="13"/>
      <c r="M1189" s="13"/>
      <c r="N1189" s="13"/>
      <c r="O1189" s="13"/>
      <c r="P1189" s="13"/>
      <c r="Q1189" s="13"/>
      <c r="R1189" s="13"/>
      <c r="S1189" s="13">
        <v>34992</v>
      </c>
      <c r="T1189" s="13"/>
      <c r="U1189" s="13"/>
      <c r="V1189" s="13"/>
      <c r="W1189" s="13"/>
      <c r="X1189" s="13"/>
    </row>
    <row r="1190" spans="1:24" x14ac:dyDescent="0.25">
      <c r="A1190" s="15">
        <v>418</v>
      </c>
      <c r="B1190" s="13" t="s">
        <v>13</v>
      </c>
      <c r="C1190" s="22" t="s">
        <v>674</v>
      </c>
      <c r="D1190" s="29">
        <v>44452</v>
      </c>
      <c r="E1190" s="18" t="s">
        <v>23</v>
      </c>
      <c r="F1190" s="18"/>
      <c r="G1190" s="13"/>
      <c r="H1190" s="31"/>
      <c r="I1190" s="13" t="s">
        <v>600</v>
      </c>
      <c r="J1190" s="13">
        <v>624</v>
      </c>
      <c r="K1190" s="13" t="s">
        <v>325</v>
      </c>
      <c r="L1190" s="13">
        <v>0.30719999999999997</v>
      </c>
      <c r="M1190" s="13">
        <v>0.69199999999999995</v>
      </c>
      <c r="N1190" s="13">
        <v>191.69280000000001</v>
      </c>
      <c r="O1190" s="13">
        <v>431.80799999999999</v>
      </c>
      <c r="P1190" s="13">
        <v>24.92</v>
      </c>
      <c r="Q1190" s="13">
        <v>95.23</v>
      </c>
      <c r="R1190" s="13">
        <v>310</v>
      </c>
      <c r="S1190" s="13">
        <v>59423.519999999997</v>
      </c>
      <c r="T1190" s="13"/>
      <c r="U1190" s="13"/>
      <c r="V1190" s="13"/>
      <c r="W1190" s="13"/>
      <c r="X1190" s="13"/>
    </row>
    <row r="1191" spans="1:24" x14ac:dyDescent="0.25">
      <c r="A1191" s="15">
        <v>419</v>
      </c>
      <c r="B1191" s="13" t="s">
        <v>13</v>
      </c>
      <c r="C1191" s="22" t="s">
        <v>37</v>
      </c>
      <c r="D1191" s="29">
        <v>44452</v>
      </c>
      <c r="E1191" s="18" t="s">
        <v>23</v>
      </c>
      <c r="F1191" s="18"/>
      <c r="G1191" s="13" t="s">
        <v>2000</v>
      </c>
      <c r="H1191" s="19">
        <v>44466</v>
      </c>
      <c r="I1191" s="13" t="s">
        <v>2001</v>
      </c>
      <c r="J1191" s="13">
        <v>1192</v>
      </c>
      <c r="K1191" s="13">
        <v>400</v>
      </c>
      <c r="L1191" s="13">
        <v>4.8399999999999999E-2</v>
      </c>
      <c r="M1191" s="13">
        <v>0.1</v>
      </c>
      <c r="N1191" s="13">
        <v>69.695999999999998</v>
      </c>
      <c r="O1191" s="13">
        <v>144</v>
      </c>
      <c r="P1191" s="13">
        <v>9.06</v>
      </c>
      <c r="Q1191" s="13">
        <v>15.15</v>
      </c>
      <c r="R1191" s="13">
        <v>313</v>
      </c>
      <c r="S1191" s="13">
        <v>21814.85</v>
      </c>
      <c r="T1191" s="13"/>
      <c r="U1191" s="13"/>
      <c r="V1191" s="13"/>
      <c r="W1191" s="13"/>
      <c r="X1191" s="13"/>
    </row>
    <row r="1192" spans="1:24" x14ac:dyDescent="0.25">
      <c r="A1192" s="15" t="s">
        <v>1939</v>
      </c>
      <c r="B1192" s="13" t="s">
        <v>13</v>
      </c>
      <c r="C1192" s="22" t="s">
        <v>284</v>
      </c>
      <c r="D1192" s="29">
        <v>44452</v>
      </c>
      <c r="E1192" s="113" t="s">
        <v>677</v>
      </c>
      <c r="F1192" s="113"/>
      <c r="G1192" s="13"/>
      <c r="H1192" s="31"/>
      <c r="I1192" s="13" t="s">
        <v>63</v>
      </c>
      <c r="J1192" s="13" t="s">
        <v>64</v>
      </c>
      <c r="K1192" s="13"/>
      <c r="L1192" s="13"/>
      <c r="M1192" s="13"/>
      <c r="N1192" s="13"/>
      <c r="O1192" s="13"/>
      <c r="P1192" s="13"/>
      <c r="Q1192" s="13"/>
      <c r="R1192" s="13"/>
      <c r="S1192" s="13" t="s">
        <v>1284</v>
      </c>
      <c r="T1192" s="13"/>
      <c r="U1192" s="13"/>
      <c r="V1192" s="13"/>
      <c r="W1192" s="13"/>
      <c r="X1192" s="13"/>
    </row>
    <row r="1193" spans="1:24" x14ac:dyDescent="0.25">
      <c r="A1193" s="15" t="s">
        <v>1939</v>
      </c>
      <c r="B1193" s="13" t="s">
        <v>13</v>
      </c>
      <c r="C1193" s="22" t="s">
        <v>284</v>
      </c>
      <c r="D1193" s="29">
        <v>44452</v>
      </c>
      <c r="E1193" s="113" t="s">
        <v>677</v>
      </c>
      <c r="F1193" s="113"/>
      <c r="G1193" s="13"/>
      <c r="H1193" s="31"/>
      <c r="I1193" s="13" t="s">
        <v>29</v>
      </c>
      <c r="J1193" s="13" t="s">
        <v>31</v>
      </c>
      <c r="K1193" s="13"/>
      <c r="L1193" s="13"/>
      <c r="M1193" s="13"/>
      <c r="N1193" s="13"/>
      <c r="O1193" s="13"/>
      <c r="P1193" s="13"/>
      <c r="Q1193" s="13"/>
      <c r="R1193" s="13"/>
      <c r="S1193" s="13" t="s">
        <v>1284</v>
      </c>
      <c r="T1193" s="13"/>
      <c r="U1193" s="13"/>
      <c r="V1193" s="13"/>
      <c r="W1193" s="13"/>
      <c r="X1193" s="13"/>
    </row>
    <row r="1194" spans="1:24" x14ac:dyDescent="0.25">
      <c r="A1194" s="15" t="s">
        <v>1939</v>
      </c>
      <c r="B1194" s="13" t="s">
        <v>13</v>
      </c>
      <c r="C1194" s="22" t="s">
        <v>284</v>
      </c>
      <c r="D1194" s="29">
        <v>44452</v>
      </c>
      <c r="E1194" s="113" t="s">
        <v>677</v>
      </c>
      <c r="F1194" s="113"/>
      <c r="G1194" s="13"/>
      <c r="H1194" s="31"/>
      <c r="I1194" s="13" t="s">
        <v>169</v>
      </c>
      <c r="J1194" s="13" t="s">
        <v>70</v>
      </c>
      <c r="K1194" s="13"/>
      <c r="L1194" s="13"/>
      <c r="M1194" s="13"/>
      <c r="N1194" s="13"/>
      <c r="O1194" s="13"/>
      <c r="P1194" s="13"/>
      <c r="Q1194" s="13"/>
      <c r="R1194" s="13"/>
      <c r="S1194" s="13" t="s">
        <v>1284</v>
      </c>
      <c r="T1194" s="13"/>
      <c r="U1194" s="13"/>
      <c r="V1194" s="13"/>
      <c r="W1194" s="13"/>
      <c r="X1194" s="13"/>
    </row>
    <row r="1195" spans="1:24" x14ac:dyDescent="0.25">
      <c r="A1195" s="15" t="s">
        <v>1939</v>
      </c>
      <c r="B1195" s="13" t="s">
        <v>13</v>
      </c>
      <c r="C1195" s="22" t="s">
        <v>284</v>
      </c>
      <c r="D1195" s="29">
        <v>44452</v>
      </c>
      <c r="E1195" s="113" t="s">
        <v>677</v>
      </c>
      <c r="F1195" s="113"/>
      <c r="G1195" s="13"/>
      <c r="H1195" s="31"/>
      <c r="I1195" s="13" t="s">
        <v>69</v>
      </c>
      <c r="J1195" s="13" t="s">
        <v>53</v>
      </c>
      <c r="K1195" s="13"/>
      <c r="L1195" s="13"/>
      <c r="M1195" s="13"/>
      <c r="N1195" s="13"/>
      <c r="O1195" s="13"/>
      <c r="P1195" s="13"/>
      <c r="Q1195" s="13"/>
      <c r="R1195" s="13"/>
      <c r="S1195" s="13" t="s">
        <v>1284</v>
      </c>
      <c r="T1195" s="13"/>
      <c r="U1195" s="13"/>
      <c r="V1195" s="13"/>
      <c r="W1195" s="13"/>
      <c r="X1195" s="13"/>
    </row>
    <row r="1196" spans="1:24" x14ac:dyDescent="0.25">
      <c r="A1196" s="15" t="s">
        <v>1939</v>
      </c>
      <c r="B1196" s="13" t="s">
        <v>13</v>
      </c>
      <c r="C1196" s="22" t="s">
        <v>284</v>
      </c>
      <c r="D1196" s="29">
        <v>44452</v>
      </c>
      <c r="E1196" s="113" t="s">
        <v>677</v>
      </c>
      <c r="F1196" s="113"/>
      <c r="G1196" s="13"/>
      <c r="H1196" s="31"/>
      <c r="I1196" s="13" t="s">
        <v>389</v>
      </c>
      <c r="J1196" s="13" t="s">
        <v>31</v>
      </c>
      <c r="K1196" s="13"/>
      <c r="L1196" s="13"/>
      <c r="M1196" s="13"/>
      <c r="N1196" s="13"/>
      <c r="O1196" s="13"/>
      <c r="P1196" s="13"/>
      <c r="Q1196" s="13"/>
      <c r="R1196" s="13"/>
      <c r="S1196" s="13" t="s">
        <v>1284</v>
      </c>
      <c r="T1196" s="13"/>
      <c r="U1196" s="13"/>
      <c r="V1196" s="13"/>
      <c r="W1196" s="13"/>
      <c r="X1196" s="13"/>
    </row>
    <row r="1197" spans="1:24" x14ac:dyDescent="0.25">
      <c r="A1197" s="15" t="s">
        <v>1939</v>
      </c>
      <c r="B1197" s="13" t="s">
        <v>13</v>
      </c>
      <c r="C1197" s="22" t="s">
        <v>284</v>
      </c>
      <c r="D1197" s="29">
        <v>44452</v>
      </c>
      <c r="E1197" s="113" t="s">
        <v>677</v>
      </c>
      <c r="F1197" s="113"/>
      <c r="G1197" s="13"/>
      <c r="H1197" s="31"/>
      <c r="I1197" s="13" t="s">
        <v>395</v>
      </c>
      <c r="J1197" s="13" t="s">
        <v>103</v>
      </c>
      <c r="K1197" s="13"/>
      <c r="L1197" s="13"/>
      <c r="M1197" s="13"/>
      <c r="N1197" s="13"/>
      <c r="O1197" s="13"/>
      <c r="P1197" s="13"/>
      <c r="Q1197" s="13"/>
      <c r="R1197" s="13"/>
      <c r="S1197" s="13" t="s">
        <v>1284</v>
      </c>
      <c r="T1197" s="13"/>
      <c r="U1197" s="13"/>
      <c r="V1197" s="13"/>
      <c r="W1197" s="13"/>
      <c r="X1197" s="13"/>
    </row>
    <row r="1198" spans="1:24" x14ac:dyDescent="0.25">
      <c r="A1198" s="15" t="s">
        <v>1939</v>
      </c>
      <c r="B1198" s="13" t="s">
        <v>13</v>
      </c>
      <c r="C1198" s="22" t="s">
        <v>284</v>
      </c>
      <c r="D1198" s="29">
        <v>44452</v>
      </c>
      <c r="E1198" s="113" t="s">
        <v>677</v>
      </c>
      <c r="F1198" s="113"/>
      <c r="G1198" s="13"/>
      <c r="H1198" s="31"/>
      <c r="I1198" s="13" t="s">
        <v>433</v>
      </c>
      <c r="J1198" s="13" t="s">
        <v>396</v>
      </c>
      <c r="K1198" s="13"/>
      <c r="L1198" s="13"/>
      <c r="M1198" s="13"/>
      <c r="N1198" s="13"/>
      <c r="O1198" s="13"/>
      <c r="P1198" s="13"/>
      <c r="Q1198" s="13"/>
      <c r="R1198" s="13"/>
      <c r="S1198" s="13" t="s">
        <v>1284</v>
      </c>
      <c r="T1198" s="13"/>
      <c r="U1198" s="13"/>
      <c r="V1198" s="13"/>
      <c r="W1198" s="13"/>
      <c r="X1198" s="13"/>
    </row>
    <row r="1199" spans="1:24" x14ac:dyDescent="0.25">
      <c r="A1199" s="15" t="s">
        <v>1939</v>
      </c>
      <c r="B1199" s="13" t="s">
        <v>13</v>
      </c>
      <c r="C1199" s="22" t="s">
        <v>284</v>
      </c>
      <c r="D1199" s="29">
        <v>44452</v>
      </c>
      <c r="E1199" s="113" t="s">
        <v>677</v>
      </c>
      <c r="F1199" s="113"/>
      <c r="G1199" s="13"/>
      <c r="H1199" s="31"/>
      <c r="I1199" s="13" t="s">
        <v>1938</v>
      </c>
      <c r="J1199" s="13" t="s">
        <v>396</v>
      </c>
      <c r="K1199" s="13"/>
      <c r="L1199" s="13"/>
      <c r="M1199" s="13"/>
      <c r="N1199" s="13"/>
      <c r="O1199" s="13"/>
      <c r="P1199" s="13"/>
      <c r="Q1199" s="13"/>
      <c r="R1199" s="13"/>
      <c r="S1199" s="13" t="s">
        <v>1284</v>
      </c>
      <c r="T1199" s="13"/>
      <c r="U1199" s="13"/>
      <c r="V1199" s="13"/>
      <c r="W1199" s="13"/>
      <c r="X1199" s="13"/>
    </row>
    <row r="1200" spans="1:24" x14ac:dyDescent="0.25">
      <c r="A1200" s="15">
        <v>420</v>
      </c>
      <c r="B1200" s="13" t="s">
        <v>34</v>
      </c>
      <c r="C1200" s="22" t="s">
        <v>14</v>
      </c>
      <c r="D1200" s="29">
        <v>44453</v>
      </c>
      <c r="E1200" s="18" t="s">
        <v>23</v>
      </c>
      <c r="F1200" s="18"/>
      <c r="G1200" s="13"/>
      <c r="H1200" s="19">
        <v>44467</v>
      </c>
      <c r="I1200" s="13" t="s">
        <v>652</v>
      </c>
      <c r="J1200" s="13">
        <v>980.1</v>
      </c>
      <c r="K1200" s="13" t="s">
        <v>306</v>
      </c>
      <c r="L1200" s="13">
        <v>0.1061</v>
      </c>
      <c r="M1200" s="13">
        <v>0.63800000000000001</v>
      </c>
      <c r="N1200" s="13">
        <v>103.98860000000001</v>
      </c>
      <c r="O1200" s="13">
        <v>625.30380000000002</v>
      </c>
      <c r="P1200" s="13">
        <v>13.52</v>
      </c>
      <c r="Q1200" s="13">
        <v>29.71</v>
      </c>
      <c r="R1200" s="13">
        <v>280</v>
      </c>
      <c r="S1200" s="13">
        <v>29116.81</v>
      </c>
      <c r="T1200" s="13"/>
      <c r="U1200" s="13"/>
      <c r="V1200" s="13"/>
      <c r="W1200" s="13"/>
      <c r="X1200" s="13"/>
    </row>
    <row r="1201" spans="1:24" x14ac:dyDescent="0.25">
      <c r="A1201" s="15">
        <v>421</v>
      </c>
      <c r="B1201" s="13" t="s">
        <v>34</v>
      </c>
      <c r="C1201" s="22" t="s">
        <v>14</v>
      </c>
      <c r="D1201" s="29">
        <v>44453</v>
      </c>
      <c r="E1201" s="18" t="s">
        <v>23</v>
      </c>
      <c r="F1201" s="18"/>
      <c r="G1201" s="13"/>
      <c r="H1201" s="31"/>
      <c r="I1201" s="13" t="s">
        <v>1940</v>
      </c>
      <c r="J1201" s="13">
        <v>1782</v>
      </c>
      <c r="K1201" s="13" t="s">
        <v>1945</v>
      </c>
      <c r="L1201" s="13">
        <v>0.16289999999999999</v>
      </c>
      <c r="M1201" s="13">
        <v>0.45800000000000002</v>
      </c>
      <c r="N1201" s="13">
        <v>290.2878</v>
      </c>
      <c r="O1201" s="13">
        <v>816.15599999999995</v>
      </c>
      <c r="P1201" s="13">
        <v>37.74</v>
      </c>
      <c r="Q1201" s="13">
        <v>41.54</v>
      </c>
      <c r="R1201" s="13">
        <v>255</v>
      </c>
      <c r="S1201" s="13">
        <v>74024.28</v>
      </c>
      <c r="T1201" s="13"/>
      <c r="U1201" s="13"/>
      <c r="V1201" s="13"/>
      <c r="W1201" s="13"/>
      <c r="X1201" s="13"/>
    </row>
    <row r="1202" spans="1:24" x14ac:dyDescent="0.25">
      <c r="A1202" s="15">
        <v>421</v>
      </c>
      <c r="B1202" s="13" t="s">
        <v>34</v>
      </c>
      <c r="C1202" s="22" t="s">
        <v>14</v>
      </c>
      <c r="D1202" s="29">
        <v>44453</v>
      </c>
      <c r="E1202" s="18" t="s">
        <v>23</v>
      </c>
      <c r="F1202" s="18"/>
      <c r="G1202" s="13" t="s">
        <v>1978</v>
      </c>
      <c r="H1202" s="31"/>
      <c r="I1202" s="13" t="s">
        <v>651</v>
      </c>
      <c r="J1202" s="13">
        <v>1902</v>
      </c>
      <c r="K1202" s="13" t="s">
        <v>1946</v>
      </c>
      <c r="L1202" s="13">
        <v>0.2208</v>
      </c>
      <c r="M1202" s="13">
        <v>0.77300000000000002</v>
      </c>
      <c r="N1202" s="13">
        <v>419.96159999999998</v>
      </c>
      <c r="O1202" s="13">
        <v>1470.2460000000001</v>
      </c>
      <c r="P1202" s="13">
        <v>54.6</v>
      </c>
      <c r="Q1202" s="13">
        <v>56.3</v>
      </c>
      <c r="R1202" s="13">
        <v>255</v>
      </c>
      <c r="S1202" s="13">
        <v>107082.6</v>
      </c>
      <c r="T1202" s="13"/>
      <c r="U1202" s="13"/>
      <c r="V1202" s="13"/>
      <c r="W1202" s="13"/>
      <c r="X1202" s="13"/>
    </row>
    <row r="1203" spans="1:24" x14ac:dyDescent="0.25">
      <c r="A1203" s="15">
        <v>422</v>
      </c>
      <c r="B1203" s="13" t="s">
        <v>34</v>
      </c>
      <c r="C1203" s="22" t="s">
        <v>14</v>
      </c>
      <c r="D1203" s="29">
        <v>44453</v>
      </c>
      <c r="E1203" s="18" t="s">
        <v>23</v>
      </c>
      <c r="F1203" s="18"/>
      <c r="G1203" s="13" t="s">
        <v>1968</v>
      </c>
      <c r="H1203" s="31"/>
      <c r="I1203" s="13" t="s">
        <v>628</v>
      </c>
      <c r="J1203" s="13">
        <v>1252.3499999999999</v>
      </c>
      <c r="K1203" s="13" t="s">
        <v>152</v>
      </c>
      <c r="L1203" s="13">
        <v>0.2009</v>
      </c>
      <c r="M1203" s="13">
        <v>0.96</v>
      </c>
      <c r="N1203" s="13">
        <v>251.59710000000001</v>
      </c>
      <c r="O1203" s="13">
        <v>1202.2560000000001</v>
      </c>
      <c r="P1203" s="13">
        <v>32.71</v>
      </c>
      <c r="Q1203" s="13">
        <v>56.25</v>
      </c>
      <c r="R1203" s="13">
        <v>280</v>
      </c>
      <c r="S1203" s="13">
        <v>70447.19</v>
      </c>
      <c r="T1203" s="13"/>
      <c r="U1203" s="13"/>
      <c r="V1203" s="13"/>
      <c r="W1203" s="13"/>
      <c r="X1203" s="13"/>
    </row>
    <row r="1204" spans="1:24" x14ac:dyDescent="0.25">
      <c r="A1204" s="15">
        <v>423</v>
      </c>
      <c r="B1204" s="13" t="s">
        <v>34</v>
      </c>
      <c r="C1204" s="22" t="s">
        <v>14</v>
      </c>
      <c r="D1204" s="29">
        <v>44453</v>
      </c>
      <c r="E1204" s="18" t="s">
        <v>23</v>
      </c>
      <c r="F1204" s="18"/>
      <c r="G1204" s="13"/>
      <c r="H1204" s="31"/>
      <c r="I1204" s="13" t="s">
        <v>1941</v>
      </c>
      <c r="J1204" s="13">
        <v>324</v>
      </c>
      <c r="K1204" s="13" t="s">
        <v>170</v>
      </c>
      <c r="L1204" s="13">
        <v>0.1623</v>
      </c>
      <c r="M1204" s="13">
        <v>0.78300000000000003</v>
      </c>
      <c r="N1204" s="13">
        <v>52.5852</v>
      </c>
      <c r="O1204" s="13">
        <v>253.69200000000001</v>
      </c>
      <c r="P1204" s="13">
        <v>6.84</v>
      </c>
      <c r="Q1204" s="13">
        <v>45.44</v>
      </c>
      <c r="R1204" s="13">
        <v>280</v>
      </c>
      <c r="S1204" s="13">
        <v>14723.86</v>
      </c>
      <c r="T1204" s="13"/>
      <c r="U1204" s="13"/>
      <c r="V1204" s="13"/>
      <c r="W1204" s="13"/>
      <c r="X1204" s="13"/>
    </row>
    <row r="1205" spans="1:24" x14ac:dyDescent="0.25">
      <c r="A1205" s="15">
        <v>424</v>
      </c>
      <c r="B1205" s="13" t="s">
        <v>34</v>
      </c>
      <c r="C1205" s="22" t="s">
        <v>19</v>
      </c>
      <c r="D1205" s="29">
        <v>44453</v>
      </c>
      <c r="E1205" s="18" t="s">
        <v>23</v>
      </c>
      <c r="F1205" s="18"/>
      <c r="G1205" s="13"/>
      <c r="H1205" s="31"/>
      <c r="I1205" s="13" t="s">
        <v>1942</v>
      </c>
      <c r="J1205" s="13">
        <v>72</v>
      </c>
      <c r="K1205" s="13" t="s">
        <v>303</v>
      </c>
      <c r="L1205" s="13">
        <v>0.23089999999999999</v>
      </c>
      <c r="M1205" s="13">
        <v>0.626</v>
      </c>
      <c r="N1205" s="13">
        <v>16.6248</v>
      </c>
      <c r="O1205" s="13">
        <v>45.072000000000003</v>
      </c>
      <c r="P1205" s="13">
        <v>2.16</v>
      </c>
      <c r="Q1205" s="13">
        <v>75.739999999999995</v>
      </c>
      <c r="R1205" s="13">
        <v>328</v>
      </c>
      <c r="S1205" s="13">
        <v>5453.28</v>
      </c>
      <c r="T1205" s="13"/>
      <c r="U1205" s="13"/>
      <c r="V1205" s="13"/>
      <c r="W1205" s="13"/>
      <c r="X1205" s="13"/>
    </row>
    <row r="1206" spans="1:24" x14ac:dyDescent="0.25">
      <c r="A1206" s="15" t="s">
        <v>1979</v>
      </c>
      <c r="B1206" s="13" t="s">
        <v>13</v>
      </c>
      <c r="C1206" s="22" t="s">
        <v>37</v>
      </c>
      <c r="D1206" s="29">
        <v>44455</v>
      </c>
      <c r="E1206" s="18" t="s">
        <v>23</v>
      </c>
      <c r="F1206" s="18"/>
      <c r="G1206" s="13"/>
      <c r="H1206" s="31"/>
      <c r="I1206" s="13" t="s">
        <v>1888</v>
      </c>
      <c r="J1206" s="13"/>
      <c r="K1206" s="13">
        <v>24</v>
      </c>
      <c r="L1206" s="13"/>
      <c r="M1206" s="13"/>
      <c r="N1206" s="13"/>
      <c r="O1206" s="13"/>
      <c r="P1206" s="13"/>
      <c r="Q1206" s="13"/>
      <c r="R1206" s="13"/>
      <c r="S1206" s="13">
        <v>34400</v>
      </c>
      <c r="T1206" s="13"/>
      <c r="U1206" s="13"/>
      <c r="V1206" s="13"/>
      <c r="W1206" s="13"/>
      <c r="X1206" s="13"/>
    </row>
    <row r="1207" spans="1:24" x14ac:dyDescent="0.25">
      <c r="A1207" s="15" t="s">
        <v>1950</v>
      </c>
      <c r="B1207" s="13" t="s">
        <v>13</v>
      </c>
      <c r="C1207" s="22" t="s">
        <v>653</v>
      </c>
      <c r="D1207" s="29">
        <v>44455</v>
      </c>
      <c r="E1207" s="18" t="s">
        <v>23</v>
      </c>
      <c r="F1207" s="18"/>
      <c r="G1207" s="13"/>
      <c r="H1207" s="19">
        <v>44466</v>
      </c>
      <c r="I1207" s="13" t="s">
        <v>773</v>
      </c>
      <c r="J1207" s="13" t="s">
        <v>1954</v>
      </c>
      <c r="K1207" s="13">
        <v>1076</v>
      </c>
      <c r="L1207" s="13"/>
      <c r="M1207" s="13"/>
      <c r="N1207" s="13"/>
      <c r="O1207" s="13"/>
      <c r="P1207" s="13"/>
      <c r="Q1207" s="13" t="s">
        <v>779</v>
      </c>
      <c r="R1207" s="13"/>
      <c r="S1207" s="13" t="s">
        <v>1960</v>
      </c>
      <c r="T1207" s="13"/>
      <c r="U1207" s="13"/>
      <c r="V1207" s="13"/>
      <c r="W1207" s="13"/>
      <c r="X1207" s="13"/>
    </row>
    <row r="1208" spans="1:24" x14ac:dyDescent="0.25">
      <c r="A1208" s="15" t="s">
        <v>1950</v>
      </c>
      <c r="B1208" s="13" t="s">
        <v>13</v>
      </c>
      <c r="C1208" s="22" t="s">
        <v>653</v>
      </c>
      <c r="D1208" s="29">
        <v>44455</v>
      </c>
      <c r="E1208" s="18" t="s">
        <v>23</v>
      </c>
      <c r="F1208" s="18"/>
      <c r="G1208" s="13"/>
      <c r="H1208" s="19">
        <v>44466</v>
      </c>
      <c r="I1208" s="13" t="s">
        <v>1951</v>
      </c>
      <c r="J1208" s="13" t="s">
        <v>1955</v>
      </c>
      <c r="K1208" s="13">
        <v>118</v>
      </c>
      <c r="L1208" s="13"/>
      <c r="M1208" s="13"/>
      <c r="N1208" s="13"/>
      <c r="O1208" s="13"/>
      <c r="P1208" s="13"/>
      <c r="Q1208" s="13" t="s">
        <v>1626</v>
      </c>
      <c r="R1208" s="13"/>
      <c r="S1208" s="13" t="s">
        <v>1961</v>
      </c>
      <c r="T1208" s="13"/>
      <c r="U1208" s="13"/>
      <c r="V1208" s="13"/>
      <c r="W1208" s="13"/>
      <c r="X1208" s="13"/>
    </row>
    <row r="1209" spans="1:24" x14ac:dyDescent="0.25">
      <c r="A1209" s="15" t="s">
        <v>1950</v>
      </c>
      <c r="B1209" s="13" t="s">
        <v>13</v>
      </c>
      <c r="C1209" s="22" t="s">
        <v>653</v>
      </c>
      <c r="D1209" s="29">
        <v>44455</v>
      </c>
      <c r="E1209" s="18" t="s">
        <v>23</v>
      </c>
      <c r="F1209" s="18"/>
      <c r="G1209" s="13"/>
      <c r="H1209" s="19">
        <v>44466</v>
      </c>
      <c r="I1209" s="13" t="s">
        <v>1952</v>
      </c>
      <c r="J1209" s="13" t="s">
        <v>1956</v>
      </c>
      <c r="K1209" s="13">
        <v>262</v>
      </c>
      <c r="L1209" s="13"/>
      <c r="M1209" s="13"/>
      <c r="N1209" s="13"/>
      <c r="O1209" s="13"/>
      <c r="P1209" s="13"/>
      <c r="Q1209" s="13" t="s">
        <v>1958</v>
      </c>
      <c r="R1209" s="13"/>
      <c r="S1209" s="13" t="s">
        <v>1962</v>
      </c>
      <c r="T1209" s="13"/>
      <c r="U1209" s="13"/>
      <c r="V1209" s="13"/>
      <c r="W1209" s="13"/>
      <c r="X1209" s="13"/>
    </row>
    <row r="1210" spans="1:24" x14ac:dyDescent="0.25">
      <c r="A1210" s="15" t="s">
        <v>1950</v>
      </c>
      <c r="B1210" s="13" t="s">
        <v>13</v>
      </c>
      <c r="C1210" s="22" t="s">
        <v>653</v>
      </c>
      <c r="D1210" s="29">
        <v>44455</v>
      </c>
      <c r="E1210" s="18" t="s">
        <v>23</v>
      </c>
      <c r="F1210" s="18"/>
      <c r="G1210" s="13"/>
      <c r="H1210" s="19">
        <v>44466</v>
      </c>
      <c r="I1210" s="13" t="s">
        <v>1953</v>
      </c>
      <c r="J1210" s="13" t="s">
        <v>1957</v>
      </c>
      <c r="K1210" s="13">
        <v>281</v>
      </c>
      <c r="L1210" s="13"/>
      <c r="M1210" s="13"/>
      <c r="N1210" s="13"/>
      <c r="O1210" s="13"/>
      <c r="P1210" s="13"/>
      <c r="Q1210" s="13" t="s">
        <v>1959</v>
      </c>
      <c r="R1210" s="13"/>
      <c r="S1210" s="13" t="s">
        <v>1963</v>
      </c>
      <c r="T1210" s="13"/>
      <c r="U1210" s="13"/>
      <c r="V1210" s="13"/>
      <c r="W1210" s="13"/>
      <c r="X1210" s="13"/>
    </row>
    <row r="1211" spans="1:24" x14ac:dyDescent="0.25">
      <c r="A1211" s="15">
        <v>425</v>
      </c>
      <c r="B1211" s="13" t="s">
        <v>13</v>
      </c>
      <c r="C1211" s="22" t="s">
        <v>1825</v>
      </c>
      <c r="D1211" s="29">
        <v>44455</v>
      </c>
      <c r="E1211" s="18" t="s">
        <v>23</v>
      </c>
      <c r="F1211" s="18"/>
      <c r="G1211" s="13"/>
      <c r="H1211" s="19">
        <v>44461</v>
      </c>
      <c r="I1211" s="13" t="s">
        <v>1964</v>
      </c>
      <c r="J1211" s="13">
        <v>1788</v>
      </c>
      <c r="K1211" s="13" t="s">
        <v>1965</v>
      </c>
      <c r="L1211" s="13">
        <v>0.60040000000000004</v>
      </c>
      <c r="M1211" s="13">
        <v>2.5739999999999998</v>
      </c>
      <c r="N1211" s="13">
        <v>1073.5152</v>
      </c>
      <c r="O1211" s="13">
        <v>4602.3119999999999</v>
      </c>
      <c r="P1211" s="13">
        <v>139.56</v>
      </c>
      <c r="Q1211" s="13">
        <v>180.12</v>
      </c>
      <c r="R1211" s="13">
        <v>300</v>
      </c>
      <c r="S1211" s="13">
        <v>322054.56</v>
      </c>
      <c r="T1211" s="13"/>
      <c r="U1211" s="13"/>
      <c r="V1211" s="13"/>
      <c r="W1211" s="13"/>
      <c r="X1211" s="13"/>
    </row>
    <row r="1212" spans="1:24" x14ac:dyDescent="0.25">
      <c r="A1212" s="15" t="s">
        <v>1966</v>
      </c>
      <c r="B1212" s="13" t="s">
        <v>13</v>
      </c>
      <c r="C1212" s="22" t="s">
        <v>32</v>
      </c>
      <c r="D1212" s="29">
        <v>44455</v>
      </c>
      <c r="E1212" s="112" t="s">
        <v>23</v>
      </c>
      <c r="F1212" s="112"/>
      <c r="G1212" s="13"/>
      <c r="H1212" s="19">
        <v>44473</v>
      </c>
      <c r="I1212" s="13" t="s">
        <v>1967</v>
      </c>
      <c r="J1212" s="13"/>
      <c r="K1212" s="13">
        <v>17</v>
      </c>
      <c r="L1212" s="13"/>
      <c r="M1212" s="13"/>
      <c r="N1212" s="13"/>
      <c r="O1212" s="13"/>
      <c r="P1212" s="13"/>
      <c r="Q1212" s="13"/>
      <c r="R1212" s="13"/>
      <c r="S1212" s="13"/>
      <c r="T1212" s="13"/>
      <c r="U1212" s="13"/>
      <c r="V1212" s="13"/>
      <c r="W1212" s="13"/>
      <c r="X1212" s="13"/>
    </row>
    <row r="1213" spans="1:24" x14ac:dyDescent="0.25">
      <c r="A1213" s="15" t="s">
        <v>1969</v>
      </c>
      <c r="B1213" s="13" t="s">
        <v>34</v>
      </c>
      <c r="C1213" s="22" t="s">
        <v>1884</v>
      </c>
      <c r="D1213" s="29">
        <v>44456</v>
      </c>
      <c r="E1213" s="18" t="s">
        <v>23</v>
      </c>
      <c r="F1213" s="18"/>
      <c r="G1213" s="13"/>
      <c r="H1213" s="19">
        <v>44466</v>
      </c>
      <c r="I1213" s="13" t="s">
        <v>253</v>
      </c>
      <c r="J1213" s="13"/>
      <c r="K1213" s="13">
        <v>25</v>
      </c>
      <c r="L1213" s="13"/>
      <c r="M1213" s="13"/>
      <c r="N1213" s="13"/>
      <c r="O1213" s="13"/>
      <c r="P1213" s="13"/>
      <c r="Q1213" s="13"/>
      <c r="R1213" s="13"/>
      <c r="S1213" s="13" t="s">
        <v>1970</v>
      </c>
      <c r="T1213" s="13"/>
      <c r="U1213" s="13"/>
      <c r="V1213" s="13"/>
      <c r="W1213" s="13"/>
      <c r="X1213" s="13"/>
    </row>
    <row r="1214" spans="1:24" x14ac:dyDescent="0.25">
      <c r="A1214" s="15" t="s">
        <v>1971</v>
      </c>
      <c r="B1214" s="13" t="s">
        <v>13</v>
      </c>
      <c r="C1214" s="22" t="s">
        <v>583</v>
      </c>
      <c r="D1214" s="29">
        <v>44456</v>
      </c>
      <c r="E1214" s="18" t="s">
        <v>23</v>
      </c>
      <c r="F1214" s="18"/>
      <c r="G1214" s="13"/>
      <c r="H1214" s="31"/>
      <c r="I1214" s="13" t="s">
        <v>89</v>
      </c>
      <c r="J1214" s="13"/>
      <c r="K1214" s="13">
        <v>48</v>
      </c>
      <c r="L1214" s="13"/>
      <c r="M1214" s="13"/>
      <c r="N1214" s="13"/>
      <c r="O1214" s="13"/>
      <c r="P1214" s="13"/>
      <c r="Q1214" s="13"/>
      <c r="R1214" s="13"/>
      <c r="S1214" s="13"/>
      <c r="T1214" s="13"/>
      <c r="U1214" s="13"/>
      <c r="V1214" s="13"/>
      <c r="W1214" s="13"/>
      <c r="X1214" s="13"/>
    </row>
    <row r="1215" spans="1:24" x14ac:dyDescent="0.25">
      <c r="A1215" s="15" t="s">
        <v>1972</v>
      </c>
      <c r="B1215" s="13" t="s">
        <v>34</v>
      </c>
      <c r="C1215" s="22" t="s">
        <v>16</v>
      </c>
      <c r="D1215" s="29">
        <v>44459</v>
      </c>
      <c r="E1215" s="18" t="s">
        <v>23</v>
      </c>
      <c r="F1215" s="18"/>
      <c r="G1215" s="13"/>
      <c r="H1215" s="31"/>
      <c r="I1215" s="13" t="s">
        <v>631</v>
      </c>
      <c r="J1215" s="13">
        <v>1098</v>
      </c>
      <c r="K1215" s="13" t="s">
        <v>542</v>
      </c>
      <c r="L1215" s="13">
        <v>0.70820000000000005</v>
      </c>
      <c r="M1215" s="13">
        <v>3.4609999999999999</v>
      </c>
      <c r="N1215" s="13">
        <v>777.60360000000003</v>
      </c>
      <c r="O1215" s="13">
        <v>3800.1779999999999</v>
      </c>
      <c r="P1215" s="13">
        <v>101.09</v>
      </c>
      <c r="Q1215" s="13">
        <v>212.46</v>
      </c>
      <c r="R1215" s="13">
        <v>300</v>
      </c>
      <c r="S1215" s="13">
        <v>233281.08</v>
      </c>
      <c r="T1215" s="13"/>
      <c r="U1215" s="13"/>
      <c r="V1215" s="13"/>
      <c r="W1215" s="13"/>
      <c r="X1215" s="13"/>
    </row>
    <row r="1216" spans="1:24" x14ac:dyDescent="0.25">
      <c r="A1216" s="15">
        <v>428</v>
      </c>
      <c r="B1216" s="13" t="s">
        <v>13</v>
      </c>
      <c r="C1216" s="22" t="s">
        <v>32</v>
      </c>
      <c r="D1216" s="29">
        <v>44459</v>
      </c>
      <c r="E1216" s="18" t="s">
        <v>23</v>
      </c>
      <c r="F1216" s="18"/>
      <c r="G1216" s="13" t="s">
        <v>1981</v>
      </c>
      <c r="H1216" s="31"/>
      <c r="I1216" s="13" t="s">
        <v>1218</v>
      </c>
      <c r="J1216" s="13">
        <v>789.7</v>
      </c>
      <c r="K1216" s="13" t="s">
        <v>191</v>
      </c>
      <c r="L1216" s="13">
        <v>0.2651</v>
      </c>
      <c r="M1216" s="13">
        <v>0.82099999999999995</v>
      </c>
      <c r="N1216" s="13">
        <v>209.34950000000001</v>
      </c>
      <c r="O1216" s="13">
        <v>648.34370000000001</v>
      </c>
      <c r="P1216" s="13">
        <v>27.22</v>
      </c>
      <c r="Q1216" s="13">
        <v>53.02</v>
      </c>
      <c r="R1216" s="13">
        <v>200</v>
      </c>
      <c r="S1216" s="13">
        <v>41869.89</v>
      </c>
      <c r="T1216" s="13"/>
      <c r="U1216" s="13"/>
      <c r="V1216" s="13"/>
      <c r="W1216" s="13"/>
      <c r="X1216" s="13"/>
    </row>
    <row r="1217" spans="1:24" x14ac:dyDescent="0.25">
      <c r="A1217" s="15">
        <v>427</v>
      </c>
      <c r="B1217" s="13" t="s">
        <v>34</v>
      </c>
      <c r="C1217" s="22" t="s">
        <v>79</v>
      </c>
      <c r="D1217" s="29">
        <v>44459</v>
      </c>
      <c r="E1217" s="18" t="s">
        <v>23</v>
      </c>
      <c r="F1217" s="18"/>
      <c r="G1217" s="13" t="s">
        <v>1974</v>
      </c>
      <c r="H1217" s="19">
        <v>44466</v>
      </c>
      <c r="I1217" s="13" t="s">
        <v>78</v>
      </c>
      <c r="J1217" s="13">
        <v>312</v>
      </c>
      <c r="K1217" s="13" t="s">
        <v>302</v>
      </c>
      <c r="L1217" s="13">
        <v>0.20230000000000001</v>
      </c>
      <c r="M1217" s="13">
        <v>0.499</v>
      </c>
      <c r="N1217" s="13">
        <v>63.117600000000003</v>
      </c>
      <c r="O1217" s="13">
        <v>155.68799999999999</v>
      </c>
      <c r="P1217" s="13">
        <v>8.2100000000000009</v>
      </c>
      <c r="Q1217" s="13">
        <v>57.66</v>
      </c>
      <c r="R1217" s="13">
        <v>285</v>
      </c>
      <c r="S1217" s="13">
        <v>17988.52</v>
      </c>
      <c r="T1217" s="13"/>
      <c r="U1217" s="13"/>
      <c r="V1217" s="13"/>
      <c r="W1217" s="13"/>
      <c r="X1217" s="13"/>
    </row>
    <row r="1218" spans="1:24" x14ac:dyDescent="0.25">
      <c r="A1218" s="15">
        <v>429</v>
      </c>
      <c r="B1218" s="13" t="s">
        <v>13</v>
      </c>
      <c r="C1218" s="22" t="s">
        <v>32</v>
      </c>
      <c r="D1218" s="29">
        <v>44459</v>
      </c>
      <c r="E1218" s="18" t="s">
        <v>23</v>
      </c>
      <c r="F1218" s="18"/>
      <c r="G1218" s="13"/>
      <c r="H1218" s="19">
        <v>44461</v>
      </c>
      <c r="I1218" s="13" t="s">
        <v>1975</v>
      </c>
      <c r="J1218" s="13">
        <v>824</v>
      </c>
      <c r="K1218" s="13" t="s">
        <v>116</v>
      </c>
      <c r="L1218" s="13">
        <v>0.15790000000000001</v>
      </c>
      <c r="M1218" s="13">
        <v>0.309</v>
      </c>
      <c r="N1218" s="13">
        <v>130.1096</v>
      </c>
      <c r="O1218" s="13">
        <v>254.61600000000001</v>
      </c>
      <c r="P1218" s="13">
        <v>16.91</v>
      </c>
      <c r="Q1218" s="13">
        <v>39.630000000000003</v>
      </c>
      <c r="R1218" s="13">
        <v>251</v>
      </c>
      <c r="S1218" s="13">
        <v>32657.51</v>
      </c>
      <c r="T1218" s="13"/>
      <c r="U1218" s="13"/>
      <c r="V1218" s="13"/>
      <c r="W1218" s="13"/>
      <c r="X1218" s="13"/>
    </row>
    <row r="1219" spans="1:24" x14ac:dyDescent="0.25">
      <c r="A1219" s="15">
        <v>431</v>
      </c>
      <c r="B1219" s="13" t="s">
        <v>13</v>
      </c>
      <c r="C1219" s="22" t="s">
        <v>674</v>
      </c>
      <c r="D1219" s="29">
        <v>44459</v>
      </c>
      <c r="E1219" s="18" t="s">
        <v>23</v>
      </c>
      <c r="F1219" s="18"/>
      <c r="G1219" s="13" t="s">
        <v>2004</v>
      </c>
      <c r="H1219" s="19">
        <v>44463</v>
      </c>
      <c r="I1219" s="13" t="s">
        <v>600</v>
      </c>
      <c r="J1219" s="13">
        <v>1548</v>
      </c>
      <c r="K1219" s="13" t="s">
        <v>418</v>
      </c>
      <c r="L1219" s="13">
        <v>0.30719999999999997</v>
      </c>
      <c r="M1219" s="13">
        <v>0.69199999999999995</v>
      </c>
      <c r="N1219" s="13">
        <v>475.54559999999998</v>
      </c>
      <c r="O1219" s="13">
        <v>1071.2159999999999</v>
      </c>
      <c r="P1219" s="13">
        <v>61.82</v>
      </c>
      <c r="Q1219" s="13">
        <v>95.23</v>
      </c>
      <c r="R1219" s="13">
        <v>310</v>
      </c>
      <c r="S1219" s="13">
        <v>147419.14000000001</v>
      </c>
      <c r="T1219" s="13"/>
      <c r="U1219" s="13"/>
      <c r="V1219" s="13"/>
      <c r="W1219" s="13"/>
      <c r="X1219" s="13"/>
    </row>
    <row r="1220" spans="1:24" x14ac:dyDescent="0.25">
      <c r="A1220" s="15">
        <v>432</v>
      </c>
      <c r="B1220" s="13" t="s">
        <v>13</v>
      </c>
      <c r="C1220" s="22" t="s">
        <v>657</v>
      </c>
      <c r="D1220" s="29">
        <v>44459</v>
      </c>
      <c r="E1220" s="18" t="s">
        <v>23</v>
      </c>
      <c r="F1220" s="18"/>
      <c r="G1220" s="13"/>
      <c r="H1220" s="31"/>
      <c r="I1220" s="13" t="s">
        <v>1217</v>
      </c>
      <c r="J1220" s="13">
        <v>1772.1</v>
      </c>
      <c r="K1220" s="13" t="s">
        <v>1977</v>
      </c>
      <c r="L1220" s="13">
        <v>0.1149</v>
      </c>
      <c r="M1220" s="13">
        <v>0.3</v>
      </c>
      <c r="N1220" s="13">
        <v>203.61429999999999</v>
      </c>
      <c r="O1220" s="13">
        <v>531.63</v>
      </c>
      <c r="P1220" s="13">
        <v>26.47</v>
      </c>
      <c r="Q1220" s="13">
        <v>31.6</v>
      </c>
      <c r="R1220" s="13">
        <v>275</v>
      </c>
      <c r="S1220" s="13">
        <v>55998.36</v>
      </c>
      <c r="T1220" s="13"/>
      <c r="U1220" s="13"/>
      <c r="V1220" s="13"/>
      <c r="W1220" s="13"/>
      <c r="X1220" s="13"/>
    </row>
    <row r="1221" spans="1:24" x14ac:dyDescent="0.25">
      <c r="A1221" s="15">
        <v>430</v>
      </c>
      <c r="B1221" s="13" t="s">
        <v>34</v>
      </c>
      <c r="C1221" s="22" t="s">
        <v>79</v>
      </c>
      <c r="D1221" s="29">
        <v>44459</v>
      </c>
      <c r="E1221" s="18" t="s">
        <v>23</v>
      </c>
      <c r="F1221" s="18"/>
      <c r="G1221" s="13" t="s">
        <v>1973</v>
      </c>
      <c r="H1221" s="19">
        <v>44466</v>
      </c>
      <c r="I1221" s="13" t="s">
        <v>78</v>
      </c>
      <c r="J1221" s="13">
        <v>726</v>
      </c>
      <c r="K1221" s="13" t="s">
        <v>665</v>
      </c>
      <c r="L1221" s="13">
        <v>0.20230000000000001</v>
      </c>
      <c r="M1221" s="13">
        <v>0.499</v>
      </c>
      <c r="N1221" s="13">
        <v>146.8698</v>
      </c>
      <c r="O1221" s="13">
        <v>362.274</v>
      </c>
      <c r="P1221" s="13">
        <v>19.09</v>
      </c>
      <c r="Q1221" s="13">
        <v>37.43</v>
      </c>
      <c r="R1221" s="13">
        <v>185</v>
      </c>
      <c r="S1221" s="13">
        <v>27170.91</v>
      </c>
      <c r="T1221" s="13"/>
      <c r="U1221" s="13"/>
      <c r="V1221" s="13"/>
      <c r="W1221" s="13"/>
      <c r="X1221" s="13"/>
    </row>
    <row r="1222" spans="1:24" x14ac:dyDescent="0.25">
      <c r="A1222" s="15">
        <v>435</v>
      </c>
      <c r="B1222" s="13" t="s">
        <v>34</v>
      </c>
      <c r="C1222" s="22" t="s">
        <v>14</v>
      </c>
      <c r="D1222" s="29">
        <v>44459</v>
      </c>
      <c r="E1222" s="18" t="s">
        <v>23</v>
      </c>
      <c r="F1222" s="18"/>
      <c r="G1222" s="13"/>
      <c r="H1222" s="19">
        <v>44467</v>
      </c>
      <c r="I1222" s="13" t="s">
        <v>1941</v>
      </c>
      <c r="J1222" s="13">
        <v>312</v>
      </c>
      <c r="K1222" s="13" t="s">
        <v>302</v>
      </c>
      <c r="L1222" s="13">
        <v>0.1623</v>
      </c>
      <c r="M1222" s="13">
        <v>0.78300000000000003</v>
      </c>
      <c r="N1222" s="13">
        <v>50.637599999999999</v>
      </c>
      <c r="O1222" s="13">
        <v>244.29599999999999</v>
      </c>
      <c r="P1222" s="13">
        <v>6.58</v>
      </c>
      <c r="Q1222" s="13">
        <v>45.44</v>
      </c>
      <c r="R1222" s="13">
        <v>280</v>
      </c>
      <c r="S1222" s="13">
        <v>14178.53</v>
      </c>
      <c r="T1222" s="13"/>
      <c r="U1222" s="13"/>
      <c r="V1222" s="13"/>
      <c r="W1222" s="13"/>
      <c r="X1222" s="13"/>
    </row>
    <row r="1223" spans="1:24" x14ac:dyDescent="0.25">
      <c r="A1223" s="15">
        <v>436</v>
      </c>
      <c r="B1223" s="13" t="s">
        <v>13</v>
      </c>
      <c r="C1223" s="22" t="s">
        <v>32</v>
      </c>
      <c r="D1223" s="29">
        <v>44459</v>
      </c>
      <c r="E1223" s="18" t="s">
        <v>23</v>
      </c>
      <c r="F1223" s="18"/>
      <c r="G1223" s="13" t="s">
        <v>1973</v>
      </c>
      <c r="H1223" s="31"/>
      <c r="I1223" s="13" t="s">
        <v>1218</v>
      </c>
      <c r="J1223" s="13">
        <v>630.70000000000005</v>
      </c>
      <c r="K1223" s="13" t="s">
        <v>1545</v>
      </c>
      <c r="L1223" s="13">
        <v>0.2651</v>
      </c>
      <c r="M1223" s="13">
        <v>0.82099999999999995</v>
      </c>
      <c r="N1223" s="13">
        <v>167.1986</v>
      </c>
      <c r="O1223" s="13">
        <v>517.80470000000003</v>
      </c>
      <c r="P1223" s="13">
        <v>21.74</v>
      </c>
      <c r="Q1223" s="13">
        <v>53.02</v>
      </c>
      <c r="R1223" s="13">
        <v>200</v>
      </c>
      <c r="S1223" s="13">
        <v>33439.71</v>
      </c>
      <c r="T1223" s="13"/>
      <c r="U1223" s="13"/>
      <c r="V1223" s="13"/>
      <c r="W1223" s="13"/>
      <c r="X1223" s="13"/>
    </row>
    <row r="1224" spans="1:24" x14ac:dyDescent="0.25">
      <c r="A1224" s="15" t="s">
        <v>1980</v>
      </c>
      <c r="B1224" s="13" t="s">
        <v>13</v>
      </c>
      <c r="C1224" s="22" t="s">
        <v>15</v>
      </c>
      <c r="D1224" s="29">
        <v>44459</v>
      </c>
      <c r="E1224" s="18" t="s">
        <v>23</v>
      </c>
      <c r="F1224" s="18"/>
      <c r="G1224" s="13"/>
      <c r="H1224" s="19">
        <v>44462</v>
      </c>
      <c r="I1224" s="13" t="s">
        <v>89</v>
      </c>
      <c r="J1224" s="13"/>
      <c r="K1224" s="13">
        <v>48</v>
      </c>
      <c r="L1224" s="13"/>
      <c r="M1224" s="13"/>
      <c r="N1224" s="13"/>
      <c r="O1224" s="13"/>
      <c r="P1224" s="13"/>
      <c r="Q1224" s="13"/>
      <c r="R1224" s="13"/>
      <c r="S1224" s="13">
        <v>34992</v>
      </c>
      <c r="T1224" s="13"/>
      <c r="U1224" s="13"/>
      <c r="V1224" s="13"/>
      <c r="W1224" s="13"/>
      <c r="X1224" s="13"/>
    </row>
    <row r="1225" spans="1:24" x14ac:dyDescent="0.25">
      <c r="A1225" s="15" t="s">
        <v>1982</v>
      </c>
      <c r="B1225" s="13" t="s">
        <v>13</v>
      </c>
      <c r="C1225" s="22" t="s">
        <v>289</v>
      </c>
      <c r="D1225" s="29">
        <v>44460</v>
      </c>
      <c r="E1225" s="18" t="s">
        <v>23</v>
      </c>
      <c r="F1225" s="18"/>
      <c r="G1225" s="13"/>
      <c r="H1225" s="19"/>
      <c r="I1225" s="13" t="s">
        <v>177</v>
      </c>
      <c r="J1225" s="13"/>
      <c r="K1225" s="13">
        <v>4</v>
      </c>
      <c r="L1225" s="13"/>
      <c r="M1225" s="13"/>
      <c r="N1225" s="13"/>
      <c r="O1225" s="13"/>
      <c r="P1225" s="13"/>
      <c r="Q1225" s="13"/>
      <c r="R1225" s="13"/>
      <c r="S1225" s="13">
        <v>13320</v>
      </c>
      <c r="T1225" s="13"/>
      <c r="U1225" s="13"/>
      <c r="V1225" s="13"/>
      <c r="W1225" s="13"/>
      <c r="X1225" s="13"/>
    </row>
    <row r="1226" spans="1:24" x14ac:dyDescent="0.25">
      <c r="A1226" s="15">
        <v>437</v>
      </c>
      <c r="B1226" s="13" t="s">
        <v>13</v>
      </c>
      <c r="C1226" s="22" t="s">
        <v>674</v>
      </c>
      <c r="D1226" s="29">
        <v>44460</v>
      </c>
      <c r="E1226" s="18" t="s">
        <v>23</v>
      </c>
      <c r="F1226" s="18"/>
      <c r="G1226" s="13" t="s">
        <v>721</v>
      </c>
      <c r="H1226" s="19">
        <v>44463</v>
      </c>
      <c r="I1226" s="13" t="s">
        <v>1721</v>
      </c>
      <c r="J1226" s="13">
        <v>1200</v>
      </c>
      <c r="K1226" s="13" t="s">
        <v>410</v>
      </c>
      <c r="L1226" s="13">
        <v>0.04</v>
      </c>
      <c r="M1226" s="13">
        <v>6.0999999999999999E-2</v>
      </c>
      <c r="N1226" s="13">
        <v>48</v>
      </c>
      <c r="O1226" s="13">
        <v>73.2</v>
      </c>
      <c r="P1226" s="13">
        <v>6.24</v>
      </c>
      <c r="Q1226" s="13">
        <v>10.199999999999999</v>
      </c>
      <c r="R1226" s="13">
        <v>255</v>
      </c>
      <c r="S1226" s="13">
        <v>12240</v>
      </c>
      <c r="T1226" s="13"/>
      <c r="U1226" s="13"/>
      <c r="V1226" s="13"/>
      <c r="W1226" s="13"/>
      <c r="X1226" s="13"/>
    </row>
    <row r="1227" spans="1:24" x14ac:dyDescent="0.25">
      <c r="A1227" s="15">
        <v>438</v>
      </c>
      <c r="B1227" s="13" t="s">
        <v>13</v>
      </c>
      <c r="C1227" s="22" t="s">
        <v>595</v>
      </c>
      <c r="D1227" s="29">
        <v>44461</v>
      </c>
      <c r="E1227" s="18" t="s">
        <v>677</v>
      </c>
      <c r="F1227" s="18"/>
      <c r="G1227" s="13" t="s">
        <v>2008</v>
      </c>
      <c r="H1227" s="19">
        <v>44468</v>
      </c>
      <c r="I1227" s="13" t="s">
        <v>1983</v>
      </c>
      <c r="J1227" s="13">
        <v>500</v>
      </c>
      <c r="K1227" s="13" t="s">
        <v>42</v>
      </c>
      <c r="L1227" s="13">
        <v>0.2079</v>
      </c>
      <c r="M1227" s="13" t="s">
        <v>17</v>
      </c>
      <c r="N1227" s="13">
        <v>103.95</v>
      </c>
      <c r="O1227" s="13" t="s">
        <v>17</v>
      </c>
      <c r="P1227" s="13">
        <v>13.51</v>
      </c>
      <c r="Q1227" s="13">
        <v>16.63</v>
      </c>
      <c r="R1227" s="13">
        <v>80</v>
      </c>
      <c r="S1227" s="13">
        <v>8316</v>
      </c>
      <c r="T1227" s="13"/>
      <c r="U1227" s="13"/>
      <c r="V1227" s="13"/>
      <c r="W1227" s="13"/>
      <c r="X1227" s="13"/>
    </row>
    <row r="1228" spans="1:24" x14ac:dyDescent="0.25">
      <c r="A1228" s="15" t="s">
        <v>1984</v>
      </c>
      <c r="B1228" s="13" t="s">
        <v>13</v>
      </c>
      <c r="C1228" s="22" t="s">
        <v>284</v>
      </c>
      <c r="D1228" s="29">
        <v>44462</v>
      </c>
      <c r="E1228" s="18" t="s">
        <v>23</v>
      </c>
      <c r="F1228" s="18"/>
      <c r="G1228" s="13"/>
      <c r="H1228" s="19">
        <v>44467</v>
      </c>
      <c r="I1228" s="13" t="s">
        <v>29</v>
      </c>
      <c r="J1228" s="13">
        <v>78</v>
      </c>
      <c r="K1228" s="13">
        <v>13</v>
      </c>
      <c r="L1228" s="13"/>
      <c r="M1228" s="13"/>
      <c r="N1228" s="13"/>
      <c r="O1228" s="13"/>
      <c r="P1228" s="13"/>
      <c r="Q1228" s="13"/>
      <c r="R1228" s="13"/>
      <c r="S1228" s="13">
        <v>10300</v>
      </c>
      <c r="T1228" s="13"/>
      <c r="U1228" s="13"/>
      <c r="V1228" s="13"/>
      <c r="W1228" s="13"/>
      <c r="X1228" s="13"/>
    </row>
    <row r="1229" spans="1:24" x14ac:dyDescent="0.25">
      <c r="A1229" s="15" t="s">
        <v>1987</v>
      </c>
      <c r="B1229" s="13" t="s">
        <v>34</v>
      </c>
      <c r="C1229" s="22" t="s">
        <v>1157</v>
      </c>
      <c r="D1229" s="29">
        <v>44461</v>
      </c>
      <c r="E1229" s="18" t="s">
        <v>23</v>
      </c>
      <c r="F1229" s="18"/>
      <c r="G1229" s="13"/>
      <c r="H1229" s="19">
        <v>44468</v>
      </c>
      <c r="I1229" s="13" t="s">
        <v>1986</v>
      </c>
      <c r="J1229" s="13"/>
      <c r="K1229" s="13"/>
      <c r="L1229" s="13"/>
      <c r="M1229" s="13"/>
      <c r="N1229" s="13"/>
      <c r="O1229" s="13"/>
      <c r="P1229" s="13"/>
      <c r="Q1229" s="13"/>
      <c r="R1229" s="13"/>
      <c r="S1229" s="13" t="s">
        <v>484</v>
      </c>
      <c r="T1229" s="13"/>
      <c r="U1229" s="13"/>
      <c r="V1229" s="13"/>
      <c r="W1229" s="13"/>
      <c r="X1229" s="13"/>
    </row>
    <row r="1230" spans="1:24" x14ac:dyDescent="0.25">
      <c r="A1230" s="15" t="s">
        <v>1989</v>
      </c>
      <c r="B1230" s="13" t="s">
        <v>34</v>
      </c>
      <c r="C1230" s="22" t="s">
        <v>541</v>
      </c>
      <c r="D1230" s="29">
        <v>44462</v>
      </c>
      <c r="E1230" s="18" t="s">
        <v>23</v>
      </c>
      <c r="F1230" s="18"/>
      <c r="G1230" s="13"/>
      <c r="H1230" s="19">
        <v>44469</v>
      </c>
      <c r="I1230" s="13" t="s">
        <v>1637</v>
      </c>
      <c r="J1230" s="13"/>
      <c r="K1230" s="13"/>
      <c r="L1230" s="13"/>
      <c r="M1230" s="13"/>
      <c r="N1230" s="13"/>
      <c r="O1230" s="13"/>
      <c r="P1230" s="13"/>
      <c r="Q1230" s="13"/>
      <c r="R1230" s="13"/>
      <c r="S1230" s="13" t="s">
        <v>1990</v>
      </c>
      <c r="T1230" s="13"/>
      <c r="U1230" s="13"/>
      <c r="V1230" s="13"/>
      <c r="W1230" s="13"/>
      <c r="X1230" s="13"/>
    </row>
    <row r="1231" spans="1:24" x14ac:dyDescent="0.25">
      <c r="A1231" s="15" t="s">
        <v>1989</v>
      </c>
      <c r="B1231" s="13" t="s">
        <v>34</v>
      </c>
      <c r="C1231" s="22" t="s">
        <v>541</v>
      </c>
      <c r="D1231" s="29">
        <v>44462</v>
      </c>
      <c r="E1231" s="18" t="s">
        <v>23</v>
      </c>
      <c r="F1231" s="18"/>
      <c r="G1231" s="13"/>
      <c r="H1231" s="19">
        <v>44469</v>
      </c>
      <c r="I1231" s="13" t="s">
        <v>534</v>
      </c>
      <c r="J1231" s="13"/>
      <c r="K1231" s="13"/>
      <c r="L1231" s="13"/>
      <c r="M1231" s="13"/>
      <c r="N1231" s="13"/>
      <c r="O1231" s="13"/>
      <c r="P1231" s="13"/>
      <c r="Q1231" s="13"/>
      <c r="R1231" s="13"/>
      <c r="S1231" s="13" t="s">
        <v>1991</v>
      </c>
      <c r="T1231" s="13"/>
      <c r="U1231" s="13"/>
      <c r="V1231" s="13"/>
      <c r="W1231" s="13"/>
      <c r="X1231" s="13"/>
    </row>
    <row r="1232" spans="1:24" x14ac:dyDescent="0.25">
      <c r="A1232" s="15" t="s">
        <v>1989</v>
      </c>
      <c r="B1232" s="13" t="s">
        <v>34</v>
      </c>
      <c r="C1232" s="22" t="s">
        <v>541</v>
      </c>
      <c r="D1232" s="29">
        <v>44462</v>
      </c>
      <c r="E1232" s="18" t="s">
        <v>23</v>
      </c>
      <c r="F1232" s="18"/>
      <c r="G1232" s="13"/>
      <c r="H1232" s="19">
        <v>44469</v>
      </c>
      <c r="I1232" s="13" t="s">
        <v>1698</v>
      </c>
      <c r="J1232" s="13"/>
      <c r="K1232" s="13"/>
      <c r="L1232" s="13"/>
      <c r="M1232" s="13"/>
      <c r="N1232" s="13"/>
      <c r="O1232" s="13"/>
      <c r="P1232" s="13"/>
      <c r="Q1232" s="13"/>
      <c r="R1232" s="13"/>
      <c r="S1232" s="13" t="s">
        <v>1992</v>
      </c>
      <c r="T1232" s="13"/>
      <c r="U1232" s="13"/>
      <c r="V1232" s="13"/>
      <c r="W1232" s="13"/>
      <c r="X1232" s="13"/>
    </row>
    <row r="1233" spans="1:24" x14ac:dyDescent="0.25">
      <c r="A1233" s="15" t="s">
        <v>1989</v>
      </c>
      <c r="B1233" s="13" t="s">
        <v>34</v>
      </c>
      <c r="C1233" s="22" t="s">
        <v>541</v>
      </c>
      <c r="D1233" s="29">
        <v>44462</v>
      </c>
      <c r="E1233" s="18" t="s">
        <v>23</v>
      </c>
      <c r="F1233" s="18"/>
      <c r="G1233" s="13"/>
      <c r="H1233" s="19">
        <v>44469</v>
      </c>
      <c r="I1233" s="13" t="s">
        <v>1988</v>
      </c>
      <c r="J1233" s="13"/>
      <c r="K1233" s="13"/>
      <c r="L1233" s="13"/>
      <c r="M1233" s="13"/>
      <c r="N1233" s="13"/>
      <c r="O1233" s="13"/>
      <c r="P1233" s="13"/>
      <c r="Q1233" s="13"/>
      <c r="R1233" s="13"/>
      <c r="S1233" s="13" t="s">
        <v>1993</v>
      </c>
      <c r="T1233" s="13"/>
      <c r="U1233" s="13"/>
      <c r="V1233" s="13"/>
      <c r="W1233" s="13"/>
      <c r="X1233" s="13"/>
    </row>
    <row r="1234" spans="1:24" x14ac:dyDescent="0.25">
      <c r="A1234" s="15" t="s">
        <v>1989</v>
      </c>
      <c r="B1234" s="13" t="s">
        <v>34</v>
      </c>
      <c r="C1234" s="22" t="s">
        <v>541</v>
      </c>
      <c r="D1234" s="29">
        <v>44462</v>
      </c>
      <c r="E1234" s="18" t="s">
        <v>23</v>
      </c>
      <c r="F1234" s="18"/>
      <c r="G1234" s="13"/>
      <c r="H1234" s="19">
        <v>44469</v>
      </c>
      <c r="I1234" s="13" t="s">
        <v>1700</v>
      </c>
      <c r="J1234" s="13"/>
      <c r="K1234" s="13"/>
      <c r="L1234" s="13"/>
      <c r="M1234" s="13"/>
      <c r="N1234" s="13"/>
      <c r="O1234" s="13"/>
      <c r="P1234" s="13"/>
      <c r="Q1234" s="13"/>
      <c r="R1234" s="13"/>
      <c r="S1234" s="13" t="s">
        <v>1994</v>
      </c>
      <c r="T1234" s="13"/>
      <c r="U1234" s="13"/>
      <c r="V1234" s="13"/>
      <c r="W1234" s="13"/>
      <c r="X1234" s="13"/>
    </row>
    <row r="1235" spans="1:24" x14ac:dyDescent="0.25">
      <c r="A1235" s="15" t="s">
        <v>1989</v>
      </c>
      <c r="B1235" s="13" t="s">
        <v>34</v>
      </c>
      <c r="C1235" s="22" t="s">
        <v>541</v>
      </c>
      <c r="D1235" s="29">
        <v>44462</v>
      </c>
      <c r="E1235" s="18" t="s">
        <v>23</v>
      </c>
      <c r="F1235" s="18"/>
      <c r="G1235" s="13"/>
      <c r="H1235" s="19">
        <v>44469</v>
      </c>
      <c r="I1235" s="13" t="s">
        <v>950</v>
      </c>
      <c r="J1235" s="13"/>
      <c r="K1235" s="13"/>
      <c r="L1235" s="13"/>
      <c r="M1235" s="13"/>
      <c r="N1235" s="13"/>
      <c r="O1235" s="13"/>
      <c r="P1235" s="13"/>
      <c r="Q1235" s="13"/>
      <c r="R1235" s="13"/>
      <c r="S1235" s="13" t="s">
        <v>1995</v>
      </c>
      <c r="T1235" s="13"/>
      <c r="U1235" s="13"/>
      <c r="V1235" s="13"/>
      <c r="W1235" s="13"/>
      <c r="X1235" s="13"/>
    </row>
    <row r="1236" spans="1:24" x14ac:dyDescent="0.25">
      <c r="A1236" s="15" t="s">
        <v>1989</v>
      </c>
      <c r="B1236" s="13" t="s">
        <v>34</v>
      </c>
      <c r="C1236" s="22" t="s">
        <v>541</v>
      </c>
      <c r="D1236" s="29">
        <v>44462</v>
      </c>
      <c r="E1236" s="18" t="s">
        <v>23</v>
      </c>
      <c r="F1236" s="18"/>
      <c r="G1236" s="13"/>
      <c r="H1236" s="19">
        <v>44469</v>
      </c>
      <c r="I1236" s="13" t="s">
        <v>537</v>
      </c>
      <c r="J1236" s="13"/>
      <c r="K1236" s="13"/>
      <c r="L1236" s="13"/>
      <c r="M1236" s="13"/>
      <c r="N1236" s="13"/>
      <c r="O1236" s="13"/>
      <c r="P1236" s="13"/>
      <c r="Q1236" s="13"/>
      <c r="R1236" s="13"/>
      <c r="S1236" s="13" t="s">
        <v>1996</v>
      </c>
      <c r="T1236" s="13"/>
      <c r="U1236" s="13"/>
      <c r="V1236" s="13"/>
      <c r="W1236" s="13"/>
      <c r="X1236" s="13"/>
    </row>
    <row r="1237" spans="1:24" x14ac:dyDescent="0.25">
      <c r="A1237" s="15" t="s">
        <v>1989</v>
      </c>
      <c r="B1237" s="13" t="s">
        <v>34</v>
      </c>
      <c r="C1237" s="22" t="s">
        <v>541</v>
      </c>
      <c r="D1237" s="29">
        <v>44462</v>
      </c>
      <c r="E1237" s="18" t="s">
        <v>23</v>
      </c>
      <c r="F1237" s="18"/>
      <c r="G1237" s="13"/>
      <c r="H1237" s="19">
        <v>44469</v>
      </c>
      <c r="I1237" s="13" t="s">
        <v>539</v>
      </c>
      <c r="J1237" s="13"/>
      <c r="K1237" s="13"/>
      <c r="L1237" s="13"/>
      <c r="M1237" s="13"/>
      <c r="N1237" s="13"/>
      <c r="O1237" s="13"/>
      <c r="P1237" s="13"/>
      <c r="Q1237" s="13"/>
      <c r="R1237" s="13"/>
      <c r="S1237" s="13" t="s">
        <v>1997</v>
      </c>
      <c r="T1237" s="13"/>
      <c r="U1237" s="13"/>
      <c r="V1237" s="13"/>
      <c r="W1237" s="13"/>
      <c r="X1237" s="13"/>
    </row>
    <row r="1238" spans="1:24" x14ac:dyDescent="0.25">
      <c r="A1238" s="15" t="s">
        <v>1989</v>
      </c>
      <c r="B1238" s="13" t="s">
        <v>34</v>
      </c>
      <c r="C1238" s="22" t="s">
        <v>541</v>
      </c>
      <c r="D1238" s="29">
        <v>44462</v>
      </c>
      <c r="E1238" s="18" t="s">
        <v>23</v>
      </c>
      <c r="F1238" s="18"/>
      <c r="G1238" s="13"/>
      <c r="H1238" s="19">
        <v>44469</v>
      </c>
      <c r="I1238" s="13" t="s">
        <v>540</v>
      </c>
      <c r="J1238" s="13"/>
      <c r="K1238" s="13"/>
      <c r="L1238" s="13"/>
      <c r="M1238" s="13"/>
      <c r="N1238" s="13"/>
      <c r="O1238" s="13"/>
      <c r="P1238" s="13"/>
      <c r="Q1238" s="13"/>
      <c r="R1238" s="13"/>
      <c r="S1238" s="13" t="s">
        <v>1998</v>
      </c>
      <c r="T1238" s="13"/>
      <c r="U1238" s="13"/>
      <c r="V1238" s="13"/>
      <c r="W1238" s="13"/>
      <c r="X1238" s="13"/>
    </row>
    <row r="1239" spans="1:24" x14ac:dyDescent="0.25">
      <c r="A1239" s="15" t="s">
        <v>1989</v>
      </c>
      <c r="B1239" s="13" t="s">
        <v>34</v>
      </c>
      <c r="C1239" s="22" t="s">
        <v>541</v>
      </c>
      <c r="D1239" s="29">
        <v>44462</v>
      </c>
      <c r="E1239" s="18" t="s">
        <v>23</v>
      </c>
      <c r="F1239" s="18"/>
      <c r="G1239" s="13"/>
      <c r="H1239" s="19">
        <v>44469</v>
      </c>
      <c r="I1239" s="13" t="s">
        <v>533</v>
      </c>
      <c r="J1239" s="13"/>
      <c r="K1239" s="13"/>
      <c r="L1239" s="13"/>
      <c r="M1239" s="13"/>
      <c r="N1239" s="13"/>
      <c r="O1239" s="13"/>
      <c r="P1239" s="13"/>
      <c r="Q1239" s="13"/>
      <c r="R1239" s="13"/>
      <c r="S1239" s="13" t="s">
        <v>1999</v>
      </c>
      <c r="T1239" s="13"/>
      <c r="U1239" s="13"/>
      <c r="V1239" s="13"/>
      <c r="W1239" s="13"/>
      <c r="X1239" s="13"/>
    </row>
    <row r="1240" spans="1:24" x14ac:dyDescent="0.25">
      <c r="A1240" s="15">
        <v>442</v>
      </c>
      <c r="B1240" s="13" t="s">
        <v>13</v>
      </c>
      <c r="C1240" s="22" t="s">
        <v>32</v>
      </c>
      <c r="D1240" s="29">
        <v>44463</v>
      </c>
      <c r="E1240" s="18" t="s">
        <v>23</v>
      </c>
      <c r="F1240" s="18"/>
      <c r="G1240" s="13" t="s">
        <v>1634</v>
      </c>
      <c r="H1240" s="19">
        <v>44466</v>
      </c>
      <c r="I1240" s="13" t="s">
        <v>1218</v>
      </c>
      <c r="J1240" s="13">
        <v>1224.3</v>
      </c>
      <c r="K1240" s="13" t="s">
        <v>86</v>
      </c>
      <c r="L1240" s="13">
        <v>0.2651</v>
      </c>
      <c r="M1240" s="13">
        <v>0.82099999999999995</v>
      </c>
      <c r="N1240" s="13">
        <v>324.56189999999998</v>
      </c>
      <c r="O1240" s="13">
        <v>1005.1503</v>
      </c>
      <c r="P1240" s="13">
        <v>42.19</v>
      </c>
      <c r="Q1240" s="13">
        <v>66.540000000000006</v>
      </c>
      <c r="R1240" s="13">
        <v>251</v>
      </c>
      <c r="S1240" s="13">
        <v>81465.039999999994</v>
      </c>
      <c r="T1240" s="13"/>
      <c r="U1240" s="13"/>
      <c r="V1240" s="13"/>
      <c r="W1240" s="13"/>
      <c r="X1240" s="13"/>
    </row>
    <row r="1241" spans="1:24" x14ac:dyDescent="0.25">
      <c r="A1241" s="15">
        <v>444</v>
      </c>
      <c r="B1241" s="13" t="s">
        <v>13</v>
      </c>
      <c r="C1241" s="22" t="s">
        <v>32</v>
      </c>
      <c r="D1241" s="29">
        <v>44463</v>
      </c>
      <c r="E1241" s="18" t="s">
        <v>23</v>
      </c>
      <c r="F1241" s="18"/>
      <c r="G1241" s="13"/>
      <c r="H1241" s="19">
        <v>44473</v>
      </c>
      <c r="I1241" s="13" t="s">
        <v>1975</v>
      </c>
      <c r="J1241" s="13">
        <v>1457.45</v>
      </c>
      <c r="K1241" s="13" t="s">
        <v>482</v>
      </c>
      <c r="L1241" s="13">
        <v>0.15790000000000001</v>
      </c>
      <c r="M1241" s="13">
        <v>0.309</v>
      </c>
      <c r="N1241" s="13">
        <v>230.13140000000001</v>
      </c>
      <c r="O1241" s="13">
        <v>450.35210000000001</v>
      </c>
      <c r="P1241" s="13">
        <v>29.92</v>
      </c>
      <c r="Q1241" s="13">
        <v>39.630000000000003</v>
      </c>
      <c r="R1241" s="13">
        <v>251</v>
      </c>
      <c r="S1241" s="13">
        <v>57762.97</v>
      </c>
      <c r="T1241" s="13"/>
      <c r="U1241" s="13"/>
      <c r="V1241" s="13"/>
      <c r="W1241" s="13"/>
      <c r="X1241" s="13"/>
    </row>
    <row r="1242" spans="1:24" x14ac:dyDescent="0.25">
      <c r="A1242" s="15">
        <v>445</v>
      </c>
      <c r="B1242" s="13" t="s">
        <v>13</v>
      </c>
      <c r="C1242" s="22" t="s">
        <v>657</v>
      </c>
      <c r="D1242" s="29">
        <v>44463</v>
      </c>
      <c r="E1242" s="18" t="s">
        <v>23</v>
      </c>
      <c r="F1242" s="18"/>
      <c r="G1242" s="13"/>
      <c r="H1242" s="19">
        <v>44467</v>
      </c>
      <c r="I1242" s="13" t="s">
        <v>1000</v>
      </c>
      <c r="J1242" s="13">
        <v>1542.8</v>
      </c>
      <c r="K1242" s="13" t="s">
        <v>648</v>
      </c>
      <c r="L1242" s="13">
        <v>0.1724</v>
      </c>
      <c r="M1242" s="13">
        <v>0.41499999999999998</v>
      </c>
      <c r="N1242" s="13">
        <v>265.9787</v>
      </c>
      <c r="O1242" s="13">
        <v>640.26199999999994</v>
      </c>
      <c r="P1242" s="13">
        <v>34.58</v>
      </c>
      <c r="Q1242" s="13">
        <v>47.41</v>
      </c>
      <c r="R1242" s="13">
        <v>275</v>
      </c>
      <c r="S1242" s="13">
        <v>73144.149999999994</v>
      </c>
      <c r="T1242" s="13"/>
      <c r="U1242" s="13"/>
      <c r="V1242" s="13"/>
      <c r="W1242" s="13"/>
      <c r="X1242" s="13"/>
    </row>
    <row r="1243" spans="1:24" x14ac:dyDescent="0.25">
      <c r="A1243" s="15">
        <v>446</v>
      </c>
      <c r="B1243" s="13" t="s">
        <v>13</v>
      </c>
      <c r="C1243" s="22" t="s">
        <v>674</v>
      </c>
      <c r="D1243" s="29">
        <v>44463</v>
      </c>
      <c r="E1243" s="18" t="s">
        <v>23</v>
      </c>
      <c r="F1243" s="18"/>
      <c r="G1243" s="13" t="s">
        <v>2019</v>
      </c>
      <c r="H1243" s="19">
        <v>44470</v>
      </c>
      <c r="I1243" s="13" t="s">
        <v>600</v>
      </c>
      <c r="J1243" s="13">
        <v>3414</v>
      </c>
      <c r="K1243" s="13" t="s">
        <v>2002</v>
      </c>
      <c r="L1243" s="13">
        <v>0.30719999999999997</v>
      </c>
      <c r="M1243" s="13">
        <v>0.69199999999999995</v>
      </c>
      <c r="N1243" s="13">
        <v>1048.7808</v>
      </c>
      <c r="O1243" s="13">
        <v>2362.4879999999998</v>
      </c>
      <c r="P1243" s="13">
        <v>136.34</v>
      </c>
      <c r="Q1243" s="13">
        <v>95.23</v>
      </c>
      <c r="R1243" s="13">
        <v>310</v>
      </c>
      <c r="S1243" s="13">
        <v>325115.21999999997</v>
      </c>
      <c r="T1243" s="13"/>
      <c r="U1243" s="13"/>
      <c r="V1243" s="13"/>
      <c r="W1243" s="13"/>
      <c r="X1243" s="13"/>
    </row>
    <row r="1244" spans="1:24" x14ac:dyDescent="0.25">
      <c r="A1244" s="15" t="s">
        <v>2034</v>
      </c>
      <c r="B1244" s="13" t="s">
        <v>13</v>
      </c>
      <c r="C1244" s="22" t="s">
        <v>30</v>
      </c>
      <c r="D1244" s="29">
        <v>44463</v>
      </c>
      <c r="E1244" s="18" t="s">
        <v>23</v>
      </c>
      <c r="F1244" s="18"/>
      <c r="G1244" s="13"/>
      <c r="H1244" s="19">
        <v>44473</v>
      </c>
      <c r="I1244" s="13" t="s">
        <v>214</v>
      </c>
      <c r="J1244" s="13"/>
      <c r="K1244" s="13">
        <v>12</v>
      </c>
      <c r="L1244" s="13"/>
      <c r="M1244" s="13"/>
      <c r="N1244" s="13"/>
      <c r="O1244" s="13"/>
      <c r="P1244" s="13"/>
      <c r="Q1244" s="13"/>
      <c r="R1244" s="13"/>
      <c r="S1244" s="13" t="s">
        <v>2003</v>
      </c>
      <c r="T1244" s="13"/>
      <c r="U1244" s="13"/>
      <c r="V1244" s="13"/>
      <c r="W1244" s="13"/>
      <c r="X1244" s="13"/>
    </row>
    <row r="1245" spans="1:24" x14ac:dyDescent="0.25">
      <c r="A1245" s="15" t="s">
        <v>2034</v>
      </c>
      <c r="B1245" s="13" t="s">
        <v>13</v>
      </c>
      <c r="C1245" s="22" t="s">
        <v>30</v>
      </c>
      <c r="D1245" s="29">
        <v>44463</v>
      </c>
      <c r="E1245" s="18" t="s">
        <v>23</v>
      </c>
      <c r="F1245" s="18"/>
      <c r="G1245" s="13"/>
      <c r="H1245" s="19">
        <v>44473</v>
      </c>
      <c r="I1245" s="13" t="s">
        <v>215</v>
      </c>
      <c r="J1245" s="13"/>
      <c r="K1245" s="13">
        <v>12</v>
      </c>
      <c r="L1245" s="13"/>
      <c r="M1245" s="13"/>
      <c r="N1245" s="13"/>
      <c r="O1245" s="13"/>
      <c r="P1245" s="13"/>
      <c r="Q1245" s="13"/>
      <c r="R1245" s="13"/>
      <c r="S1245" s="13" t="s">
        <v>1556</v>
      </c>
      <c r="T1245" s="13"/>
      <c r="U1245" s="13"/>
      <c r="V1245" s="13"/>
      <c r="W1245" s="13"/>
      <c r="X1245" s="13"/>
    </row>
    <row r="1246" spans="1:24" x14ac:dyDescent="0.25">
      <c r="A1246" s="15" t="s">
        <v>2034</v>
      </c>
      <c r="B1246" s="13" t="s">
        <v>13</v>
      </c>
      <c r="C1246" s="22" t="s">
        <v>30</v>
      </c>
      <c r="D1246" s="29">
        <v>44463</v>
      </c>
      <c r="E1246" s="18" t="s">
        <v>23</v>
      </c>
      <c r="F1246" s="18"/>
      <c r="G1246" s="13"/>
      <c r="H1246" s="19">
        <v>44473</v>
      </c>
      <c r="I1246" s="13" t="s">
        <v>216</v>
      </c>
      <c r="J1246" s="13"/>
      <c r="K1246" s="13">
        <v>12</v>
      </c>
      <c r="L1246" s="13"/>
      <c r="M1246" s="13"/>
      <c r="N1246" s="13"/>
      <c r="O1246" s="13"/>
      <c r="P1246" s="13"/>
      <c r="Q1246" s="13"/>
      <c r="R1246" s="13"/>
      <c r="S1246" s="13" t="s">
        <v>470</v>
      </c>
      <c r="T1246" s="13"/>
      <c r="U1246" s="13"/>
      <c r="V1246" s="13"/>
      <c r="W1246" s="13"/>
      <c r="X1246" s="13"/>
    </row>
    <row r="1247" spans="1:24" x14ac:dyDescent="0.25">
      <c r="A1247" s="15" t="s">
        <v>2034</v>
      </c>
      <c r="B1247" s="13" t="s">
        <v>13</v>
      </c>
      <c r="C1247" s="22" t="s">
        <v>30</v>
      </c>
      <c r="D1247" s="29">
        <v>44463</v>
      </c>
      <c r="E1247" s="18" t="s">
        <v>23</v>
      </c>
      <c r="F1247" s="18"/>
      <c r="G1247" s="13"/>
      <c r="H1247" s="19">
        <v>44473</v>
      </c>
      <c r="I1247" s="13" t="s">
        <v>219</v>
      </c>
      <c r="J1247" s="13"/>
      <c r="K1247" s="13">
        <v>12</v>
      </c>
      <c r="L1247" s="13"/>
      <c r="M1247" s="13"/>
      <c r="N1247" s="13"/>
      <c r="O1247" s="13"/>
      <c r="P1247" s="13"/>
      <c r="Q1247" s="13"/>
      <c r="R1247" s="13"/>
      <c r="S1247" s="13" t="s">
        <v>469</v>
      </c>
      <c r="T1247" s="13"/>
      <c r="U1247" s="13"/>
      <c r="V1247" s="13"/>
      <c r="W1247" s="13"/>
      <c r="X1247" s="13"/>
    </row>
    <row r="1248" spans="1:24" x14ac:dyDescent="0.25">
      <c r="A1248" s="15" t="s">
        <v>2034</v>
      </c>
      <c r="B1248" s="13" t="s">
        <v>13</v>
      </c>
      <c r="C1248" s="22" t="s">
        <v>30</v>
      </c>
      <c r="D1248" s="29">
        <v>44463</v>
      </c>
      <c r="E1248" s="18" t="s">
        <v>23</v>
      </c>
      <c r="F1248" s="18"/>
      <c r="G1248" s="13"/>
      <c r="H1248" s="19">
        <v>44473</v>
      </c>
      <c r="I1248" s="13" t="s">
        <v>220</v>
      </c>
      <c r="J1248" s="13"/>
      <c r="K1248" s="13">
        <v>12</v>
      </c>
      <c r="L1248" s="13"/>
      <c r="M1248" s="13"/>
      <c r="N1248" s="13"/>
      <c r="O1248" s="13"/>
      <c r="P1248" s="13"/>
      <c r="Q1248" s="13"/>
      <c r="R1248" s="13"/>
      <c r="S1248" s="13" t="s">
        <v>245</v>
      </c>
      <c r="T1248" s="13"/>
      <c r="U1248" s="13"/>
      <c r="V1248" s="13"/>
      <c r="W1248" s="13"/>
      <c r="X1248" s="13"/>
    </row>
    <row r="1249" spans="1:24" x14ac:dyDescent="0.25">
      <c r="A1249" s="15" t="s">
        <v>2034</v>
      </c>
      <c r="B1249" s="13" t="s">
        <v>13</v>
      </c>
      <c r="C1249" s="22" t="s">
        <v>30</v>
      </c>
      <c r="D1249" s="29">
        <v>44463</v>
      </c>
      <c r="E1249" s="18" t="s">
        <v>23</v>
      </c>
      <c r="F1249" s="18"/>
      <c r="G1249" s="13"/>
      <c r="H1249" s="19">
        <v>44473</v>
      </c>
      <c r="I1249" s="13" t="s">
        <v>206</v>
      </c>
      <c r="J1249" s="13"/>
      <c r="K1249" s="13">
        <v>88</v>
      </c>
      <c r="L1249" s="13"/>
      <c r="M1249" s="13"/>
      <c r="N1249" s="13"/>
      <c r="O1249" s="13"/>
      <c r="P1249" s="13"/>
      <c r="Q1249" s="13"/>
      <c r="R1249" s="13"/>
      <c r="S1249" s="13" t="s">
        <v>1285</v>
      </c>
      <c r="T1249" s="13"/>
      <c r="U1249" s="13"/>
      <c r="V1249" s="13"/>
      <c r="W1249" s="13"/>
      <c r="X1249" s="13"/>
    </row>
    <row r="1250" spans="1:24" x14ac:dyDescent="0.25">
      <c r="A1250" s="15" t="s">
        <v>2035</v>
      </c>
      <c r="B1250" s="13" t="s">
        <v>13</v>
      </c>
      <c r="C1250" s="22" t="s">
        <v>284</v>
      </c>
      <c r="D1250" s="29">
        <v>44463</v>
      </c>
      <c r="E1250" s="18" t="s">
        <v>23</v>
      </c>
      <c r="F1250" s="18"/>
      <c r="G1250" s="13"/>
      <c r="H1250" s="19">
        <v>44475</v>
      </c>
      <c r="I1250" s="13" t="s">
        <v>69</v>
      </c>
      <c r="J1250" s="13">
        <v>120</v>
      </c>
      <c r="K1250" s="13">
        <v>20</v>
      </c>
      <c r="L1250" s="13"/>
      <c r="M1250" s="13"/>
      <c r="N1250" s="13"/>
      <c r="O1250" s="13"/>
      <c r="P1250" s="13"/>
      <c r="Q1250" s="13"/>
      <c r="R1250" s="13"/>
      <c r="S1250" s="13">
        <v>20600</v>
      </c>
      <c r="T1250" s="13"/>
      <c r="U1250" s="13"/>
      <c r="V1250" s="13"/>
      <c r="W1250" s="13"/>
      <c r="X1250" s="13"/>
    </row>
    <row r="1251" spans="1:24" x14ac:dyDescent="0.25">
      <c r="A1251" s="15">
        <v>448</v>
      </c>
      <c r="B1251" s="13" t="s">
        <v>13</v>
      </c>
      <c r="C1251" s="22" t="s">
        <v>672</v>
      </c>
      <c r="D1251" s="29">
        <v>44466</v>
      </c>
      <c r="E1251" s="18" t="s">
        <v>23</v>
      </c>
      <c r="F1251" s="18"/>
      <c r="G1251" s="13" t="s">
        <v>2010</v>
      </c>
      <c r="H1251" s="19">
        <v>44470</v>
      </c>
      <c r="I1251" s="13" t="s">
        <v>1142</v>
      </c>
      <c r="J1251" s="13">
        <v>2448</v>
      </c>
      <c r="K1251" s="13" t="s">
        <v>729</v>
      </c>
      <c r="L1251" s="13">
        <v>0.31</v>
      </c>
      <c r="M1251" s="13">
        <v>1.2010000000000001</v>
      </c>
      <c r="N1251" s="13">
        <v>758.88</v>
      </c>
      <c r="O1251" s="13">
        <v>2940.0479999999998</v>
      </c>
      <c r="P1251" s="13">
        <v>98.65</v>
      </c>
      <c r="Q1251" s="13">
        <v>85.25</v>
      </c>
      <c r="R1251" s="13">
        <v>275</v>
      </c>
      <c r="S1251" s="13">
        <v>208692</v>
      </c>
      <c r="T1251" s="13"/>
      <c r="U1251" s="13"/>
      <c r="V1251" s="13"/>
      <c r="W1251" s="13"/>
      <c r="X1251" s="13"/>
    </row>
    <row r="1252" spans="1:24" x14ac:dyDescent="0.25">
      <c r="A1252" s="15">
        <v>448</v>
      </c>
      <c r="B1252" s="13" t="s">
        <v>13</v>
      </c>
      <c r="C1252" s="22" t="s">
        <v>672</v>
      </c>
      <c r="D1252" s="29">
        <v>44466</v>
      </c>
      <c r="E1252" s="18" t="s">
        <v>23</v>
      </c>
      <c r="F1252" s="18"/>
      <c r="G1252" s="13"/>
      <c r="H1252" s="19">
        <v>44470</v>
      </c>
      <c r="I1252" s="13" t="s">
        <v>1111</v>
      </c>
      <c r="J1252" s="13">
        <v>848</v>
      </c>
      <c r="K1252" s="13" t="s">
        <v>2009</v>
      </c>
      <c r="L1252" s="13">
        <v>0.31</v>
      </c>
      <c r="M1252" s="13">
        <v>1.2010000000000001</v>
      </c>
      <c r="N1252" s="13">
        <v>262.88</v>
      </c>
      <c r="O1252" s="13">
        <v>1018.448</v>
      </c>
      <c r="P1252" s="13">
        <v>34.17</v>
      </c>
      <c r="Q1252" s="13">
        <v>85.25</v>
      </c>
      <c r="R1252" s="13">
        <v>275</v>
      </c>
      <c r="S1252" s="13">
        <v>72292</v>
      </c>
      <c r="T1252" s="13"/>
      <c r="U1252" s="13"/>
      <c r="V1252" s="13"/>
      <c r="W1252" s="13"/>
      <c r="X1252" s="13"/>
    </row>
    <row r="1253" spans="1:24" x14ac:dyDescent="0.25">
      <c r="A1253" s="15">
        <v>449</v>
      </c>
      <c r="B1253" s="13" t="s">
        <v>13</v>
      </c>
      <c r="C1253" s="22" t="s">
        <v>672</v>
      </c>
      <c r="D1253" s="29">
        <v>44466</v>
      </c>
      <c r="E1253" s="18" t="s">
        <v>23</v>
      </c>
      <c r="F1253" s="18"/>
      <c r="G1253" s="13" t="s">
        <v>2018</v>
      </c>
      <c r="H1253" s="19">
        <v>44470</v>
      </c>
      <c r="I1253" s="13" t="s">
        <v>2005</v>
      </c>
      <c r="J1253" s="13">
        <v>773.5</v>
      </c>
      <c r="K1253" s="13" t="s">
        <v>1545</v>
      </c>
      <c r="L1253" s="13">
        <v>0.54</v>
      </c>
      <c r="M1253" s="13">
        <v>2.5379999999999998</v>
      </c>
      <c r="N1253" s="13">
        <v>417.69</v>
      </c>
      <c r="O1253" s="13">
        <v>1963.143</v>
      </c>
      <c r="P1253" s="13">
        <v>54.3</v>
      </c>
      <c r="Q1253" s="13">
        <v>148.77000000000001</v>
      </c>
      <c r="R1253" s="13">
        <v>275</v>
      </c>
      <c r="S1253" s="13">
        <v>115077.46</v>
      </c>
      <c r="T1253" s="13"/>
      <c r="U1253" s="13"/>
      <c r="V1253" s="13"/>
      <c r="W1253" s="13"/>
      <c r="X1253" s="13"/>
    </row>
    <row r="1254" spans="1:24" x14ac:dyDescent="0.25">
      <c r="A1254" s="15">
        <v>449</v>
      </c>
      <c r="B1254" s="13" t="s">
        <v>13</v>
      </c>
      <c r="C1254" s="22" t="s">
        <v>672</v>
      </c>
      <c r="D1254" s="29">
        <v>44466</v>
      </c>
      <c r="E1254" s="18" t="s">
        <v>23</v>
      </c>
      <c r="F1254" s="18"/>
      <c r="G1254" s="13"/>
      <c r="H1254" s="19">
        <v>44470</v>
      </c>
      <c r="I1254" s="13" t="s">
        <v>2006</v>
      </c>
      <c r="J1254" s="13">
        <v>286</v>
      </c>
      <c r="K1254" s="13" t="s">
        <v>48</v>
      </c>
      <c r="L1254" s="13">
        <v>0.621</v>
      </c>
      <c r="M1254" s="13">
        <v>2.6259999999999999</v>
      </c>
      <c r="N1254" s="13">
        <v>177.60599999999999</v>
      </c>
      <c r="O1254" s="13">
        <v>751.03599999999994</v>
      </c>
      <c r="P1254" s="13">
        <v>23.09</v>
      </c>
      <c r="Q1254" s="13">
        <v>172.15</v>
      </c>
      <c r="R1254" s="13">
        <v>275</v>
      </c>
      <c r="S1254" s="13">
        <v>49234.9</v>
      </c>
      <c r="T1254" s="13"/>
      <c r="U1254" s="13"/>
      <c r="V1254" s="13"/>
      <c r="W1254" s="13"/>
      <c r="X1254" s="13"/>
    </row>
    <row r="1255" spans="1:24" x14ac:dyDescent="0.25">
      <c r="A1255" s="15" t="s">
        <v>2036</v>
      </c>
      <c r="B1255" s="13" t="s">
        <v>13</v>
      </c>
      <c r="C1255" s="22" t="s">
        <v>1850</v>
      </c>
      <c r="D1255" s="29">
        <v>44467</v>
      </c>
      <c r="E1255" s="18" t="s">
        <v>23</v>
      </c>
      <c r="F1255" s="18"/>
      <c r="G1255" s="13"/>
      <c r="H1255" s="19">
        <v>44473</v>
      </c>
      <c r="I1255" s="13" t="s">
        <v>2007</v>
      </c>
      <c r="J1255" s="13">
        <v>180</v>
      </c>
      <c r="K1255" s="13">
        <v>30</v>
      </c>
      <c r="L1255" s="13"/>
      <c r="M1255" s="13"/>
      <c r="N1255" s="13"/>
      <c r="O1255" s="13"/>
      <c r="P1255" s="13"/>
      <c r="Q1255" s="13"/>
      <c r="R1255" s="13"/>
      <c r="S1255" s="13">
        <v>10300</v>
      </c>
      <c r="T1255" s="13"/>
      <c r="U1255" s="13"/>
      <c r="V1255" s="13"/>
      <c r="W1255" s="13"/>
      <c r="X1255" s="13"/>
    </row>
    <row r="1256" spans="1:24" x14ac:dyDescent="0.25">
      <c r="A1256" s="15" t="s">
        <v>2037</v>
      </c>
      <c r="B1256" s="13" t="s">
        <v>13</v>
      </c>
      <c r="C1256" s="22" t="s">
        <v>37</v>
      </c>
      <c r="D1256" s="29">
        <v>44468</v>
      </c>
      <c r="E1256" s="18" t="s">
        <v>23</v>
      </c>
      <c r="F1256" s="18"/>
      <c r="G1256" s="13"/>
      <c r="H1256" s="19">
        <v>44473</v>
      </c>
      <c r="I1256" s="13" t="s">
        <v>1619</v>
      </c>
      <c r="J1256" s="13"/>
      <c r="K1256" s="13">
        <v>24</v>
      </c>
      <c r="L1256" s="13"/>
      <c r="M1256" s="13"/>
      <c r="N1256" s="13"/>
      <c r="O1256" s="13"/>
      <c r="P1256" s="13"/>
      <c r="Q1256" s="13"/>
      <c r="R1256" s="13"/>
      <c r="S1256" s="13">
        <v>14760</v>
      </c>
      <c r="T1256" s="13"/>
      <c r="U1256" s="13"/>
      <c r="V1256" s="13"/>
      <c r="W1256" s="13"/>
      <c r="X1256" s="13"/>
    </row>
    <row r="1257" spans="1:24" x14ac:dyDescent="0.25">
      <c r="A1257" s="114" t="s">
        <v>2038</v>
      </c>
      <c r="B1257" s="13" t="s">
        <v>13</v>
      </c>
      <c r="C1257" s="22" t="s">
        <v>548</v>
      </c>
      <c r="D1257" s="29">
        <v>44470</v>
      </c>
      <c r="E1257" s="18" t="s">
        <v>23</v>
      </c>
      <c r="F1257" s="18"/>
      <c r="G1257" s="13" t="s">
        <v>1707</v>
      </c>
      <c r="H1257" s="31"/>
      <c r="I1257" s="13" t="s">
        <v>2011</v>
      </c>
      <c r="J1257" s="13" t="s">
        <v>593</v>
      </c>
      <c r="K1257" s="13">
        <v>438</v>
      </c>
      <c r="L1257" s="13"/>
      <c r="M1257" s="13"/>
      <c r="N1257" s="13"/>
      <c r="O1257" s="13"/>
      <c r="P1257" s="13"/>
      <c r="Q1257" s="13" t="s">
        <v>2015</v>
      </c>
      <c r="R1257" s="13"/>
      <c r="S1257" s="13" t="s">
        <v>2013</v>
      </c>
      <c r="T1257" s="13"/>
      <c r="U1257" s="13"/>
      <c r="V1257" s="13"/>
      <c r="W1257" s="13"/>
      <c r="X1257" s="13"/>
    </row>
    <row r="1258" spans="1:24" x14ac:dyDescent="0.25">
      <c r="A1258" s="114" t="s">
        <v>2038</v>
      </c>
      <c r="B1258" s="13" t="s">
        <v>13</v>
      </c>
      <c r="C1258" s="22" t="s">
        <v>548</v>
      </c>
      <c r="D1258" s="29">
        <v>44470</v>
      </c>
      <c r="E1258" s="18" t="s">
        <v>23</v>
      </c>
      <c r="F1258" s="18"/>
      <c r="G1258" s="21" t="s">
        <v>2341</v>
      </c>
      <c r="H1258" s="31"/>
      <c r="I1258" s="13" t="s">
        <v>2012</v>
      </c>
      <c r="J1258" s="13">
        <v>972.9</v>
      </c>
      <c r="K1258" s="13">
        <v>207</v>
      </c>
      <c r="L1258" s="13"/>
      <c r="M1258" s="13"/>
      <c r="N1258" s="13"/>
      <c r="O1258" s="13"/>
      <c r="P1258" s="13"/>
      <c r="Q1258" s="13" t="s">
        <v>2016</v>
      </c>
      <c r="R1258" s="13"/>
      <c r="S1258" s="13" t="s">
        <v>2014</v>
      </c>
      <c r="T1258" s="13"/>
      <c r="U1258" s="13"/>
      <c r="V1258" s="13"/>
      <c r="W1258" s="13"/>
      <c r="X1258" s="13"/>
    </row>
    <row r="1259" spans="1:24" ht="30.75" x14ac:dyDescent="0.25">
      <c r="A1259" s="114" t="s">
        <v>2038</v>
      </c>
      <c r="B1259" s="13" t="s">
        <v>13</v>
      </c>
      <c r="C1259" s="22" t="s">
        <v>548</v>
      </c>
      <c r="D1259" s="29">
        <v>44470</v>
      </c>
      <c r="E1259" s="18" t="s">
        <v>23</v>
      </c>
      <c r="F1259" s="18"/>
      <c r="G1259" s="74"/>
      <c r="H1259" s="31"/>
      <c r="I1259" s="74" t="s">
        <v>1876</v>
      </c>
      <c r="J1259" s="13">
        <v>14805</v>
      </c>
      <c r="K1259" s="13">
        <v>4935</v>
      </c>
      <c r="L1259" s="13"/>
      <c r="M1259" s="13"/>
      <c r="N1259" s="13"/>
      <c r="O1259" s="13"/>
      <c r="P1259" s="13"/>
      <c r="Q1259" s="13" t="s">
        <v>2017</v>
      </c>
      <c r="R1259" s="13"/>
      <c r="S1259" s="13" t="s">
        <v>2027</v>
      </c>
      <c r="T1259" s="13"/>
      <c r="U1259" s="13"/>
      <c r="V1259" s="13"/>
      <c r="W1259" s="13"/>
      <c r="X1259" s="13"/>
    </row>
    <row r="1260" spans="1:24" x14ac:dyDescent="0.25">
      <c r="A1260" s="15" t="s">
        <v>2039</v>
      </c>
      <c r="B1260" s="13" t="s">
        <v>13</v>
      </c>
      <c r="C1260" s="22" t="s">
        <v>284</v>
      </c>
      <c r="D1260" s="29">
        <v>44470</v>
      </c>
      <c r="E1260" s="18" t="s">
        <v>23</v>
      </c>
      <c r="F1260" s="18"/>
      <c r="G1260" s="13"/>
      <c r="H1260" s="19">
        <v>44476</v>
      </c>
      <c r="I1260" s="13" t="s">
        <v>169</v>
      </c>
      <c r="J1260" s="13">
        <v>144</v>
      </c>
      <c r="K1260" s="13">
        <v>24</v>
      </c>
      <c r="L1260" s="13"/>
      <c r="M1260" s="13"/>
      <c r="N1260" s="13"/>
      <c r="O1260" s="13"/>
      <c r="P1260" s="13"/>
      <c r="Q1260" s="13"/>
      <c r="R1260" s="13"/>
      <c r="S1260" s="13">
        <v>22100</v>
      </c>
      <c r="T1260" s="13"/>
      <c r="U1260" s="13"/>
      <c r="V1260" s="13"/>
      <c r="W1260" s="13"/>
      <c r="X1260" s="13"/>
    </row>
    <row r="1261" spans="1:24" x14ac:dyDescent="0.25">
      <c r="A1261" s="15" t="s">
        <v>2040</v>
      </c>
      <c r="B1261" s="13" t="s">
        <v>13</v>
      </c>
      <c r="C1261" s="22" t="s">
        <v>15</v>
      </c>
      <c r="D1261" s="29">
        <v>44473</v>
      </c>
      <c r="E1261" s="18" t="s">
        <v>23</v>
      </c>
      <c r="F1261" s="18"/>
      <c r="G1261" s="13"/>
      <c r="H1261" s="19">
        <v>44475</v>
      </c>
      <c r="I1261" s="13" t="s">
        <v>230</v>
      </c>
      <c r="J1261" s="13"/>
      <c r="K1261" s="13">
        <v>96</v>
      </c>
      <c r="L1261" s="13"/>
      <c r="M1261" s="13"/>
      <c r="N1261" s="13"/>
      <c r="O1261" s="13"/>
      <c r="P1261" s="13"/>
      <c r="Q1261" s="13"/>
      <c r="R1261" s="13"/>
      <c r="S1261" s="13">
        <v>56640</v>
      </c>
      <c r="T1261" s="13"/>
      <c r="U1261" s="13"/>
      <c r="V1261" s="13"/>
      <c r="W1261" s="13"/>
      <c r="X1261" s="13"/>
    </row>
    <row r="1262" spans="1:24" x14ac:dyDescent="0.25">
      <c r="A1262" s="15" t="s">
        <v>2041</v>
      </c>
      <c r="B1262" s="13" t="s">
        <v>13</v>
      </c>
      <c r="C1262" s="22" t="s">
        <v>43</v>
      </c>
      <c r="D1262" s="29">
        <v>44473</v>
      </c>
      <c r="E1262" s="18" t="s">
        <v>23</v>
      </c>
      <c r="F1262" s="18"/>
      <c r="G1262" s="13"/>
      <c r="H1262" s="19"/>
      <c r="I1262" s="13" t="s">
        <v>759</v>
      </c>
      <c r="J1262" s="13" t="s">
        <v>279</v>
      </c>
      <c r="K1262" s="13">
        <v>50</v>
      </c>
      <c r="L1262" s="13"/>
      <c r="M1262" s="13"/>
      <c r="N1262" s="13"/>
      <c r="O1262" s="13"/>
      <c r="P1262" s="13"/>
      <c r="Q1262" s="13"/>
      <c r="R1262" s="13"/>
      <c r="S1262" s="13" t="s">
        <v>2023</v>
      </c>
      <c r="T1262" s="13"/>
      <c r="U1262" s="13"/>
      <c r="V1262" s="13"/>
      <c r="W1262" s="13"/>
      <c r="X1262" s="13"/>
    </row>
    <row r="1263" spans="1:24" x14ac:dyDescent="0.25">
      <c r="A1263" s="15" t="s">
        <v>2041</v>
      </c>
      <c r="B1263" s="13" t="s">
        <v>13</v>
      </c>
      <c r="C1263" s="22" t="s">
        <v>43</v>
      </c>
      <c r="D1263" s="29">
        <v>44473</v>
      </c>
      <c r="E1263" s="18" t="s">
        <v>23</v>
      </c>
      <c r="F1263" s="18"/>
      <c r="G1263" s="13"/>
      <c r="H1263" s="19"/>
      <c r="I1263" s="13" t="s">
        <v>2021</v>
      </c>
      <c r="J1263" s="13" t="s">
        <v>279</v>
      </c>
      <c r="K1263" s="13">
        <v>50</v>
      </c>
      <c r="L1263" s="13"/>
      <c r="M1263" s="13"/>
      <c r="N1263" s="13"/>
      <c r="O1263" s="13"/>
      <c r="P1263" s="13"/>
      <c r="Q1263" s="13"/>
      <c r="R1263" s="13"/>
      <c r="S1263" s="13" t="s">
        <v>1186</v>
      </c>
      <c r="T1263" s="13"/>
      <c r="U1263" s="13"/>
      <c r="V1263" s="13"/>
      <c r="W1263" s="13"/>
      <c r="X1263" s="13"/>
    </row>
    <row r="1264" spans="1:24" x14ac:dyDescent="0.25">
      <c r="A1264" s="15" t="s">
        <v>2041</v>
      </c>
      <c r="B1264" s="13" t="s">
        <v>13</v>
      </c>
      <c r="C1264" s="22" t="s">
        <v>43</v>
      </c>
      <c r="D1264" s="29">
        <v>44473</v>
      </c>
      <c r="E1264" s="18" t="s">
        <v>23</v>
      </c>
      <c r="F1264" s="18"/>
      <c r="G1264" s="13"/>
      <c r="H1264" s="31"/>
      <c r="I1264" s="13" t="s">
        <v>2022</v>
      </c>
      <c r="J1264" s="13" t="s">
        <v>279</v>
      </c>
      <c r="K1264" s="13">
        <v>50</v>
      </c>
      <c r="L1264" s="13"/>
      <c r="M1264" s="13"/>
      <c r="N1264" s="13"/>
      <c r="O1264" s="13"/>
      <c r="P1264" s="13"/>
      <c r="Q1264" s="13"/>
      <c r="R1264" s="13"/>
      <c r="S1264" s="13" t="s">
        <v>163</v>
      </c>
      <c r="T1264" s="13"/>
      <c r="U1264" s="13"/>
      <c r="V1264" s="13"/>
      <c r="W1264" s="13"/>
      <c r="X1264" s="13"/>
    </row>
    <row r="1265" spans="1:24" x14ac:dyDescent="0.25">
      <c r="A1265" s="15">
        <v>452</v>
      </c>
      <c r="B1265" s="13" t="s">
        <v>13</v>
      </c>
      <c r="C1265" s="22" t="s">
        <v>674</v>
      </c>
      <c r="D1265" s="29">
        <v>44473</v>
      </c>
      <c r="E1265" s="18" t="s">
        <v>23</v>
      </c>
      <c r="F1265" s="18"/>
      <c r="G1265" s="13"/>
      <c r="H1265" s="107">
        <v>44489</v>
      </c>
      <c r="I1265" s="13" t="s">
        <v>600</v>
      </c>
      <c r="J1265" s="13">
        <v>1152</v>
      </c>
      <c r="K1265" s="13" t="s">
        <v>2020</v>
      </c>
      <c r="L1265" s="13">
        <v>0.30719999999999997</v>
      </c>
      <c r="M1265" s="13">
        <v>0.69199999999999995</v>
      </c>
      <c r="N1265" s="13">
        <v>353.89440000000002</v>
      </c>
      <c r="O1265" s="13">
        <v>797.18399999999997</v>
      </c>
      <c r="P1265" s="13">
        <v>46.01</v>
      </c>
      <c r="Q1265" s="13">
        <v>95.23</v>
      </c>
      <c r="R1265" s="13">
        <v>310</v>
      </c>
      <c r="S1265" s="13">
        <v>109707.26</v>
      </c>
      <c r="T1265" s="13"/>
      <c r="U1265" s="13"/>
      <c r="V1265" s="13"/>
      <c r="W1265" s="13"/>
      <c r="X1265" s="13"/>
    </row>
    <row r="1266" spans="1:24" x14ac:dyDescent="0.25">
      <c r="A1266" s="15">
        <v>453</v>
      </c>
      <c r="B1266" s="13" t="s">
        <v>13</v>
      </c>
      <c r="C1266" s="22" t="s">
        <v>32</v>
      </c>
      <c r="D1266" s="29">
        <v>44473</v>
      </c>
      <c r="E1266" s="18" t="s">
        <v>23</v>
      </c>
      <c r="F1266" s="18"/>
      <c r="G1266" s="13" t="s">
        <v>2031</v>
      </c>
      <c r="H1266" s="19">
        <v>44477</v>
      </c>
      <c r="I1266" s="13" t="s">
        <v>2024</v>
      </c>
      <c r="J1266" s="13">
        <v>6605.7</v>
      </c>
      <c r="K1266" s="13" t="s">
        <v>2025</v>
      </c>
      <c r="L1266" s="13">
        <v>9.5600000000000004E-2</v>
      </c>
      <c r="M1266" s="13">
        <v>0.16</v>
      </c>
      <c r="N1266" s="13">
        <v>631.50490000000002</v>
      </c>
      <c r="O1266" s="13">
        <v>1056.912</v>
      </c>
      <c r="P1266" s="13">
        <v>82.1</v>
      </c>
      <c r="Q1266" s="13">
        <v>24</v>
      </c>
      <c r="R1266" s="13">
        <v>251</v>
      </c>
      <c r="S1266" s="13">
        <v>158536.79999999999</v>
      </c>
      <c r="T1266" s="13"/>
      <c r="U1266" s="13"/>
      <c r="V1266" s="13"/>
      <c r="W1266" s="13"/>
      <c r="X1266" s="13"/>
    </row>
    <row r="1267" spans="1:24" x14ac:dyDescent="0.25">
      <c r="A1267" s="15">
        <v>453</v>
      </c>
      <c r="B1267" s="13" t="s">
        <v>13</v>
      </c>
      <c r="C1267" s="22" t="s">
        <v>32</v>
      </c>
      <c r="D1267" s="29">
        <v>44473</v>
      </c>
      <c r="E1267" s="18" t="s">
        <v>23</v>
      </c>
      <c r="F1267" s="18"/>
      <c r="G1267" s="13" t="s">
        <v>2081</v>
      </c>
      <c r="H1267" s="19">
        <v>44477</v>
      </c>
      <c r="I1267" s="13" t="s">
        <v>1975</v>
      </c>
      <c r="J1267" s="13">
        <v>3296</v>
      </c>
      <c r="K1267" s="13" t="s">
        <v>2026</v>
      </c>
      <c r="L1267" s="13">
        <v>0.15790000000000001</v>
      </c>
      <c r="M1267" s="13">
        <v>0.309</v>
      </c>
      <c r="N1267" s="13">
        <v>520.4384</v>
      </c>
      <c r="O1267" s="13">
        <v>1018.4640000000001</v>
      </c>
      <c r="P1267" s="13">
        <v>67.66</v>
      </c>
      <c r="Q1267" s="13">
        <v>39.630000000000003</v>
      </c>
      <c r="R1267" s="13">
        <v>251</v>
      </c>
      <c r="S1267" s="13">
        <v>130630.04</v>
      </c>
      <c r="T1267" s="13"/>
      <c r="U1267" s="13"/>
      <c r="V1267" s="13"/>
      <c r="W1267" s="13"/>
      <c r="X1267" s="13"/>
    </row>
    <row r="1268" spans="1:24" x14ac:dyDescent="0.25">
      <c r="A1268" s="15">
        <v>454</v>
      </c>
      <c r="B1268" s="13" t="s">
        <v>34</v>
      </c>
      <c r="C1268" s="22" t="s">
        <v>79</v>
      </c>
      <c r="D1268" s="29">
        <v>44474</v>
      </c>
      <c r="E1268" s="18" t="s">
        <v>23</v>
      </c>
      <c r="F1268" s="18"/>
      <c r="G1268" s="13"/>
      <c r="H1268" s="31"/>
      <c r="I1268" s="13" t="s">
        <v>78</v>
      </c>
      <c r="J1268" s="13">
        <v>2004</v>
      </c>
      <c r="K1268" s="13" t="s">
        <v>515</v>
      </c>
      <c r="L1268" s="13">
        <v>0.20230000000000001</v>
      </c>
      <c r="M1268" s="13">
        <v>0.499</v>
      </c>
      <c r="N1268" s="13">
        <v>405.4092</v>
      </c>
      <c r="O1268" s="13">
        <v>999.99599999999998</v>
      </c>
      <c r="P1268" s="13">
        <v>52.7</v>
      </c>
      <c r="Q1268" s="13">
        <v>37.43</v>
      </c>
      <c r="R1268" s="13">
        <v>185</v>
      </c>
      <c r="S1268" s="13">
        <v>75000.7</v>
      </c>
      <c r="T1268" s="13"/>
      <c r="U1268" s="13"/>
      <c r="V1268" s="13"/>
      <c r="W1268" s="13"/>
      <c r="X1268" s="13"/>
    </row>
    <row r="1269" spans="1:24" x14ac:dyDescent="0.25">
      <c r="A1269" s="15" t="s">
        <v>2042</v>
      </c>
      <c r="B1269" s="13" t="s">
        <v>13</v>
      </c>
      <c r="C1269" s="22" t="s">
        <v>891</v>
      </c>
      <c r="D1269" s="29">
        <v>44475</v>
      </c>
      <c r="E1269" s="18" t="s">
        <v>23</v>
      </c>
      <c r="F1269" s="18"/>
      <c r="G1269" s="13" t="s">
        <v>2078</v>
      </c>
      <c r="H1269" s="31" t="s">
        <v>2090</v>
      </c>
      <c r="I1269" s="13" t="s">
        <v>890</v>
      </c>
      <c r="J1269" s="13">
        <v>174</v>
      </c>
      <c r="K1269" s="13">
        <v>29</v>
      </c>
      <c r="L1269" s="13"/>
      <c r="M1269" s="13"/>
      <c r="N1269" s="13"/>
      <c r="O1269" s="13"/>
      <c r="P1269" s="13"/>
      <c r="Q1269" s="13"/>
      <c r="R1269" s="13"/>
      <c r="S1269" s="13">
        <v>9000</v>
      </c>
      <c r="T1269" s="13"/>
      <c r="U1269" s="13"/>
      <c r="V1269" s="13"/>
      <c r="W1269" s="13"/>
      <c r="X1269" s="13"/>
    </row>
    <row r="1270" spans="1:24" x14ac:dyDescent="0.25">
      <c r="A1270" s="15" t="s">
        <v>2043</v>
      </c>
      <c r="B1270" s="13" t="s">
        <v>13</v>
      </c>
      <c r="C1270" s="22" t="s">
        <v>295</v>
      </c>
      <c r="D1270" s="29">
        <v>44475</v>
      </c>
      <c r="E1270" s="18" t="s">
        <v>23</v>
      </c>
      <c r="F1270" s="18"/>
      <c r="G1270" s="13" t="s">
        <v>2136</v>
      </c>
      <c r="H1270" s="19">
        <v>44497</v>
      </c>
      <c r="I1270" s="13" t="s">
        <v>296</v>
      </c>
      <c r="J1270" s="13">
        <v>1500</v>
      </c>
      <c r="K1270" s="13">
        <v>500</v>
      </c>
      <c r="L1270" s="13"/>
      <c r="M1270" s="13"/>
      <c r="N1270" s="13"/>
      <c r="O1270" s="13"/>
      <c r="P1270" s="13"/>
      <c r="Q1270" s="13"/>
      <c r="R1270" s="13"/>
      <c r="S1270" s="13">
        <v>30900</v>
      </c>
      <c r="T1270" s="13"/>
      <c r="U1270" s="13"/>
      <c r="V1270" s="13"/>
      <c r="W1270" s="13"/>
      <c r="X1270" s="13"/>
    </row>
    <row r="1271" spans="1:24" x14ac:dyDescent="0.25">
      <c r="A1271" s="15">
        <v>457</v>
      </c>
      <c r="B1271" s="13" t="s">
        <v>13</v>
      </c>
      <c r="C1271" s="22" t="s">
        <v>32</v>
      </c>
      <c r="D1271" s="29">
        <v>44475</v>
      </c>
      <c r="E1271" s="18" t="s">
        <v>23</v>
      </c>
      <c r="F1271" s="18"/>
      <c r="G1271" s="13" t="s">
        <v>1707</v>
      </c>
      <c r="H1271" s="19">
        <v>44480</v>
      </c>
      <c r="I1271" s="13" t="s">
        <v>1218</v>
      </c>
      <c r="J1271" s="13">
        <v>498.2</v>
      </c>
      <c r="K1271" s="13" t="s">
        <v>1279</v>
      </c>
      <c r="L1271" s="13">
        <v>0.2651</v>
      </c>
      <c r="M1271" s="13">
        <v>0.82099999999999995</v>
      </c>
      <c r="N1271" s="13">
        <v>132.0728</v>
      </c>
      <c r="O1271" s="13">
        <v>409.0222</v>
      </c>
      <c r="P1271" s="13">
        <v>17.170000000000002</v>
      </c>
      <c r="Q1271" s="13">
        <v>66.540000000000006</v>
      </c>
      <c r="R1271" s="13">
        <v>251</v>
      </c>
      <c r="S1271" s="13">
        <v>33150.28</v>
      </c>
      <c r="T1271" s="13"/>
      <c r="U1271" s="13"/>
      <c r="V1271" s="13"/>
      <c r="W1271" s="13"/>
      <c r="X1271" s="13"/>
    </row>
    <row r="1272" spans="1:24" x14ac:dyDescent="0.25">
      <c r="A1272" s="15">
        <v>457</v>
      </c>
      <c r="B1272" s="13" t="s">
        <v>13</v>
      </c>
      <c r="C1272" s="22" t="s">
        <v>32</v>
      </c>
      <c r="D1272" s="29">
        <v>44475</v>
      </c>
      <c r="E1272" s="18" t="s">
        <v>23</v>
      </c>
      <c r="F1272" s="18"/>
      <c r="G1272" s="13"/>
      <c r="H1272" s="19">
        <v>44480</v>
      </c>
      <c r="I1272" s="13" t="s">
        <v>1598</v>
      </c>
      <c r="J1272" s="13">
        <v>402.6</v>
      </c>
      <c r="K1272" s="13" t="s">
        <v>351</v>
      </c>
      <c r="L1272" s="13">
        <v>0.2651</v>
      </c>
      <c r="M1272" s="13">
        <v>0.82099999999999995</v>
      </c>
      <c r="N1272" s="13">
        <v>106.72929999999999</v>
      </c>
      <c r="O1272" s="13">
        <v>330.53460000000001</v>
      </c>
      <c r="P1272" s="13">
        <v>13.87</v>
      </c>
      <c r="Q1272" s="13">
        <v>66.540000000000006</v>
      </c>
      <c r="R1272" s="13">
        <v>251</v>
      </c>
      <c r="S1272" s="13">
        <v>26789.040000000001</v>
      </c>
      <c r="T1272" s="13"/>
      <c r="U1272" s="13"/>
      <c r="V1272" s="13"/>
      <c r="W1272" s="13"/>
      <c r="X1272" s="13"/>
    </row>
    <row r="1273" spans="1:24" x14ac:dyDescent="0.25">
      <c r="A1273" s="15" t="s">
        <v>2044</v>
      </c>
      <c r="B1273" s="13" t="s">
        <v>13</v>
      </c>
      <c r="C1273" s="22" t="s">
        <v>30</v>
      </c>
      <c r="D1273" s="29">
        <v>44476</v>
      </c>
      <c r="E1273" s="18" t="s">
        <v>23</v>
      </c>
      <c r="F1273" s="18"/>
      <c r="G1273" s="13"/>
      <c r="H1273" s="19">
        <v>44480</v>
      </c>
      <c r="I1273" s="13" t="s">
        <v>710</v>
      </c>
      <c r="J1273" s="13"/>
      <c r="K1273" s="13" t="s">
        <v>361</v>
      </c>
      <c r="L1273" s="13"/>
      <c r="M1273" s="13"/>
      <c r="N1273" s="13"/>
      <c r="O1273" s="13"/>
      <c r="P1273" s="13"/>
      <c r="Q1273" s="13"/>
      <c r="R1273" s="13"/>
      <c r="S1273" s="13" t="s">
        <v>1145</v>
      </c>
      <c r="T1273" s="13"/>
      <c r="U1273" s="13"/>
      <c r="V1273" s="13"/>
      <c r="W1273" s="13"/>
      <c r="X1273" s="13"/>
    </row>
    <row r="1274" spans="1:24" x14ac:dyDescent="0.25">
      <c r="A1274" s="15" t="s">
        <v>2044</v>
      </c>
      <c r="B1274" s="13" t="s">
        <v>13</v>
      </c>
      <c r="C1274" s="22" t="s">
        <v>30</v>
      </c>
      <c r="D1274" s="29">
        <v>44476</v>
      </c>
      <c r="E1274" s="18" t="s">
        <v>23</v>
      </c>
      <c r="F1274" s="18"/>
      <c r="G1274" s="13"/>
      <c r="H1274" s="19">
        <v>44480</v>
      </c>
      <c r="I1274" s="13" t="s">
        <v>711</v>
      </c>
      <c r="J1274" s="13"/>
      <c r="K1274" s="13" t="s">
        <v>361</v>
      </c>
      <c r="L1274" s="13"/>
      <c r="M1274" s="13"/>
      <c r="N1274" s="13"/>
      <c r="O1274" s="13"/>
      <c r="P1274" s="13"/>
      <c r="Q1274" s="13"/>
      <c r="R1274" s="13"/>
      <c r="S1274" s="13" t="s">
        <v>1145</v>
      </c>
      <c r="T1274" s="13"/>
      <c r="U1274" s="13"/>
      <c r="V1274" s="13"/>
      <c r="W1274" s="13"/>
      <c r="X1274" s="13"/>
    </row>
    <row r="1275" spans="1:24" x14ac:dyDescent="0.25">
      <c r="A1275" s="15" t="s">
        <v>2044</v>
      </c>
      <c r="B1275" s="13" t="s">
        <v>13</v>
      </c>
      <c r="C1275" s="22" t="s">
        <v>30</v>
      </c>
      <c r="D1275" s="29">
        <v>44476</v>
      </c>
      <c r="E1275" s="18" t="s">
        <v>23</v>
      </c>
      <c r="F1275" s="18"/>
      <c r="G1275" s="13"/>
      <c r="H1275" s="19">
        <v>44480</v>
      </c>
      <c r="I1275" s="13" t="s">
        <v>712</v>
      </c>
      <c r="J1275" s="13"/>
      <c r="K1275" s="13" t="s">
        <v>248</v>
      </c>
      <c r="L1275" s="13"/>
      <c r="M1275" s="13"/>
      <c r="N1275" s="13"/>
      <c r="O1275" s="13"/>
      <c r="P1275" s="13"/>
      <c r="Q1275" s="13"/>
      <c r="R1275" s="13"/>
      <c r="S1275" s="13" t="s">
        <v>1339</v>
      </c>
      <c r="T1275" s="13"/>
      <c r="U1275" s="13"/>
      <c r="V1275" s="13"/>
      <c r="W1275" s="13"/>
      <c r="X1275" s="13"/>
    </row>
    <row r="1276" spans="1:24" x14ac:dyDescent="0.25">
      <c r="A1276" s="15" t="s">
        <v>2044</v>
      </c>
      <c r="B1276" s="13" t="s">
        <v>13</v>
      </c>
      <c r="C1276" s="22" t="s">
        <v>30</v>
      </c>
      <c r="D1276" s="29">
        <v>44476</v>
      </c>
      <c r="E1276" s="18" t="s">
        <v>23</v>
      </c>
      <c r="F1276" s="18"/>
      <c r="G1276" s="13"/>
      <c r="H1276" s="19">
        <v>44480</v>
      </c>
      <c r="I1276" s="13" t="s">
        <v>713</v>
      </c>
      <c r="J1276" s="13"/>
      <c r="K1276" s="13" t="s">
        <v>103</v>
      </c>
      <c r="L1276" s="13"/>
      <c r="M1276" s="13"/>
      <c r="N1276" s="13"/>
      <c r="O1276" s="13"/>
      <c r="P1276" s="13"/>
      <c r="Q1276" s="13"/>
      <c r="R1276" s="13"/>
      <c r="S1276" s="13" t="s">
        <v>2028</v>
      </c>
      <c r="T1276" s="13"/>
      <c r="U1276" s="13"/>
      <c r="V1276" s="13"/>
      <c r="W1276" s="13"/>
      <c r="X1276" s="13"/>
    </row>
    <row r="1277" spans="1:24" x14ac:dyDescent="0.25">
      <c r="A1277" s="15" t="s">
        <v>2044</v>
      </c>
      <c r="B1277" s="13" t="s">
        <v>13</v>
      </c>
      <c r="C1277" s="22" t="s">
        <v>30</v>
      </c>
      <c r="D1277" s="29">
        <v>44476</v>
      </c>
      <c r="E1277" s="18" t="s">
        <v>23</v>
      </c>
      <c r="F1277" s="18"/>
      <c r="G1277" s="13"/>
      <c r="H1277" s="19">
        <v>44480</v>
      </c>
      <c r="I1277" s="13" t="s">
        <v>714</v>
      </c>
      <c r="J1277" s="13"/>
      <c r="K1277" s="13" t="s">
        <v>248</v>
      </c>
      <c r="L1277" s="13"/>
      <c r="M1277" s="13"/>
      <c r="N1277" s="13"/>
      <c r="O1277" s="13"/>
      <c r="P1277" s="13"/>
      <c r="Q1277" s="13"/>
      <c r="R1277" s="13"/>
      <c r="S1277" s="13" t="s">
        <v>419</v>
      </c>
      <c r="T1277" s="13"/>
      <c r="U1277" s="13"/>
      <c r="V1277" s="13"/>
      <c r="W1277" s="13"/>
      <c r="X1277" s="13"/>
    </row>
    <row r="1278" spans="1:24" x14ac:dyDescent="0.25">
      <c r="A1278" s="15" t="s">
        <v>2044</v>
      </c>
      <c r="B1278" s="13" t="s">
        <v>13</v>
      </c>
      <c r="C1278" s="22" t="s">
        <v>30</v>
      </c>
      <c r="D1278" s="29">
        <v>44476</v>
      </c>
      <c r="E1278" s="18" t="s">
        <v>23</v>
      </c>
      <c r="F1278" s="18"/>
      <c r="G1278" s="13"/>
      <c r="H1278" s="19">
        <v>44480</v>
      </c>
      <c r="I1278" s="13" t="s">
        <v>715</v>
      </c>
      <c r="J1278" s="13"/>
      <c r="K1278" s="13" t="s">
        <v>248</v>
      </c>
      <c r="L1278" s="13"/>
      <c r="M1278" s="13"/>
      <c r="N1278" s="13"/>
      <c r="O1278" s="13"/>
      <c r="P1278" s="13"/>
      <c r="Q1278" s="13"/>
      <c r="R1278" s="13"/>
      <c r="S1278" s="13" t="s">
        <v>419</v>
      </c>
      <c r="T1278" s="13"/>
      <c r="U1278" s="13"/>
      <c r="V1278" s="13"/>
      <c r="W1278" s="13"/>
      <c r="X1278" s="13"/>
    </row>
    <row r="1279" spans="1:24" x14ac:dyDescent="0.25">
      <c r="A1279" s="15" t="s">
        <v>2044</v>
      </c>
      <c r="B1279" s="13" t="s">
        <v>13</v>
      </c>
      <c r="C1279" s="22" t="s">
        <v>30</v>
      </c>
      <c r="D1279" s="29">
        <v>44476</v>
      </c>
      <c r="E1279" s="18" t="s">
        <v>23</v>
      </c>
      <c r="F1279" s="18"/>
      <c r="G1279" s="13"/>
      <c r="H1279" s="19">
        <v>44480</v>
      </c>
      <c r="I1279" s="13" t="s">
        <v>716</v>
      </c>
      <c r="J1279" s="13"/>
      <c r="K1279" s="13" t="s">
        <v>361</v>
      </c>
      <c r="L1279" s="13"/>
      <c r="M1279" s="13"/>
      <c r="N1279" s="13"/>
      <c r="O1279" s="13"/>
      <c r="P1279" s="13"/>
      <c r="Q1279" s="13"/>
      <c r="R1279" s="13"/>
      <c r="S1279" s="13" t="s">
        <v>1248</v>
      </c>
      <c r="T1279" s="13"/>
      <c r="U1279" s="13"/>
      <c r="V1279" s="13"/>
      <c r="W1279" s="13"/>
      <c r="X1279" s="13"/>
    </row>
    <row r="1280" spans="1:24" x14ac:dyDescent="0.25">
      <c r="A1280" s="15" t="s">
        <v>2044</v>
      </c>
      <c r="B1280" s="13" t="s">
        <v>13</v>
      </c>
      <c r="C1280" s="22" t="s">
        <v>30</v>
      </c>
      <c r="D1280" s="29">
        <v>44476</v>
      </c>
      <c r="E1280" s="18" t="s">
        <v>23</v>
      </c>
      <c r="F1280" s="18"/>
      <c r="G1280" s="13"/>
      <c r="H1280" s="19">
        <v>44480</v>
      </c>
      <c r="I1280" s="13" t="s">
        <v>717</v>
      </c>
      <c r="J1280" s="13"/>
      <c r="K1280" s="13" t="s">
        <v>361</v>
      </c>
      <c r="L1280" s="13"/>
      <c r="M1280" s="13"/>
      <c r="N1280" s="13"/>
      <c r="O1280" s="13"/>
      <c r="P1280" s="13"/>
      <c r="Q1280" s="13"/>
      <c r="R1280" s="13"/>
      <c r="S1280" s="13" t="s">
        <v>1248</v>
      </c>
      <c r="T1280" s="13"/>
      <c r="U1280" s="13"/>
      <c r="V1280" s="13"/>
      <c r="W1280" s="13"/>
      <c r="X1280" s="13"/>
    </row>
    <row r="1281" spans="1:24" x14ac:dyDescent="0.25">
      <c r="A1281" s="15" t="s">
        <v>2044</v>
      </c>
      <c r="B1281" s="13" t="s">
        <v>13</v>
      </c>
      <c r="C1281" s="22" t="s">
        <v>30</v>
      </c>
      <c r="D1281" s="29">
        <v>44476</v>
      </c>
      <c r="E1281" s="18" t="s">
        <v>23</v>
      </c>
      <c r="F1281" s="18"/>
      <c r="G1281" s="13"/>
      <c r="H1281" s="19">
        <v>44480</v>
      </c>
      <c r="I1281" s="13" t="s">
        <v>718</v>
      </c>
      <c r="J1281" s="13"/>
      <c r="K1281" s="13" t="s">
        <v>361</v>
      </c>
      <c r="L1281" s="13"/>
      <c r="M1281" s="13"/>
      <c r="N1281" s="13"/>
      <c r="O1281" s="13"/>
      <c r="P1281" s="13"/>
      <c r="Q1281" s="13"/>
      <c r="R1281" s="13"/>
      <c r="S1281" s="13" t="s">
        <v>2029</v>
      </c>
      <c r="T1281" s="13"/>
      <c r="U1281" s="13"/>
      <c r="V1281" s="13"/>
      <c r="W1281" s="13"/>
      <c r="X1281" s="13"/>
    </row>
    <row r="1282" spans="1:24" x14ac:dyDescent="0.25">
      <c r="A1282" s="15" t="s">
        <v>2044</v>
      </c>
      <c r="B1282" s="13" t="s">
        <v>13</v>
      </c>
      <c r="C1282" s="22" t="s">
        <v>30</v>
      </c>
      <c r="D1282" s="29">
        <v>44476</v>
      </c>
      <c r="E1282" s="18" t="s">
        <v>23</v>
      </c>
      <c r="F1282" s="18"/>
      <c r="G1282" s="13"/>
      <c r="H1282" s="19">
        <v>44480</v>
      </c>
      <c r="I1282" s="13" t="s">
        <v>719</v>
      </c>
      <c r="J1282" s="13"/>
      <c r="K1282" s="13" t="s">
        <v>361</v>
      </c>
      <c r="L1282" s="13"/>
      <c r="M1282" s="13"/>
      <c r="N1282" s="13"/>
      <c r="O1282" s="13"/>
      <c r="P1282" s="13"/>
      <c r="Q1282" s="13"/>
      <c r="R1282" s="13"/>
      <c r="S1282" s="13" t="s">
        <v>2029</v>
      </c>
      <c r="T1282" s="13"/>
      <c r="U1282" s="13"/>
      <c r="V1282" s="13"/>
      <c r="W1282" s="13"/>
      <c r="X1282" s="13"/>
    </row>
    <row r="1283" spans="1:24" x14ac:dyDescent="0.25">
      <c r="A1283" s="15" t="s">
        <v>2045</v>
      </c>
      <c r="B1283" s="13" t="s">
        <v>13</v>
      </c>
      <c r="C1283" s="22" t="s">
        <v>384</v>
      </c>
      <c r="D1283" s="29">
        <v>44476</v>
      </c>
      <c r="E1283" s="18" t="s">
        <v>23</v>
      </c>
      <c r="F1283" s="18"/>
      <c r="G1283" s="115"/>
      <c r="H1283" s="19">
        <v>44480</v>
      </c>
      <c r="I1283" s="13" t="s">
        <v>1702</v>
      </c>
      <c r="J1283" s="13">
        <v>12</v>
      </c>
      <c r="K1283" s="13">
        <v>2</v>
      </c>
      <c r="L1283" s="13"/>
      <c r="M1283" s="13"/>
      <c r="N1283" s="13"/>
      <c r="O1283" s="13"/>
      <c r="P1283" s="13"/>
      <c r="Q1283" s="13"/>
      <c r="R1283" s="13"/>
      <c r="S1283" s="13">
        <v>5150</v>
      </c>
      <c r="T1283" s="13"/>
      <c r="U1283" s="13"/>
      <c r="V1283" s="13"/>
      <c r="W1283" s="13"/>
      <c r="X1283" s="13"/>
    </row>
    <row r="1284" spans="1:24" x14ac:dyDescent="0.25">
      <c r="A1284" s="15">
        <v>458</v>
      </c>
      <c r="B1284" s="13" t="s">
        <v>13</v>
      </c>
      <c r="C1284" s="22" t="s">
        <v>1750</v>
      </c>
      <c r="D1284" s="29">
        <v>44476</v>
      </c>
      <c r="E1284" s="18" t="s">
        <v>23</v>
      </c>
      <c r="F1284" s="18"/>
      <c r="G1284" s="13" t="s">
        <v>1707</v>
      </c>
      <c r="H1284" s="19">
        <v>44480</v>
      </c>
      <c r="I1284" s="13" t="s">
        <v>1751</v>
      </c>
      <c r="J1284" s="13">
        <v>837.9</v>
      </c>
      <c r="K1284" s="13" t="s">
        <v>165</v>
      </c>
      <c r="L1284" s="13">
        <v>0.66659999999999997</v>
      </c>
      <c r="M1284" s="13">
        <v>1.994</v>
      </c>
      <c r="N1284" s="13">
        <v>558.54409999999996</v>
      </c>
      <c r="O1284" s="13">
        <v>1670.7726</v>
      </c>
      <c r="P1284" s="13">
        <v>72.61</v>
      </c>
      <c r="Q1284" s="13">
        <v>199.98</v>
      </c>
      <c r="R1284" s="13">
        <v>300</v>
      </c>
      <c r="S1284" s="13">
        <v>167563.24</v>
      </c>
      <c r="T1284" s="13"/>
      <c r="U1284" s="13"/>
      <c r="V1284" s="13"/>
      <c r="W1284" s="13"/>
      <c r="X1284" s="13"/>
    </row>
    <row r="1285" spans="1:24" x14ac:dyDescent="0.25">
      <c r="A1285" s="15">
        <v>459</v>
      </c>
      <c r="B1285" s="13" t="s">
        <v>13</v>
      </c>
      <c r="C1285" s="22" t="s">
        <v>674</v>
      </c>
      <c r="D1285" s="29">
        <v>44476</v>
      </c>
      <c r="E1285" s="18" t="s">
        <v>23</v>
      </c>
      <c r="F1285" s="18"/>
      <c r="G1285" s="13"/>
      <c r="H1285" s="19">
        <v>44480</v>
      </c>
      <c r="I1285" s="13" t="s">
        <v>1734</v>
      </c>
      <c r="J1285" s="13">
        <v>1107</v>
      </c>
      <c r="K1285" s="13" t="s">
        <v>1206</v>
      </c>
      <c r="L1285" s="13">
        <v>0.14929999999999999</v>
      </c>
      <c r="M1285" s="13">
        <v>0.56599999999999995</v>
      </c>
      <c r="N1285" s="13">
        <v>165.27510000000001</v>
      </c>
      <c r="O1285" s="13">
        <v>626.56200000000001</v>
      </c>
      <c r="P1285" s="13">
        <v>21.49</v>
      </c>
      <c r="Q1285" s="13">
        <v>44.79</v>
      </c>
      <c r="R1285" s="13">
        <v>300</v>
      </c>
      <c r="S1285" s="13">
        <v>49582.53</v>
      </c>
      <c r="T1285" s="13"/>
      <c r="U1285" s="13"/>
      <c r="V1285" s="13"/>
      <c r="W1285" s="13"/>
      <c r="X1285" s="13"/>
    </row>
    <row r="1286" spans="1:24" x14ac:dyDescent="0.25">
      <c r="A1286" s="15">
        <v>460</v>
      </c>
      <c r="B1286" s="13" t="s">
        <v>13</v>
      </c>
      <c r="C1286" s="22" t="s">
        <v>595</v>
      </c>
      <c r="D1286" s="29">
        <v>44476</v>
      </c>
      <c r="E1286" s="18" t="s">
        <v>23</v>
      </c>
      <c r="F1286" s="18"/>
      <c r="G1286" s="13"/>
      <c r="H1286" s="31"/>
      <c r="I1286" s="13" t="s">
        <v>1824</v>
      </c>
      <c r="J1286" s="13">
        <v>162</v>
      </c>
      <c r="K1286" s="13" t="s">
        <v>208</v>
      </c>
      <c r="L1286" s="13">
        <v>0.33660000000000001</v>
      </c>
      <c r="M1286" s="13">
        <v>1.2350000000000001</v>
      </c>
      <c r="N1286" s="13">
        <v>54.529200000000003</v>
      </c>
      <c r="O1286" s="13">
        <v>200.07</v>
      </c>
      <c r="P1286" s="13">
        <v>7.09</v>
      </c>
      <c r="Q1286" s="13">
        <v>100.98</v>
      </c>
      <c r="R1286" s="13">
        <v>300</v>
      </c>
      <c r="S1286" s="13">
        <v>16358.76</v>
      </c>
      <c r="T1286" s="13"/>
      <c r="U1286" s="13"/>
      <c r="V1286" s="13"/>
      <c r="W1286" s="13"/>
      <c r="X1286" s="13"/>
    </row>
    <row r="1287" spans="1:24" x14ac:dyDescent="0.25">
      <c r="A1287" s="15" t="s">
        <v>2046</v>
      </c>
      <c r="B1287" s="13" t="s">
        <v>13</v>
      </c>
      <c r="C1287" s="22" t="s">
        <v>1850</v>
      </c>
      <c r="D1287" s="29">
        <v>44476</v>
      </c>
      <c r="E1287" s="18" t="s">
        <v>23</v>
      </c>
      <c r="F1287" s="18"/>
      <c r="G1287" s="13" t="s">
        <v>2032</v>
      </c>
      <c r="H1287" s="19">
        <v>44481</v>
      </c>
      <c r="I1287" s="13" t="s">
        <v>2007</v>
      </c>
      <c r="J1287" s="13">
        <v>24</v>
      </c>
      <c r="K1287" s="13">
        <v>4</v>
      </c>
      <c r="L1287" s="13"/>
      <c r="M1287" s="13"/>
      <c r="N1287" s="13"/>
      <c r="O1287" s="13"/>
      <c r="P1287" s="13"/>
      <c r="Q1287" s="13"/>
      <c r="R1287" s="13"/>
      <c r="S1287" s="13">
        <v>5150</v>
      </c>
      <c r="T1287" s="13"/>
      <c r="U1287" s="13"/>
      <c r="V1287" s="13"/>
      <c r="W1287" s="13"/>
      <c r="X1287" s="13"/>
    </row>
    <row r="1288" spans="1:24" x14ac:dyDescent="0.25">
      <c r="A1288" s="15">
        <v>464</v>
      </c>
      <c r="B1288" s="13" t="s">
        <v>13</v>
      </c>
      <c r="C1288" s="22" t="s">
        <v>2082</v>
      </c>
      <c r="D1288" s="29">
        <v>44477</v>
      </c>
      <c r="E1288" s="18" t="s">
        <v>23</v>
      </c>
      <c r="F1288" s="18"/>
      <c r="G1288" s="13"/>
      <c r="H1288" s="31"/>
      <c r="I1288" s="13" t="s">
        <v>1721</v>
      </c>
      <c r="J1288" s="13">
        <v>1200</v>
      </c>
      <c r="K1288" s="13" t="s">
        <v>410</v>
      </c>
      <c r="L1288" s="13">
        <v>0.04</v>
      </c>
      <c r="M1288" s="13">
        <v>6.0999999999999999E-2</v>
      </c>
      <c r="N1288" s="13">
        <v>48</v>
      </c>
      <c r="O1288" s="13">
        <v>73.2</v>
      </c>
      <c r="P1288" s="13">
        <v>6.24</v>
      </c>
      <c r="Q1288" s="13">
        <v>11.2</v>
      </c>
      <c r="R1288" s="13">
        <v>280</v>
      </c>
      <c r="S1288" s="13">
        <v>13440</v>
      </c>
      <c r="T1288" s="13"/>
      <c r="U1288" s="13"/>
      <c r="V1288" s="13"/>
      <c r="W1288" s="13"/>
      <c r="X1288" s="13"/>
    </row>
    <row r="1289" spans="1:24" x14ac:dyDescent="0.25">
      <c r="A1289" s="15" t="s">
        <v>2047</v>
      </c>
      <c r="B1289" s="13" t="s">
        <v>13</v>
      </c>
      <c r="C1289" s="22" t="s">
        <v>883</v>
      </c>
      <c r="D1289" s="29">
        <v>44477</v>
      </c>
      <c r="E1289" s="18" t="s">
        <v>23</v>
      </c>
      <c r="F1289" s="18"/>
      <c r="G1289" s="13" t="s">
        <v>2063</v>
      </c>
      <c r="H1289" s="19">
        <v>44481</v>
      </c>
      <c r="I1289" s="13" t="s">
        <v>803</v>
      </c>
      <c r="J1289" s="13">
        <v>30</v>
      </c>
      <c r="K1289" s="13">
        <v>10</v>
      </c>
      <c r="L1289" s="13"/>
      <c r="M1289" s="13"/>
      <c r="N1289" s="13"/>
      <c r="O1289" s="13"/>
      <c r="P1289" s="13"/>
      <c r="Q1289" s="13"/>
      <c r="R1289" s="13"/>
      <c r="S1289" s="13" t="s">
        <v>805</v>
      </c>
      <c r="T1289" s="13"/>
      <c r="U1289" s="13"/>
      <c r="V1289" s="13"/>
      <c r="W1289" s="13"/>
      <c r="X1289" s="13"/>
    </row>
    <row r="1290" spans="1:24" x14ac:dyDescent="0.25">
      <c r="A1290" s="15" t="s">
        <v>2047</v>
      </c>
      <c r="B1290" s="13" t="s">
        <v>13</v>
      </c>
      <c r="C1290" s="22" t="s">
        <v>883</v>
      </c>
      <c r="D1290" s="29">
        <v>44477</v>
      </c>
      <c r="E1290" s="18" t="s">
        <v>23</v>
      </c>
      <c r="F1290" s="18"/>
      <c r="G1290" s="13"/>
      <c r="H1290" s="19">
        <v>44481</v>
      </c>
      <c r="I1290" s="13" t="s">
        <v>1257</v>
      </c>
      <c r="J1290" s="13">
        <v>60</v>
      </c>
      <c r="K1290" s="13">
        <v>20</v>
      </c>
      <c r="L1290" s="13"/>
      <c r="M1290" s="13"/>
      <c r="N1290" s="13"/>
      <c r="O1290" s="13"/>
      <c r="P1290" s="13"/>
      <c r="Q1290" s="13"/>
      <c r="R1290" s="13"/>
      <c r="S1290" s="13" t="s">
        <v>1319</v>
      </c>
      <c r="T1290" s="13"/>
      <c r="U1290" s="13"/>
      <c r="V1290" s="13"/>
      <c r="W1290" s="13"/>
      <c r="X1290" s="13"/>
    </row>
    <row r="1291" spans="1:24" x14ac:dyDescent="0.25">
      <c r="A1291" s="15" t="s">
        <v>2047</v>
      </c>
      <c r="B1291" s="13" t="s">
        <v>13</v>
      </c>
      <c r="C1291" s="22" t="s">
        <v>883</v>
      </c>
      <c r="D1291" s="29">
        <v>44477</v>
      </c>
      <c r="E1291" s="18" t="s">
        <v>23</v>
      </c>
      <c r="F1291" s="18"/>
      <c r="G1291" s="13"/>
      <c r="H1291" s="19">
        <v>44481</v>
      </c>
      <c r="I1291" s="13" t="s">
        <v>2030</v>
      </c>
      <c r="J1291" s="13"/>
      <c r="K1291" s="13">
        <v>1</v>
      </c>
      <c r="L1291" s="13"/>
      <c r="M1291" s="13"/>
      <c r="N1291" s="13"/>
      <c r="O1291" s="13"/>
      <c r="P1291" s="13"/>
      <c r="Q1291" s="13"/>
      <c r="R1291" s="13"/>
      <c r="S1291" s="13">
        <v>6500</v>
      </c>
      <c r="T1291" s="13"/>
      <c r="U1291" s="13"/>
      <c r="V1291" s="13"/>
      <c r="W1291" s="13"/>
      <c r="X1291" s="13"/>
    </row>
    <row r="1292" spans="1:24" x14ac:dyDescent="0.25">
      <c r="A1292" s="15" t="s">
        <v>2033</v>
      </c>
      <c r="B1292" s="13" t="s">
        <v>13</v>
      </c>
      <c r="C1292" s="22" t="s">
        <v>653</v>
      </c>
      <c r="D1292" s="29">
        <v>44480</v>
      </c>
      <c r="E1292" s="18" t="s">
        <v>23</v>
      </c>
      <c r="F1292" s="18"/>
      <c r="G1292" s="13"/>
      <c r="H1292" s="31"/>
      <c r="I1292" s="13" t="s">
        <v>2048</v>
      </c>
      <c r="J1292" s="13">
        <v>1944.8</v>
      </c>
      <c r="K1292" s="13"/>
      <c r="L1292" s="13"/>
      <c r="M1292" s="13"/>
      <c r="N1292" s="13"/>
      <c r="O1292" s="13"/>
      <c r="P1292" s="13"/>
      <c r="Q1292" s="13"/>
      <c r="R1292" s="13"/>
      <c r="S1292" s="13">
        <v>126450.9</v>
      </c>
      <c r="T1292" s="13"/>
      <c r="U1292" s="13"/>
      <c r="V1292" s="13"/>
      <c r="W1292" s="13"/>
      <c r="X1292" s="13"/>
    </row>
    <row r="1293" spans="1:24" x14ac:dyDescent="0.25">
      <c r="A1293" s="15">
        <v>465</v>
      </c>
      <c r="B1293" s="13" t="s">
        <v>13</v>
      </c>
      <c r="C1293" s="22" t="s">
        <v>674</v>
      </c>
      <c r="D1293" s="29">
        <v>44480</v>
      </c>
      <c r="E1293" s="18" t="s">
        <v>23</v>
      </c>
      <c r="F1293" s="18"/>
      <c r="G1293" s="13"/>
      <c r="H1293" s="107">
        <v>44489</v>
      </c>
      <c r="I1293" s="13" t="s">
        <v>2050</v>
      </c>
      <c r="J1293" s="13">
        <v>2106</v>
      </c>
      <c r="K1293" s="13" t="s">
        <v>399</v>
      </c>
      <c r="L1293" s="13">
        <v>0.30719999999999997</v>
      </c>
      <c r="M1293" s="13">
        <v>0.69199999999999995</v>
      </c>
      <c r="N1293" s="13">
        <v>646.96320000000003</v>
      </c>
      <c r="O1293" s="13">
        <v>1457.3520000000001</v>
      </c>
      <c r="P1293" s="13">
        <v>84.11</v>
      </c>
      <c r="Q1293" s="13">
        <v>95.23</v>
      </c>
      <c r="R1293" s="13">
        <v>310</v>
      </c>
      <c r="S1293" s="13">
        <v>200554.38</v>
      </c>
      <c r="T1293" s="13"/>
      <c r="U1293" s="13"/>
      <c r="V1293" s="13"/>
      <c r="W1293" s="13"/>
      <c r="X1293" s="13"/>
    </row>
    <row r="1294" spans="1:24" x14ac:dyDescent="0.25">
      <c r="A1294" s="15">
        <v>466</v>
      </c>
      <c r="B1294" s="13" t="s">
        <v>13</v>
      </c>
      <c r="C1294" s="22" t="s">
        <v>32</v>
      </c>
      <c r="D1294" s="29">
        <v>44480</v>
      </c>
      <c r="E1294" s="18" t="s">
        <v>23</v>
      </c>
      <c r="F1294" s="18"/>
      <c r="G1294" s="13"/>
      <c r="H1294" s="31"/>
      <c r="I1294" s="13" t="s">
        <v>1218</v>
      </c>
      <c r="J1294" s="13">
        <v>1028.2</v>
      </c>
      <c r="K1294" s="13" t="s">
        <v>2049</v>
      </c>
      <c r="L1294" s="13">
        <v>0.2651</v>
      </c>
      <c r="M1294" s="13">
        <v>0.82099999999999995</v>
      </c>
      <c r="N1294" s="13">
        <v>272.57580000000002</v>
      </c>
      <c r="O1294" s="13">
        <v>844.15219999999999</v>
      </c>
      <c r="P1294" s="13">
        <v>35.43</v>
      </c>
      <c r="Q1294" s="13" t="s">
        <v>17</v>
      </c>
      <c r="R1294" s="13">
        <v>251</v>
      </c>
      <c r="S1294" s="13"/>
      <c r="T1294" s="13"/>
      <c r="U1294" s="13"/>
      <c r="V1294" s="13"/>
      <c r="W1294" s="13"/>
      <c r="X1294" s="13"/>
    </row>
    <row r="1295" spans="1:24" x14ac:dyDescent="0.25">
      <c r="A1295" s="15" t="s">
        <v>2051</v>
      </c>
      <c r="B1295" s="13" t="s">
        <v>13</v>
      </c>
      <c r="C1295" s="22" t="s">
        <v>637</v>
      </c>
      <c r="D1295" s="29">
        <v>44480</v>
      </c>
      <c r="E1295" s="18" t="s">
        <v>23</v>
      </c>
      <c r="F1295" s="18"/>
      <c r="G1295" s="13"/>
      <c r="H1295" s="19">
        <v>44490</v>
      </c>
      <c r="I1295" s="13" t="s">
        <v>2052</v>
      </c>
      <c r="J1295" s="13"/>
      <c r="K1295" s="13">
        <v>12</v>
      </c>
      <c r="L1295" s="13"/>
      <c r="M1295" s="13"/>
      <c r="N1295" s="13"/>
      <c r="O1295" s="13"/>
      <c r="P1295" s="13"/>
      <c r="Q1295" s="13"/>
      <c r="R1295" s="13"/>
      <c r="S1295" s="13">
        <v>15160</v>
      </c>
      <c r="T1295" s="13"/>
      <c r="U1295" s="13"/>
      <c r="V1295" s="13"/>
      <c r="W1295" s="13"/>
      <c r="X1295" s="13"/>
    </row>
    <row r="1296" spans="1:24" ht="45.75" x14ac:dyDescent="0.25">
      <c r="A1296" s="15" t="s">
        <v>2053</v>
      </c>
      <c r="B1296" s="13" t="s">
        <v>13</v>
      </c>
      <c r="C1296" s="22" t="s">
        <v>548</v>
      </c>
      <c r="D1296" s="29">
        <v>44480</v>
      </c>
      <c r="E1296" s="18" t="s">
        <v>23</v>
      </c>
      <c r="F1296" s="18"/>
      <c r="G1296" s="119" t="s">
        <v>2201</v>
      </c>
      <c r="H1296" s="19">
        <v>44490</v>
      </c>
      <c r="I1296" s="13" t="s">
        <v>1876</v>
      </c>
      <c r="J1296" s="13">
        <v>31449</v>
      </c>
      <c r="K1296" s="13">
        <v>10483</v>
      </c>
      <c r="L1296" s="13"/>
      <c r="M1296" s="13"/>
      <c r="N1296" s="13"/>
      <c r="O1296" s="13"/>
      <c r="P1296" s="13"/>
      <c r="Q1296" s="13"/>
      <c r="R1296" s="13"/>
      <c r="S1296" s="13" t="s">
        <v>2055</v>
      </c>
      <c r="T1296" s="13"/>
      <c r="U1296" s="13"/>
      <c r="V1296" s="13"/>
      <c r="W1296" s="13"/>
      <c r="X1296" s="13"/>
    </row>
    <row r="1297" spans="1:24" x14ac:dyDescent="0.25">
      <c r="A1297" s="15" t="s">
        <v>2053</v>
      </c>
      <c r="B1297" s="13" t="s">
        <v>13</v>
      </c>
      <c r="C1297" s="16" t="s">
        <v>548</v>
      </c>
      <c r="D1297" s="29">
        <v>44480</v>
      </c>
      <c r="E1297" s="18" t="s">
        <v>23</v>
      </c>
      <c r="F1297" s="18">
        <v>120</v>
      </c>
      <c r="G1297" s="13" t="s">
        <v>3042</v>
      </c>
      <c r="H1297" s="31"/>
      <c r="I1297" s="13" t="s">
        <v>2054</v>
      </c>
      <c r="J1297" s="13">
        <v>1600</v>
      </c>
      <c r="K1297" s="13">
        <v>400</v>
      </c>
      <c r="L1297" s="13"/>
      <c r="M1297" s="13"/>
      <c r="N1297" s="13"/>
      <c r="O1297" s="13"/>
      <c r="P1297" s="13"/>
      <c r="Q1297" s="13"/>
      <c r="R1297" s="13"/>
      <c r="S1297" s="13" t="s">
        <v>2056</v>
      </c>
      <c r="T1297" s="13"/>
      <c r="U1297" s="13"/>
      <c r="V1297" s="13"/>
      <c r="W1297" s="13"/>
      <c r="X1297" s="13"/>
    </row>
    <row r="1298" spans="1:24" x14ac:dyDescent="0.25">
      <c r="A1298" s="15" t="s">
        <v>2059</v>
      </c>
      <c r="B1298" s="13" t="s">
        <v>13</v>
      </c>
      <c r="C1298" s="22" t="s">
        <v>1768</v>
      </c>
      <c r="D1298" s="29">
        <v>44481</v>
      </c>
      <c r="E1298" s="18" t="s">
        <v>23</v>
      </c>
      <c r="F1298" s="18"/>
      <c r="G1298" s="13"/>
      <c r="H1298" s="19">
        <v>44484</v>
      </c>
      <c r="I1298" s="13" t="s">
        <v>2058</v>
      </c>
      <c r="J1298" s="13">
        <v>216</v>
      </c>
      <c r="K1298" s="13" t="s">
        <v>33</v>
      </c>
      <c r="L1298" s="13">
        <v>9.74E-2</v>
      </c>
      <c r="M1298" s="13">
        <v>0.37</v>
      </c>
      <c r="N1298" s="13">
        <v>21.038399999999999</v>
      </c>
      <c r="O1298" s="13">
        <v>79.92</v>
      </c>
      <c r="P1298" s="13">
        <v>2.74</v>
      </c>
      <c r="Q1298" s="13">
        <v>26.79</v>
      </c>
      <c r="R1298" s="13">
        <v>275</v>
      </c>
      <c r="S1298" s="13">
        <v>5785.56</v>
      </c>
      <c r="T1298" s="13"/>
      <c r="U1298" s="13"/>
      <c r="V1298" s="13"/>
      <c r="W1298" s="13"/>
      <c r="X1298" s="13"/>
    </row>
    <row r="1299" spans="1:24" x14ac:dyDescent="0.25">
      <c r="A1299" s="15" t="s">
        <v>2060</v>
      </c>
      <c r="B1299" s="13" t="s">
        <v>13</v>
      </c>
      <c r="C1299" s="22" t="s">
        <v>2062</v>
      </c>
      <c r="D1299" s="29">
        <v>44481</v>
      </c>
      <c r="E1299" s="18" t="s">
        <v>677</v>
      </c>
      <c r="F1299" s="18"/>
      <c r="G1299" s="13" t="s">
        <v>2057</v>
      </c>
      <c r="H1299" s="31"/>
      <c r="I1299" s="13" t="s">
        <v>2061</v>
      </c>
      <c r="J1299" s="13">
        <v>1776</v>
      </c>
      <c r="K1299" s="13">
        <v>592</v>
      </c>
      <c r="L1299" s="13"/>
      <c r="M1299" s="13"/>
      <c r="N1299" s="13"/>
      <c r="O1299" s="13"/>
      <c r="P1299" s="13"/>
      <c r="Q1299" s="13"/>
      <c r="R1299" s="13"/>
      <c r="S1299" s="13">
        <v>47500</v>
      </c>
      <c r="T1299" s="13"/>
      <c r="U1299" s="13"/>
      <c r="V1299" s="13"/>
      <c r="W1299" s="13"/>
      <c r="X1299" s="13"/>
    </row>
    <row r="1300" spans="1:24" ht="30.75" x14ac:dyDescent="0.25">
      <c r="A1300" s="15" t="s">
        <v>2130</v>
      </c>
      <c r="B1300" s="13" t="s">
        <v>34</v>
      </c>
      <c r="C1300" s="22" t="s">
        <v>541</v>
      </c>
      <c r="D1300" s="29">
        <v>44482</v>
      </c>
      <c r="E1300" s="18" t="s">
        <v>23</v>
      </c>
      <c r="F1300" s="18"/>
      <c r="G1300" s="13"/>
      <c r="H1300" s="31"/>
      <c r="I1300" s="74" t="s">
        <v>2121</v>
      </c>
      <c r="J1300" s="13" t="s">
        <v>2124</v>
      </c>
      <c r="K1300" s="13"/>
      <c r="L1300" s="13"/>
      <c r="M1300" s="13"/>
      <c r="N1300" s="13"/>
      <c r="O1300" s="13"/>
      <c r="P1300" s="13"/>
      <c r="Q1300" s="13"/>
      <c r="R1300" s="13"/>
      <c r="S1300" s="13" t="s">
        <v>2127</v>
      </c>
      <c r="T1300" s="13"/>
      <c r="U1300" s="13"/>
      <c r="V1300" s="13"/>
      <c r="W1300" s="13"/>
      <c r="X1300" s="13"/>
    </row>
    <row r="1301" spans="1:24" ht="30.75" x14ac:dyDescent="0.25">
      <c r="A1301" s="15" t="s">
        <v>2130</v>
      </c>
      <c r="B1301" s="13" t="s">
        <v>34</v>
      </c>
      <c r="C1301" s="22" t="s">
        <v>541</v>
      </c>
      <c r="D1301" s="29">
        <v>44482</v>
      </c>
      <c r="E1301" s="18" t="s">
        <v>23</v>
      </c>
      <c r="F1301" s="18"/>
      <c r="G1301" s="13"/>
      <c r="H1301" s="31"/>
      <c r="I1301" s="74" t="s">
        <v>2122</v>
      </c>
      <c r="J1301" s="13" t="s">
        <v>2125</v>
      </c>
      <c r="K1301" s="13"/>
      <c r="L1301" s="13"/>
      <c r="M1301" s="13"/>
      <c r="N1301" s="13"/>
      <c r="O1301" s="13"/>
      <c r="P1301" s="13"/>
      <c r="Q1301" s="13"/>
      <c r="R1301" s="13"/>
      <c r="S1301" s="13" t="s">
        <v>2128</v>
      </c>
      <c r="T1301" s="13"/>
      <c r="U1301" s="13"/>
      <c r="V1301" s="13"/>
      <c r="W1301" s="13"/>
      <c r="X1301" s="13"/>
    </row>
    <row r="1302" spans="1:24" ht="30.75" x14ac:dyDescent="0.25">
      <c r="A1302" s="15" t="s">
        <v>2130</v>
      </c>
      <c r="B1302" s="13" t="s">
        <v>34</v>
      </c>
      <c r="C1302" s="22" t="s">
        <v>541</v>
      </c>
      <c r="D1302" s="29">
        <v>44482</v>
      </c>
      <c r="E1302" s="18" t="s">
        <v>23</v>
      </c>
      <c r="F1302" s="18"/>
      <c r="G1302" s="13"/>
      <c r="H1302" s="31"/>
      <c r="I1302" s="74" t="s">
        <v>2123</v>
      </c>
      <c r="J1302" s="13" t="s">
        <v>2126</v>
      </c>
      <c r="K1302" s="13"/>
      <c r="L1302" s="13"/>
      <c r="M1302" s="13"/>
      <c r="N1302" s="13"/>
      <c r="O1302" s="13"/>
      <c r="P1302" s="13"/>
      <c r="Q1302" s="13"/>
      <c r="R1302" s="13"/>
      <c r="S1302" s="13" t="s">
        <v>2129</v>
      </c>
      <c r="T1302" s="13"/>
      <c r="U1302" s="13"/>
      <c r="V1302" s="13"/>
      <c r="W1302" s="13"/>
      <c r="X1302" s="13"/>
    </row>
    <row r="1303" spans="1:24" x14ac:dyDescent="0.25">
      <c r="A1303" s="15" t="s">
        <v>2064</v>
      </c>
      <c r="B1303" s="13" t="s">
        <v>13</v>
      </c>
      <c r="C1303" s="22" t="s">
        <v>43</v>
      </c>
      <c r="D1303" s="29">
        <v>44483</v>
      </c>
      <c r="E1303" s="18" t="s">
        <v>23</v>
      </c>
      <c r="F1303" s="18"/>
      <c r="G1303" s="13"/>
      <c r="H1303" s="31"/>
      <c r="I1303" s="13" t="s">
        <v>1514</v>
      </c>
      <c r="J1303" s="13">
        <v>768</v>
      </c>
      <c r="K1303" s="13">
        <v>128</v>
      </c>
      <c r="L1303" s="13"/>
      <c r="M1303" s="13"/>
      <c r="N1303" s="13"/>
      <c r="O1303" s="13"/>
      <c r="P1303" s="13"/>
      <c r="Q1303" s="13"/>
      <c r="R1303" s="13"/>
      <c r="S1303" s="13">
        <v>28500</v>
      </c>
      <c r="T1303" s="13"/>
      <c r="U1303" s="13"/>
      <c r="V1303" s="13"/>
      <c r="W1303" s="13"/>
      <c r="X1303" s="13"/>
    </row>
    <row r="1304" spans="1:24" x14ac:dyDescent="0.25">
      <c r="A1304" s="15" t="s">
        <v>2077</v>
      </c>
      <c r="B1304" s="13" t="s">
        <v>13</v>
      </c>
      <c r="C1304" s="22" t="s">
        <v>27</v>
      </c>
      <c r="D1304" s="29">
        <v>44483</v>
      </c>
      <c r="E1304" s="18" t="s">
        <v>23</v>
      </c>
      <c r="F1304" s="18"/>
      <c r="G1304" s="13"/>
      <c r="H1304" s="31"/>
      <c r="I1304" s="13" t="s">
        <v>2065</v>
      </c>
      <c r="J1304" s="13" t="s">
        <v>2068</v>
      </c>
      <c r="K1304" s="13">
        <v>592</v>
      </c>
      <c r="L1304" s="13"/>
      <c r="M1304" s="13"/>
      <c r="N1304" s="13"/>
      <c r="O1304" s="13"/>
      <c r="P1304" s="13"/>
      <c r="Q1304" s="13"/>
      <c r="R1304" s="13"/>
      <c r="S1304" s="13" t="s">
        <v>2072</v>
      </c>
      <c r="T1304" s="13"/>
      <c r="U1304" s="13"/>
      <c r="V1304" s="13"/>
      <c r="W1304" s="13"/>
      <c r="X1304" s="13"/>
    </row>
    <row r="1305" spans="1:24" x14ac:dyDescent="0.25">
      <c r="A1305" s="15" t="s">
        <v>2077</v>
      </c>
      <c r="B1305" s="13" t="s">
        <v>13</v>
      </c>
      <c r="C1305" s="22" t="s">
        <v>27</v>
      </c>
      <c r="D1305" s="29">
        <v>44483</v>
      </c>
      <c r="E1305" s="18" t="s">
        <v>23</v>
      </c>
      <c r="F1305" s="18"/>
      <c r="G1305" s="13"/>
      <c r="H1305" s="19">
        <v>44494</v>
      </c>
      <c r="I1305" s="13" t="s">
        <v>2066</v>
      </c>
      <c r="J1305" s="13" t="s">
        <v>2069</v>
      </c>
      <c r="K1305" s="13">
        <v>653</v>
      </c>
      <c r="L1305" s="13"/>
      <c r="M1305" s="13"/>
      <c r="N1305" s="13"/>
      <c r="O1305" s="13"/>
      <c r="P1305" s="13"/>
      <c r="Q1305" s="13"/>
      <c r="R1305" s="13"/>
      <c r="S1305" s="13" t="s">
        <v>2073</v>
      </c>
      <c r="T1305" s="13"/>
      <c r="U1305" s="13"/>
      <c r="V1305" s="13"/>
      <c r="W1305" s="13"/>
      <c r="X1305" s="13"/>
    </row>
    <row r="1306" spans="1:24" x14ac:dyDescent="0.25">
      <c r="A1306" s="15" t="s">
        <v>2077</v>
      </c>
      <c r="B1306" s="13" t="s">
        <v>13</v>
      </c>
      <c r="C1306" s="22" t="s">
        <v>27</v>
      </c>
      <c r="D1306" s="29">
        <v>44483</v>
      </c>
      <c r="E1306" s="18" t="s">
        <v>23</v>
      </c>
      <c r="F1306" s="18"/>
      <c r="G1306" s="13"/>
      <c r="H1306" s="31"/>
      <c r="I1306" s="13" t="s">
        <v>619</v>
      </c>
      <c r="J1306" s="13" t="s">
        <v>2070</v>
      </c>
      <c r="K1306" s="13">
        <v>492</v>
      </c>
      <c r="L1306" s="13"/>
      <c r="M1306" s="13"/>
      <c r="N1306" s="13"/>
      <c r="O1306" s="13"/>
      <c r="P1306" s="13"/>
      <c r="Q1306" s="13"/>
      <c r="R1306" s="13"/>
      <c r="S1306" s="13" t="s">
        <v>2074</v>
      </c>
      <c r="T1306" s="13"/>
      <c r="U1306" s="13"/>
      <c r="V1306" s="13"/>
      <c r="W1306" s="13"/>
      <c r="X1306" s="13"/>
    </row>
    <row r="1307" spans="1:24" x14ac:dyDescent="0.25">
      <c r="A1307" s="15" t="s">
        <v>2077</v>
      </c>
      <c r="B1307" s="13" t="s">
        <v>13</v>
      </c>
      <c r="C1307" s="22" t="s">
        <v>27</v>
      </c>
      <c r="D1307" s="29">
        <v>44483</v>
      </c>
      <c r="E1307" s="18" t="s">
        <v>23</v>
      </c>
      <c r="F1307" s="18"/>
      <c r="G1307" s="13"/>
      <c r="H1307" s="31"/>
      <c r="I1307" s="13" t="s">
        <v>2067</v>
      </c>
      <c r="J1307" s="13" t="s">
        <v>2071</v>
      </c>
      <c r="K1307" s="13">
        <v>472</v>
      </c>
      <c r="L1307" s="13"/>
      <c r="M1307" s="13"/>
      <c r="N1307" s="13"/>
      <c r="O1307" s="13"/>
      <c r="P1307" s="13"/>
      <c r="Q1307" s="13"/>
      <c r="R1307" s="13"/>
      <c r="S1307" s="13" t="s">
        <v>2075</v>
      </c>
      <c r="T1307" s="13"/>
      <c r="U1307" s="13"/>
      <c r="V1307" s="13"/>
      <c r="W1307" s="13"/>
      <c r="X1307" s="13"/>
    </row>
    <row r="1308" spans="1:24" x14ac:dyDescent="0.25">
      <c r="A1308" s="15" t="s">
        <v>2077</v>
      </c>
      <c r="B1308" s="13" t="s">
        <v>13</v>
      </c>
      <c r="C1308" s="22" t="s">
        <v>27</v>
      </c>
      <c r="D1308" s="29">
        <v>44483</v>
      </c>
      <c r="E1308" s="18" t="s">
        <v>23</v>
      </c>
      <c r="F1308" s="18"/>
      <c r="G1308" s="13"/>
      <c r="H1308" s="31"/>
      <c r="I1308" s="13" t="s">
        <v>668</v>
      </c>
      <c r="J1308" s="13" t="s">
        <v>26</v>
      </c>
      <c r="K1308" s="13"/>
      <c r="L1308" s="13"/>
      <c r="M1308" s="13"/>
      <c r="N1308" s="13"/>
      <c r="O1308" s="13"/>
      <c r="P1308" s="13"/>
      <c r="Q1308" s="13"/>
      <c r="R1308" s="13"/>
      <c r="S1308" s="13" t="s">
        <v>2076</v>
      </c>
      <c r="T1308" s="13"/>
      <c r="U1308" s="13"/>
      <c r="V1308" s="13"/>
      <c r="W1308" s="13"/>
      <c r="X1308" s="13"/>
    </row>
    <row r="1309" spans="1:24" x14ac:dyDescent="0.25">
      <c r="A1309" s="15">
        <v>470</v>
      </c>
      <c r="B1309" s="13" t="s">
        <v>13</v>
      </c>
      <c r="C1309" s="22" t="s">
        <v>2062</v>
      </c>
      <c r="D1309" s="29">
        <v>44484</v>
      </c>
      <c r="E1309" s="18" t="s">
        <v>23</v>
      </c>
      <c r="F1309" s="18"/>
      <c r="G1309" s="13"/>
      <c r="H1309" s="31" t="s">
        <v>2090</v>
      </c>
      <c r="I1309" s="13" t="s">
        <v>2079</v>
      </c>
      <c r="J1309" s="13">
        <v>1398</v>
      </c>
      <c r="K1309" s="13" t="s">
        <v>83</v>
      </c>
      <c r="L1309" s="13">
        <v>7.9600000000000004E-2</v>
      </c>
      <c r="M1309" s="13">
        <v>0.156</v>
      </c>
      <c r="N1309" s="13">
        <v>111.2808</v>
      </c>
      <c r="O1309" s="13">
        <v>218.08799999999999</v>
      </c>
      <c r="P1309" s="13">
        <v>14.47</v>
      </c>
      <c r="Q1309" s="13">
        <v>25.63</v>
      </c>
      <c r="R1309" s="13">
        <v>322</v>
      </c>
      <c r="S1309" s="13">
        <v>35832.42</v>
      </c>
      <c r="T1309" s="13"/>
      <c r="U1309" s="13"/>
      <c r="V1309" s="13"/>
      <c r="W1309" s="13"/>
      <c r="X1309" s="13"/>
    </row>
    <row r="1310" spans="1:24" x14ac:dyDescent="0.25">
      <c r="A1310" s="15" t="s">
        <v>2080</v>
      </c>
      <c r="B1310" s="13" t="s">
        <v>13</v>
      </c>
      <c r="C1310" s="22" t="s">
        <v>1768</v>
      </c>
      <c r="D1310" s="29">
        <v>44484</v>
      </c>
      <c r="E1310" s="18" t="s">
        <v>23</v>
      </c>
      <c r="F1310" s="18"/>
      <c r="G1310" s="13" t="s">
        <v>2089</v>
      </c>
      <c r="H1310" s="31"/>
      <c r="I1310" s="13" t="s">
        <v>2058</v>
      </c>
      <c r="J1310" s="13">
        <v>1554</v>
      </c>
      <c r="K1310" s="13" t="s">
        <v>1390</v>
      </c>
      <c r="L1310" s="13">
        <v>9.74E-2</v>
      </c>
      <c r="M1310" s="13">
        <v>0.37</v>
      </c>
      <c r="N1310" s="13">
        <v>151.3596</v>
      </c>
      <c r="O1310" s="13">
        <v>574.98</v>
      </c>
      <c r="P1310" s="13">
        <v>19.68</v>
      </c>
      <c r="Q1310" s="13">
        <v>26.79</v>
      </c>
      <c r="R1310" s="13">
        <v>275</v>
      </c>
      <c r="S1310" s="13">
        <v>41623.89</v>
      </c>
      <c r="T1310" s="13"/>
      <c r="U1310" s="13"/>
      <c r="V1310" s="13"/>
      <c r="W1310" s="13"/>
      <c r="X1310" s="13"/>
    </row>
    <row r="1311" spans="1:24" x14ac:dyDescent="0.25">
      <c r="A1311" s="15">
        <v>476</v>
      </c>
      <c r="B1311" s="13" t="s">
        <v>13</v>
      </c>
      <c r="C1311" s="22" t="s">
        <v>32</v>
      </c>
      <c r="D1311" s="29">
        <v>44484</v>
      </c>
      <c r="E1311" s="18" t="s">
        <v>23</v>
      </c>
      <c r="F1311" s="18"/>
      <c r="G1311" s="13"/>
      <c r="H1311" s="19">
        <v>44490</v>
      </c>
      <c r="I1311" s="13" t="s">
        <v>1218</v>
      </c>
      <c r="J1311" s="13">
        <v>1007</v>
      </c>
      <c r="K1311" s="13" t="s">
        <v>1861</v>
      </c>
      <c r="L1311" s="13">
        <v>0.2651</v>
      </c>
      <c r="M1311" s="13">
        <v>0.82099999999999995</v>
      </c>
      <c r="N1311" s="13">
        <v>266.95569999999998</v>
      </c>
      <c r="O1311" s="13">
        <v>826.74699999999996</v>
      </c>
      <c r="P1311" s="13">
        <v>34.700000000000003</v>
      </c>
      <c r="Q1311" s="13">
        <v>66.540000000000006</v>
      </c>
      <c r="R1311" s="13">
        <v>251</v>
      </c>
      <c r="S1311" s="13">
        <v>67005.78</v>
      </c>
      <c r="T1311" s="13"/>
      <c r="U1311" s="13"/>
      <c r="V1311" s="13"/>
      <c r="W1311" s="13"/>
      <c r="X1311" s="13"/>
    </row>
    <row r="1312" spans="1:24" x14ac:dyDescent="0.25">
      <c r="A1312" s="15" t="s">
        <v>2084</v>
      </c>
      <c r="B1312" s="13" t="s">
        <v>13</v>
      </c>
      <c r="C1312" s="22" t="s">
        <v>2085</v>
      </c>
      <c r="D1312" s="80">
        <v>44487</v>
      </c>
      <c r="E1312" s="81" t="s">
        <v>677</v>
      </c>
      <c r="F1312" s="81"/>
      <c r="G1312" s="78" t="s">
        <v>2057</v>
      </c>
      <c r="H1312" s="31"/>
      <c r="I1312" s="13" t="s">
        <v>2083</v>
      </c>
      <c r="J1312" s="13">
        <v>51</v>
      </c>
      <c r="K1312" s="13">
        <v>17</v>
      </c>
      <c r="L1312" s="13"/>
      <c r="M1312" s="13"/>
      <c r="N1312" s="13"/>
      <c r="O1312" s="13"/>
      <c r="P1312" s="13"/>
      <c r="Q1312" s="13"/>
      <c r="R1312" s="13"/>
      <c r="S1312" s="13">
        <v>4750</v>
      </c>
      <c r="T1312" s="13"/>
      <c r="U1312" s="13"/>
      <c r="V1312" s="13"/>
      <c r="W1312" s="13"/>
      <c r="X1312" s="13"/>
    </row>
    <row r="1313" spans="1:24" x14ac:dyDescent="0.25">
      <c r="A1313" s="15">
        <v>469</v>
      </c>
      <c r="B1313" s="13" t="s">
        <v>13</v>
      </c>
      <c r="C1313" s="22" t="s">
        <v>13</v>
      </c>
      <c r="D1313" s="29">
        <v>44487</v>
      </c>
      <c r="E1313" s="18" t="s">
        <v>23</v>
      </c>
      <c r="F1313" s="18"/>
      <c r="G1313" s="13"/>
      <c r="H1313" s="31"/>
      <c r="I1313" s="13" t="s">
        <v>1797</v>
      </c>
      <c r="J1313" s="13">
        <v>12</v>
      </c>
      <c r="K1313" s="13">
        <v>2</v>
      </c>
      <c r="L1313" s="13">
        <v>0.29759999999999998</v>
      </c>
      <c r="M1313" s="13">
        <v>0.67600000000000005</v>
      </c>
      <c r="N1313" s="13">
        <v>3.8687999999999998</v>
      </c>
      <c r="O1313" s="13">
        <v>8.7880000000000003</v>
      </c>
      <c r="P1313" s="13">
        <v>0.5</v>
      </c>
      <c r="Q1313" s="13">
        <v>89.28</v>
      </c>
      <c r="R1313" s="13">
        <v>300</v>
      </c>
      <c r="S1313" s="13">
        <v>1160.6400000000001</v>
      </c>
      <c r="T1313" s="13"/>
      <c r="U1313" s="13"/>
      <c r="V1313" s="13"/>
      <c r="W1313" s="13"/>
      <c r="X1313" s="13"/>
    </row>
    <row r="1314" spans="1:24" x14ac:dyDescent="0.25">
      <c r="A1314" s="15" t="s">
        <v>2086</v>
      </c>
      <c r="B1314" s="13" t="s">
        <v>13</v>
      </c>
      <c r="C1314" s="22" t="s">
        <v>548</v>
      </c>
      <c r="D1314" s="29">
        <v>44487</v>
      </c>
      <c r="E1314" s="18" t="s">
        <v>23</v>
      </c>
      <c r="F1314" s="18"/>
      <c r="G1314" s="13" t="s">
        <v>322</v>
      </c>
      <c r="H1314" s="19">
        <v>44494</v>
      </c>
      <c r="I1314" s="13" t="s">
        <v>2087</v>
      </c>
      <c r="J1314" s="13">
        <v>2162</v>
      </c>
      <c r="K1314" s="13">
        <v>460</v>
      </c>
      <c r="L1314" s="13"/>
      <c r="M1314" s="13"/>
      <c r="N1314" s="13"/>
      <c r="O1314" s="13"/>
      <c r="P1314" s="13"/>
      <c r="Q1314" s="13"/>
      <c r="R1314" s="13"/>
      <c r="S1314" s="13" t="s">
        <v>2088</v>
      </c>
      <c r="T1314" s="13"/>
      <c r="U1314" s="13"/>
      <c r="V1314" s="13"/>
      <c r="W1314" s="13"/>
      <c r="X1314" s="13"/>
    </row>
    <row r="1315" spans="1:24" x14ac:dyDescent="0.25">
      <c r="A1315" s="15" t="s">
        <v>2086</v>
      </c>
      <c r="B1315" s="13" t="s">
        <v>13</v>
      </c>
      <c r="C1315" s="22" t="s">
        <v>548</v>
      </c>
      <c r="D1315" s="29">
        <v>44487</v>
      </c>
      <c r="E1315" s="18" t="s">
        <v>23</v>
      </c>
      <c r="F1315" s="18"/>
      <c r="G1315" s="119"/>
      <c r="H1315" s="31"/>
      <c r="I1315" s="13" t="s">
        <v>1876</v>
      </c>
      <c r="J1315" s="13">
        <v>12780</v>
      </c>
      <c r="K1315" s="13">
        <v>4260</v>
      </c>
      <c r="L1315" s="13"/>
      <c r="M1315" s="13"/>
      <c r="N1315" s="13"/>
      <c r="O1315" s="13"/>
      <c r="P1315" s="13"/>
      <c r="Q1315" s="13"/>
      <c r="R1315" s="13"/>
      <c r="S1315" s="13" t="s">
        <v>2092</v>
      </c>
      <c r="T1315" s="13"/>
      <c r="U1315" s="13"/>
      <c r="V1315" s="13"/>
      <c r="W1315" s="13"/>
      <c r="X1315" s="13"/>
    </row>
    <row r="1316" spans="1:24" x14ac:dyDescent="0.25">
      <c r="A1316" s="15" t="s">
        <v>17</v>
      </c>
      <c r="B1316" s="13" t="s">
        <v>13</v>
      </c>
      <c r="C1316" s="22" t="s">
        <v>1432</v>
      </c>
      <c r="D1316" s="29">
        <v>44488</v>
      </c>
      <c r="E1316" s="18" t="s">
        <v>23</v>
      </c>
      <c r="F1316" s="18"/>
      <c r="G1316" s="13"/>
      <c r="H1316" s="19">
        <v>44497</v>
      </c>
      <c r="I1316" s="13" t="s">
        <v>1400</v>
      </c>
      <c r="J1316" s="13">
        <v>300</v>
      </c>
      <c r="K1316" s="13" t="s">
        <v>305</v>
      </c>
      <c r="L1316" s="13">
        <v>0.29759999999999998</v>
      </c>
      <c r="M1316" s="13">
        <v>0.67600000000000005</v>
      </c>
      <c r="N1316" s="13">
        <v>89.28</v>
      </c>
      <c r="O1316" s="13">
        <v>202.8</v>
      </c>
      <c r="P1316" s="13">
        <v>11.61</v>
      </c>
      <c r="Q1316" s="13">
        <v>89.28</v>
      </c>
      <c r="R1316" s="13">
        <v>300</v>
      </c>
      <c r="S1316" s="13">
        <v>26784</v>
      </c>
      <c r="T1316" s="13"/>
      <c r="U1316" s="13"/>
      <c r="V1316" s="13"/>
      <c r="W1316" s="13"/>
      <c r="X1316" s="13"/>
    </row>
    <row r="1317" spans="1:24" x14ac:dyDescent="0.25">
      <c r="A1317" s="15">
        <v>480</v>
      </c>
      <c r="B1317" s="13" t="s">
        <v>13</v>
      </c>
      <c r="C1317" s="22" t="s">
        <v>663</v>
      </c>
      <c r="D1317" s="29">
        <v>44488</v>
      </c>
      <c r="E1317" s="18" t="s">
        <v>23</v>
      </c>
      <c r="F1317" s="18"/>
      <c r="G1317" s="13" t="s">
        <v>2148</v>
      </c>
      <c r="H1317" s="19">
        <v>44491</v>
      </c>
      <c r="I1317" s="13" t="s">
        <v>2091</v>
      </c>
      <c r="J1317" s="13">
        <v>312</v>
      </c>
      <c r="K1317" s="13" t="s">
        <v>634</v>
      </c>
      <c r="L1317" s="13">
        <v>0.624</v>
      </c>
      <c r="M1317" s="13">
        <v>2.6</v>
      </c>
      <c r="N1317" s="13">
        <v>194.68799999999999</v>
      </c>
      <c r="O1317" s="13">
        <v>811.2</v>
      </c>
      <c r="P1317" s="13">
        <v>25.31</v>
      </c>
      <c r="Q1317" s="13">
        <v>171.6</v>
      </c>
      <c r="R1317" s="13">
        <v>275</v>
      </c>
      <c r="S1317" s="13">
        <v>53539.199999999997</v>
      </c>
      <c r="T1317" s="13"/>
      <c r="U1317" s="13"/>
      <c r="V1317" s="13"/>
      <c r="W1317" s="13"/>
      <c r="X1317" s="13"/>
    </row>
    <row r="1318" spans="1:24" x14ac:dyDescent="0.25">
      <c r="A1318" s="15" t="s">
        <v>2094</v>
      </c>
      <c r="B1318" s="13" t="s">
        <v>13</v>
      </c>
      <c r="C1318" s="22" t="s">
        <v>43</v>
      </c>
      <c r="D1318" s="80">
        <v>44489</v>
      </c>
      <c r="E1318" s="81" t="s">
        <v>677</v>
      </c>
      <c r="F1318" s="81"/>
      <c r="G1318" s="78" t="s">
        <v>2057</v>
      </c>
      <c r="H1318" s="31"/>
      <c r="I1318" s="13" t="s">
        <v>2093</v>
      </c>
      <c r="J1318" s="13">
        <v>610</v>
      </c>
      <c r="K1318" s="13">
        <v>100</v>
      </c>
      <c r="L1318" s="13"/>
      <c r="M1318" s="13"/>
      <c r="N1318" s="13"/>
      <c r="O1318" s="13"/>
      <c r="P1318" s="13"/>
      <c r="Q1318" s="13"/>
      <c r="R1318" s="13"/>
      <c r="S1318" s="13">
        <v>38000</v>
      </c>
      <c r="T1318" s="13"/>
      <c r="U1318" s="13"/>
      <c r="V1318" s="13"/>
      <c r="W1318" s="13"/>
      <c r="X1318" s="13"/>
    </row>
    <row r="1319" spans="1:24" x14ac:dyDescent="0.25">
      <c r="A1319" s="15" t="s">
        <v>2099</v>
      </c>
      <c r="B1319" s="13" t="s">
        <v>13</v>
      </c>
      <c r="C1319" s="22" t="s">
        <v>30</v>
      </c>
      <c r="D1319" s="29">
        <v>44489</v>
      </c>
      <c r="E1319" s="18" t="s">
        <v>23</v>
      </c>
      <c r="F1319" s="18"/>
      <c r="G1319" s="13"/>
      <c r="H1319" s="19">
        <v>44497</v>
      </c>
      <c r="I1319" s="13" t="s">
        <v>2095</v>
      </c>
      <c r="J1319" s="13"/>
      <c r="K1319" s="13" t="s">
        <v>233</v>
      </c>
      <c r="L1319" s="13"/>
      <c r="M1319" s="13"/>
      <c r="N1319" s="13"/>
      <c r="O1319" s="13"/>
      <c r="P1319" s="13"/>
      <c r="Q1319" s="13"/>
      <c r="R1319" s="13"/>
      <c r="S1319" s="13" t="s">
        <v>2097</v>
      </c>
      <c r="T1319" s="13"/>
      <c r="U1319" s="13"/>
      <c r="V1319" s="13"/>
      <c r="W1319" s="13"/>
      <c r="X1319" s="13"/>
    </row>
    <row r="1320" spans="1:24" x14ac:dyDescent="0.25">
      <c r="A1320" s="15" t="s">
        <v>2099</v>
      </c>
      <c r="B1320" s="13" t="s">
        <v>13</v>
      </c>
      <c r="C1320" s="22" t="s">
        <v>30</v>
      </c>
      <c r="D1320" s="29">
        <v>44489</v>
      </c>
      <c r="E1320" s="18" t="s">
        <v>23</v>
      </c>
      <c r="F1320" s="18"/>
      <c r="G1320" s="13"/>
      <c r="H1320" s="19">
        <v>44497</v>
      </c>
      <c r="I1320" s="13" t="s">
        <v>2096</v>
      </c>
      <c r="J1320" s="13"/>
      <c r="K1320" s="13" t="s">
        <v>318</v>
      </c>
      <c r="L1320" s="13"/>
      <c r="M1320" s="13"/>
      <c r="N1320" s="13"/>
      <c r="O1320" s="13"/>
      <c r="P1320" s="13"/>
      <c r="Q1320" s="13"/>
      <c r="R1320" s="13"/>
      <c r="S1320" s="13" t="s">
        <v>2098</v>
      </c>
      <c r="T1320" s="13"/>
      <c r="U1320" s="13"/>
      <c r="V1320" s="13"/>
      <c r="W1320" s="13"/>
      <c r="X1320" s="13"/>
    </row>
    <row r="1321" spans="1:24" x14ac:dyDescent="0.25">
      <c r="A1321" s="15">
        <v>482</v>
      </c>
      <c r="B1321" s="13" t="s">
        <v>34</v>
      </c>
      <c r="C1321" s="22" t="s">
        <v>46</v>
      </c>
      <c r="D1321" s="29">
        <v>44489</v>
      </c>
      <c r="E1321" s="18" t="s">
        <v>23</v>
      </c>
      <c r="F1321" s="18"/>
      <c r="G1321" s="13"/>
      <c r="H1321" s="31"/>
      <c r="I1321" s="13" t="s">
        <v>2100</v>
      </c>
      <c r="J1321" s="13">
        <v>120</v>
      </c>
      <c r="K1321" s="13" t="s">
        <v>61</v>
      </c>
      <c r="L1321" s="13">
        <v>0.43580000000000002</v>
      </c>
      <c r="M1321" s="13">
        <v>2.3410000000000002</v>
      </c>
      <c r="N1321" s="13">
        <v>52.295999999999999</v>
      </c>
      <c r="O1321" s="13">
        <v>280.92</v>
      </c>
      <c r="P1321" s="13">
        <v>6.8</v>
      </c>
      <c r="Q1321" s="13">
        <v>119.85</v>
      </c>
      <c r="R1321" s="13">
        <v>275</v>
      </c>
      <c r="S1321" s="13">
        <v>14381.4</v>
      </c>
      <c r="T1321" s="13"/>
      <c r="U1321" s="13"/>
      <c r="V1321" s="13"/>
      <c r="W1321" s="13"/>
      <c r="X1321" s="13"/>
    </row>
    <row r="1322" spans="1:24" x14ac:dyDescent="0.25">
      <c r="A1322" s="15" t="s">
        <v>2101</v>
      </c>
      <c r="B1322" s="13" t="s">
        <v>13</v>
      </c>
      <c r="C1322" s="22" t="s">
        <v>30</v>
      </c>
      <c r="D1322" s="29">
        <v>44489</v>
      </c>
      <c r="E1322" s="18" t="s">
        <v>23</v>
      </c>
      <c r="F1322" s="18"/>
      <c r="G1322" s="13"/>
      <c r="H1322" s="19">
        <v>44495</v>
      </c>
      <c r="I1322" s="13" t="s">
        <v>710</v>
      </c>
      <c r="J1322" s="13"/>
      <c r="K1322" s="13" t="s">
        <v>178</v>
      </c>
      <c r="L1322" s="13"/>
      <c r="M1322" s="13"/>
      <c r="N1322" s="13"/>
      <c r="O1322" s="13"/>
      <c r="P1322" s="13"/>
      <c r="Q1322" s="13"/>
      <c r="R1322" s="13"/>
      <c r="S1322" s="13" t="s">
        <v>2102</v>
      </c>
      <c r="T1322" s="13"/>
      <c r="U1322" s="13"/>
      <c r="V1322" s="13"/>
      <c r="W1322" s="13"/>
      <c r="X1322" s="13"/>
    </row>
    <row r="1323" spans="1:24" x14ac:dyDescent="0.25">
      <c r="A1323" s="15" t="s">
        <v>2101</v>
      </c>
      <c r="B1323" s="13" t="s">
        <v>13</v>
      </c>
      <c r="C1323" s="22" t="s">
        <v>30</v>
      </c>
      <c r="D1323" s="29">
        <v>44489</v>
      </c>
      <c r="E1323" s="18" t="s">
        <v>23</v>
      </c>
      <c r="F1323" s="18"/>
      <c r="G1323" s="13"/>
      <c r="H1323" s="19">
        <v>44495</v>
      </c>
      <c r="I1323" s="13" t="s">
        <v>711</v>
      </c>
      <c r="J1323" s="13"/>
      <c r="K1323" s="13" t="s">
        <v>178</v>
      </c>
      <c r="L1323" s="13"/>
      <c r="M1323" s="13"/>
      <c r="N1323" s="13"/>
      <c r="O1323" s="13"/>
      <c r="P1323" s="13"/>
      <c r="Q1323" s="13"/>
      <c r="R1323" s="13"/>
      <c r="S1323" s="13" t="s">
        <v>2102</v>
      </c>
      <c r="T1323" s="13"/>
      <c r="U1323" s="13"/>
      <c r="V1323" s="13"/>
      <c r="W1323" s="13"/>
      <c r="X1323" s="13"/>
    </row>
    <row r="1324" spans="1:24" x14ac:dyDescent="0.25">
      <c r="A1324" s="15" t="s">
        <v>2101</v>
      </c>
      <c r="B1324" s="13" t="s">
        <v>13</v>
      </c>
      <c r="C1324" s="22" t="s">
        <v>30</v>
      </c>
      <c r="D1324" s="29">
        <v>44489</v>
      </c>
      <c r="E1324" s="18" t="s">
        <v>23</v>
      </c>
      <c r="F1324" s="18"/>
      <c r="G1324" s="13"/>
      <c r="H1324" s="19">
        <v>44495</v>
      </c>
      <c r="I1324" s="13" t="s">
        <v>712</v>
      </c>
      <c r="J1324" s="13"/>
      <c r="K1324" s="13" t="s">
        <v>233</v>
      </c>
      <c r="L1324" s="13"/>
      <c r="M1324" s="13"/>
      <c r="N1324" s="13"/>
      <c r="O1324" s="13"/>
      <c r="P1324" s="13"/>
      <c r="Q1324" s="13"/>
      <c r="R1324" s="13"/>
      <c r="S1324" s="13" t="s">
        <v>2103</v>
      </c>
      <c r="T1324" s="13"/>
      <c r="U1324" s="13"/>
      <c r="V1324" s="13"/>
      <c r="W1324" s="13"/>
      <c r="X1324" s="13"/>
    </row>
    <row r="1325" spans="1:24" x14ac:dyDescent="0.25">
      <c r="A1325" s="15" t="s">
        <v>2101</v>
      </c>
      <c r="B1325" s="13" t="s">
        <v>13</v>
      </c>
      <c r="C1325" s="22" t="s">
        <v>30</v>
      </c>
      <c r="D1325" s="29">
        <v>44489</v>
      </c>
      <c r="E1325" s="18" t="s">
        <v>23</v>
      </c>
      <c r="F1325" s="18"/>
      <c r="G1325" s="13"/>
      <c r="H1325" s="19">
        <v>44495</v>
      </c>
      <c r="I1325" s="13" t="s">
        <v>713</v>
      </c>
      <c r="J1325" s="13"/>
      <c r="K1325" s="13" t="s">
        <v>53</v>
      </c>
      <c r="L1325" s="13"/>
      <c r="M1325" s="13"/>
      <c r="N1325" s="13"/>
      <c r="O1325" s="13"/>
      <c r="P1325" s="13"/>
      <c r="Q1325" s="13"/>
      <c r="R1325" s="13"/>
      <c r="S1325" s="13" t="s">
        <v>796</v>
      </c>
      <c r="T1325" s="13"/>
      <c r="U1325" s="13"/>
      <c r="V1325" s="13"/>
      <c r="W1325" s="13"/>
      <c r="X1325" s="13"/>
    </row>
    <row r="1326" spans="1:24" x14ac:dyDescent="0.25">
      <c r="A1326" s="15" t="s">
        <v>2101</v>
      </c>
      <c r="B1326" s="13" t="s">
        <v>13</v>
      </c>
      <c r="C1326" s="22" t="s">
        <v>30</v>
      </c>
      <c r="D1326" s="29">
        <v>44489</v>
      </c>
      <c r="E1326" s="18" t="s">
        <v>23</v>
      </c>
      <c r="F1326" s="18"/>
      <c r="G1326" s="13"/>
      <c r="H1326" s="19">
        <v>44495</v>
      </c>
      <c r="I1326" s="13" t="s">
        <v>714</v>
      </c>
      <c r="J1326" s="13"/>
      <c r="K1326" s="13" t="s">
        <v>233</v>
      </c>
      <c r="L1326" s="13"/>
      <c r="M1326" s="13"/>
      <c r="N1326" s="13"/>
      <c r="O1326" s="13"/>
      <c r="P1326" s="13"/>
      <c r="Q1326" s="13"/>
      <c r="R1326" s="13"/>
      <c r="S1326" s="13" t="s">
        <v>2003</v>
      </c>
      <c r="T1326" s="13"/>
      <c r="U1326" s="13"/>
      <c r="V1326" s="13"/>
      <c r="W1326" s="13"/>
      <c r="X1326" s="13"/>
    </row>
    <row r="1327" spans="1:24" x14ac:dyDescent="0.25">
      <c r="A1327" s="15" t="s">
        <v>2101</v>
      </c>
      <c r="B1327" s="13" t="s">
        <v>13</v>
      </c>
      <c r="C1327" s="22" t="s">
        <v>30</v>
      </c>
      <c r="D1327" s="29">
        <v>44489</v>
      </c>
      <c r="E1327" s="18" t="s">
        <v>23</v>
      </c>
      <c r="F1327" s="18"/>
      <c r="G1327" s="13"/>
      <c r="H1327" s="19">
        <v>44495</v>
      </c>
      <c r="I1327" s="13" t="s">
        <v>715</v>
      </c>
      <c r="J1327" s="13"/>
      <c r="K1327" s="13" t="s">
        <v>233</v>
      </c>
      <c r="L1327" s="13"/>
      <c r="M1327" s="13"/>
      <c r="N1327" s="13"/>
      <c r="O1327" s="13"/>
      <c r="P1327" s="13"/>
      <c r="Q1327" s="13"/>
      <c r="R1327" s="13"/>
      <c r="S1327" s="13" t="s">
        <v>2003</v>
      </c>
      <c r="T1327" s="13"/>
      <c r="U1327" s="13"/>
      <c r="V1327" s="13"/>
      <c r="W1327" s="13"/>
      <c r="X1327" s="13"/>
    </row>
    <row r="1328" spans="1:24" x14ac:dyDescent="0.25">
      <c r="A1328" s="15" t="s">
        <v>2101</v>
      </c>
      <c r="B1328" s="13" t="s">
        <v>13</v>
      </c>
      <c r="C1328" s="22" t="s">
        <v>30</v>
      </c>
      <c r="D1328" s="29">
        <v>44489</v>
      </c>
      <c r="E1328" s="18" t="s">
        <v>23</v>
      </c>
      <c r="F1328" s="18"/>
      <c r="G1328" s="13"/>
      <c r="H1328" s="19">
        <v>44495</v>
      </c>
      <c r="I1328" s="13" t="s">
        <v>716</v>
      </c>
      <c r="J1328" s="13"/>
      <c r="K1328" s="13" t="s">
        <v>178</v>
      </c>
      <c r="L1328" s="13"/>
      <c r="M1328" s="13"/>
      <c r="N1328" s="13"/>
      <c r="O1328" s="13"/>
      <c r="P1328" s="13"/>
      <c r="Q1328" s="13"/>
      <c r="R1328" s="13"/>
      <c r="S1328" s="13" t="s">
        <v>601</v>
      </c>
      <c r="T1328" s="13"/>
      <c r="U1328" s="13"/>
      <c r="V1328" s="13"/>
      <c r="W1328" s="13"/>
      <c r="X1328" s="13"/>
    </row>
    <row r="1329" spans="1:24" x14ac:dyDescent="0.25">
      <c r="A1329" s="15" t="s">
        <v>2101</v>
      </c>
      <c r="B1329" s="13" t="s">
        <v>13</v>
      </c>
      <c r="C1329" s="22" t="s">
        <v>30</v>
      </c>
      <c r="D1329" s="29">
        <v>44489</v>
      </c>
      <c r="E1329" s="18" t="s">
        <v>23</v>
      </c>
      <c r="F1329" s="18"/>
      <c r="G1329" s="13"/>
      <c r="H1329" s="19">
        <v>44495</v>
      </c>
      <c r="I1329" s="13" t="s">
        <v>717</v>
      </c>
      <c r="J1329" s="13"/>
      <c r="K1329" s="13" t="s">
        <v>178</v>
      </c>
      <c r="L1329" s="13"/>
      <c r="M1329" s="13"/>
      <c r="N1329" s="13"/>
      <c r="O1329" s="13"/>
      <c r="P1329" s="13"/>
      <c r="Q1329" s="13"/>
      <c r="R1329" s="13"/>
      <c r="S1329" s="13" t="s">
        <v>601</v>
      </c>
      <c r="T1329" s="13"/>
      <c r="U1329" s="13"/>
      <c r="V1329" s="13"/>
      <c r="W1329" s="13"/>
      <c r="X1329" s="13"/>
    </row>
    <row r="1330" spans="1:24" x14ac:dyDescent="0.25">
      <c r="A1330" s="15" t="s">
        <v>2101</v>
      </c>
      <c r="B1330" s="13" t="s">
        <v>13</v>
      </c>
      <c r="C1330" s="22" t="s">
        <v>30</v>
      </c>
      <c r="D1330" s="29">
        <v>44489</v>
      </c>
      <c r="E1330" s="18" t="s">
        <v>23</v>
      </c>
      <c r="F1330" s="18"/>
      <c r="G1330" s="13"/>
      <c r="H1330" s="19">
        <v>44495</v>
      </c>
      <c r="I1330" s="13" t="s">
        <v>718</v>
      </c>
      <c r="J1330" s="13"/>
      <c r="K1330" s="13" t="s">
        <v>178</v>
      </c>
      <c r="L1330" s="13"/>
      <c r="M1330" s="13"/>
      <c r="N1330" s="13"/>
      <c r="O1330" s="13"/>
      <c r="P1330" s="13"/>
      <c r="Q1330" s="13"/>
      <c r="R1330" s="13"/>
      <c r="S1330" s="13" t="s">
        <v>2104</v>
      </c>
      <c r="T1330" s="13"/>
      <c r="U1330" s="13"/>
      <c r="V1330" s="13"/>
      <c r="W1330" s="13"/>
      <c r="X1330" s="13"/>
    </row>
    <row r="1331" spans="1:24" x14ac:dyDescent="0.25">
      <c r="A1331" s="15" t="s">
        <v>2101</v>
      </c>
      <c r="B1331" s="13" t="s">
        <v>13</v>
      </c>
      <c r="C1331" s="22" t="s">
        <v>30</v>
      </c>
      <c r="D1331" s="29">
        <v>44489</v>
      </c>
      <c r="E1331" s="18" t="s">
        <v>23</v>
      </c>
      <c r="F1331" s="18"/>
      <c r="G1331" s="13"/>
      <c r="H1331" s="19">
        <v>44495</v>
      </c>
      <c r="I1331" s="13" t="s">
        <v>719</v>
      </c>
      <c r="J1331" s="13"/>
      <c r="K1331" s="13" t="s">
        <v>178</v>
      </c>
      <c r="L1331" s="13"/>
      <c r="M1331" s="13"/>
      <c r="N1331" s="13"/>
      <c r="O1331" s="13"/>
      <c r="P1331" s="13"/>
      <c r="Q1331" s="13"/>
      <c r="R1331" s="13"/>
      <c r="S1331" s="13" t="s">
        <v>2104</v>
      </c>
      <c r="T1331" s="13"/>
      <c r="U1331" s="13"/>
      <c r="V1331" s="13"/>
      <c r="W1331" s="13"/>
      <c r="X1331" s="13"/>
    </row>
    <row r="1332" spans="1:24" ht="30.75" x14ac:dyDescent="0.25">
      <c r="A1332" s="15" t="s">
        <v>2106</v>
      </c>
      <c r="B1332" s="13" t="s">
        <v>13</v>
      </c>
      <c r="C1332" s="22" t="s">
        <v>548</v>
      </c>
      <c r="D1332" s="29">
        <v>44490</v>
      </c>
      <c r="E1332" s="18" t="s">
        <v>23</v>
      </c>
      <c r="F1332" s="18"/>
      <c r="G1332" s="110" t="s">
        <v>2253</v>
      </c>
      <c r="H1332" s="31"/>
      <c r="I1332" s="74" t="s">
        <v>1876</v>
      </c>
      <c r="J1332" s="13">
        <v>17112</v>
      </c>
      <c r="K1332" s="13">
        <v>5704</v>
      </c>
      <c r="L1332" s="13"/>
      <c r="M1332" s="13"/>
      <c r="N1332" s="13"/>
      <c r="O1332" s="13"/>
      <c r="P1332" s="13"/>
      <c r="Q1332" s="13"/>
      <c r="R1332" s="13"/>
      <c r="S1332" s="13" t="s">
        <v>2107</v>
      </c>
      <c r="T1332" s="13"/>
      <c r="U1332" s="13"/>
      <c r="V1332" s="13"/>
      <c r="W1332" s="13"/>
      <c r="X1332" s="13"/>
    </row>
    <row r="1333" spans="1:24" x14ac:dyDescent="0.25">
      <c r="A1333" s="15" t="s">
        <v>2106</v>
      </c>
      <c r="B1333" s="13" t="s">
        <v>13</v>
      </c>
      <c r="C1333" s="22" t="s">
        <v>548</v>
      </c>
      <c r="D1333" s="29">
        <v>44490</v>
      </c>
      <c r="E1333" s="18" t="s">
        <v>23</v>
      </c>
      <c r="F1333" s="18"/>
      <c r="G1333" s="13"/>
      <c r="H1333" s="31"/>
      <c r="I1333" s="13" t="s">
        <v>2105</v>
      </c>
      <c r="J1333" s="13">
        <v>182.9</v>
      </c>
      <c r="K1333" s="13">
        <v>59</v>
      </c>
      <c r="L1333" s="13"/>
      <c r="M1333" s="13"/>
      <c r="N1333" s="13"/>
      <c r="O1333" s="13"/>
      <c r="P1333" s="13"/>
      <c r="Q1333" s="13"/>
      <c r="R1333" s="13"/>
      <c r="S1333" s="13" t="s">
        <v>2108</v>
      </c>
      <c r="T1333" s="13"/>
      <c r="U1333" s="13"/>
      <c r="V1333" s="13"/>
      <c r="W1333" s="13"/>
      <c r="X1333" s="13"/>
    </row>
    <row r="1334" spans="1:24" x14ac:dyDescent="0.25">
      <c r="A1334" s="15" t="s">
        <v>2112</v>
      </c>
      <c r="B1334" s="13" t="s">
        <v>13</v>
      </c>
      <c r="C1334" s="22" t="s">
        <v>1696</v>
      </c>
      <c r="D1334" s="29">
        <v>44490</v>
      </c>
      <c r="E1334" s="18" t="s">
        <v>23</v>
      </c>
      <c r="F1334" s="18"/>
      <c r="G1334" s="13"/>
      <c r="H1334" s="19">
        <v>44515</v>
      </c>
      <c r="I1334" s="13" t="s">
        <v>2109</v>
      </c>
      <c r="J1334" s="13">
        <v>600</v>
      </c>
      <c r="K1334" s="13">
        <v>100</v>
      </c>
      <c r="L1334" s="13"/>
      <c r="M1334" s="13"/>
      <c r="N1334" s="13"/>
      <c r="O1334" s="13"/>
      <c r="P1334" s="13"/>
      <c r="Q1334" s="13"/>
      <c r="R1334" s="13"/>
      <c r="S1334" s="13" t="s">
        <v>2113</v>
      </c>
      <c r="T1334" s="13"/>
      <c r="U1334" s="13"/>
      <c r="V1334" s="13"/>
      <c r="W1334" s="13"/>
      <c r="X1334" s="13"/>
    </row>
    <row r="1335" spans="1:24" x14ac:dyDescent="0.25">
      <c r="A1335" s="15" t="s">
        <v>2112</v>
      </c>
      <c r="B1335" s="13" t="s">
        <v>13</v>
      </c>
      <c r="C1335" s="22" t="s">
        <v>1696</v>
      </c>
      <c r="D1335" s="29">
        <v>44490</v>
      </c>
      <c r="E1335" s="18" t="s">
        <v>23</v>
      </c>
      <c r="F1335" s="18"/>
      <c r="G1335" s="13"/>
      <c r="H1335" s="19">
        <v>44515</v>
      </c>
      <c r="I1335" s="13" t="s">
        <v>1698</v>
      </c>
      <c r="J1335" s="13">
        <v>3720</v>
      </c>
      <c r="K1335" s="13">
        <v>620</v>
      </c>
      <c r="L1335" s="13"/>
      <c r="M1335" s="13"/>
      <c r="N1335" s="13"/>
      <c r="O1335" s="13"/>
      <c r="P1335" s="13"/>
      <c r="Q1335" s="13"/>
      <c r="R1335" s="13"/>
      <c r="S1335" s="13" t="s">
        <v>2114</v>
      </c>
      <c r="T1335" s="13"/>
      <c r="U1335" s="13"/>
      <c r="V1335" s="13"/>
      <c r="W1335" s="13"/>
      <c r="X1335" s="13"/>
    </row>
    <row r="1336" spans="1:24" x14ac:dyDescent="0.25">
      <c r="A1336" s="15" t="s">
        <v>2112</v>
      </c>
      <c r="B1336" s="13" t="s">
        <v>13</v>
      </c>
      <c r="C1336" s="22" t="s">
        <v>1696</v>
      </c>
      <c r="D1336" s="29">
        <v>44490</v>
      </c>
      <c r="E1336" s="18" t="s">
        <v>23</v>
      </c>
      <c r="F1336" s="18"/>
      <c r="G1336" s="13"/>
      <c r="H1336" s="19">
        <v>44515</v>
      </c>
      <c r="I1336" s="13" t="s">
        <v>2110</v>
      </c>
      <c r="J1336" s="13">
        <v>1296</v>
      </c>
      <c r="K1336" s="13">
        <v>216</v>
      </c>
      <c r="L1336" s="13"/>
      <c r="M1336" s="13"/>
      <c r="N1336" s="13"/>
      <c r="O1336" s="13"/>
      <c r="P1336" s="13"/>
      <c r="Q1336" s="13"/>
      <c r="R1336" s="13"/>
      <c r="S1336" s="13" t="s">
        <v>2115</v>
      </c>
      <c r="T1336" s="13"/>
      <c r="U1336" s="13"/>
      <c r="V1336" s="13"/>
      <c r="W1336" s="13"/>
      <c r="X1336" s="13"/>
    </row>
    <row r="1337" spans="1:24" x14ac:dyDescent="0.25">
      <c r="A1337" s="15" t="s">
        <v>2112</v>
      </c>
      <c r="B1337" s="13" t="s">
        <v>13</v>
      </c>
      <c r="C1337" s="22" t="s">
        <v>1696</v>
      </c>
      <c r="D1337" s="29">
        <v>44490</v>
      </c>
      <c r="E1337" s="18" t="s">
        <v>23</v>
      </c>
      <c r="F1337" s="18"/>
      <c r="G1337" s="13"/>
      <c r="H1337" s="19">
        <v>44515</v>
      </c>
      <c r="I1337" s="13" t="s">
        <v>2111</v>
      </c>
      <c r="J1337" s="13">
        <v>1200</v>
      </c>
      <c r="K1337" s="13">
        <v>200</v>
      </c>
      <c r="L1337" s="13"/>
      <c r="M1337" s="13"/>
      <c r="N1337" s="13"/>
      <c r="O1337" s="13"/>
      <c r="P1337" s="13"/>
      <c r="Q1337" s="13"/>
      <c r="R1337" s="13"/>
      <c r="S1337" s="13" t="s">
        <v>2116</v>
      </c>
      <c r="T1337" s="13"/>
      <c r="U1337" s="13"/>
      <c r="V1337" s="13"/>
      <c r="W1337" s="13"/>
      <c r="X1337" s="13"/>
    </row>
    <row r="1338" spans="1:24" x14ac:dyDescent="0.25">
      <c r="A1338" s="15" t="s">
        <v>2118</v>
      </c>
      <c r="B1338" s="13" t="s">
        <v>34</v>
      </c>
      <c r="C1338" s="22" t="s">
        <v>1828</v>
      </c>
      <c r="D1338" s="29">
        <v>44491</v>
      </c>
      <c r="E1338" s="18" t="s">
        <v>23</v>
      </c>
      <c r="F1338" s="18"/>
      <c r="G1338" s="13" t="s">
        <v>2117</v>
      </c>
      <c r="H1338" s="31"/>
      <c r="I1338" s="13" t="s">
        <v>2119</v>
      </c>
      <c r="J1338" s="13"/>
      <c r="K1338" s="13"/>
      <c r="L1338" s="13"/>
      <c r="M1338" s="13"/>
      <c r="N1338" s="13"/>
      <c r="O1338" s="13"/>
      <c r="P1338" s="13"/>
      <c r="Q1338" s="13"/>
      <c r="R1338" s="13"/>
      <c r="S1338" s="13" t="s">
        <v>2120</v>
      </c>
      <c r="T1338" s="13"/>
      <c r="U1338" s="13"/>
      <c r="V1338" s="13"/>
      <c r="W1338" s="13"/>
      <c r="X1338" s="13"/>
    </row>
    <row r="1339" spans="1:24" x14ac:dyDescent="0.25">
      <c r="A1339" s="15" t="s">
        <v>2131</v>
      </c>
      <c r="B1339" s="13" t="s">
        <v>13</v>
      </c>
      <c r="C1339" s="22" t="s">
        <v>30</v>
      </c>
      <c r="D1339" s="29">
        <v>44491</v>
      </c>
      <c r="E1339" s="18" t="s">
        <v>23</v>
      </c>
      <c r="F1339" s="18"/>
      <c r="G1339" s="13"/>
      <c r="H1339" s="19">
        <v>44497</v>
      </c>
      <c r="I1339" s="13" t="s">
        <v>737</v>
      </c>
      <c r="J1339" s="13"/>
      <c r="K1339" s="13" t="s">
        <v>108</v>
      </c>
      <c r="L1339" s="13"/>
      <c r="M1339" s="13"/>
      <c r="N1339" s="13"/>
      <c r="O1339" s="13"/>
      <c r="P1339" s="13"/>
      <c r="Q1339" s="13"/>
      <c r="R1339" s="13"/>
      <c r="S1339" s="13" t="s">
        <v>124</v>
      </c>
      <c r="T1339" s="13"/>
      <c r="U1339" s="13"/>
      <c r="V1339" s="13"/>
      <c r="W1339" s="13"/>
      <c r="X1339" s="13"/>
    </row>
    <row r="1340" spans="1:24" x14ac:dyDescent="0.25">
      <c r="A1340" s="15" t="s">
        <v>2131</v>
      </c>
      <c r="B1340" s="13" t="s">
        <v>13</v>
      </c>
      <c r="C1340" s="22" t="s">
        <v>30</v>
      </c>
      <c r="D1340" s="29">
        <v>44491</v>
      </c>
      <c r="E1340" s="18" t="s">
        <v>23</v>
      </c>
      <c r="F1340" s="18"/>
      <c r="G1340" s="13"/>
      <c r="H1340" s="19">
        <v>44497</v>
      </c>
      <c r="I1340" s="13" t="s">
        <v>568</v>
      </c>
      <c r="J1340" s="13"/>
      <c r="K1340" s="13" t="s">
        <v>26</v>
      </c>
      <c r="L1340" s="13"/>
      <c r="M1340" s="13"/>
      <c r="N1340" s="13"/>
      <c r="O1340" s="13"/>
      <c r="P1340" s="13"/>
      <c r="Q1340" s="13"/>
      <c r="R1340" s="13"/>
      <c r="S1340" s="13" t="s">
        <v>569</v>
      </c>
      <c r="T1340" s="13"/>
      <c r="U1340" s="13"/>
      <c r="V1340" s="13"/>
      <c r="W1340" s="13"/>
      <c r="X1340" s="13"/>
    </row>
    <row r="1341" spans="1:24" x14ac:dyDescent="0.25">
      <c r="A1341" s="15" t="s">
        <v>2131</v>
      </c>
      <c r="B1341" s="13" t="s">
        <v>13</v>
      </c>
      <c r="C1341" s="22" t="s">
        <v>30</v>
      </c>
      <c r="D1341" s="29">
        <v>44491</v>
      </c>
      <c r="E1341" s="18" t="s">
        <v>23</v>
      </c>
      <c r="F1341" s="18"/>
      <c r="G1341" s="13"/>
      <c r="H1341" s="19">
        <v>44497</v>
      </c>
      <c r="I1341" s="13" t="s">
        <v>742</v>
      </c>
      <c r="J1341" s="13"/>
      <c r="K1341" s="13" t="s">
        <v>123</v>
      </c>
      <c r="L1341" s="13"/>
      <c r="M1341" s="13"/>
      <c r="N1341" s="13"/>
      <c r="O1341" s="13"/>
      <c r="P1341" s="13"/>
      <c r="Q1341" s="13"/>
      <c r="R1341" s="13"/>
      <c r="S1341" s="13" t="s">
        <v>437</v>
      </c>
      <c r="T1341" s="13"/>
      <c r="U1341" s="13"/>
      <c r="V1341" s="13"/>
      <c r="W1341" s="13"/>
      <c r="X1341" s="13"/>
    </row>
    <row r="1342" spans="1:24" x14ac:dyDescent="0.25">
      <c r="A1342" s="15" t="s">
        <v>2131</v>
      </c>
      <c r="B1342" s="13" t="s">
        <v>13</v>
      </c>
      <c r="C1342" s="22" t="s">
        <v>30</v>
      </c>
      <c r="D1342" s="29">
        <v>44491</v>
      </c>
      <c r="E1342" s="18" t="s">
        <v>23</v>
      </c>
      <c r="F1342" s="18"/>
      <c r="G1342" s="13"/>
      <c r="H1342" s="19">
        <v>44497</v>
      </c>
      <c r="I1342" s="13" t="s">
        <v>730</v>
      </c>
      <c r="J1342" s="13"/>
      <c r="K1342" s="13" t="s">
        <v>26</v>
      </c>
      <c r="L1342" s="13"/>
      <c r="M1342" s="13"/>
      <c r="N1342" s="13"/>
      <c r="O1342" s="13"/>
      <c r="P1342" s="13"/>
      <c r="Q1342" s="13"/>
      <c r="R1342" s="13"/>
      <c r="S1342" s="13" t="s">
        <v>438</v>
      </c>
      <c r="T1342" s="13"/>
      <c r="U1342" s="13"/>
      <c r="V1342" s="13"/>
      <c r="W1342" s="13"/>
      <c r="X1342" s="13"/>
    </row>
    <row r="1343" spans="1:24" x14ac:dyDescent="0.25">
      <c r="A1343" s="15" t="s">
        <v>2131</v>
      </c>
      <c r="B1343" s="13" t="s">
        <v>13</v>
      </c>
      <c r="C1343" s="16" t="s">
        <v>30</v>
      </c>
      <c r="D1343" s="29">
        <v>44491</v>
      </c>
      <c r="E1343" s="18" t="s">
        <v>23</v>
      </c>
      <c r="F1343" s="18"/>
      <c r="G1343" s="13"/>
      <c r="H1343" s="19">
        <v>44497</v>
      </c>
      <c r="I1343" s="13" t="s">
        <v>731</v>
      </c>
      <c r="J1343" s="13"/>
      <c r="K1343" s="13" t="s">
        <v>268</v>
      </c>
      <c r="L1343" s="13"/>
      <c r="M1343" s="13"/>
      <c r="N1343" s="13"/>
      <c r="O1343" s="13"/>
      <c r="P1343" s="13"/>
      <c r="Q1343" s="13"/>
      <c r="R1343" s="13"/>
      <c r="S1343" s="13" t="s">
        <v>2132</v>
      </c>
      <c r="T1343" s="13"/>
      <c r="U1343" s="13"/>
      <c r="V1343" s="13"/>
      <c r="W1343" s="13"/>
      <c r="X1343" s="13"/>
    </row>
    <row r="1344" spans="1:24" x14ac:dyDescent="0.25">
      <c r="A1344" s="15" t="s">
        <v>2131</v>
      </c>
      <c r="B1344" s="13" t="s">
        <v>13</v>
      </c>
      <c r="C1344" s="16" t="s">
        <v>30</v>
      </c>
      <c r="D1344" s="29">
        <v>44491</v>
      </c>
      <c r="E1344" s="18" t="s">
        <v>23</v>
      </c>
      <c r="F1344" s="18"/>
      <c r="G1344" s="13"/>
      <c r="H1344" s="19">
        <v>44497</v>
      </c>
      <c r="I1344" s="13" t="s">
        <v>732</v>
      </c>
      <c r="J1344" s="13"/>
      <c r="K1344" s="13" t="s">
        <v>26</v>
      </c>
      <c r="L1344" s="13"/>
      <c r="M1344" s="13"/>
      <c r="N1344" s="13"/>
      <c r="O1344" s="13"/>
      <c r="P1344" s="13"/>
      <c r="Q1344" s="13"/>
      <c r="R1344" s="13"/>
      <c r="S1344" s="13" t="s">
        <v>130</v>
      </c>
      <c r="T1344" s="13"/>
      <c r="U1344" s="13"/>
      <c r="V1344" s="13"/>
      <c r="W1344" s="13"/>
      <c r="X1344" s="13"/>
    </row>
    <row r="1345" spans="1:24" x14ac:dyDescent="0.25">
      <c r="A1345" s="15" t="s">
        <v>2131</v>
      </c>
      <c r="B1345" s="13" t="s">
        <v>13</v>
      </c>
      <c r="C1345" s="16" t="s">
        <v>30</v>
      </c>
      <c r="D1345" s="29">
        <v>44491</v>
      </c>
      <c r="E1345" s="18" t="s">
        <v>23</v>
      </c>
      <c r="F1345" s="18"/>
      <c r="G1345" s="13"/>
      <c r="H1345" s="19">
        <v>44497</v>
      </c>
      <c r="I1345" s="13" t="s">
        <v>440</v>
      </c>
      <c r="J1345" s="13"/>
      <c r="K1345" s="13" t="s">
        <v>26</v>
      </c>
      <c r="L1345" s="13"/>
      <c r="M1345" s="13"/>
      <c r="N1345" s="13"/>
      <c r="O1345" s="13"/>
      <c r="P1345" s="13"/>
      <c r="Q1345" s="13"/>
      <c r="R1345" s="13"/>
      <c r="S1345" s="13" t="s">
        <v>441</v>
      </c>
      <c r="T1345" s="13"/>
      <c r="U1345" s="13"/>
      <c r="V1345" s="13"/>
      <c r="W1345" s="13"/>
      <c r="X1345" s="13"/>
    </row>
    <row r="1346" spans="1:24" x14ac:dyDescent="0.25">
      <c r="A1346" s="15" t="s">
        <v>2131</v>
      </c>
      <c r="B1346" s="13" t="s">
        <v>13</v>
      </c>
      <c r="C1346" s="16" t="s">
        <v>30</v>
      </c>
      <c r="D1346" s="29">
        <v>44491</v>
      </c>
      <c r="E1346" s="18" t="s">
        <v>23</v>
      </c>
      <c r="F1346" s="18"/>
      <c r="G1346" s="13"/>
      <c r="H1346" s="19">
        <v>44497</v>
      </c>
      <c r="I1346" s="13" t="s">
        <v>743</v>
      </c>
      <c r="J1346" s="13"/>
      <c r="K1346" s="13" t="s">
        <v>108</v>
      </c>
      <c r="L1346" s="13"/>
      <c r="M1346" s="13"/>
      <c r="N1346" s="13"/>
      <c r="O1346" s="13"/>
      <c r="P1346" s="13"/>
      <c r="Q1346" s="13"/>
      <c r="R1346" s="13"/>
      <c r="S1346" s="13" t="s">
        <v>571</v>
      </c>
      <c r="T1346" s="13"/>
      <c r="U1346" s="13"/>
      <c r="V1346" s="13"/>
      <c r="W1346" s="13"/>
      <c r="X1346" s="13"/>
    </row>
    <row r="1347" spans="1:24" x14ac:dyDescent="0.25">
      <c r="A1347" s="15" t="s">
        <v>2131</v>
      </c>
      <c r="B1347" s="13" t="s">
        <v>13</v>
      </c>
      <c r="C1347" s="16" t="s">
        <v>30</v>
      </c>
      <c r="D1347" s="29">
        <v>44491</v>
      </c>
      <c r="E1347" s="18" t="s">
        <v>23</v>
      </c>
      <c r="F1347" s="18"/>
      <c r="G1347" s="13"/>
      <c r="H1347" s="19">
        <v>44497</v>
      </c>
      <c r="I1347" s="13" t="s">
        <v>744</v>
      </c>
      <c r="J1347" s="13"/>
      <c r="K1347" s="13" t="s">
        <v>226</v>
      </c>
      <c r="L1347" s="13"/>
      <c r="M1347" s="13"/>
      <c r="N1347" s="13"/>
      <c r="O1347" s="13"/>
      <c r="P1347" s="13"/>
      <c r="Q1347" s="13"/>
      <c r="R1347" s="13"/>
      <c r="S1347" s="13" t="s">
        <v>2133</v>
      </c>
      <c r="T1347" s="13"/>
      <c r="U1347" s="13"/>
      <c r="V1347" s="13"/>
      <c r="W1347" s="13"/>
      <c r="X1347" s="13"/>
    </row>
    <row r="1348" spans="1:24" x14ac:dyDescent="0.25">
      <c r="A1348" s="15" t="s">
        <v>2131</v>
      </c>
      <c r="B1348" s="13" t="s">
        <v>13</v>
      </c>
      <c r="C1348" s="22" t="s">
        <v>30</v>
      </c>
      <c r="D1348" s="29">
        <v>44491</v>
      </c>
      <c r="E1348" s="18" t="s">
        <v>23</v>
      </c>
      <c r="F1348" s="18"/>
      <c r="G1348" s="13"/>
      <c r="H1348" s="19">
        <v>44497</v>
      </c>
      <c r="I1348" s="13" t="s">
        <v>733</v>
      </c>
      <c r="J1348" s="13"/>
      <c r="K1348" s="13" t="s">
        <v>123</v>
      </c>
      <c r="L1348" s="13"/>
      <c r="M1348" s="13"/>
      <c r="N1348" s="13"/>
      <c r="O1348" s="13"/>
      <c r="P1348" s="13"/>
      <c r="Q1348" s="13"/>
      <c r="R1348" s="13"/>
      <c r="S1348" s="13" t="s">
        <v>444</v>
      </c>
      <c r="T1348" s="13"/>
      <c r="U1348" s="13"/>
      <c r="V1348" s="13"/>
      <c r="W1348" s="13"/>
      <c r="X1348" s="13"/>
    </row>
    <row r="1349" spans="1:24" x14ac:dyDescent="0.25">
      <c r="A1349" s="15" t="s">
        <v>2131</v>
      </c>
      <c r="B1349" s="13" t="s">
        <v>13</v>
      </c>
      <c r="C1349" s="22" t="s">
        <v>30</v>
      </c>
      <c r="D1349" s="29">
        <v>44491</v>
      </c>
      <c r="E1349" s="18" t="s">
        <v>23</v>
      </c>
      <c r="F1349" s="18"/>
      <c r="G1349" s="13"/>
      <c r="H1349" s="19">
        <v>44497</v>
      </c>
      <c r="I1349" s="13" t="s">
        <v>734</v>
      </c>
      <c r="J1349" s="13"/>
      <c r="K1349" s="13" t="s">
        <v>26</v>
      </c>
      <c r="L1349" s="13"/>
      <c r="M1349" s="13"/>
      <c r="N1349" s="13"/>
      <c r="O1349" s="13"/>
      <c r="P1349" s="13"/>
      <c r="Q1349" s="13"/>
      <c r="R1349" s="13"/>
      <c r="S1349" s="13" t="s">
        <v>572</v>
      </c>
      <c r="T1349" s="13"/>
      <c r="U1349" s="13"/>
      <c r="V1349" s="13"/>
      <c r="W1349" s="13"/>
      <c r="X1349" s="13"/>
    </row>
    <row r="1350" spans="1:24" x14ac:dyDescent="0.25">
      <c r="A1350" s="15" t="s">
        <v>2131</v>
      </c>
      <c r="B1350" s="13" t="s">
        <v>13</v>
      </c>
      <c r="C1350" s="22" t="s">
        <v>30</v>
      </c>
      <c r="D1350" s="29">
        <v>44491</v>
      </c>
      <c r="E1350" s="18" t="s">
        <v>23</v>
      </c>
      <c r="F1350" s="18"/>
      <c r="G1350" s="13"/>
      <c r="H1350" s="19">
        <v>44497</v>
      </c>
      <c r="I1350" s="13" t="s">
        <v>735</v>
      </c>
      <c r="J1350" s="13"/>
      <c r="K1350" s="13" t="s">
        <v>26</v>
      </c>
      <c r="L1350" s="13"/>
      <c r="M1350" s="13"/>
      <c r="N1350" s="13"/>
      <c r="O1350" s="13"/>
      <c r="P1350" s="13"/>
      <c r="Q1350" s="13"/>
      <c r="R1350" s="13"/>
      <c r="S1350" s="13" t="s">
        <v>573</v>
      </c>
      <c r="T1350" s="13"/>
      <c r="U1350" s="13"/>
      <c r="V1350" s="13"/>
      <c r="W1350" s="13"/>
      <c r="X1350" s="13"/>
    </row>
    <row r="1351" spans="1:24" x14ac:dyDescent="0.25">
      <c r="A1351" s="15" t="s">
        <v>2131</v>
      </c>
      <c r="B1351" s="13" t="s">
        <v>13</v>
      </c>
      <c r="C1351" s="22" t="s">
        <v>30</v>
      </c>
      <c r="D1351" s="29">
        <v>44491</v>
      </c>
      <c r="E1351" s="18" t="s">
        <v>23</v>
      </c>
      <c r="F1351" s="18"/>
      <c r="G1351" s="13"/>
      <c r="H1351" s="19">
        <v>44497</v>
      </c>
      <c r="I1351" s="13" t="s">
        <v>736</v>
      </c>
      <c r="J1351" s="13"/>
      <c r="K1351" s="13" t="s">
        <v>26</v>
      </c>
      <c r="L1351" s="13"/>
      <c r="M1351" s="13"/>
      <c r="N1351" s="13"/>
      <c r="O1351" s="13"/>
      <c r="P1351" s="13"/>
      <c r="Q1351" s="13"/>
      <c r="R1351" s="13"/>
      <c r="S1351" s="13" t="s">
        <v>184</v>
      </c>
      <c r="T1351" s="13"/>
      <c r="U1351" s="13"/>
      <c r="V1351" s="13"/>
      <c r="W1351" s="13"/>
      <c r="X1351" s="13"/>
    </row>
    <row r="1352" spans="1:24" x14ac:dyDescent="0.25">
      <c r="A1352" s="15" t="s">
        <v>2131</v>
      </c>
      <c r="B1352" s="13" t="s">
        <v>13</v>
      </c>
      <c r="C1352" s="22" t="s">
        <v>30</v>
      </c>
      <c r="D1352" s="29">
        <v>44491</v>
      </c>
      <c r="E1352" s="18" t="s">
        <v>23</v>
      </c>
      <c r="F1352" s="18"/>
      <c r="G1352" s="13"/>
      <c r="H1352" s="19">
        <v>44497</v>
      </c>
      <c r="I1352" s="13" t="s">
        <v>738</v>
      </c>
      <c r="J1352" s="13"/>
      <c r="K1352" s="13" t="s">
        <v>26</v>
      </c>
      <c r="L1352" s="13"/>
      <c r="M1352" s="13"/>
      <c r="N1352" s="13"/>
      <c r="O1352" s="13"/>
      <c r="P1352" s="13"/>
      <c r="Q1352" s="13"/>
      <c r="R1352" s="13"/>
      <c r="S1352" s="13" t="s">
        <v>447</v>
      </c>
      <c r="T1352" s="13"/>
      <c r="U1352" s="13"/>
      <c r="V1352" s="13"/>
      <c r="W1352" s="13"/>
      <c r="X1352" s="13"/>
    </row>
    <row r="1353" spans="1:24" x14ac:dyDescent="0.25">
      <c r="A1353" s="15" t="s">
        <v>2131</v>
      </c>
      <c r="B1353" s="13" t="s">
        <v>13</v>
      </c>
      <c r="C1353" s="22" t="s">
        <v>30</v>
      </c>
      <c r="D1353" s="29">
        <v>44491</v>
      </c>
      <c r="E1353" s="18" t="s">
        <v>23</v>
      </c>
      <c r="F1353" s="18"/>
      <c r="G1353" s="13"/>
      <c r="H1353" s="19">
        <v>44497</v>
      </c>
      <c r="I1353" s="13" t="s">
        <v>282</v>
      </c>
      <c r="J1353" s="13"/>
      <c r="K1353" s="13" t="s">
        <v>26</v>
      </c>
      <c r="L1353" s="13"/>
      <c r="M1353" s="13"/>
      <c r="N1353" s="13"/>
      <c r="O1353" s="13"/>
      <c r="P1353" s="13"/>
      <c r="Q1353" s="13"/>
      <c r="R1353" s="13"/>
      <c r="S1353" s="13" t="s">
        <v>132</v>
      </c>
      <c r="T1353" s="13"/>
      <c r="U1353" s="13"/>
      <c r="V1353" s="13"/>
      <c r="W1353" s="13"/>
      <c r="X1353" s="13"/>
    </row>
    <row r="1354" spans="1:24" x14ac:dyDescent="0.25">
      <c r="A1354" s="15" t="s">
        <v>2131</v>
      </c>
      <c r="B1354" s="13" t="s">
        <v>13</v>
      </c>
      <c r="C1354" s="22" t="s">
        <v>30</v>
      </c>
      <c r="D1354" s="29">
        <v>44491</v>
      </c>
      <c r="E1354" s="18" t="s">
        <v>23</v>
      </c>
      <c r="F1354" s="18"/>
      <c r="G1354" s="13"/>
      <c r="H1354" s="19">
        <v>44497</v>
      </c>
      <c r="I1354" s="13" t="s">
        <v>739</v>
      </c>
      <c r="J1354" s="13"/>
      <c r="K1354" s="13" t="s">
        <v>108</v>
      </c>
      <c r="L1354" s="13"/>
      <c r="M1354" s="13"/>
      <c r="N1354" s="13"/>
      <c r="O1354" s="13"/>
      <c r="P1354" s="13"/>
      <c r="Q1354" s="13"/>
      <c r="R1354" s="13"/>
      <c r="S1354" s="13" t="s">
        <v>574</v>
      </c>
      <c r="T1354" s="13"/>
      <c r="U1354" s="13"/>
      <c r="V1354" s="13"/>
      <c r="W1354" s="13"/>
      <c r="X1354" s="13"/>
    </row>
    <row r="1355" spans="1:24" x14ac:dyDescent="0.25">
      <c r="A1355" s="15" t="s">
        <v>2131</v>
      </c>
      <c r="B1355" s="13" t="s">
        <v>13</v>
      </c>
      <c r="C1355" s="22" t="s">
        <v>30</v>
      </c>
      <c r="D1355" s="29">
        <v>44491</v>
      </c>
      <c r="E1355" s="18" t="s">
        <v>23</v>
      </c>
      <c r="F1355" s="18"/>
      <c r="G1355" s="13"/>
      <c r="H1355" s="19">
        <v>44497</v>
      </c>
      <c r="I1355" s="13" t="s">
        <v>740</v>
      </c>
      <c r="J1355" s="13"/>
      <c r="K1355" s="13" t="s">
        <v>193</v>
      </c>
      <c r="L1355" s="13"/>
      <c r="M1355" s="13"/>
      <c r="N1355" s="13"/>
      <c r="O1355" s="13"/>
      <c r="P1355" s="13"/>
      <c r="Q1355" s="13"/>
      <c r="R1355" s="13"/>
      <c r="S1355" s="13" t="s">
        <v>2134</v>
      </c>
      <c r="T1355" s="13"/>
      <c r="U1355" s="13"/>
      <c r="V1355" s="13"/>
      <c r="W1355" s="13"/>
      <c r="X1355" s="13"/>
    </row>
    <row r="1356" spans="1:24" x14ac:dyDescent="0.25">
      <c r="A1356" s="15" t="s">
        <v>2131</v>
      </c>
      <c r="B1356" s="13" t="s">
        <v>13</v>
      </c>
      <c r="C1356" s="22" t="s">
        <v>30</v>
      </c>
      <c r="D1356" s="29">
        <v>44491</v>
      </c>
      <c r="E1356" s="18" t="s">
        <v>23</v>
      </c>
      <c r="F1356" s="18"/>
      <c r="G1356" s="13"/>
      <c r="H1356" s="19">
        <v>44497</v>
      </c>
      <c r="I1356" s="13" t="s">
        <v>741</v>
      </c>
      <c r="J1356" s="13"/>
      <c r="K1356" s="13" t="s">
        <v>75</v>
      </c>
      <c r="L1356" s="13"/>
      <c r="M1356" s="13"/>
      <c r="N1356" s="13"/>
      <c r="O1356" s="13"/>
      <c r="P1356" s="13"/>
      <c r="Q1356" s="13"/>
      <c r="R1356" s="13"/>
      <c r="S1356" s="13" t="s">
        <v>2135</v>
      </c>
      <c r="T1356" s="13"/>
      <c r="U1356" s="13"/>
      <c r="V1356" s="13"/>
      <c r="W1356" s="13"/>
      <c r="X1356" s="13"/>
    </row>
    <row r="1357" spans="1:24" x14ac:dyDescent="0.25">
      <c r="A1357" s="15" t="s">
        <v>2131</v>
      </c>
      <c r="B1357" s="13" t="s">
        <v>13</v>
      </c>
      <c r="C1357" s="22" t="s">
        <v>30</v>
      </c>
      <c r="D1357" s="29">
        <v>44491</v>
      </c>
      <c r="E1357" s="18" t="s">
        <v>23</v>
      </c>
      <c r="F1357" s="18"/>
      <c r="G1357" s="13"/>
      <c r="H1357" s="19">
        <v>44497</v>
      </c>
      <c r="I1357" s="13" t="s">
        <v>745</v>
      </c>
      <c r="J1357" s="13"/>
      <c r="K1357" s="13" t="s">
        <v>446</v>
      </c>
      <c r="L1357" s="13"/>
      <c r="M1357" s="13"/>
      <c r="N1357" s="13"/>
      <c r="O1357" s="13"/>
      <c r="P1357" s="13"/>
      <c r="Q1357" s="13"/>
      <c r="R1357" s="13"/>
      <c r="S1357" s="13" t="s">
        <v>809</v>
      </c>
      <c r="T1357" s="13"/>
      <c r="U1357" s="13"/>
      <c r="V1357" s="13"/>
      <c r="W1357" s="13"/>
      <c r="X1357" s="13"/>
    </row>
    <row r="1358" spans="1:24" x14ac:dyDescent="0.25">
      <c r="A1358" s="15">
        <v>483</v>
      </c>
      <c r="B1358" s="13" t="s">
        <v>13</v>
      </c>
      <c r="C1358" s="22" t="s">
        <v>663</v>
      </c>
      <c r="D1358" s="29">
        <v>44494</v>
      </c>
      <c r="E1358" s="18" t="s">
        <v>23</v>
      </c>
      <c r="F1358" s="18"/>
      <c r="G1358" s="13" t="s">
        <v>2146</v>
      </c>
      <c r="H1358" s="19">
        <v>44498</v>
      </c>
      <c r="I1358" s="13" t="s">
        <v>630</v>
      </c>
      <c r="J1358" s="13">
        <v>351</v>
      </c>
      <c r="K1358" s="13" t="s">
        <v>170</v>
      </c>
      <c r="L1358" s="13">
        <v>0.54049999999999998</v>
      </c>
      <c r="M1358" s="13">
        <v>2.0979999999999999</v>
      </c>
      <c r="N1358" s="13">
        <v>189.71549999999999</v>
      </c>
      <c r="O1358" s="13">
        <v>736.39800000000002</v>
      </c>
      <c r="P1358" s="13">
        <v>24.66</v>
      </c>
      <c r="Q1358" s="13">
        <v>148.63999999999999</v>
      </c>
      <c r="R1358" s="13">
        <v>275</v>
      </c>
      <c r="S1358" s="13">
        <v>52171.76</v>
      </c>
      <c r="T1358" s="13"/>
      <c r="U1358" s="13"/>
      <c r="V1358" s="13"/>
      <c r="W1358" s="13"/>
      <c r="X1358" s="13"/>
    </row>
    <row r="1359" spans="1:24" x14ac:dyDescent="0.25">
      <c r="A1359" s="15">
        <v>483</v>
      </c>
      <c r="B1359" s="13" t="s">
        <v>13</v>
      </c>
      <c r="C1359" s="22" t="s">
        <v>663</v>
      </c>
      <c r="D1359" s="29">
        <v>44494</v>
      </c>
      <c r="E1359" s="18" t="s">
        <v>23</v>
      </c>
      <c r="F1359" s="18"/>
      <c r="G1359" s="13" t="s">
        <v>2147</v>
      </c>
      <c r="H1359" s="19">
        <v>44498</v>
      </c>
      <c r="I1359" s="13" t="s">
        <v>999</v>
      </c>
      <c r="J1359" s="13">
        <v>637</v>
      </c>
      <c r="K1359" s="13" t="s">
        <v>210</v>
      </c>
      <c r="L1359" s="13">
        <v>0.626</v>
      </c>
      <c r="M1359" s="13">
        <v>2.1869999999999998</v>
      </c>
      <c r="N1359" s="13">
        <v>398.762</v>
      </c>
      <c r="O1359" s="13">
        <v>1393.1189999999999</v>
      </c>
      <c r="P1359" s="13">
        <v>51.84</v>
      </c>
      <c r="Q1359" s="13">
        <v>172.15</v>
      </c>
      <c r="R1359" s="13">
        <v>275</v>
      </c>
      <c r="S1359" s="13">
        <v>109659.55</v>
      </c>
      <c r="T1359" s="13"/>
      <c r="U1359" s="13"/>
      <c r="V1359" s="13"/>
      <c r="W1359" s="13"/>
      <c r="X1359" s="13"/>
    </row>
    <row r="1360" spans="1:24" x14ac:dyDescent="0.25">
      <c r="A1360" s="15">
        <v>484</v>
      </c>
      <c r="B1360" s="13" t="s">
        <v>13</v>
      </c>
      <c r="C1360" s="22" t="s">
        <v>32</v>
      </c>
      <c r="D1360" s="29">
        <v>44494</v>
      </c>
      <c r="E1360" s="18" t="s">
        <v>23</v>
      </c>
      <c r="F1360" s="18"/>
      <c r="G1360" s="13"/>
      <c r="H1360" s="19">
        <v>44501</v>
      </c>
      <c r="I1360" s="13" t="s">
        <v>2024</v>
      </c>
      <c r="J1360" s="13">
        <v>2051.5500000000002</v>
      </c>
      <c r="K1360" s="13" t="s">
        <v>264</v>
      </c>
      <c r="L1360" s="13">
        <v>9.5600000000000004E-2</v>
      </c>
      <c r="M1360" s="13">
        <v>0.16</v>
      </c>
      <c r="N1360" s="13">
        <v>196.12819999999999</v>
      </c>
      <c r="O1360" s="13">
        <v>328.24799999999999</v>
      </c>
      <c r="P1360" s="13">
        <v>25.5</v>
      </c>
      <c r="Q1360" s="13">
        <v>24</v>
      </c>
      <c r="R1360" s="13">
        <v>251</v>
      </c>
      <c r="S1360" s="13">
        <v>49237.2</v>
      </c>
      <c r="T1360" s="13"/>
      <c r="U1360" s="13"/>
      <c r="V1360" s="13"/>
      <c r="W1360" s="13"/>
      <c r="X1360" s="13"/>
    </row>
    <row r="1361" spans="1:24" x14ac:dyDescent="0.25">
      <c r="A1361" s="15">
        <v>484</v>
      </c>
      <c r="B1361" s="13" t="s">
        <v>13</v>
      </c>
      <c r="C1361" s="22" t="s">
        <v>32</v>
      </c>
      <c r="D1361" s="29">
        <v>44494</v>
      </c>
      <c r="E1361" s="18" t="s">
        <v>23</v>
      </c>
      <c r="F1361" s="18"/>
      <c r="G1361" s="13"/>
      <c r="H1361" s="19">
        <v>44501</v>
      </c>
      <c r="I1361" s="13" t="s">
        <v>1218</v>
      </c>
      <c r="J1361" s="13">
        <v>1054.7</v>
      </c>
      <c r="K1361" s="13" t="s">
        <v>1722</v>
      </c>
      <c r="L1361" s="13">
        <v>0.2651</v>
      </c>
      <c r="M1361" s="13">
        <v>0.82099999999999995</v>
      </c>
      <c r="N1361" s="13">
        <v>279.601</v>
      </c>
      <c r="O1361" s="13">
        <v>865.90869999999995</v>
      </c>
      <c r="P1361" s="13">
        <v>36.35</v>
      </c>
      <c r="Q1361" s="13">
        <v>66.540000000000006</v>
      </c>
      <c r="R1361" s="13">
        <v>251</v>
      </c>
      <c r="S1361" s="13">
        <v>70179.740000000005</v>
      </c>
      <c r="T1361" s="13"/>
      <c r="U1361" s="13"/>
      <c r="V1361" s="13"/>
      <c r="W1361" s="13"/>
      <c r="X1361" s="13"/>
    </row>
    <row r="1362" spans="1:24" x14ac:dyDescent="0.25">
      <c r="A1362" s="15" t="s">
        <v>2137</v>
      </c>
      <c r="B1362" s="13" t="s">
        <v>13</v>
      </c>
      <c r="C1362" s="22" t="s">
        <v>799</v>
      </c>
      <c r="D1362" s="29">
        <v>44494</v>
      </c>
      <c r="E1362" s="18" t="s">
        <v>23</v>
      </c>
      <c r="F1362" s="18"/>
      <c r="G1362" s="13"/>
      <c r="H1362" s="19">
        <v>44511</v>
      </c>
      <c r="I1362" s="13" t="s">
        <v>1308</v>
      </c>
      <c r="J1362" s="13">
        <v>660</v>
      </c>
      <c r="K1362" s="13">
        <v>220</v>
      </c>
      <c r="L1362" s="13"/>
      <c r="M1362" s="13"/>
      <c r="N1362" s="13"/>
      <c r="O1362" s="13"/>
      <c r="P1362" s="13"/>
      <c r="Q1362" s="13"/>
      <c r="R1362" s="13"/>
      <c r="S1362" s="13" t="s">
        <v>2120</v>
      </c>
      <c r="T1362" s="13"/>
      <c r="U1362" s="13"/>
      <c r="V1362" s="13"/>
      <c r="W1362" s="13"/>
      <c r="X1362" s="13"/>
    </row>
    <row r="1363" spans="1:24" x14ac:dyDescent="0.25">
      <c r="A1363" s="15" t="s">
        <v>2137</v>
      </c>
      <c r="B1363" s="13" t="s">
        <v>13</v>
      </c>
      <c r="C1363" s="22" t="s">
        <v>799</v>
      </c>
      <c r="D1363" s="29">
        <v>44494</v>
      </c>
      <c r="E1363" s="18" t="s">
        <v>23</v>
      </c>
      <c r="F1363" s="18"/>
      <c r="G1363" s="13"/>
      <c r="H1363" s="19">
        <v>44511</v>
      </c>
      <c r="I1363" s="13" t="s">
        <v>241</v>
      </c>
      <c r="J1363" s="13">
        <v>72</v>
      </c>
      <c r="K1363" s="13"/>
      <c r="L1363" s="13"/>
      <c r="M1363" s="13"/>
      <c r="N1363" s="13"/>
      <c r="O1363" s="13"/>
      <c r="P1363" s="13"/>
      <c r="Q1363" s="13"/>
      <c r="R1363" s="13"/>
      <c r="S1363" s="13" t="s">
        <v>217</v>
      </c>
      <c r="T1363" s="13"/>
      <c r="U1363" s="13"/>
      <c r="V1363" s="13"/>
      <c r="W1363" s="13"/>
      <c r="X1363" s="13"/>
    </row>
    <row r="1364" spans="1:24" x14ac:dyDescent="0.25">
      <c r="A1364" s="15" t="s">
        <v>2138</v>
      </c>
      <c r="B1364" s="13" t="s">
        <v>13</v>
      </c>
      <c r="C1364" s="22" t="s">
        <v>43</v>
      </c>
      <c r="D1364" s="29">
        <v>44494</v>
      </c>
      <c r="E1364" s="18" t="s">
        <v>23</v>
      </c>
      <c r="F1364" s="18"/>
      <c r="G1364" s="13"/>
      <c r="H1364" s="31" t="s">
        <v>17</v>
      </c>
      <c r="I1364" s="13" t="s">
        <v>760</v>
      </c>
      <c r="J1364" s="13">
        <v>60</v>
      </c>
      <c r="K1364" s="13">
        <v>10</v>
      </c>
      <c r="L1364" s="13"/>
      <c r="M1364" s="13"/>
      <c r="N1364" s="13"/>
      <c r="O1364" s="13"/>
      <c r="P1364" s="13"/>
      <c r="Q1364" s="13"/>
      <c r="R1364" s="13"/>
      <c r="S1364" s="13" t="s">
        <v>2142</v>
      </c>
      <c r="T1364" s="13"/>
      <c r="U1364" s="13"/>
      <c r="V1364" s="13"/>
      <c r="W1364" s="13"/>
      <c r="X1364" s="13"/>
    </row>
    <row r="1365" spans="1:24" x14ac:dyDescent="0.25">
      <c r="A1365" s="15" t="s">
        <v>2138</v>
      </c>
      <c r="B1365" s="13" t="s">
        <v>13</v>
      </c>
      <c r="C1365" s="22" t="s">
        <v>43</v>
      </c>
      <c r="D1365" s="29">
        <v>44494</v>
      </c>
      <c r="E1365" s="18" t="s">
        <v>23</v>
      </c>
      <c r="F1365" s="18"/>
      <c r="G1365" s="13"/>
      <c r="H1365" s="31"/>
      <c r="I1365" s="13" t="s">
        <v>275</v>
      </c>
      <c r="J1365" s="13">
        <v>42</v>
      </c>
      <c r="K1365" s="13">
        <v>7</v>
      </c>
      <c r="L1365" s="13"/>
      <c r="M1365" s="13"/>
      <c r="N1365" s="13"/>
      <c r="O1365" s="13"/>
      <c r="P1365" s="13"/>
      <c r="Q1365" s="13"/>
      <c r="R1365" s="13"/>
      <c r="S1365" s="13" t="s">
        <v>2143</v>
      </c>
      <c r="T1365" s="13"/>
      <c r="U1365" s="13"/>
      <c r="V1365" s="13"/>
      <c r="W1365" s="13"/>
      <c r="X1365" s="13"/>
    </row>
    <row r="1366" spans="1:24" x14ac:dyDescent="0.25">
      <c r="A1366" s="15" t="s">
        <v>2139</v>
      </c>
      <c r="B1366" s="13" t="s">
        <v>13</v>
      </c>
      <c r="C1366" s="22" t="s">
        <v>37</v>
      </c>
      <c r="D1366" s="29">
        <v>44494</v>
      </c>
      <c r="E1366" s="18" t="s">
        <v>23</v>
      </c>
      <c r="F1366" s="18"/>
      <c r="G1366" s="13" t="s">
        <v>2078</v>
      </c>
      <c r="H1366" s="31"/>
      <c r="I1366" s="13" t="s">
        <v>177</v>
      </c>
      <c r="J1366" s="13"/>
      <c r="K1366" s="13">
        <v>900</v>
      </c>
      <c r="L1366" s="13"/>
      <c r="M1366" s="13"/>
      <c r="N1366" s="13"/>
      <c r="O1366" s="13"/>
      <c r="P1366" s="13"/>
      <c r="Q1366" s="13"/>
      <c r="R1366" s="13"/>
      <c r="S1366" s="13">
        <v>74400</v>
      </c>
      <c r="T1366" s="13"/>
      <c r="U1366" s="13"/>
      <c r="V1366" s="13"/>
      <c r="W1366" s="13"/>
      <c r="X1366" s="13"/>
    </row>
    <row r="1367" spans="1:24" x14ac:dyDescent="0.25">
      <c r="A1367" s="15">
        <v>486</v>
      </c>
      <c r="B1367" s="13" t="s">
        <v>13</v>
      </c>
      <c r="C1367" s="22" t="s">
        <v>663</v>
      </c>
      <c r="D1367" s="29">
        <v>44495</v>
      </c>
      <c r="E1367" s="18" t="s">
        <v>23</v>
      </c>
      <c r="F1367" s="18"/>
      <c r="G1367" s="16" t="s">
        <v>2189</v>
      </c>
      <c r="H1367" s="19">
        <v>44498</v>
      </c>
      <c r="I1367" s="13" t="s">
        <v>630</v>
      </c>
      <c r="J1367" s="13">
        <v>1235</v>
      </c>
      <c r="K1367" s="13">
        <v>190</v>
      </c>
      <c r="L1367" s="13">
        <v>0.54049999999999998</v>
      </c>
      <c r="M1367" s="13">
        <v>2.0979999999999999</v>
      </c>
      <c r="N1367" s="13">
        <v>667.51750000000004</v>
      </c>
      <c r="O1367" s="13">
        <v>2591.0300000000002</v>
      </c>
      <c r="P1367" s="13">
        <v>86.78</v>
      </c>
      <c r="Q1367" s="13">
        <v>148.63999999999999</v>
      </c>
      <c r="R1367" s="13">
        <v>275</v>
      </c>
      <c r="S1367" s="13">
        <v>183567.31</v>
      </c>
      <c r="T1367" s="13">
        <v>9</v>
      </c>
      <c r="U1367" s="13"/>
      <c r="V1367" s="13"/>
      <c r="W1367" s="13"/>
      <c r="X1367" s="13"/>
    </row>
    <row r="1368" spans="1:24" x14ac:dyDescent="0.25">
      <c r="A1368" s="15">
        <v>486</v>
      </c>
      <c r="B1368" s="13" t="s">
        <v>13</v>
      </c>
      <c r="C1368" s="22" t="s">
        <v>663</v>
      </c>
      <c r="D1368" s="29">
        <v>44495</v>
      </c>
      <c r="E1368" s="18" t="s">
        <v>23</v>
      </c>
      <c r="F1368" s="18"/>
      <c r="G1368" s="16" t="s">
        <v>2187</v>
      </c>
      <c r="H1368" s="19">
        <v>44498</v>
      </c>
      <c r="I1368" s="13" t="s">
        <v>999</v>
      </c>
      <c r="J1368" s="13">
        <v>806</v>
      </c>
      <c r="K1368" s="13">
        <v>124</v>
      </c>
      <c r="L1368" s="13">
        <v>0.626</v>
      </c>
      <c r="M1368" s="13">
        <v>2.1869999999999998</v>
      </c>
      <c r="N1368" s="13">
        <v>504.55599999999998</v>
      </c>
      <c r="O1368" s="13">
        <v>1762.722</v>
      </c>
      <c r="P1368" s="13">
        <v>65.59</v>
      </c>
      <c r="Q1368" s="13">
        <v>172.15</v>
      </c>
      <c r="R1368" s="13">
        <v>275</v>
      </c>
      <c r="S1368" s="13">
        <v>138752.9</v>
      </c>
      <c r="T1368" s="13">
        <v>13</v>
      </c>
      <c r="U1368" s="13"/>
      <c r="V1368" s="13"/>
      <c r="W1368" s="13"/>
      <c r="X1368" s="13"/>
    </row>
    <row r="1369" spans="1:24" x14ac:dyDescent="0.25">
      <c r="A1369" s="15">
        <v>487</v>
      </c>
      <c r="B1369" s="13" t="s">
        <v>13</v>
      </c>
      <c r="C1369" s="22" t="s">
        <v>292</v>
      </c>
      <c r="D1369" s="29">
        <v>44495</v>
      </c>
      <c r="E1369" s="18" t="s">
        <v>23</v>
      </c>
      <c r="F1369" s="18"/>
      <c r="G1369" s="13" t="s">
        <v>2211</v>
      </c>
      <c r="H1369" s="19">
        <v>44501</v>
      </c>
      <c r="I1369" s="13" t="s">
        <v>2140</v>
      </c>
      <c r="J1369" s="13">
        <v>1495.2</v>
      </c>
      <c r="K1369" s="13">
        <v>356</v>
      </c>
      <c r="L1369" s="13">
        <v>0.3266</v>
      </c>
      <c r="M1369" s="13">
        <v>0.84099999999999997</v>
      </c>
      <c r="N1369" s="13">
        <v>488.33229999999998</v>
      </c>
      <c r="O1369" s="13">
        <v>1257.4631999999999</v>
      </c>
      <c r="P1369" s="13">
        <v>63.48</v>
      </c>
      <c r="Q1369" s="13">
        <v>101.25</v>
      </c>
      <c r="R1369" s="13">
        <v>310</v>
      </c>
      <c r="S1369" s="13">
        <v>151389</v>
      </c>
      <c r="T1369" s="13"/>
      <c r="U1369" s="13"/>
      <c r="V1369" s="13"/>
      <c r="W1369" s="13"/>
      <c r="X1369" s="13"/>
    </row>
    <row r="1370" spans="1:24" x14ac:dyDescent="0.25">
      <c r="A1370" s="15" t="s">
        <v>2835</v>
      </c>
      <c r="B1370" s="13" t="s">
        <v>34</v>
      </c>
      <c r="C1370" s="16" t="s">
        <v>541</v>
      </c>
      <c r="D1370" s="29">
        <v>44494</v>
      </c>
      <c r="E1370" s="18" t="s">
        <v>23</v>
      </c>
      <c r="F1370" s="18"/>
      <c r="G1370" s="13" t="s">
        <v>2194</v>
      </c>
      <c r="H1370" s="19">
        <v>44515</v>
      </c>
      <c r="I1370" s="13" t="s">
        <v>2172</v>
      </c>
      <c r="J1370" s="109">
        <v>2440</v>
      </c>
      <c r="K1370" s="13"/>
      <c r="L1370" s="13"/>
      <c r="M1370" s="13"/>
      <c r="N1370" s="13"/>
      <c r="O1370" s="13"/>
      <c r="P1370" s="13"/>
      <c r="Q1370" s="13"/>
      <c r="R1370" s="13"/>
      <c r="S1370" s="13" t="s">
        <v>2175</v>
      </c>
      <c r="T1370" s="13"/>
      <c r="U1370" s="13"/>
      <c r="V1370" s="13"/>
      <c r="W1370" s="13"/>
      <c r="X1370" s="13"/>
    </row>
    <row r="1371" spans="1:24" x14ac:dyDescent="0.25">
      <c r="A1371" s="15" t="s">
        <v>2835</v>
      </c>
      <c r="B1371" s="13" t="s">
        <v>34</v>
      </c>
      <c r="C1371" s="16" t="s">
        <v>541</v>
      </c>
      <c r="D1371" s="29">
        <v>44494</v>
      </c>
      <c r="E1371" s="18" t="s">
        <v>23</v>
      </c>
      <c r="F1371" s="18"/>
      <c r="G1371" s="13" t="s">
        <v>2193</v>
      </c>
      <c r="H1371" s="19"/>
      <c r="I1371" s="13" t="s">
        <v>2173</v>
      </c>
      <c r="J1371" s="109" t="s">
        <v>2174</v>
      </c>
      <c r="K1371" s="13"/>
      <c r="L1371" s="13"/>
      <c r="M1371" s="13"/>
      <c r="N1371" s="13"/>
      <c r="O1371" s="13"/>
      <c r="P1371" s="13"/>
      <c r="Q1371" s="13"/>
      <c r="R1371" s="13"/>
      <c r="S1371" s="13" t="s">
        <v>2176</v>
      </c>
      <c r="T1371" s="13"/>
      <c r="U1371" s="13"/>
      <c r="V1371" s="13"/>
      <c r="W1371" s="13"/>
      <c r="X1371" s="13"/>
    </row>
    <row r="1372" spans="1:24" x14ac:dyDescent="0.25">
      <c r="A1372" s="15" t="s">
        <v>2141</v>
      </c>
      <c r="B1372" s="13" t="s">
        <v>13</v>
      </c>
      <c r="C1372" s="22" t="s">
        <v>284</v>
      </c>
      <c r="D1372" s="29">
        <v>44495</v>
      </c>
      <c r="E1372" s="18" t="s">
        <v>23</v>
      </c>
      <c r="F1372" s="18"/>
      <c r="G1372" s="13"/>
      <c r="H1372" s="19">
        <v>44511</v>
      </c>
      <c r="I1372" s="13" t="s">
        <v>65</v>
      </c>
      <c r="J1372" s="13">
        <v>360</v>
      </c>
      <c r="K1372" s="13">
        <v>120</v>
      </c>
      <c r="L1372" s="13"/>
      <c r="M1372" s="13"/>
      <c r="N1372" s="13"/>
      <c r="O1372" s="13"/>
      <c r="P1372" s="13"/>
      <c r="Q1372" s="13"/>
      <c r="R1372" s="13"/>
      <c r="S1372" s="13" t="s">
        <v>1285</v>
      </c>
      <c r="T1372" s="13"/>
      <c r="U1372" s="13"/>
      <c r="V1372" s="13"/>
      <c r="W1372" s="13"/>
      <c r="X1372" s="13"/>
    </row>
    <row r="1373" spans="1:24" x14ac:dyDescent="0.25">
      <c r="A1373" s="15" t="s">
        <v>2141</v>
      </c>
      <c r="B1373" s="13" t="s">
        <v>13</v>
      </c>
      <c r="C1373" s="22" t="s">
        <v>284</v>
      </c>
      <c r="D1373" s="29">
        <v>44495</v>
      </c>
      <c r="E1373" s="18" t="s">
        <v>23</v>
      </c>
      <c r="F1373" s="18"/>
      <c r="G1373" s="13"/>
      <c r="H1373" s="19">
        <v>44511</v>
      </c>
      <c r="I1373" s="13" t="s">
        <v>67</v>
      </c>
      <c r="J1373" s="13">
        <v>108</v>
      </c>
      <c r="K1373" s="13">
        <v>36</v>
      </c>
      <c r="L1373" s="13"/>
      <c r="M1373" s="13"/>
      <c r="N1373" s="13"/>
      <c r="O1373" s="13"/>
      <c r="P1373" s="13"/>
      <c r="Q1373" s="13"/>
      <c r="R1373" s="13"/>
      <c r="S1373" s="13" t="s">
        <v>1284</v>
      </c>
      <c r="T1373" s="13"/>
      <c r="U1373" s="13"/>
      <c r="V1373" s="13"/>
      <c r="W1373" s="13"/>
      <c r="X1373" s="13"/>
    </row>
    <row r="1374" spans="1:24" x14ac:dyDescent="0.25">
      <c r="A1374" s="15" t="s">
        <v>2141</v>
      </c>
      <c r="B1374" s="13" t="s">
        <v>13</v>
      </c>
      <c r="C1374" s="22" t="s">
        <v>284</v>
      </c>
      <c r="D1374" s="29">
        <v>44495</v>
      </c>
      <c r="E1374" s="18" t="s">
        <v>23</v>
      </c>
      <c r="F1374" s="18"/>
      <c r="G1374" s="13"/>
      <c r="H1374" s="19">
        <v>44511</v>
      </c>
      <c r="I1374" s="13" t="s">
        <v>641</v>
      </c>
      <c r="J1374" s="13">
        <v>42</v>
      </c>
      <c r="K1374" s="13">
        <v>14</v>
      </c>
      <c r="L1374" s="13"/>
      <c r="M1374" s="13"/>
      <c r="N1374" s="13"/>
      <c r="O1374" s="13"/>
      <c r="P1374" s="13"/>
      <c r="Q1374" s="13"/>
      <c r="R1374" s="13"/>
      <c r="S1374" s="13" t="s">
        <v>1284</v>
      </c>
      <c r="T1374" s="13"/>
      <c r="U1374" s="13"/>
      <c r="V1374" s="13"/>
      <c r="W1374" s="13"/>
      <c r="X1374" s="13"/>
    </row>
    <row r="1375" spans="1:24" x14ac:dyDescent="0.25">
      <c r="A1375" s="15" t="s">
        <v>2141</v>
      </c>
      <c r="B1375" s="13" t="s">
        <v>13</v>
      </c>
      <c r="C1375" s="22" t="s">
        <v>284</v>
      </c>
      <c r="D1375" s="29">
        <v>44495</v>
      </c>
      <c r="E1375" s="18" t="s">
        <v>23</v>
      </c>
      <c r="F1375" s="18"/>
      <c r="G1375" s="13" t="s">
        <v>1707</v>
      </c>
      <c r="H1375" s="19">
        <v>44511</v>
      </c>
      <c r="I1375" s="13" t="s">
        <v>63</v>
      </c>
      <c r="J1375" s="13">
        <v>516</v>
      </c>
      <c r="K1375" s="13">
        <v>86</v>
      </c>
      <c r="L1375" s="13"/>
      <c r="M1375" s="13"/>
      <c r="N1375" s="13"/>
      <c r="O1375" s="13"/>
      <c r="P1375" s="13"/>
      <c r="Q1375" s="13"/>
      <c r="R1375" s="13"/>
      <c r="S1375" s="13" t="s">
        <v>858</v>
      </c>
      <c r="T1375" s="13"/>
      <c r="U1375" s="13"/>
      <c r="V1375" s="13"/>
      <c r="W1375" s="13"/>
      <c r="X1375" s="13"/>
    </row>
    <row r="1376" spans="1:24" x14ac:dyDescent="0.25">
      <c r="A1376" s="15">
        <v>488</v>
      </c>
      <c r="B1376" s="13" t="s">
        <v>13</v>
      </c>
      <c r="C1376" s="22" t="s">
        <v>156</v>
      </c>
      <c r="D1376" s="29">
        <v>44495</v>
      </c>
      <c r="E1376" s="18" t="s">
        <v>23</v>
      </c>
      <c r="F1376" s="18"/>
      <c r="G1376" s="13" t="s">
        <v>2183</v>
      </c>
      <c r="H1376" s="31"/>
      <c r="I1376" s="13" t="s">
        <v>155</v>
      </c>
      <c r="J1376" s="13">
        <v>846</v>
      </c>
      <c r="K1376" s="13">
        <v>282</v>
      </c>
      <c r="L1376" s="13">
        <v>0.81599999999999995</v>
      </c>
      <c r="M1376" s="13">
        <v>2.7610000000000001</v>
      </c>
      <c r="N1376" s="13">
        <v>690.33600000000001</v>
      </c>
      <c r="O1376" s="13">
        <v>2335.806</v>
      </c>
      <c r="P1376" s="13">
        <v>89.74</v>
      </c>
      <c r="Q1376" s="13">
        <v>244.8</v>
      </c>
      <c r="R1376" s="13">
        <v>300</v>
      </c>
      <c r="S1376" s="13">
        <v>207100.79999999999</v>
      </c>
      <c r="T1376" s="13"/>
      <c r="U1376" s="13"/>
      <c r="V1376" s="13"/>
      <c r="W1376" s="13"/>
      <c r="X1376" s="13"/>
    </row>
    <row r="1377" spans="1:24" x14ac:dyDescent="0.25">
      <c r="A1377" s="15">
        <v>489</v>
      </c>
      <c r="B1377" s="13" t="s">
        <v>13</v>
      </c>
      <c r="C1377" s="22" t="s">
        <v>625</v>
      </c>
      <c r="D1377" s="29">
        <v>44495</v>
      </c>
      <c r="E1377" s="18" t="s">
        <v>23</v>
      </c>
      <c r="F1377" s="18"/>
      <c r="G1377" s="13"/>
      <c r="H1377" s="19">
        <v>44502</v>
      </c>
      <c r="I1377" s="13" t="s">
        <v>2145</v>
      </c>
      <c r="J1377" s="13">
        <v>333</v>
      </c>
      <c r="K1377" s="13" t="s">
        <v>118</v>
      </c>
      <c r="L1377" s="13">
        <v>0.15329999999999999</v>
      </c>
      <c r="M1377" s="13">
        <v>0.26600000000000001</v>
      </c>
      <c r="N1377" s="13">
        <v>51.048900000000003</v>
      </c>
      <c r="O1377" s="13">
        <v>88.578000000000003</v>
      </c>
      <c r="P1377" s="13">
        <v>6.64</v>
      </c>
      <c r="Q1377" s="13">
        <v>58.25</v>
      </c>
      <c r="R1377" s="13">
        <v>380</v>
      </c>
      <c r="S1377" s="13">
        <v>19398.580000000002</v>
      </c>
      <c r="T1377" s="13"/>
      <c r="U1377" s="13"/>
      <c r="V1377" s="13"/>
      <c r="W1377" s="13"/>
      <c r="X1377" s="13"/>
    </row>
    <row r="1378" spans="1:24" x14ac:dyDescent="0.25">
      <c r="A1378" s="15">
        <v>490</v>
      </c>
      <c r="B1378" s="13" t="s">
        <v>13</v>
      </c>
      <c r="C1378" s="22" t="s">
        <v>32</v>
      </c>
      <c r="D1378" s="29">
        <v>44495</v>
      </c>
      <c r="E1378" s="18" t="s">
        <v>23</v>
      </c>
      <c r="F1378" s="18"/>
      <c r="G1378" s="13"/>
      <c r="H1378" s="19">
        <v>44501</v>
      </c>
      <c r="I1378" s="13" t="s">
        <v>2024</v>
      </c>
      <c r="J1378" s="13">
        <v>320.10000000000002</v>
      </c>
      <c r="K1378" s="13" t="s">
        <v>351</v>
      </c>
      <c r="L1378" s="13">
        <v>9.5600000000000004E-2</v>
      </c>
      <c r="M1378" s="13">
        <v>0.16</v>
      </c>
      <c r="N1378" s="13">
        <v>30.601600000000001</v>
      </c>
      <c r="O1378" s="13">
        <v>51.216000000000001</v>
      </c>
      <c r="P1378" s="13">
        <v>3.98</v>
      </c>
      <c r="Q1378" s="13">
        <v>24</v>
      </c>
      <c r="R1378" s="13">
        <v>251</v>
      </c>
      <c r="S1378" s="13">
        <v>7680.99</v>
      </c>
      <c r="T1378" s="13"/>
      <c r="U1378" s="13"/>
      <c r="V1378" s="13"/>
      <c r="W1378" s="13"/>
      <c r="X1378" s="13"/>
    </row>
    <row r="1379" spans="1:24" x14ac:dyDescent="0.25">
      <c r="A1379" s="15">
        <v>490</v>
      </c>
      <c r="B1379" s="13" t="s">
        <v>13</v>
      </c>
      <c r="C1379" s="22" t="s">
        <v>32</v>
      </c>
      <c r="D1379" s="29">
        <v>44495</v>
      </c>
      <c r="E1379" s="18" t="s">
        <v>23</v>
      </c>
      <c r="F1379" s="18"/>
      <c r="G1379" s="13"/>
      <c r="H1379" s="31"/>
      <c r="I1379" s="13" t="s">
        <v>1975</v>
      </c>
      <c r="J1379" s="13">
        <v>540.75</v>
      </c>
      <c r="K1379" s="13" t="s">
        <v>274</v>
      </c>
      <c r="L1379" s="13">
        <v>0.15790000000000001</v>
      </c>
      <c r="M1379" s="13">
        <v>0.309</v>
      </c>
      <c r="N1379" s="13">
        <v>85.384399999999999</v>
      </c>
      <c r="O1379" s="13">
        <v>167.09180000000001</v>
      </c>
      <c r="P1379" s="13">
        <v>11.1</v>
      </c>
      <c r="Q1379" s="13">
        <v>39.630000000000003</v>
      </c>
      <c r="R1379" s="13">
        <v>251</v>
      </c>
      <c r="S1379" s="13">
        <v>21431.49</v>
      </c>
      <c r="T1379" s="13"/>
      <c r="U1379" s="13"/>
      <c r="V1379" s="13"/>
      <c r="W1379" s="13"/>
      <c r="X1379" s="13"/>
    </row>
    <row r="1380" spans="1:24" x14ac:dyDescent="0.25">
      <c r="A1380" s="15">
        <v>490</v>
      </c>
      <c r="B1380" s="13" t="s">
        <v>13</v>
      </c>
      <c r="C1380" s="22" t="s">
        <v>32</v>
      </c>
      <c r="D1380" s="29">
        <v>44495</v>
      </c>
      <c r="E1380" s="18" t="s">
        <v>23</v>
      </c>
      <c r="F1380" s="18"/>
      <c r="G1380" s="13" t="s">
        <v>1707</v>
      </c>
      <c r="H1380" s="19">
        <v>44501</v>
      </c>
      <c r="I1380" s="13" t="s">
        <v>1598</v>
      </c>
      <c r="J1380" s="13">
        <v>854</v>
      </c>
      <c r="K1380" s="13" t="s">
        <v>662</v>
      </c>
      <c r="L1380" s="13">
        <v>0.2651</v>
      </c>
      <c r="M1380" s="13">
        <v>0.82099999999999995</v>
      </c>
      <c r="N1380" s="13">
        <v>226.3954</v>
      </c>
      <c r="O1380" s="13">
        <v>701.13400000000001</v>
      </c>
      <c r="P1380" s="13">
        <v>29.43</v>
      </c>
      <c r="Q1380" s="13">
        <v>66.540000000000006</v>
      </c>
      <c r="R1380" s="13">
        <v>251</v>
      </c>
      <c r="S1380" s="13">
        <v>56825.25</v>
      </c>
      <c r="T1380" s="13"/>
      <c r="U1380" s="13"/>
      <c r="V1380" s="13"/>
      <c r="W1380" s="13"/>
      <c r="X1380" s="13"/>
    </row>
    <row r="1381" spans="1:24" x14ac:dyDescent="0.25">
      <c r="A1381" s="15">
        <v>492</v>
      </c>
      <c r="B1381" s="13" t="s">
        <v>13</v>
      </c>
      <c r="C1381" s="22" t="s">
        <v>1120</v>
      </c>
      <c r="D1381" s="29">
        <v>44495</v>
      </c>
      <c r="E1381" s="18" t="s">
        <v>23</v>
      </c>
      <c r="F1381" s="18"/>
      <c r="G1381" s="13" t="s">
        <v>2283</v>
      </c>
      <c r="H1381" s="31"/>
      <c r="I1381" s="13" t="s">
        <v>117</v>
      </c>
      <c r="J1381" s="13">
        <v>600</v>
      </c>
      <c r="K1381" s="13">
        <v>120</v>
      </c>
      <c r="L1381" s="13">
        <v>0.1734</v>
      </c>
      <c r="M1381" s="13">
        <v>0.35099999999999998</v>
      </c>
      <c r="N1381" s="13">
        <v>104.04</v>
      </c>
      <c r="O1381" s="13">
        <v>210.6</v>
      </c>
      <c r="P1381" s="13">
        <v>13.53</v>
      </c>
      <c r="Q1381" s="13">
        <v>52.02</v>
      </c>
      <c r="R1381" s="13">
        <v>300</v>
      </c>
      <c r="S1381" s="13">
        <v>31212</v>
      </c>
      <c r="T1381" s="13"/>
      <c r="U1381" s="13"/>
      <c r="V1381" s="13"/>
      <c r="W1381" s="13"/>
      <c r="X1381" s="13"/>
    </row>
    <row r="1382" spans="1:24" x14ac:dyDescent="0.25">
      <c r="A1382" s="15">
        <v>491</v>
      </c>
      <c r="B1382" s="13" t="s">
        <v>34</v>
      </c>
      <c r="C1382" s="22" t="s">
        <v>328</v>
      </c>
      <c r="D1382" s="29">
        <v>44496</v>
      </c>
      <c r="E1382" s="18" t="s">
        <v>23</v>
      </c>
      <c r="F1382" s="18"/>
      <c r="G1382" s="13" t="s">
        <v>3084</v>
      </c>
      <c r="H1382" s="19">
        <v>44501</v>
      </c>
      <c r="I1382" s="13" t="s">
        <v>650</v>
      </c>
      <c r="J1382" s="13">
        <v>1158</v>
      </c>
      <c r="K1382" s="13" t="s">
        <v>88</v>
      </c>
      <c r="L1382" s="13">
        <v>0.30919999999999997</v>
      </c>
      <c r="M1382" s="13">
        <v>1.1000000000000001</v>
      </c>
      <c r="N1382" s="13">
        <v>358.05360000000002</v>
      </c>
      <c r="O1382" s="13">
        <v>1273.8</v>
      </c>
      <c r="P1382" s="13">
        <v>46.55</v>
      </c>
      <c r="Q1382" s="13">
        <v>101.42</v>
      </c>
      <c r="R1382" s="13">
        <v>328</v>
      </c>
      <c r="S1382" s="13">
        <v>117441.58</v>
      </c>
      <c r="T1382" s="13"/>
      <c r="U1382" s="13"/>
      <c r="V1382" s="13"/>
      <c r="W1382" s="13"/>
      <c r="X1382" s="13"/>
    </row>
    <row r="1383" spans="1:24" x14ac:dyDescent="0.25">
      <c r="A1383" s="15" t="s">
        <v>2149</v>
      </c>
      <c r="B1383" s="13" t="s">
        <v>13</v>
      </c>
      <c r="C1383" s="16" t="s">
        <v>30</v>
      </c>
      <c r="D1383" s="29">
        <v>44498</v>
      </c>
      <c r="E1383" s="18" t="s">
        <v>23</v>
      </c>
      <c r="F1383" s="18"/>
      <c r="G1383" s="13" t="s">
        <v>2168</v>
      </c>
      <c r="H1383" s="118">
        <v>44508</v>
      </c>
      <c r="I1383" s="13" t="s">
        <v>871</v>
      </c>
      <c r="J1383" s="13"/>
      <c r="K1383" s="13">
        <v>150</v>
      </c>
      <c r="L1383" s="13"/>
      <c r="M1383" s="13"/>
      <c r="N1383" s="13"/>
      <c r="O1383" s="13"/>
      <c r="P1383" s="13"/>
      <c r="Q1383" s="13"/>
      <c r="R1383" s="13"/>
      <c r="S1383" s="13" t="s">
        <v>234</v>
      </c>
      <c r="T1383" s="13"/>
      <c r="U1383" s="13"/>
      <c r="V1383" s="13"/>
      <c r="W1383" s="13"/>
      <c r="X1383" s="13"/>
    </row>
    <row r="1384" spans="1:24" x14ac:dyDescent="0.25">
      <c r="A1384" s="15" t="s">
        <v>2149</v>
      </c>
      <c r="B1384" s="13" t="s">
        <v>13</v>
      </c>
      <c r="C1384" s="16" t="s">
        <v>30</v>
      </c>
      <c r="D1384" s="29">
        <v>44498</v>
      </c>
      <c r="E1384" s="18" t="s">
        <v>23</v>
      </c>
      <c r="F1384" s="18"/>
      <c r="G1384" s="13"/>
      <c r="H1384" s="19">
        <v>44508</v>
      </c>
      <c r="I1384" s="13" t="s">
        <v>872</v>
      </c>
      <c r="J1384" s="13"/>
      <c r="K1384" s="13">
        <v>40</v>
      </c>
      <c r="L1384" s="13"/>
      <c r="M1384" s="13"/>
      <c r="N1384" s="13"/>
      <c r="O1384" s="13"/>
      <c r="P1384" s="13"/>
      <c r="Q1384" s="13"/>
      <c r="R1384" s="13"/>
      <c r="S1384" s="13" t="s">
        <v>1353</v>
      </c>
      <c r="T1384" s="13"/>
      <c r="U1384" s="13"/>
      <c r="V1384" s="13"/>
      <c r="W1384" s="13"/>
      <c r="X1384" s="13"/>
    </row>
    <row r="1385" spans="1:24" x14ac:dyDescent="0.25">
      <c r="A1385" s="15">
        <v>494</v>
      </c>
      <c r="B1385" s="13" t="s">
        <v>13</v>
      </c>
      <c r="C1385" s="16" t="s">
        <v>625</v>
      </c>
      <c r="D1385" s="29">
        <v>44498</v>
      </c>
      <c r="E1385" s="18" t="s">
        <v>23</v>
      </c>
      <c r="F1385" s="18"/>
      <c r="G1385" s="13"/>
      <c r="H1385" s="31"/>
      <c r="I1385" s="13" t="s">
        <v>2150</v>
      </c>
      <c r="J1385" s="13">
        <v>1344</v>
      </c>
      <c r="K1385" s="13" t="s">
        <v>2151</v>
      </c>
      <c r="L1385" s="13">
        <v>0.151</v>
      </c>
      <c r="M1385" s="13">
        <v>0.38900000000000001</v>
      </c>
      <c r="N1385" s="13">
        <v>202.94399999999999</v>
      </c>
      <c r="O1385" s="13">
        <v>522.81600000000003</v>
      </c>
      <c r="P1385" s="13">
        <v>26.38</v>
      </c>
      <c r="Q1385" s="13">
        <v>30.2</v>
      </c>
      <c r="R1385" s="13">
        <v>200</v>
      </c>
      <c r="S1385" s="13">
        <v>40588.800000000003</v>
      </c>
      <c r="T1385" s="13"/>
      <c r="U1385" s="13"/>
      <c r="V1385" s="13"/>
      <c r="W1385" s="13"/>
      <c r="X1385" s="13"/>
    </row>
    <row r="1386" spans="1:24" x14ac:dyDescent="0.25">
      <c r="A1386" s="15">
        <v>495</v>
      </c>
      <c r="B1386" s="13" t="s">
        <v>13</v>
      </c>
      <c r="C1386" s="22" t="s">
        <v>80</v>
      </c>
      <c r="D1386" s="29">
        <v>44498</v>
      </c>
      <c r="E1386" s="18" t="s">
        <v>23</v>
      </c>
      <c r="F1386" s="18"/>
      <c r="G1386" s="13"/>
      <c r="H1386" s="31"/>
      <c r="I1386" s="13" t="s">
        <v>85</v>
      </c>
      <c r="J1386" s="13">
        <v>801</v>
      </c>
      <c r="K1386" s="13">
        <v>178</v>
      </c>
      <c r="L1386" s="13">
        <v>0.30480000000000002</v>
      </c>
      <c r="M1386" s="13">
        <v>1.4590000000000001</v>
      </c>
      <c r="N1386" s="13">
        <v>244.1448</v>
      </c>
      <c r="O1386" s="13">
        <v>1168.6590000000001</v>
      </c>
      <c r="P1386" s="13">
        <v>31.74</v>
      </c>
      <c r="Q1386" s="13">
        <v>83.82</v>
      </c>
      <c r="R1386" s="13">
        <v>275</v>
      </c>
      <c r="S1386" s="13">
        <v>67139.820000000007</v>
      </c>
      <c r="T1386" s="116">
        <f>N1386/28</f>
        <v>8.7194571428571432</v>
      </c>
      <c r="U1386" s="13"/>
      <c r="V1386" s="13"/>
      <c r="W1386" s="13"/>
      <c r="X1386" s="13"/>
    </row>
    <row r="1387" spans="1:24" x14ac:dyDescent="0.25">
      <c r="A1387" s="15" t="s">
        <v>2153</v>
      </c>
      <c r="B1387" s="13" t="s">
        <v>13</v>
      </c>
      <c r="C1387" s="22" t="s">
        <v>2152</v>
      </c>
      <c r="D1387" s="29">
        <v>44501</v>
      </c>
      <c r="E1387" s="18" t="s">
        <v>23</v>
      </c>
      <c r="F1387" s="18"/>
      <c r="G1387" s="13"/>
      <c r="H1387" s="31"/>
      <c r="I1387" s="13" t="s">
        <v>890</v>
      </c>
      <c r="J1387" s="13" t="s">
        <v>2170</v>
      </c>
      <c r="K1387" s="13">
        <v>248</v>
      </c>
      <c r="L1387" s="13"/>
      <c r="M1387" s="13"/>
      <c r="N1387" s="13"/>
      <c r="O1387" s="13"/>
      <c r="P1387" s="13"/>
      <c r="Q1387" s="13">
        <v>19</v>
      </c>
      <c r="R1387" s="13"/>
      <c r="S1387" s="13" t="s">
        <v>2171</v>
      </c>
      <c r="T1387" s="13"/>
      <c r="U1387" s="13"/>
      <c r="V1387" s="13"/>
      <c r="W1387" s="13"/>
      <c r="X1387" s="13"/>
    </row>
    <row r="1388" spans="1:24" s="25" customFormat="1" ht="30.75" x14ac:dyDescent="0.25">
      <c r="A1388" s="20" t="s">
        <v>2154</v>
      </c>
      <c r="B1388" s="21" t="s">
        <v>13</v>
      </c>
      <c r="C1388" s="22" t="s">
        <v>548</v>
      </c>
      <c r="D1388" s="17">
        <v>44501</v>
      </c>
      <c r="E1388" s="23" t="s">
        <v>23</v>
      </c>
      <c r="F1388" s="23"/>
      <c r="G1388" s="99" t="s">
        <v>2651</v>
      </c>
      <c r="H1388" s="30"/>
      <c r="I1388" s="99" t="s">
        <v>1876</v>
      </c>
      <c r="J1388" s="21">
        <v>86148</v>
      </c>
      <c r="K1388" s="21">
        <v>28716</v>
      </c>
      <c r="L1388" s="21"/>
      <c r="M1388" s="21"/>
      <c r="N1388" s="21"/>
      <c r="O1388" s="21"/>
      <c r="P1388" s="21"/>
      <c r="Q1388" s="21">
        <v>14.6</v>
      </c>
      <c r="R1388" s="21"/>
      <c r="S1388" s="21" t="s">
        <v>2155</v>
      </c>
      <c r="T1388" s="21"/>
      <c r="U1388" s="21"/>
      <c r="V1388" s="21"/>
      <c r="W1388" s="21"/>
      <c r="X1388" s="21"/>
    </row>
    <row r="1389" spans="1:24" s="28" customFormat="1" x14ac:dyDescent="0.25">
      <c r="A1389" s="104">
        <v>496</v>
      </c>
      <c r="B1389" s="26" t="s">
        <v>13</v>
      </c>
      <c r="C1389" s="27" t="s">
        <v>663</v>
      </c>
      <c r="D1389" s="105">
        <v>44501</v>
      </c>
      <c r="E1389" s="106" t="s">
        <v>23</v>
      </c>
      <c r="F1389" s="106"/>
      <c r="G1389" s="26" t="s">
        <v>2339</v>
      </c>
      <c r="H1389" s="125"/>
      <c r="I1389" s="26" t="s">
        <v>2156</v>
      </c>
      <c r="J1389" s="26">
        <v>169</v>
      </c>
      <c r="K1389" s="26">
        <v>26</v>
      </c>
      <c r="L1389" s="26">
        <v>0.62</v>
      </c>
      <c r="M1389" s="26">
        <v>2.544</v>
      </c>
      <c r="N1389" s="26">
        <v>104.78</v>
      </c>
      <c r="O1389" s="26">
        <v>429.93599999999998</v>
      </c>
      <c r="P1389" s="26">
        <v>13.62</v>
      </c>
      <c r="Q1389" s="26">
        <v>170.5</v>
      </c>
      <c r="R1389" s="26">
        <v>275</v>
      </c>
      <c r="S1389" s="26">
        <v>28814.5</v>
      </c>
      <c r="T1389" s="26"/>
      <c r="U1389" s="26"/>
      <c r="V1389" s="26"/>
      <c r="W1389" s="26"/>
      <c r="X1389" s="26"/>
    </row>
    <row r="1390" spans="1:24" x14ac:dyDescent="0.25">
      <c r="A1390" s="15">
        <v>496</v>
      </c>
      <c r="B1390" s="13" t="s">
        <v>13</v>
      </c>
      <c r="C1390" s="22" t="s">
        <v>663</v>
      </c>
      <c r="D1390" s="29">
        <v>44501</v>
      </c>
      <c r="E1390" s="18" t="s">
        <v>23</v>
      </c>
      <c r="F1390" s="18"/>
      <c r="G1390" s="13" t="s">
        <v>2160</v>
      </c>
      <c r="H1390" s="31"/>
      <c r="I1390" s="13" t="s">
        <v>1003</v>
      </c>
      <c r="J1390" s="13">
        <v>383.5</v>
      </c>
      <c r="K1390" s="13">
        <v>59</v>
      </c>
      <c r="L1390" s="13">
        <v>0.67</v>
      </c>
      <c r="M1390" s="13">
        <v>1.9690000000000001</v>
      </c>
      <c r="N1390" s="13">
        <v>256.94499999999999</v>
      </c>
      <c r="O1390" s="13">
        <v>755.11149999999998</v>
      </c>
      <c r="P1390" s="13">
        <v>33.4</v>
      </c>
      <c r="Q1390" s="13">
        <v>184.25</v>
      </c>
      <c r="R1390" s="13">
        <v>275</v>
      </c>
      <c r="S1390" s="13">
        <v>70659.88</v>
      </c>
      <c r="T1390" s="117">
        <f>K1390/8</f>
        <v>7.375</v>
      </c>
      <c r="U1390" s="13"/>
      <c r="V1390" s="13"/>
      <c r="W1390" s="13"/>
      <c r="X1390" s="13"/>
    </row>
    <row r="1391" spans="1:24" x14ac:dyDescent="0.25">
      <c r="A1391" s="15">
        <v>498</v>
      </c>
      <c r="B1391" s="13" t="s">
        <v>13</v>
      </c>
      <c r="C1391" s="22" t="s">
        <v>663</v>
      </c>
      <c r="D1391" s="29">
        <v>44501</v>
      </c>
      <c r="E1391" s="18" t="s">
        <v>23</v>
      </c>
      <c r="F1391" s="18"/>
      <c r="G1391" s="13" t="s">
        <v>2238</v>
      </c>
      <c r="H1391" s="31"/>
      <c r="I1391" s="13" t="s">
        <v>1142</v>
      </c>
      <c r="J1391" s="13">
        <v>2880</v>
      </c>
      <c r="K1391" s="13">
        <v>480</v>
      </c>
      <c r="L1391" s="13">
        <v>0.31</v>
      </c>
      <c r="M1391" s="13">
        <v>1.2010000000000001</v>
      </c>
      <c r="N1391" s="13">
        <v>892.8</v>
      </c>
      <c r="O1391" s="13">
        <v>3458.88</v>
      </c>
      <c r="P1391" s="13">
        <v>116.06</v>
      </c>
      <c r="Q1391" s="13">
        <v>85.25</v>
      </c>
      <c r="R1391" s="13">
        <v>275</v>
      </c>
      <c r="S1391" s="13">
        <v>245520</v>
      </c>
      <c r="T1391" s="117">
        <f>N1391/28</f>
        <v>31.885714285714283</v>
      </c>
      <c r="U1391" s="13"/>
      <c r="V1391" s="13"/>
      <c r="W1391" s="13"/>
      <c r="X1391" s="13"/>
    </row>
    <row r="1392" spans="1:24" x14ac:dyDescent="0.25">
      <c r="A1392" s="15" t="s">
        <v>2159</v>
      </c>
      <c r="B1392" s="13" t="s">
        <v>13</v>
      </c>
      <c r="C1392" s="22" t="s">
        <v>2158</v>
      </c>
      <c r="D1392" s="29">
        <v>44501</v>
      </c>
      <c r="E1392" s="18" t="s">
        <v>23</v>
      </c>
      <c r="F1392" s="18"/>
      <c r="G1392" s="13"/>
      <c r="H1392" s="31"/>
      <c r="I1392" s="13" t="s">
        <v>2157</v>
      </c>
      <c r="J1392" s="13">
        <v>186</v>
      </c>
      <c r="K1392" s="13">
        <v>30</v>
      </c>
      <c r="L1392" s="13"/>
      <c r="M1392" s="13"/>
      <c r="N1392" s="13"/>
      <c r="O1392" s="13"/>
      <c r="P1392" s="13"/>
      <c r="Q1392" s="13"/>
      <c r="R1392" s="13"/>
      <c r="S1392" s="13">
        <v>20600</v>
      </c>
      <c r="T1392" s="13"/>
      <c r="U1392" s="13"/>
      <c r="V1392" s="13"/>
      <c r="W1392" s="13"/>
      <c r="X1392" s="13"/>
    </row>
    <row r="1393" spans="1:24" x14ac:dyDescent="0.25">
      <c r="A1393" s="15">
        <v>499</v>
      </c>
      <c r="B1393" s="13" t="s">
        <v>13</v>
      </c>
      <c r="C1393" s="22" t="s">
        <v>663</v>
      </c>
      <c r="D1393" s="29">
        <v>44502</v>
      </c>
      <c r="E1393" s="18" t="s">
        <v>23</v>
      </c>
      <c r="F1393" s="18"/>
      <c r="G1393" s="13"/>
      <c r="H1393" s="31"/>
      <c r="I1393" s="13" t="s">
        <v>2005</v>
      </c>
      <c r="J1393" s="13">
        <v>182</v>
      </c>
      <c r="K1393" s="13">
        <v>28</v>
      </c>
      <c r="L1393" s="13">
        <v>0.54</v>
      </c>
      <c r="M1393" s="13">
        <v>2.5379999999999998</v>
      </c>
      <c r="N1393" s="13">
        <v>98.28</v>
      </c>
      <c r="O1393" s="13">
        <v>461.916</v>
      </c>
      <c r="P1393" s="13">
        <v>12.78</v>
      </c>
      <c r="Q1393" s="13">
        <v>148.5</v>
      </c>
      <c r="R1393" s="13">
        <v>275</v>
      </c>
      <c r="S1393" s="13">
        <v>27027</v>
      </c>
      <c r="T1393" s="13">
        <f>K1393/7</f>
        <v>4</v>
      </c>
      <c r="U1393" s="13"/>
      <c r="V1393" s="13"/>
      <c r="W1393" s="13"/>
      <c r="X1393" s="13"/>
    </row>
    <row r="1394" spans="1:24" x14ac:dyDescent="0.25">
      <c r="A1394" s="15">
        <v>500</v>
      </c>
      <c r="B1394" s="13" t="s">
        <v>13</v>
      </c>
      <c r="C1394" s="22" t="s">
        <v>663</v>
      </c>
      <c r="D1394" s="29">
        <v>44502</v>
      </c>
      <c r="E1394" s="18" t="s">
        <v>23</v>
      </c>
      <c r="F1394" s="18"/>
      <c r="G1394" s="13" t="s">
        <v>2224</v>
      </c>
      <c r="H1394" s="31"/>
      <c r="I1394" s="13" t="s">
        <v>999</v>
      </c>
      <c r="J1394" s="13">
        <v>468</v>
      </c>
      <c r="K1394" s="13">
        <v>72</v>
      </c>
      <c r="L1394" s="13">
        <v>0.626</v>
      </c>
      <c r="M1394" s="13">
        <v>2.1869999999999998</v>
      </c>
      <c r="N1394" s="13">
        <v>292.96800000000002</v>
      </c>
      <c r="O1394" s="13">
        <v>1023.516</v>
      </c>
      <c r="P1394" s="13">
        <v>38.090000000000003</v>
      </c>
      <c r="Q1394" s="13">
        <v>172.15</v>
      </c>
      <c r="R1394" s="13">
        <v>275</v>
      </c>
      <c r="S1394" s="13">
        <v>80566.2</v>
      </c>
      <c r="T1394" s="117">
        <f>K1394/7</f>
        <v>10.285714285714286</v>
      </c>
      <c r="U1394" s="13"/>
      <c r="V1394" s="13"/>
      <c r="W1394" s="13"/>
      <c r="X1394" s="13"/>
    </row>
    <row r="1395" spans="1:24" x14ac:dyDescent="0.25">
      <c r="A1395" s="15">
        <v>501</v>
      </c>
      <c r="B1395" s="13" t="s">
        <v>13</v>
      </c>
      <c r="C1395" s="22" t="s">
        <v>156</v>
      </c>
      <c r="D1395" s="29">
        <v>44502</v>
      </c>
      <c r="E1395" s="18" t="s">
        <v>23</v>
      </c>
      <c r="F1395" s="18"/>
      <c r="G1395" s="13"/>
      <c r="H1395" s="31"/>
      <c r="I1395" s="13" t="s">
        <v>155</v>
      </c>
      <c r="J1395" s="13">
        <v>27</v>
      </c>
      <c r="K1395" s="13">
        <v>9</v>
      </c>
      <c r="L1395" s="13">
        <v>0.81599999999999995</v>
      </c>
      <c r="M1395" s="13">
        <v>2.7610000000000001</v>
      </c>
      <c r="N1395" s="13">
        <v>22.032</v>
      </c>
      <c r="O1395" s="13">
        <v>74.546999999999997</v>
      </c>
      <c r="P1395" s="13">
        <v>2.86</v>
      </c>
      <c r="Q1395" s="13">
        <v>244.8</v>
      </c>
      <c r="R1395" s="13">
        <v>300</v>
      </c>
      <c r="S1395" s="13">
        <v>6609.6</v>
      </c>
      <c r="T1395" s="13"/>
      <c r="U1395" s="13"/>
      <c r="V1395" s="13"/>
      <c r="W1395" s="13"/>
      <c r="X1395" s="13"/>
    </row>
    <row r="1396" spans="1:24" x14ac:dyDescent="0.25">
      <c r="A1396" s="15">
        <v>502</v>
      </c>
      <c r="B1396" s="13" t="s">
        <v>13</v>
      </c>
      <c r="C1396" s="22" t="s">
        <v>625</v>
      </c>
      <c r="D1396" s="29">
        <v>44502</v>
      </c>
      <c r="E1396" s="18" t="s">
        <v>23</v>
      </c>
      <c r="F1396" s="18"/>
      <c r="G1396" s="13"/>
      <c r="H1396" s="19">
        <v>44508</v>
      </c>
      <c r="I1396" s="13" t="s">
        <v>2161</v>
      </c>
      <c r="J1396" s="13">
        <v>977.6</v>
      </c>
      <c r="K1396" s="13">
        <v>208</v>
      </c>
      <c r="L1396" s="13">
        <v>0.34810000000000002</v>
      </c>
      <c r="M1396" s="13">
        <v>1.4930000000000001</v>
      </c>
      <c r="N1396" s="13">
        <v>340.30259999999998</v>
      </c>
      <c r="O1396" s="13">
        <v>1459.5568000000001</v>
      </c>
      <c r="P1396" s="13">
        <v>44.24</v>
      </c>
      <c r="Q1396" s="13">
        <v>69.62</v>
      </c>
      <c r="R1396" s="13">
        <v>200</v>
      </c>
      <c r="S1396" s="13">
        <v>68060.509999999995</v>
      </c>
      <c r="T1396" s="13">
        <f>N1396/35</f>
        <v>9.7229314285714281</v>
      </c>
      <c r="U1396" s="13"/>
      <c r="V1396" s="13"/>
      <c r="W1396" s="13"/>
      <c r="X1396" s="13"/>
    </row>
    <row r="1397" spans="1:24" s="86" customFormat="1" x14ac:dyDescent="0.25">
      <c r="A1397" s="122">
        <v>503</v>
      </c>
      <c r="B1397" s="85" t="s">
        <v>13</v>
      </c>
      <c r="C1397" s="100" t="s">
        <v>32</v>
      </c>
      <c r="D1397" s="123">
        <v>44502</v>
      </c>
      <c r="E1397" s="112" t="s">
        <v>23</v>
      </c>
      <c r="F1397" s="112">
        <v>296</v>
      </c>
      <c r="G1397" s="85"/>
      <c r="H1397" s="126">
        <v>44610</v>
      </c>
      <c r="I1397" s="85" t="s">
        <v>1975</v>
      </c>
      <c r="J1397" s="85">
        <v>1524.4</v>
      </c>
      <c r="K1397" s="85">
        <v>296</v>
      </c>
      <c r="L1397" s="85">
        <v>0.15790000000000001</v>
      </c>
      <c r="M1397" s="85">
        <v>0.309</v>
      </c>
      <c r="N1397" s="85">
        <v>240.7028</v>
      </c>
      <c r="O1397" s="85">
        <v>471.03960000000001</v>
      </c>
      <c r="P1397" s="85">
        <v>31.29</v>
      </c>
      <c r="Q1397" s="85">
        <v>39.630000000000003</v>
      </c>
      <c r="R1397" s="85">
        <v>251</v>
      </c>
      <c r="S1397" s="85">
        <v>60411.97</v>
      </c>
      <c r="T1397" s="85"/>
      <c r="U1397" s="85"/>
      <c r="V1397" s="85"/>
      <c r="W1397" s="85"/>
      <c r="X1397" s="85"/>
    </row>
    <row r="1398" spans="1:24" x14ac:dyDescent="0.25">
      <c r="A1398" s="15" t="s">
        <v>2162</v>
      </c>
      <c r="B1398" s="13" t="s">
        <v>34</v>
      </c>
      <c r="C1398" s="22" t="s">
        <v>16</v>
      </c>
      <c r="D1398" s="29">
        <v>44502</v>
      </c>
      <c r="E1398" s="18" t="s">
        <v>23</v>
      </c>
      <c r="F1398" s="18"/>
      <c r="G1398" s="13" t="s">
        <v>2163</v>
      </c>
      <c r="H1398" s="19">
        <v>44508</v>
      </c>
      <c r="I1398" s="13" t="s">
        <v>862</v>
      </c>
      <c r="J1398" s="13">
        <v>1692</v>
      </c>
      <c r="K1398" s="13" t="s">
        <v>2144</v>
      </c>
      <c r="L1398" s="13">
        <v>0.29970000000000002</v>
      </c>
      <c r="M1398" s="13">
        <v>1.6739999999999999</v>
      </c>
      <c r="N1398" s="13">
        <v>507.0924</v>
      </c>
      <c r="O1398" s="13">
        <v>2832.4079999999999</v>
      </c>
      <c r="P1398" s="13">
        <v>65.92</v>
      </c>
      <c r="Q1398" s="13">
        <v>89.91</v>
      </c>
      <c r="R1398" s="13">
        <v>300</v>
      </c>
      <c r="S1398" s="13">
        <v>152127.72</v>
      </c>
      <c r="T1398" s="13"/>
      <c r="U1398" s="13"/>
      <c r="V1398" s="13"/>
      <c r="W1398" s="13"/>
      <c r="X1398" s="13"/>
    </row>
    <row r="1399" spans="1:24" x14ac:dyDescent="0.25">
      <c r="A1399" s="15">
        <v>505</v>
      </c>
      <c r="B1399" s="13" t="s">
        <v>13</v>
      </c>
      <c r="C1399" s="22" t="s">
        <v>80</v>
      </c>
      <c r="D1399" s="29">
        <v>44503</v>
      </c>
      <c r="E1399" s="18" t="s">
        <v>23</v>
      </c>
      <c r="F1399" s="18"/>
      <c r="G1399" s="13" t="s">
        <v>2169</v>
      </c>
      <c r="H1399" s="31"/>
      <c r="I1399" s="13" t="s">
        <v>381</v>
      </c>
      <c r="J1399" s="13">
        <v>528</v>
      </c>
      <c r="K1399" s="13">
        <v>165</v>
      </c>
      <c r="L1399" s="13">
        <v>0.51529999999999998</v>
      </c>
      <c r="M1399" s="13">
        <v>1.3759999999999999</v>
      </c>
      <c r="N1399" s="13">
        <v>272.07839999999999</v>
      </c>
      <c r="O1399" s="13">
        <v>726.52800000000002</v>
      </c>
      <c r="P1399" s="13">
        <v>35.369999999999997</v>
      </c>
      <c r="Q1399" s="13">
        <v>141.71</v>
      </c>
      <c r="R1399" s="13">
        <v>275</v>
      </c>
      <c r="S1399" s="13">
        <v>74821.56</v>
      </c>
      <c r="T1399" s="13"/>
      <c r="U1399" s="13"/>
      <c r="V1399" s="13"/>
      <c r="W1399" s="13"/>
      <c r="X1399" s="13"/>
    </row>
    <row r="1400" spans="1:24" x14ac:dyDescent="0.25">
      <c r="A1400" s="15">
        <v>505</v>
      </c>
      <c r="B1400" s="13" t="s">
        <v>13</v>
      </c>
      <c r="C1400" s="22" t="s">
        <v>80</v>
      </c>
      <c r="D1400" s="29">
        <v>44503</v>
      </c>
      <c r="E1400" s="18" t="s">
        <v>23</v>
      </c>
      <c r="F1400" s="18"/>
      <c r="G1400" s="13" t="s">
        <v>2340</v>
      </c>
      <c r="H1400" s="31"/>
      <c r="I1400" s="13" t="s">
        <v>271</v>
      </c>
      <c r="J1400" s="13">
        <v>682.55</v>
      </c>
      <c r="K1400" s="13">
        <v>187</v>
      </c>
      <c r="L1400" s="13">
        <v>0.51529999999999998</v>
      </c>
      <c r="M1400" s="13">
        <v>1.3759999999999999</v>
      </c>
      <c r="N1400" s="13">
        <v>351.71800000000002</v>
      </c>
      <c r="O1400" s="13">
        <v>939.18880000000001</v>
      </c>
      <c r="P1400" s="13">
        <v>45.72</v>
      </c>
      <c r="Q1400" s="13">
        <v>141.71</v>
      </c>
      <c r="R1400" s="13">
        <v>275</v>
      </c>
      <c r="S1400" s="13">
        <v>96722.45</v>
      </c>
      <c r="T1400" s="13"/>
      <c r="U1400" s="13"/>
      <c r="V1400" s="13"/>
      <c r="W1400" s="13"/>
      <c r="X1400" s="13"/>
    </row>
    <row r="1401" spans="1:24" x14ac:dyDescent="0.25">
      <c r="A1401" s="15" t="s">
        <v>2164</v>
      </c>
      <c r="B1401" s="13" t="s">
        <v>13</v>
      </c>
      <c r="C1401" s="22" t="s">
        <v>799</v>
      </c>
      <c r="D1401" s="29">
        <v>44503</v>
      </c>
      <c r="E1401" s="18" t="s">
        <v>23</v>
      </c>
      <c r="F1401" s="18"/>
      <c r="G1401" s="13" t="s">
        <v>2291</v>
      </c>
      <c r="H1401" s="31"/>
      <c r="I1401" s="13" t="s">
        <v>2165</v>
      </c>
      <c r="J1401" s="13">
        <v>1703.4</v>
      </c>
      <c r="K1401" s="13">
        <v>334</v>
      </c>
      <c r="L1401" s="13"/>
      <c r="M1401" s="13"/>
      <c r="N1401" s="13"/>
      <c r="O1401" s="13"/>
      <c r="P1401" s="13"/>
      <c r="Q1401" s="13"/>
      <c r="R1401" s="13"/>
      <c r="S1401" s="13" t="s">
        <v>2166</v>
      </c>
      <c r="T1401" s="13"/>
      <c r="U1401" s="13"/>
      <c r="V1401" s="13"/>
      <c r="W1401" s="13"/>
      <c r="X1401" s="13"/>
    </row>
    <row r="1402" spans="1:24" x14ac:dyDescent="0.25">
      <c r="A1402" s="15">
        <v>506</v>
      </c>
      <c r="B1402" s="13" t="s">
        <v>34</v>
      </c>
      <c r="C1402" s="22" t="s">
        <v>14</v>
      </c>
      <c r="D1402" s="29">
        <v>44503</v>
      </c>
      <c r="E1402" s="18" t="s">
        <v>23</v>
      </c>
      <c r="F1402" s="18"/>
      <c r="G1402" s="13" t="s">
        <v>2192</v>
      </c>
      <c r="H1402" s="31"/>
      <c r="I1402" s="13" t="s">
        <v>652</v>
      </c>
      <c r="J1402" s="13">
        <v>677.6</v>
      </c>
      <c r="K1402" s="13" t="s">
        <v>164</v>
      </c>
      <c r="L1402" s="13">
        <v>0.1061</v>
      </c>
      <c r="M1402" s="13">
        <v>0.63800000000000001</v>
      </c>
      <c r="N1402" s="13">
        <v>71.8934</v>
      </c>
      <c r="O1402" s="13">
        <v>432.30880000000002</v>
      </c>
      <c r="P1402" s="13">
        <v>9.35</v>
      </c>
      <c r="Q1402" s="13">
        <v>29.71</v>
      </c>
      <c r="R1402" s="13">
        <v>280</v>
      </c>
      <c r="S1402" s="13">
        <v>20130.14</v>
      </c>
      <c r="T1402" s="13"/>
      <c r="U1402" s="13"/>
      <c r="V1402" s="13"/>
      <c r="W1402" s="13"/>
      <c r="X1402" s="13"/>
    </row>
    <row r="1403" spans="1:24" x14ac:dyDescent="0.25">
      <c r="A1403" s="15">
        <v>507</v>
      </c>
      <c r="B1403" s="13" t="s">
        <v>34</v>
      </c>
      <c r="C1403" s="22" t="s">
        <v>14</v>
      </c>
      <c r="D1403" s="29">
        <v>44503</v>
      </c>
      <c r="E1403" s="18" t="s">
        <v>23</v>
      </c>
      <c r="F1403" s="18"/>
      <c r="G1403" s="13"/>
      <c r="H1403" s="31"/>
      <c r="I1403" s="13" t="s">
        <v>2167</v>
      </c>
      <c r="J1403" s="13">
        <v>1127.0999999999999</v>
      </c>
      <c r="K1403" s="13" t="s">
        <v>354</v>
      </c>
      <c r="L1403" s="13">
        <v>0.1061</v>
      </c>
      <c r="M1403" s="13">
        <v>0.63800000000000001</v>
      </c>
      <c r="N1403" s="13">
        <v>119.5853</v>
      </c>
      <c r="O1403" s="13">
        <v>719.08979999999997</v>
      </c>
      <c r="P1403" s="13">
        <v>15.55</v>
      </c>
      <c r="Q1403" s="13">
        <v>29.71</v>
      </c>
      <c r="R1403" s="13">
        <v>280</v>
      </c>
      <c r="S1403" s="13">
        <v>33486.14</v>
      </c>
      <c r="T1403" s="13"/>
      <c r="U1403" s="13"/>
      <c r="V1403" s="13"/>
      <c r="W1403" s="13"/>
      <c r="X1403" s="13"/>
    </row>
    <row r="1404" spans="1:24" x14ac:dyDescent="0.25">
      <c r="A1404" s="15">
        <v>508</v>
      </c>
      <c r="B1404" s="13" t="s">
        <v>34</v>
      </c>
      <c r="C1404" s="22" t="s">
        <v>46</v>
      </c>
      <c r="D1404" s="29">
        <v>44503</v>
      </c>
      <c r="E1404" s="18" t="s">
        <v>23</v>
      </c>
      <c r="F1404" s="18"/>
      <c r="G1404" s="13" t="s">
        <v>2194</v>
      </c>
      <c r="H1404" s="19">
        <v>44515</v>
      </c>
      <c r="I1404" s="13" t="s">
        <v>639</v>
      </c>
      <c r="J1404" s="13">
        <v>276</v>
      </c>
      <c r="K1404" s="13" t="s">
        <v>525</v>
      </c>
      <c r="L1404" s="13">
        <v>0.35859999999999997</v>
      </c>
      <c r="M1404" s="13">
        <v>1.518</v>
      </c>
      <c r="N1404" s="13">
        <v>98.973600000000005</v>
      </c>
      <c r="O1404" s="13">
        <v>418.96800000000002</v>
      </c>
      <c r="P1404" s="13">
        <v>12.87</v>
      </c>
      <c r="Q1404" s="13">
        <v>98.62</v>
      </c>
      <c r="R1404" s="13">
        <v>275</v>
      </c>
      <c r="S1404" s="13">
        <v>27217.74</v>
      </c>
      <c r="T1404" s="13"/>
      <c r="U1404" s="13"/>
      <c r="V1404" s="13"/>
      <c r="W1404" s="13"/>
      <c r="X1404" s="13"/>
    </row>
    <row r="1405" spans="1:24" x14ac:dyDescent="0.25">
      <c r="A1405" s="15">
        <v>509</v>
      </c>
      <c r="B1405" s="13" t="s">
        <v>34</v>
      </c>
      <c r="C1405" s="22" t="s">
        <v>328</v>
      </c>
      <c r="D1405" s="29">
        <v>44503</v>
      </c>
      <c r="E1405" s="18" t="s">
        <v>23</v>
      </c>
      <c r="F1405" s="18"/>
      <c r="G1405" s="16" t="s">
        <v>2219</v>
      </c>
      <c r="H1405" s="19">
        <v>44517</v>
      </c>
      <c r="I1405" s="13" t="s">
        <v>650</v>
      </c>
      <c r="J1405" s="13">
        <v>114</v>
      </c>
      <c r="K1405" s="13" t="s">
        <v>304</v>
      </c>
      <c r="L1405" s="13">
        <v>0.30919999999999997</v>
      </c>
      <c r="M1405" s="13">
        <v>1.1000000000000001</v>
      </c>
      <c r="N1405" s="13">
        <v>35.248800000000003</v>
      </c>
      <c r="O1405" s="13">
        <v>125.4</v>
      </c>
      <c r="P1405" s="13">
        <v>4.58</v>
      </c>
      <c r="Q1405" s="13">
        <v>101.42</v>
      </c>
      <c r="R1405" s="13">
        <v>328</v>
      </c>
      <c r="S1405" s="13">
        <v>11561.61</v>
      </c>
      <c r="T1405" s="13"/>
      <c r="U1405" s="13"/>
      <c r="V1405" s="13"/>
      <c r="W1405" s="13"/>
      <c r="X1405" s="13"/>
    </row>
    <row r="1406" spans="1:24" x14ac:dyDescent="0.25">
      <c r="A1406" s="15" t="s">
        <v>2258</v>
      </c>
      <c r="B1406" s="13" t="s">
        <v>13</v>
      </c>
      <c r="C1406" s="22" t="s">
        <v>37</v>
      </c>
      <c r="D1406" s="29">
        <v>44508</v>
      </c>
      <c r="E1406" s="18" t="s">
        <v>23</v>
      </c>
      <c r="F1406" s="18"/>
      <c r="G1406" s="16" t="s">
        <v>2259</v>
      </c>
      <c r="H1406" s="19"/>
      <c r="I1406" s="13" t="s">
        <v>145</v>
      </c>
      <c r="J1406" s="13"/>
      <c r="K1406" s="13">
        <v>24</v>
      </c>
      <c r="L1406" s="13"/>
      <c r="M1406" s="13"/>
      <c r="N1406" s="13"/>
      <c r="O1406" s="13"/>
      <c r="P1406" s="13"/>
      <c r="Q1406" s="13"/>
      <c r="R1406" s="13"/>
      <c r="S1406" s="13" t="s">
        <v>2260</v>
      </c>
      <c r="T1406" s="13"/>
      <c r="U1406" s="13"/>
      <c r="V1406" s="13"/>
      <c r="W1406" s="13"/>
      <c r="X1406" s="13"/>
    </row>
    <row r="1407" spans="1:24" x14ac:dyDescent="0.25">
      <c r="A1407" s="15" t="s">
        <v>2258</v>
      </c>
      <c r="B1407" s="13" t="s">
        <v>13</v>
      </c>
      <c r="C1407" s="22" t="s">
        <v>37</v>
      </c>
      <c r="D1407" s="29">
        <v>44508</v>
      </c>
      <c r="E1407" s="18" t="s">
        <v>23</v>
      </c>
      <c r="F1407" s="18"/>
      <c r="G1407" s="16" t="s">
        <v>2259</v>
      </c>
      <c r="H1407" s="19"/>
      <c r="I1407" s="13" t="s">
        <v>1888</v>
      </c>
      <c r="J1407" s="13"/>
      <c r="K1407" s="13">
        <v>24</v>
      </c>
      <c r="L1407" s="13"/>
      <c r="M1407" s="13"/>
      <c r="N1407" s="13"/>
      <c r="O1407" s="13"/>
      <c r="P1407" s="13"/>
      <c r="Q1407" s="13"/>
      <c r="R1407" s="13"/>
      <c r="S1407" s="13" t="s">
        <v>2261</v>
      </c>
      <c r="T1407" s="13"/>
      <c r="U1407" s="13"/>
      <c r="V1407" s="13"/>
      <c r="W1407" s="13"/>
      <c r="X1407" s="13"/>
    </row>
    <row r="1408" spans="1:24" x14ac:dyDescent="0.25">
      <c r="A1408" s="15" t="s">
        <v>2258</v>
      </c>
      <c r="B1408" s="13" t="s">
        <v>13</v>
      </c>
      <c r="C1408" s="22" t="s">
        <v>37</v>
      </c>
      <c r="D1408" s="29">
        <v>44508</v>
      </c>
      <c r="E1408" s="18" t="s">
        <v>23</v>
      </c>
      <c r="F1408" s="18"/>
      <c r="G1408" s="16" t="s">
        <v>2259</v>
      </c>
      <c r="H1408" s="19"/>
      <c r="I1408" s="13" t="s">
        <v>2257</v>
      </c>
      <c r="J1408" s="13"/>
      <c r="K1408" s="13">
        <v>24</v>
      </c>
      <c r="L1408" s="13"/>
      <c r="M1408" s="13"/>
      <c r="N1408" s="13"/>
      <c r="O1408" s="13"/>
      <c r="P1408" s="13"/>
      <c r="Q1408" s="13"/>
      <c r="R1408" s="13"/>
      <c r="S1408" s="13" t="s">
        <v>2262</v>
      </c>
      <c r="T1408" s="13"/>
      <c r="U1408" s="13"/>
      <c r="V1408" s="13"/>
      <c r="W1408" s="13"/>
      <c r="X1408" s="13"/>
    </row>
    <row r="1409" spans="1:24" x14ac:dyDescent="0.25">
      <c r="A1409" s="15" t="s">
        <v>2178</v>
      </c>
      <c r="B1409" s="13" t="s">
        <v>13</v>
      </c>
      <c r="C1409" s="22" t="s">
        <v>2085</v>
      </c>
      <c r="D1409" s="29">
        <v>44508</v>
      </c>
      <c r="E1409" s="18" t="s">
        <v>677</v>
      </c>
      <c r="F1409" s="18"/>
      <c r="G1409" s="13"/>
      <c r="H1409" s="31"/>
      <c r="I1409" s="13" t="s">
        <v>2177</v>
      </c>
      <c r="J1409" s="13">
        <v>150</v>
      </c>
      <c r="K1409" s="13">
        <v>50</v>
      </c>
      <c r="L1409" s="13"/>
      <c r="M1409" s="13"/>
      <c r="N1409" s="13"/>
      <c r="O1409" s="13"/>
      <c r="P1409" s="13"/>
      <c r="Q1409" s="13"/>
      <c r="R1409" s="13"/>
      <c r="S1409" s="13">
        <v>9000</v>
      </c>
      <c r="T1409" s="13"/>
      <c r="U1409" s="13"/>
      <c r="V1409" s="13"/>
      <c r="W1409" s="13"/>
      <c r="X1409" s="13"/>
    </row>
    <row r="1410" spans="1:24" x14ac:dyDescent="0.25">
      <c r="A1410" s="15">
        <v>472</v>
      </c>
      <c r="B1410" s="13" t="s">
        <v>13</v>
      </c>
      <c r="C1410" s="22" t="s">
        <v>2180</v>
      </c>
      <c r="D1410" s="29">
        <v>44508</v>
      </c>
      <c r="E1410" s="18" t="s">
        <v>23</v>
      </c>
      <c r="F1410" s="18"/>
      <c r="G1410" s="13" t="s">
        <v>17</v>
      </c>
      <c r="H1410" s="31"/>
      <c r="I1410" s="13" t="s">
        <v>2179</v>
      </c>
      <c r="J1410" s="13">
        <v>12.4</v>
      </c>
      <c r="K1410" s="13" t="s">
        <v>41</v>
      </c>
      <c r="L1410" s="13">
        <v>0.49</v>
      </c>
      <c r="M1410" s="13">
        <v>3.7109999999999999</v>
      </c>
      <c r="N1410" s="13">
        <v>6.0759999999999996</v>
      </c>
      <c r="O1410" s="13">
        <v>46.016399999999997</v>
      </c>
      <c r="P1410" s="13">
        <v>0.79</v>
      </c>
      <c r="Q1410" s="13">
        <v>151.9</v>
      </c>
      <c r="R1410" s="13">
        <v>310</v>
      </c>
      <c r="S1410" s="13">
        <v>1883.56</v>
      </c>
      <c r="T1410" s="13"/>
      <c r="U1410" s="13"/>
      <c r="V1410" s="13"/>
      <c r="W1410" s="13"/>
      <c r="X1410" s="13"/>
    </row>
    <row r="1411" spans="1:24" x14ac:dyDescent="0.25">
      <c r="A1411" s="15">
        <v>510</v>
      </c>
      <c r="B1411" s="13" t="s">
        <v>13</v>
      </c>
      <c r="C1411" s="22" t="s">
        <v>80</v>
      </c>
      <c r="D1411" s="29">
        <v>44508</v>
      </c>
      <c r="E1411" s="18" t="s">
        <v>23</v>
      </c>
      <c r="F1411" s="18"/>
      <c r="G1411" s="13"/>
      <c r="H1411" s="31"/>
      <c r="I1411" s="13" t="s">
        <v>381</v>
      </c>
      <c r="J1411" s="13">
        <v>265.60000000000002</v>
      </c>
      <c r="K1411" s="13" t="s">
        <v>877</v>
      </c>
      <c r="L1411" s="13">
        <v>0.51529999999999998</v>
      </c>
      <c r="M1411" s="13">
        <v>1.3759999999999999</v>
      </c>
      <c r="N1411" s="13">
        <v>136.86369999999999</v>
      </c>
      <c r="O1411" s="13">
        <v>365.46559999999999</v>
      </c>
      <c r="P1411" s="13">
        <v>17.79</v>
      </c>
      <c r="Q1411" s="13">
        <v>141.71</v>
      </c>
      <c r="R1411" s="13">
        <v>275</v>
      </c>
      <c r="S1411" s="13">
        <v>37638.18</v>
      </c>
      <c r="T1411" s="13"/>
      <c r="U1411" s="13"/>
      <c r="V1411" s="13"/>
      <c r="W1411" s="13"/>
      <c r="X1411" s="13"/>
    </row>
    <row r="1412" spans="1:24" x14ac:dyDescent="0.25">
      <c r="A1412" s="15">
        <v>511</v>
      </c>
      <c r="B1412" s="13" t="s">
        <v>13</v>
      </c>
      <c r="C1412" s="22" t="s">
        <v>625</v>
      </c>
      <c r="D1412" s="29">
        <v>44508</v>
      </c>
      <c r="E1412" s="18" t="s">
        <v>23</v>
      </c>
      <c r="F1412" s="18"/>
      <c r="G1412" s="13"/>
      <c r="H1412" s="31"/>
      <c r="I1412" s="13" t="s">
        <v>2145</v>
      </c>
      <c r="J1412" s="13">
        <v>2605.5</v>
      </c>
      <c r="K1412" s="13" t="s">
        <v>2188</v>
      </c>
      <c r="L1412" s="13">
        <v>0.15329999999999999</v>
      </c>
      <c r="M1412" s="13">
        <v>0.26600000000000001</v>
      </c>
      <c r="N1412" s="13">
        <v>399.42320000000001</v>
      </c>
      <c r="O1412" s="13">
        <v>693.06299999999999</v>
      </c>
      <c r="P1412" s="13">
        <v>51.93</v>
      </c>
      <c r="Q1412" s="13">
        <v>58.25</v>
      </c>
      <c r="R1412" s="13">
        <v>380</v>
      </c>
      <c r="S1412" s="13">
        <v>151770.38</v>
      </c>
      <c r="T1412" s="13"/>
      <c r="U1412" s="13"/>
      <c r="V1412" s="13"/>
      <c r="W1412" s="13"/>
      <c r="X1412" s="13"/>
    </row>
    <row r="1413" spans="1:24" x14ac:dyDescent="0.25">
      <c r="A1413" s="15">
        <v>512</v>
      </c>
      <c r="B1413" s="13" t="s">
        <v>13</v>
      </c>
      <c r="C1413" s="22" t="s">
        <v>32</v>
      </c>
      <c r="D1413" s="29">
        <v>44508</v>
      </c>
      <c r="E1413" s="18" t="s">
        <v>23</v>
      </c>
      <c r="F1413" s="18"/>
      <c r="G1413" s="13"/>
      <c r="H1413" s="31"/>
      <c r="I1413" s="13" t="s">
        <v>2024</v>
      </c>
      <c r="J1413" s="13">
        <v>1120.3499999999999</v>
      </c>
      <c r="K1413" s="13" t="s">
        <v>86</v>
      </c>
      <c r="L1413" s="13">
        <v>9.5600000000000004E-2</v>
      </c>
      <c r="M1413" s="13">
        <v>0.16</v>
      </c>
      <c r="N1413" s="13">
        <v>107.10550000000001</v>
      </c>
      <c r="O1413" s="13">
        <v>179.256</v>
      </c>
      <c r="P1413" s="13">
        <v>13.92</v>
      </c>
      <c r="Q1413" s="13">
        <v>24</v>
      </c>
      <c r="R1413" s="13">
        <v>251</v>
      </c>
      <c r="S1413" s="13">
        <v>26883.47</v>
      </c>
      <c r="T1413" s="13"/>
      <c r="U1413" s="13"/>
      <c r="V1413" s="13"/>
      <c r="W1413" s="13"/>
      <c r="X1413" s="13"/>
    </row>
    <row r="1414" spans="1:24" s="25" customFormat="1" x14ac:dyDescent="0.25">
      <c r="A1414" s="20">
        <v>512</v>
      </c>
      <c r="B1414" s="21" t="s">
        <v>13</v>
      </c>
      <c r="C1414" s="22" t="s">
        <v>32</v>
      </c>
      <c r="D1414" s="17">
        <v>44508</v>
      </c>
      <c r="E1414" s="23" t="s">
        <v>23</v>
      </c>
      <c r="F1414" s="23"/>
      <c r="G1414" s="21"/>
      <c r="H1414" s="30"/>
      <c r="I1414" s="21" t="s">
        <v>1975</v>
      </c>
      <c r="J1414" s="21">
        <v>1524.4</v>
      </c>
      <c r="K1414" s="21" t="s">
        <v>2181</v>
      </c>
      <c r="L1414" s="21">
        <v>0.15790000000000001</v>
      </c>
      <c r="M1414" s="21">
        <v>0.309</v>
      </c>
      <c r="N1414" s="21">
        <v>240.7028</v>
      </c>
      <c r="O1414" s="21">
        <v>471.03960000000001</v>
      </c>
      <c r="P1414" s="21">
        <v>31.29</v>
      </c>
      <c r="Q1414" s="21">
        <v>39.630000000000003</v>
      </c>
      <c r="R1414" s="21">
        <v>251</v>
      </c>
      <c r="S1414" s="21">
        <v>60416.39</v>
      </c>
      <c r="T1414" s="21"/>
      <c r="U1414" s="21"/>
      <c r="V1414" s="21"/>
      <c r="W1414" s="21"/>
      <c r="X1414" s="21"/>
    </row>
    <row r="1415" spans="1:24" x14ac:dyDescent="0.25">
      <c r="A1415" s="15">
        <v>512</v>
      </c>
      <c r="B1415" s="13" t="s">
        <v>13</v>
      </c>
      <c r="C1415" s="22" t="s">
        <v>32</v>
      </c>
      <c r="D1415" s="29">
        <v>44508</v>
      </c>
      <c r="E1415" s="18" t="s">
        <v>23</v>
      </c>
      <c r="F1415" s="18"/>
      <c r="G1415" s="13" t="s">
        <v>2237</v>
      </c>
      <c r="H1415" s="31"/>
      <c r="I1415" s="13" t="s">
        <v>1598</v>
      </c>
      <c r="J1415" s="13">
        <v>823.5</v>
      </c>
      <c r="K1415" s="13" t="s">
        <v>175</v>
      </c>
      <c r="L1415" s="13">
        <v>0.2651</v>
      </c>
      <c r="M1415" s="13">
        <v>0.82099999999999995</v>
      </c>
      <c r="N1415" s="13">
        <v>218.3099</v>
      </c>
      <c r="O1415" s="13">
        <v>676.09349999999995</v>
      </c>
      <c r="P1415" s="13">
        <v>28.38</v>
      </c>
      <c r="Q1415" s="13">
        <v>66.540000000000006</v>
      </c>
      <c r="R1415" s="13">
        <v>251</v>
      </c>
      <c r="S1415" s="13">
        <v>54795.77</v>
      </c>
      <c r="T1415" s="13"/>
      <c r="U1415" s="13"/>
      <c r="V1415" s="13"/>
      <c r="W1415" s="13"/>
      <c r="X1415" s="13"/>
    </row>
    <row r="1416" spans="1:24" x14ac:dyDescent="0.25">
      <c r="A1416" s="15">
        <v>512</v>
      </c>
      <c r="B1416" s="13" t="s">
        <v>13</v>
      </c>
      <c r="C1416" s="22" t="s">
        <v>32</v>
      </c>
      <c r="D1416" s="29">
        <v>44508</v>
      </c>
      <c r="E1416" s="18" t="s">
        <v>23</v>
      </c>
      <c r="F1416" s="18"/>
      <c r="G1416" s="13"/>
      <c r="H1416" s="31"/>
      <c r="I1416" s="13" t="s">
        <v>1218</v>
      </c>
      <c r="J1416" s="13">
        <v>471.7</v>
      </c>
      <c r="K1416" s="13" t="s">
        <v>2182</v>
      </c>
      <c r="L1416" s="13">
        <v>0.2651</v>
      </c>
      <c r="M1416" s="13">
        <v>0.82099999999999995</v>
      </c>
      <c r="N1416" s="13">
        <v>125.04770000000001</v>
      </c>
      <c r="O1416" s="13">
        <v>387.26569999999998</v>
      </c>
      <c r="P1416" s="13">
        <v>16.260000000000002</v>
      </c>
      <c r="Q1416" s="13">
        <v>53.02</v>
      </c>
      <c r="R1416" s="13">
        <v>200</v>
      </c>
      <c r="S1416" s="13">
        <v>25009.53</v>
      </c>
      <c r="T1416" s="13"/>
      <c r="U1416" s="13"/>
      <c r="V1416" s="13"/>
      <c r="W1416" s="13"/>
      <c r="X1416" s="13"/>
    </row>
    <row r="1417" spans="1:24" x14ac:dyDescent="0.25">
      <c r="A1417" s="15">
        <v>514</v>
      </c>
      <c r="B1417" s="13" t="s">
        <v>13</v>
      </c>
      <c r="C1417" s="22" t="s">
        <v>1433</v>
      </c>
      <c r="D1417" s="29">
        <v>44509</v>
      </c>
      <c r="E1417" s="18" t="s">
        <v>23</v>
      </c>
      <c r="F1417" s="18"/>
      <c r="G1417" s="13"/>
      <c r="H1417" s="31"/>
      <c r="I1417" s="13" t="s">
        <v>1472</v>
      </c>
      <c r="J1417" s="13">
        <v>738</v>
      </c>
      <c r="K1417" s="13" t="s">
        <v>2195</v>
      </c>
      <c r="L1417" s="13">
        <v>0.41239999999999999</v>
      </c>
      <c r="M1417" s="13">
        <v>1.1619999999999999</v>
      </c>
      <c r="N1417" s="13">
        <v>304.35120000000001</v>
      </c>
      <c r="O1417" s="13">
        <v>857.55600000000004</v>
      </c>
      <c r="P1417" s="13">
        <v>39.57</v>
      </c>
      <c r="Q1417" s="13">
        <v>123.72</v>
      </c>
      <c r="R1417" s="13">
        <v>300</v>
      </c>
      <c r="S1417" s="13">
        <v>91305.36</v>
      </c>
      <c r="T1417" s="13"/>
      <c r="U1417" s="13"/>
      <c r="V1417" s="13"/>
      <c r="W1417" s="13"/>
      <c r="X1417" s="13"/>
    </row>
    <row r="1418" spans="1:24" x14ac:dyDescent="0.25">
      <c r="A1418" s="15" t="s">
        <v>2186</v>
      </c>
      <c r="B1418" s="13" t="s">
        <v>13</v>
      </c>
      <c r="C1418" s="22" t="s">
        <v>43</v>
      </c>
      <c r="D1418" s="29">
        <v>44509</v>
      </c>
      <c r="E1418" s="18" t="s">
        <v>23</v>
      </c>
      <c r="F1418" s="18"/>
      <c r="G1418" s="13"/>
      <c r="H1418" s="19">
        <v>44522</v>
      </c>
      <c r="I1418" s="13" t="s">
        <v>2184</v>
      </c>
      <c r="J1418" s="13" t="s">
        <v>2185</v>
      </c>
      <c r="K1418" s="13">
        <v>105</v>
      </c>
      <c r="L1418" s="13"/>
      <c r="M1418" s="13"/>
      <c r="N1418" s="13"/>
      <c r="O1418" s="13"/>
      <c r="P1418" s="13"/>
      <c r="Q1418" s="13"/>
      <c r="R1418" s="13"/>
      <c r="S1418" s="13">
        <v>28500</v>
      </c>
      <c r="T1418" s="13"/>
      <c r="U1418" s="13"/>
      <c r="V1418" s="13"/>
      <c r="W1418" s="13"/>
      <c r="X1418" s="13"/>
    </row>
    <row r="1419" spans="1:24" x14ac:dyDescent="0.25">
      <c r="A1419" s="15" t="s">
        <v>2186</v>
      </c>
      <c r="B1419" s="13" t="s">
        <v>13</v>
      </c>
      <c r="C1419" s="22" t="s">
        <v>43</v>
      </c>
      <c r="D1419" s="29">
        <v>44509</v>
      </c>
      <c r="E1419" s="18" t="s">
        <v>23</v>
      </c>
      <c r="F1419" s="18"/>
      <c r="G1419" s="13"/>
      <c r="H1419" s="19">
        <v>44522</v>
      </c>
      <c r="I1419" s="13" t="s">
        <v>25</v>
      </c>
      <c r="J1419" s="13" t="s">
        <v>26</v>
      </c>
      <c r="K1419" s="13"/>
      <c r="L1419" s="13"/>
      <c r="M1419" s="13"/>
      <c r="N1419" s="13"/>
      <c r="O1419" s="13"/>
      <c r="P1419" s="13"/>
      <c r="Q1419" s="13"/>
      <c r="R1419" s="13"/>
      <c r="S1419" s="13">
        <v>9000</v>
      </c>
      <c r="T1419" s="13"/>
      <c r="U1419" s="13"/>
      <c r="V1419" s="13"/>
      <c r="W1419" s="13"/>
      <c r="X1419" s="13"/>
    </row>
    <row r="1420" spans="1:24" x14ac:dyDescent="0.25">
      <c r="A1420" s="15" t="s">
        <v>2191</v>
      </c>
      <c r="B1420" s="13" t="s">
        <v>13</v>
      </c>
      <c r="C1420" s="22" t="s">
        <v>384</v>
      </c>
      <c r="D1420" s="29">
        <v>44510</v>
      </c>
      <c r="E1420" s="18" t="s">
        <v>23</v>
      </c>
      <c r="F1420" s="18"/>
      <c r="G1420" s="13" t="s">
        <v>1669</v>
      </c>
      <c r="H1420" s="19">
        <v>44522</v>
      </c>
      <c r="I1420" s="13" t="s">
        <v>2190</v>
      </c>
      <c r="J1420" s="13">
        <v>240</v>
      </c>
      <c r="K1420" s="13">
        <v>80</v>
      </c>
      <c r="L1420" s="13"/>
      <c r="M1420" s="13"/>
      <c r="N1420" s="13"/>
      <c r="O1420" s="13"/>
      <c r="P1420" s="13"/>
      <c r="Q1420" s="13"/>
      <c r="R1420" s="13"/>
      <c r="S1420" s="13">
        <v>10350</v>
      </c>
      <c r="T1420" s="13"/>
      <c r="U1420" s="13"/>
      <c r="V1420" s="13"/>
      <c r="W1420" s="13"/>
      <c r="X1420" s="13"/>
    </row>
    <row r="1421" spans="1:24" x14ac:dyDescent="0.25">
      <c r="A1421" s="15">
        <v>516</v>
      </c>
      <c r="B1421" s="13" t="s">
        <v>34</v>
      </c>
      <c r="C1421" s="22" t="s">
        <v>14</v>
      </c>
      <c r="D1421" s="29">
        <v>44511</v>
      </c>
      <c r="E1421" s="18" t="s">
        <v>23</v>
      </c>
      <c r="F1421" s="18"/>
      <c r="G1421" s="13"/>
      <c r="H1421" s="31"/>
      <c r="I1421" s="13" t="s">
        <v>652</v>
      </c>
      <c r="J1421" s="13">
        <v>484</v>
      </c>
      <c r="K1421" s="13" t="s">
        <v>113</v>
      </c>
      <c r="L1421" s="13">
        <v>0.1061</v>
      </c>
      <c r="M1421" s="13">
        <v>0.63800000000000001</v>
      </c>
      <c r="N1421" s="13">
        <v>51.352400000000003</v>
      </c>
      <c r="O1421" s="13">
        <v>308.79199999999997</v>
      </c>
      <c r="P1421" s="13">
        <v>6.68</v>
      </c>
      <c r="Q1421" s="13">
        <v>29.71</v>
      </c>
      <c r="R1421" s="13">
        <v>280</v>
      </c>
      <c r="S1421" s="13">
        <v>14378.67</v>
      </c>
      <c r="T1421" s="13"/>
      <c r="U1421" s="13"/>
      <c r="V1421" s="13"/>
      <c r="W1421" s="13"/>
      <c r="X1421" s="13"/>
    </row>
    <row r="1422" spans="1:24" x14ac:dyDescent="0.25">
      <c r="A1422" s="15" t="s">
        <v>2197</v>
      </c>
      <c r="B1422" s="13" t="s">
        <v>34</v>
      </c>
      <c r="C1422" s="22" t="s">
        <v>16</v>
      </c>
      <c r="D1422" s="29">
        <v>44511</v>
      </c>
      <c r="E1422" s="18" t="s">
        <v>23</v>
      </c>
      <c r="F1422" s="18"/>
      <c r="G1422" s="13" t="s">
        <v>2254</v>
      </c>
      <c r="H1422" s="31"/>
      <c r="I1422" s="13" t="s">
        <v>862</v>
      </c>
      <c r="J1422" s="13">
        <v>456</v>
      </c>
      <c r="K1422" s="13" t="s">
        <v>2196</v>
      </c>
      <c r="L1422" s="13">
        <v>0.29970000000000002</v>
      </c>
      <c r="M1422" s="13">
        <v>1.6739999999999999</v>
      </c>
      <c r="N1422" s="13">
        <v>136.66319999999999</v>
      </c>
      <c r="O1422" s="13">
        <v>763.34400000000005</v>
      </c>
      <c r="P1422" s="13">
        <v>17.77</v>
      </c>
      <c r="Q1422" s="13">
        <v>89.91</v>
      </c>
      <c r="R1422" s="13">
        <v>300</v>
      </c>
      <c r="S1422" s="13">
        <v>40998.959999999999</v>
      </c>
      <c r="T1422" s="13"/>
      <c r="U1422" s="13"/>
      <c r="V1422" s="13"/>
      <c r="W1422" s="13"/>
      <c r="X1422" s="13"/>
    </row>
    <row r="1423" spans="1:24" x14ac:dyDescent="0.25">
      <c r="A1423" s="15" t="s">
        <v>2198</v>
      </c>
      <c r="B1423" s="13" t="s">
        <v>13</v>
      </c>
      <c r="C1423" s="22" t="s">
        <v>30</v>
      </c>
      <c r="D1423" s="29">
        <v>44511</v>
      </c>
      <c r="E1423" s="18" t="s">
        <v>23</v>
      </c>
      <c r="F1423" s="18"/>
      <c r="G1423" s="13"/>
      <c r="H1423" s="19">
        <v>44522</v>
      </c>
      <c r="I1423" s="13" t="s">
        <v>568</v>
      </c>
      <c r="J1423" s="13"/>
      <c r="K1423" s="13" t="s">
        <v>26</v>
      </c>
      <c r="L1423" s="13"/>
      <c r="M1423" s="13"/>
      <c r="N1423" s="13"/>
      <c r="O1423" s="13"/>
      <c r="P1423" s="13"/>
      <c r="Q1423" s="13"/>
      <c r="R1423" s="13"/>
      <c r="S1423" s="13" t="s">
        <v>569</v>
      </c>
      <c r="T1423" s="13"/>
      <c r="U1423" s="13"/>
      <c r="V1423" s="13"/>
      <c r="W1423" s="13"/>
      <c r="X1423" s="13"/>
    </row>
    <row r="1424" spans="1:24" x14ac:dyDescent="0.25">
      <c r="A1424" s="15" t="s">
        <v>2198</v>
      </c>
      <c r="B1424" s="13" t="s">
        <v>13</v>
      </c>
      <c r="C1424" s="22" t="s">
        <v>30</v>
      </c>
      <c r="D1424" s="29">
        <v>44511</v>
      </c>
      <c r="E1424" s="18" t="s">
        <v>23</v>
      </c>
      <c r="F1424" s="18"/>
      <c r="G1424" s="13"/>
      <c r="H1424" s="19">
        <v>44522</v>
      </c>
      <c r="I1424" s="13" t="s">
        <v>742</v>
      </c>
      <c r="J1424" s="13"/>
      <c r="K1424" s="13" t="s">
        <v>123</v>
      </c>
      <c r="L1424" s="13"/>
      <c r="M1424" s="13"/>
      <c r="N1424" s="13"/>
      <c r="O1424" s="13"/>
      <c r="P1424" s="13"/>
      <c r="Q1424" s="13"/>
      <c r="R1424" s="13"/>
      <c r="S1424" s="13" t="s">
        <v>437</v>
      </c>
      <c r="T1424" s="13"/>
      <c r="U1424" s="13"/>
      <c r="V1424" s="13"/>
      <c r="W1424" s="13"/>
      <c r="X1424" s="13"/>
    </row>
    <row r="1425" spans="1:24" x14ac:dyDescent="0.25">
      <c r="A1425" s="15" t="s">
        <v>2198</v>
      </c>
      <c r="B1425" s="13" t="s">
        <v>13</v>
      </c>
      <c r="C1425" s="22" t="s">
        <v>30</v>
      </c>
      <c r="D1425" s="29">
        <v>44511</v>
      </c>
      <c r="E1425" s="18" t="s">
        <v>23</v>
      </c>
      <c r="F1425" s="18"/>
      <c r="G1425" s="13"/>
      <c r="H1425" s="19">
        <v>44522</v>
      </c>
      <c r="I1425" s="13" t="s">
        <v>730</v>
      </c>
      <c r="J1425" s="13"/>
      <c r="K1425" s="13" t="s">
        <v>26</v>
      </c>
      <c r="L1425" s="13"/>
      <c r="M1425" s="13"/>
      <c r="N1425" s="13"/>
      <c r="O1425" s="13"/>
      <c r="P1425" s="13"/>
      <c r="Q1425" s="13"/>
      <c r="R1425" s="13"/>
      <c r="S1425" s="13" t="s">
        <v>438</v>
      </c>
      <c r="T1425" s="13"/>
      <c r="U1425" s="13"/>
      <c r="V1425" s="13"/>
      <c r="W1425" s="13"/>
      <c r="X1425" s="13"/>
    </row>
    <row r="1426" spans="1:24" x14ac:dyDescent="0.25">
      <c r="A1426" s="15" t="s">
        <v>2198</v>
      </c>
      <c r="B1426" s="13" t="s">
        <v>13</v>
      </c>
      <c r="C1426" s="22" t="s">
        <v>30</v>
      </c>
      <c r="D1426" s="29">
        <v>44511</v>
      </c>
      <c r="E1426" s="18" t="s">
        <v>23</v>
      </c>
      <c r="F1426" s="18"/>
      <c r="G1426" s="13"/>
      <c r="H1426" s="19">
        <v>44522</v>
      </c>
      <c r="I1426" s="13" t="s">
        <v>731</v>
      </c>
      <c r="J1426" s="13"/>
      <c r="K1426" s="13" t="s">
        <v>268</v>
      </c>
      <c r="L1426" s="13"/>
      <c r="M1426" s="13"/>
      <c r="N1426" s="13"/>
      <c r="O1426" s="13"/>
      <c r="P1426" s="13"/>
      <c r="Q1426" s="13"/>
      <c r="R1426" s="13"/>
      <c r="S1426" s="13" t="s">
        <v>2212</v>
      </c>
      <c r="T1426" s="13"/>
      <c r="U1426" s="13"/>
      <c r="V1426" s="13"/>
      <c r="W1426" s="13"/>
      <c r="X1426" s="13"/>
    </row>
    <row r="1427" spans="1:24" x14ac:dyDescent="0.25">
      <c r="A1427" s="15" t="s">
        <v>2198</v>
      </c>
      <c r="B1427" s="13" t="s">
        <v>13</v>
      </c>
      <c r="C1427" s="22" t="s">
        <v>30</v>
      </c>
      <c r="D1427" s="29">
        <v>44511</v>
      </c>
      <c r="E1427" s="18" t="s">
        <v>23</v>
      </c>
      <c r="F1427" s="18"/>
      <c r="G1427" s="13"/>
      <c r="H1427" s="19">
        <v>44522</v>
      </c>
      <c r="I1427" s="13" t="s">
        <v>732</v>
      </c>
      <c r="J1427" s="13"/>
      <c r="K1427" s="13" t="s">
        <v>26</v>
      </c>
      <c r="L1427" s="13"/>
      <c r="M1427" s="13"/>
      <c r="N1427" s="13"/>
      <c r="O1427" s="13"/>
      <c r="P1427" s="13"/>
      <c r="Q1427" s="13"/>
      <c r="R1427" s="13"/>
      <c r="S1427" s="13" t="s">
        <v>130</v>
      </c>
      <c r="T1427" s="13"/>
      <c r="U1427" s="13"/>
      <c r="V1427" s="13"/>
      <c r="W1427" s="13"/>
      <c r="X1427" s="13"/>
    </row>
    <row r="1428" spans="1:24" x14ac:dyDescent="0.25">
      <c r="A1428" s="15" t="s">
        <v>2198</v>
      </c>
      <c r="B1428" s="13" t="s">
        <v>13</v>
      </c>
      <c r="C1428" s="22" t="s">
        <v>30</v>
      </c>
      <c r="D1428" s="29">
        <v>44511</v>
      </c>
      <c r="E1428" s="18" t="s">
        <v>23</v>
      </c>
      <c r="F1428" s="18"/>
      <c r="G1428" s="13"/>
      <c r="H1428" s="19">
        <v>44522</v>
      </c>
      <c r="I1428" s="13" t="s">
        <v>440</v>
      </c>
      <c r="J1428" s="13"/>
      <c r="K1428" s="13" t="s">
        <v>26</v>
      </c>
      <c r="L1428" s="13"/>
      <c r="M1428" s="13"/>
      <c r="N1428" s="13"/>
      <c r="O1428" s="13"/>
      <c r="P1428" s="13"/>
      <c r="Q1428" s="13"/>
      <c r="R1428" s="13"/>
      <c r="S1428" s="13" t="s">
        <v>441</v>
      </c>
      <c r="T1428" s="13"/>
      <c r="U1428" s="13"/>
      <c r="V1428" s="13"/>
      <c r="W1428" s="13"/>
      <c r="X1428" s="13"/>
    </row>
    <row r="1429" spans="1:24" x14ac:dyDescent="0.25">
      <c r="A1429" s="15" t="s">
        <v>2198</v>
      </c>
      <c r="B1429" s="13" t="s">
        <v>13</v>
      </c>
      <c r="C1429" s="22" t="s">
        <v>30</v>
      </c>
      <c r="D1429" s="29">
        <v>44511</v>
      </c>
      <c r="E1429" s="18" t="s">
        <v>23</v>
      </c>
      <c r="F1429" s="18"/>
      <c r="G1429" s="13"/>
      <c r="H1429" s="19">
        <v>44522</v>
      </c>
      <c r="I1429" s="13" t="s">
        <v>743</v>
      </c>
      <c r="J1429" s="13"/>
      <c r="K1429" s="13" t="s">
        <v>108</v>
      </c>
      <c r="L1429" s="13"/>
      <c r="M1429" s="13"/>
      <c r="N1429" s="13"/>
      <c r="O1429" s="13"/>
      <c r="P1429" s="13"/>
      <c r="Q1429" s="13"/>
      <c r="R1429" s="13"/>
      <c r="S1429" s="13" t="s">
        <v>571</v>
      </c>
      <c r="T1429" s="13"/>
      <c r="U1429" s="13"/>
      <c r="V1429" s="13"/>
      <c r="W1429" s="13"/>
      <c r="X1429" s="13"/>
    </row>
    <row r="1430" spans="1:24" x14ac:dyDescent="0.25">
      <c r="A1430" s="15" t="s">
        <v>2198</v>
      </c>
      <c r="B1430" s="13" t="s">
        <v>13</v>
      </c>
      <c r="C1430" s="22" t="s">
        <v>30</v>
      </c>
      <c r="D1430" s="29">
        <v>44511</v>
      </c>
      <c r="E1430" s="18" t="s">
        <v>23</v>
      </c>
      <c r="F1430" s="18"/>
      <c r="G1430" s="13"/>
      <c r="H1430" s="19">
        <v>44522</v>
      </c>
      <c r="I1430" s="13" t="s">
        <v>744</v>
      </c>
      <c r="J1430" s="13"/>
      <c r="K1430" s="13" t="s">
        <v>226</v>
      </c>
      <c r="L1430" s="13"/>
      <c r="M1430" s="13"/>
      <c r="N1430" s="13"/>
      <c r="O1430" s="13"/>
      <c r="P1430" s="13"/>
      <c r="Q1430" s="13"/>
      <c r="R1430" s="13"/>
      <c r="S1430" s="13" t="s">
        <v>462</v>
      </c>
      <c r="T1430" s="13"/>
      <c r="U1430" s="13"/>
      <c r="V1430" s="13"/>
      <c r="W1430" s="13"/>
      <c r="X1430" s="13"/>
    </row>
    <row r="1431" spans="1:24" x14ac:dyDescent="0.25">
      <c r="A1431" s="15" t="s">
        <v>2198</v>
      </c>
      <c r="B1431" s="13" t="s">
        <v>13</v>
      </c>
      <c r="C1431" s="22" t="s">
        <v>30</v>
      </c>
      <c r="D1431" s="29">
        <v>44511</v>
      </c>
      <c r="E1431" s="18" t="s">
        <v>23</v>
      </c>
      <c r="F1431" s="18"/>
      <c r="G1431" s="13"/>
      <c r="H1431" s="19">
        <v>44522</v>
      </c>
      <c r="I1431" s="13" t="s">
        <v>733</v>
      </c>
      <c r="J1431" s="13"/>
      <c r="K1431" s="13" t="s">
        <v>123</v>
      </c>
      <c r="L1431" s="13"/>
      <c r="M1431" s="13"/>
      <c r="N1431" s="13"/>
      <c r="O1431" s="13"/>
      <c r="P1431" s="13"/>
      <c r="Q1431" s="13"/>
      <c r="R1431" s="13"/>
      <c r="S1431" s="13" t="s">
        <v>444</v>
      </c>
      <c r="T1431" s="13"/>
      <c r="U1431" s="13"/>
      <c r="V1431" s="13"/>
      <c r="W1431" s="13"/>
      <c r="X1431" s="13"/>
    </row>
    <row r="1432" spans="1:24" x14ac:dyDescent="0.25">
      <c r="A1432" s="15" t="s">
        <v>2198</v>
      </c>
      <c r="B1432" s="13" t="s">
        <v>13</v>
      </c>
      <c r="C1432" s="22" t="s">
        <v>30</v>
      </c>
      <c r="D1432" s="29">
        <v>44511</v>
      </c>
      <c r="E1432" s="18" t="s">
        <v>23</v>
      </c>
      <c r="F1432" s="18"/>
      <c r="G1432" s="13"/>
      <c r="H1432" s="19">
        <v>44522</v>
      </c>
      <c r="I1432" s="13" t="s">
        <v>734</v>
      </c>
      <c r="J1432" s="13"/>
      <c r="K1432" s="13" t="s">
        <v>26</v>
      </c>
      <c r="L1432" s="13"/>
      <c r="M1432" s="13"/>
      <c r="N1432" s="13"/>
      <c r="O1432" s="13"/>
      <c r="P1432" s="13"/>
      <c r="Q1432" s="13"/>
      <c r="R1432" s="13"/>
      <c r="S1432" s="13" t="s">
        <v>572</v>
      </c>
      <c r="T1432" s="13"/>
      <c r="U1432" s="13"/>
      <c r="V1432" s="13"/>
      <c r="W1432" s="13"/>
      <c r="X1432" s="13"/>
    </row>
    <row r="1433" spans="1:24" x14ac:dyDescent="0.25">
      <c r="A1433" s="15" t="s">
        <v>2198</v>
      </c>
      <c r="B1433" s="13" t="s">
        <v>13</v>
      </c>
      <c r="C1433" s="22" t="s">
        <v>30</v>
      </c>
      <c r="D1433" s="29">
        <v>44511</v>
      </c>
      <c r="E1433" s="18" t="s">
        <v>23</v>
      </c>
      <c r="F1433" s="18"/>
      <c r="G1433" s="13"/>
      <c r="H1433" s="19">
        <v>44522</v>
      </c>
      <c r="I1433" s="13" t="s">
        <v>735</v>
      </c>
      <c r="J1433" s="13"/>
      <c r="K1433" s="13" t="s">
        <v>26</v>
      </c>
      <c r="L1433" s="13"/>
      <c r="M1433" s="13"/>
      <c r="N1433" s="13"/>
      <c r="O1433" s="13"/>
      <c r="P1433" s="13"/>
      <c r="Q1433" s="13"/>
      <c r="R1433" s="13"/>
      <c r="S1433" s="13" t="s">
        <v>573</v>
      </c>
      <c r="T1433" s="13"/>
      <c r="U1433" s="13"/>
      <c r="V1433" s="13"/>
      <c r="W1433" s="13"/>
      <c r="X1433" s="13"/>
    </row>
    <row r="1434" spans="1:24" x14ac:dyDescent="0.25">
      <c r="A1434" s="15" t="s">
        <v>2198</v>
      </c>
      <c r="B1434" s="13" t="s">
        <v>13</v>
      </c>
      <c r="C1434" s="22" t="s">
        <v>30</v>
      </c>
      <c r="D1434" s="29">
        <v>44511</v>
      </c>
      <c r="E1434" s="18" t="s">
        <v>23</v>
      </c>
      <c r="F1434" s="18"/>
      <c r="G1434" s="13"/>
      <c r="H1434" s="19">
        <v>44522</v>
      </c>
      <c r="I1434" s="13" t="s">
        <v>736</v>
      </c>
      <c r="J1434" s="13"/>
      <c r="K1434" s="13" t="s">
        <v>26</v>
      </c>
      <c r="L1434" s="13"/>
      <c r="M1434" s="13"/>
      <c r="N1434" s="13"/>
      <c r="O1434" s="13"/>
      <c r="P1434" s="13"/>
      <c r="Q1434" s="13"/>
      <c r="R1434" s="13"/>
      <c r="S1434" s="13" t="s">
        <v>184</v>
      </c>
      <c r="T1434" s="13"/>
      <c r="U1434" s="13"/>
      <c r="V1434" s="13"/>
      <c r="W1434" s="13"/>
      <c r="X1434" s="13"/>
    </row>
    <row r="1435" spans="1:24" x14ac:dyDescent="0.25">
      <c r="A1435" s="15" t="s">
        <v>2198</v>
      </c>
      <c r="B1435" s="13" t="s">
        <v>13</v>
      </c>
      <c r="C1435" s="22" t="s">
        <v>30</v>
      </c>
      <c r="D1435" s="29">
        <v>44511</v>
      </c>
      <c r="E1435" s="18" t="s">
        <v>23</v>
      </c>
      <c r="F1435" s="18"/>
      <c r="G1435" s="13"/>
      <c r="H1435" s="19">
        <v>44522</v>
      </c>
      <c r="I1435" s="13" t="s">
        <v>737</v>
      </c>
      <c r="J1435" s="13"/>
      <c r="K1435" s="13" t="s">
        <v>108</v>
      </c>
      <c r="L1435" s="13"/>
      <c r="M1435" s="13"/>
      <c r="N1435" s="13"/>
      <c r="O1435" s="13"/>
      <c r="P1435" s="13"/>
      <c r="Q1435" s="13"/>
      <c r="R1435" s="13"/>
      <c r="S1435" s="13" t="s">
        <v>124</v>
      </c>
      <c r="T1435" s="13"/>
      <c r="U1435" s="13"/>
      <c r="V1435" s="13"/>
      <c r="W1435" s="13"/>
      <c r="X1435" s="13"/>
    </row>
    <row r="1436" spans="1:24" x14ac:dyDescent="0.25">
      <c r="A1436" s="15" t="s">
        <v>2198</v>
      </c>
      <c r="B1436" s="13" t="s">
        <v>13</v>
      </c>
      <c r="C1436" s="22" t="s">
        <v>30</v>
      </c>
      <c r="D1436" s="29">
        <v>44511</v>
      </c>
      <c r="E1436" s="18" t="s">
        <v>23</v>
      </c>
      <c r="F1436" s="18"/>
      <c r="G1436" s="13"/>
      <c r="H1436" s="19">
        <v>44522</v>
      </c>
      <c r="I1436" s="13" t="s">
        <v>738</v>
      </c>
      <c r="J1436" s="13"/>
      <c r="K1436" s="13" t="s">
        <v>26</v>
      </c>
      <c r="L1436" s="13"/>
      <c r="M1436" s="13"/>
      <c r="N1436" s="13"/>
      <c r="O1436" s="13"/>
      <c r="P1436" s="13"/>
      <c r="Q1436" s="13"/>
      <c r="R1436" s="13"/>
      <c r="S1436" s="13" t="s">
        <v>132</v>
      </c>
      <c r="T1436" s="13"/>
      <c r="U1436" s="13"/>
      <c r="V1436" s="13"/>
      <c r="W1436" s="13"/>
      <c r="X1436" s="13"/>
    </row>
    <row r="1437" spans="1:24" x14ac:dyDescent="0.25">
      <c r="A1437" s="15" t="s">
        <v>2198</v>
      </c>
      <c r="B1437" s="13" t="s">
        <v>13</v>
      </c>
      <c r="C1437" s="22" t="s">
        <v>30</v>
      </c>
      <c r="D1437" s="29">
        <v>44511</v>
      </c>
      <c r="E1437" s="18" t="s">
        <v>23</v>
      </c>
      <c r="F1437" s="18"/>
      <c r="G1437" s="13"/>
      <c r="H1437" s="19">
        <v>44522</v>
      </c>
      <c r="I1437" s="13" t="s">
        <v>282</v>
      </c>
      <c r="J1437" s="13"/>
      <c r="K1437" s="13" t="s">
        <v>26</v>
      </c>
      <c r="L1437" s="13"/>
      <c r="M1437" s="13"/>
      <c r="N1437" s="13"/>
      <c r="O1437" s="13"/>
      <c r="P1437" s="13"/>
      <c r="Q1437" s="13"/>
      <c r="R1437" s="13"/>
      <c r="S1437" s="13" t="s">
        <v>2213</v>
      </c>
      <c r="T1437" s="13"/>
      <c r="U1437" s="13"/>
      <c r="V1437" s="13"/>
      <c r="W1437" s="13"/>
      <c r="X1437" s="13"/>
    </row>
    <row r="1438" spans="1:24" x14ac:dyDescent="0.25">
      <c r="A1438" s="15" t="s">
        <v>2198</v>
      </c>
      <c r="B1438" s="13" t="s">
        <v>13</v>
      </c>
      <c r="C1438" s="22" t="s">
        <v>30</v>
      </c>
      <c r="D1438" s="29">
        <v>44511</v>
      </c>
      <c r="E1438" s="18" t="s">
        <v>23</v>
      </c>
      <c r="F1438" s="18"/>
      <c r="G1438" s="13"/>
      <c r="H1438" s="19">
        <v>44522</v>
      </c>
      <c r="I1438" s="13" t="s">
        <v>739</v>
      </c>
      <c r="J1438" s="13"/>
      <c r="K1438" s="13" t="s">
        <v>108</v>
      </c>
      <c r="L1438" s="13"/>
      <c r="M1438" s="13"/>
      <c r="N1438" s="13"/>
      <c r="O1438" s="13"/>
      <c r="P1438" s="13"/>
      <c r="Q1438" s="13"/>
      <c r="R1438" s="13"/>
      <c r="S1438" s="13" t="s">
        <v>1451</v>
      </c>
      <c r="T1438" s="13"/>
      <c r="U1438" s="13"/>
      <c r="V1438" s="13"/>
      <c r="W1438" s="13"/>
      <c r="X1438" s="13"/>
    </row>
    <row r="1439" spans="1:24" x14ac:dyDescent="0.25">
      <c r="A1439" s="15" t="s">
        <v>2198</v>
      </c>
      <c r="B1439" s="13" t="s">
        <v>13</v>
      </c>
      <c r="C1439" s="22" t="s">
        <v>30</v>
      </c>
      <c r="D1439" s="29">
        <v>44511</v>
      </c>
      <c r="E1439" s="18" t="s">
        <v>23</v>
      </c>
      <c r="F1439" s="18"/>
      <c r="G1439" s="13"/>
      <c r="H1439" s="19">
        <v>44522</v>
      </c>
      <c r="I1439" s="13" t="s">
        <v>740</v>
      </c>
      <c r="J1439" s="13"/>
      <c r="K1439" s="13" t="s">
        <v>193</v>
      </c>
      <c r="L1439" s="13"/>
      <c r="M1439" s="13"/>
      <c r="N1439" s="13"/>
      <c r="O1439" s="13"/>
      <c r="P1439" s="13"/>
      <c r="Q1439" s="13"/>
      <c r="R1439" s="13"/>
      <c r="S1439" s="13" t="s">
        <v>2214</v>
      </c>
      <c r="T1439" s="13"/>
      <c r="U1439" s="13"/>
      <c r="V1439" s="13"/>
      <c r="W1439" s="13"/>
      <c r="X1439" s="13"/>
    </row>
    <row r="1440" spans="1:24" x14ac:dyDescent="0.25">
      <c r="A1440" s="15" t="s">
        <v>2198</v>
      </c>
      <c r="B1440" s="13" t="s">
        <v>13</v>
      </c>
      <c r="C1440" s="22" t="s">
        <v>30</v>
      </c>
      <c r="D1440" s="29">
        <v>44511</v>
      </c>
      <c r="E1440" s="18" t="s">
        <v>23</v>
      </c>
      <c r="F1440" s="18"/>
      <c r="G1440" s="13"/>
      <c r="H1440" s="19">
        <v>44522</v>
      </c>
      <c r="I1440" s="13" t="s">
        <v>741</v>
      </c>
      <c r="J1440" s="13"/>
      <c r="K1440" s="13" t="s">
        <v>75</v>
      </c>
      <c r="L1440" s="13"/>
      <c r="M1440" s="13"/>
      <c r="N1440" s="13"/>
      <c r="O1440" s="13"/>
      <c r="P1440" s="13"/>
      <c r="Q1440" s="13"/>
      <c r="R1440" s="13"/>
      <c r="S1440" s="13" t="s">
        <v>968</v>
      </c>
      <c r="T1440" s="13"/>
      <c r="U1440" s="13"/>
      <c r="V1440" s="13"/>
      <c r="W1440" s="13"/>
      <c r="X1440" s="13"/>
    </row>
    <row r="1441" spans="1:24" x14ac:dyDescent="0.25">
      <c r="A1441" s="15" t="s">
        <v>2198</v>
      </c>
      <c r="B1441" s="13" t="s">
        <v>13</v>
      </c>
      <c r="C1441" s="22" t="s">
        <v>30</v>
      </c>
      <c r="D1441" s="29">
        <v>44511</v>
      </c>
      <c r="E1441" s="18" t="s">
        <v>23</v>
      </c>
      <c r="F1441" s="18"/>
      <c r="G1441" s="13"/>
      <c r="H1441" s="19">
        <v>44522</v>
      </c>
      <c r="I1441" s="13" t="s">
        <v>745</v>
      </c>
      <c r="J1441" s="13"/>
      <c r="K1441" s="13" t="s">
        <v>446</v>
      </c>
      <c r="L1441" s="13"/>
      <c r="M1441" s="13"/>
      <c r="N1441" s="13"/>
      <c r="O1441" s="13"/>
      <c r="P1441" s="13"/>
      <c r="Q1441" s="13"/>
      <c r="R1441" s="13"/>
      <c r="S1441" s="13" t="s">
        <v>809</v>
      </c>
      <c r="T1441" s="13"/>
      <c r="U1441" s="13"/>
      <c r="V1441" s="13"/>
      <c r="W1441" s="13"/>
      <c r="X1441" s="13"/>
    </row>
    <row r="1442" spans="1:24" x14ac:dyDescent="0.25">
      <c r="A1442" s="15" t="s">
        <v>2198</v>
      </c>
      <c r="B1442" s="13" t="s">
        <v>13</v>
      </c>
      <c r="C1442" s="22" t="s">
        <v>30</v>
      </c>
      <c r="D1442" s="29">
        <v>44511</v>
      </c>
      <c r="E1442" s="18" t="s">
        <v>23</v>
      </c>
      <c r="F1442" s="18"/>
      <c r="G1442" s="13" t="s">
        <v>2252</v>
      </c>
      <c r="H1442" s="19">
        <v>44522</v>
      </c>
      <c r="I1442" s="13" t="s">
        <v>206</v>
      </c>
      <c r="J1442" s="13"/>
      <c r="K1442" s="13" t="s">
        <v>852</v>
      </c>
      <c r="L1442" s="13"/>
      <c r="M1442" s="13"/>
      <c r="N1442" s="13"/>
      <c r="O1442" s="13"/>
      <c r="P1442" s="13"/>
      <c r="Q1442" s="13"/>
      <c r="R1442" s="13"/>
      <c r="S1442" s="13" t="s">
        <v>1855</v>
      </c>
      <c r="T1442" s="13"/>
      <c r="U1442" s="13"/>
      <c r="V1442" s="13"/>
      <c r="W1442" s="13"/>
      <c r="X1442" s="13"/>
    </row>
    <row r="1443" spans="1:24" x14ac:dyDescent="0.25">
      <c r="A1443" s="15" t="s">
        <v>2199</v>
      </c>
      <c r="B1443" s="13" t="s">
        <v>13</v>
      </c>
      <c r="C1443" s="22" t="s">
        <v>548</v>
      </c>
      <c r="D1443" s="29">
        <v>44511</v>
      </c>
      <c r="E1443" s="18" t="s">
        <v>23</v>
      </c>
      <c r="F1443" s="18"/>
      <c r="G1443" s="16" t="s">
        <v>2256</v>
      </c>
      <c r="H1443" s="31"/>
      <c r="I1443" s="13" t="s">
        <v>773</v>
      </c>
      <c r="J1443" s="13">
        <v>11170</v>
      </c>
      <c r="K1443" s="13">
        <v>2234</v>
      </c>
      <c r="L1443" s="13"/>
      <c r="M1443" s="13"/>
      <c r="N1443" s="13"/>
      <c r="O1443" s="13"/>
      <c r="P1443" s="13"/>
      <c r="Q1443" s="13"/>
      <c r="R1443" s="13"/>
      <c r="S1443" s="13" t="s">
        <v>2200</v>
      </c>
      <c r="T1443" s="13"/>
      <c r="U1443" s="13"/>
      <c r="V1443" s="13"/>
      <c r="W1443" s="13"/>
      <c r="X1443" s="13"/>
    </row>
    <row r="1444" spans="1:24" x14ac:dyDescent="0.25">
      <c r="A1444" s="15">
        <v>517</v>
      </c>
      <c r="B1444" s="13" t="s">
        <v>34</v>
      </c>
      <c r="C1444" s="22" t="s">
        <v>201</v>
      </c>
      <c r="D1444" s="29">
        <v>44512</v>
      </c>
      <c r="E1444" s="18" t="s">
        <v>23</v>
      </c>
      <c r="F1444" s="18"/>
      <c r="G1444" s="65">
        <v>44518</v>
      </c>
      <c r="H1444" s="19">
        <v>44518</v>
      </c>
      <c r="I1444" s="13" t="s">
        <v>2202</v>
      </c>
      <c r="J1444" s="13">
        <v>360</v>
      </c>
      <c r="K1444" s="13" t="s">
        <v>308</v>
      </c>
      <c r="L1444" s="13">
        <v>0.28760000000000002</v>
      </c>
      <c r="M1444" s="13">
        <v>0.76700000000000002</v>
      </c>
      <c r="N1444" s="13">
        <v>103.536</v>
      </c>
      <c r="O1444" s="13">
        <v>276.12</v>
      </c>
      <c r="P1444" s="13">
        <v>13.46</v>
      </c>
      <c r="Q1444" s="13">
        <v>86.28</v>
      </c>
      <c r="R1444" s="13">
        <v>300</v>
      </c>
      <c r="S1444" s="13">
        <v>31060.799999999999</v>
      </c>
      <c r="T1444" s="13"/>
      <c r="U1444" s="13"/>
      <c r="V1444" s="13"/>
      <c r="W1444" s="13"/>
      <c r="X1444" s="13"/>
    </row>
    <row r="1445" spans="1:24" x14ac:dyDescent="0.25">
      <c r="A1445" s="15" t="s">
        <v>2204</v>
      </c>
      <c r="B1445" s="13" t="s">
        <v>34</v>
      </c>
      <c r="C1445" s="22" t="s">
        <v>2205</v>
      </c>
      <c r="D1445" s="29">
        <v>44512</v>
      </c>
      <c r="E1445" s="18" t="s">
        <v>23</v>
      </c>
      <c r="F1445" s="18"/>
      <c r="G1445" s="65">
        <v>44518</v>
      </c>
      <c r="H1445" s="19">
        <v>44519</v>
      </c>
      <c r="I1445" s="13" t="s">
        <v>2203</v>
      </c>
      <c r="J1445" s="13"/>
      <c r="K1445" s="13">
        <v>142</v>
      </c>
      <c r="L1445" s="13"/>
      <c r="M1445" s="13"/>
      <c r="N1445" s="13"/>
      <c r="O1445" s="13"/>
      <c r="P1445" s="13"/>
      <c r="Q1445" s="13"/>
      <c r="R1445" s="13"/>
      <c r="S1445" s="13">
        <v>45000</v>
      </c>
      <c r="T1445" s="13"/>
      <c r="U1445" s="13"/>
      <c r="V1445" s="13"/>
      <c r="W1445" s="13"/>
      <c r="X1445" s="13"/>
    </row>
    <row r="1446" spans="1:24" x14ac:dyDescent="0.25">
      <c r="A1446" s="15" t="s">
        <v>2206</v>
      </c>
      <c r="B1446" s="13" t="s">
        <v>34</v>
      </c>
      <c r="C1446" s="22" t="s">
        <v>861</v>
      </c>
      <c r="D1446" s="29">
        <v>44512</v>
      </c>
      <c r="E1446" s="18" t="s">
        <v>23</v>
      </c>
      <c r="F1446" s="18"/>
      <c r="G1446" s="13" t="s">
        <v>2263</v>
      </c>
      <c r="H1446" s="19">
        <v>44519</v>
      </c>
      <c r="I1446" s="13" t="s">
        <v>2210</v>
      </c>
      <c r="J1446" s="13"/>
      <c r="K1446" s="13"/>
      <c r="L1446" s="13"/>
      <c r="M1446" s="13"/>
      <c r="N1446" s="13"/>
      <c r="O1446" s="13"/>
      <c r="P1446" s="13"/>
      <c r="Q1446" s="13"/>
      <c r="R1446" s="13"/>
      <c r="S1446" s="13" t="s">
        <v>2209</v>
      </c>
      <c r="T1446" s="13">
        <v>2</v>
      </c>
      <c r="U1446" s="13">
        <v>15</v>
      </c>
      <c r="V1446" s="13"/>
      <c r="W1446" s="13"/>
      <c r="X1446" s="13"/>
    </row>
    <row r="1447" spans="1:24" x14ac:dyDescent="0.25">
      <c r="A1447" s="15">
        <v>521</v>
      </c>
      <c r="B1447" s="13" t="s">
        <v>34</v>
      </c>
      <c r="C1447" s="22" t="s">
        <v>46</v>
      </c>
      <c r="D1447" s="29">
        <v>44515</v>
      </c>
      <c r="E1447" s="18" t="s">
        <v>23</v>
      </c>
      <c r="F1447" s="18"/>
      <c r="G1447" s="13" t="s">
        <v>2343</v>
      </c>
      <c r="H1447" s="31"/>
      <c r="I1447" s="13" t="s">
        <v>2100</v>
      </c>
      <c r="J1447" s="13">
        <v>372</v>
      </c>
      <c r="K1447" s="13" t="s">
        <v>120</v>
      </c>
      <c r="L1447" s="13">
        <v>0.43580000000000002</v>
      </c>
      <c r="M1447" s="13">
        <v>2.3410000000000002</v>
      </c>
      <c r="N1447" s="13">
        <v>162.11760000000001</v>
      </c>
      <c r="O1447" s="13">
        <v>870.85199999999998</v>
      </c>
      <c r="P1447" s="13">
        <v>21.08</v>
      </c>
      <c r="Q1447" s="13">
        <v>119.85</v>
      </c>
      <c r="R1447" s="13">
        <v>275</v>
      </c>
      <c r="S1447" s="13">
        <v>44582.34</v>
      </c>
      <c r="T1447" s="13"/>
      <c r="U1447" s="13"/>
      <c r="V1447" s="13"/>
      <c r="W1447" s="13"/>
      <c r="X1447" s="13"/>
    </row>
    <row r="1448" spans="1:24" x14ac:dyDescent="0.25">
      <c r="A1448" s="15">
        <v>522</v>
      </c>
      <c r="B1448" s="13" t="s">
        <v>13</v>
      </c>
      <c r="C1448" s="22" t="s">
        <v>1433</v>
      </c>
      <c r="D1448" s="29">
        <v>44515</v>
      </c>
      <c r="E1448" s="18" t="s">
        <v>23</v>
      </c>
      <c r="F1448" s="18"/>
      <c r="G1448" s="13"/>
      <c r="H1448" s="31"/>
      <c r="I1448" s="13" t="s">
        <v>1472</v>
      </c>
      <c r="J1448" s="13">
        <v>288</v>
      </c>
      <c r="K1448" s="13" t="s">
        <v>634</v>
      </c>
      <c r="L1448" s="13">
        <v>0.41239999999999999</v>
      </c>
      <c r="M1448" s="13">
        <v>1.1619999999999999</v>
      </c>
      <c r="N1448" s="13">
        <v>118.77119999999999</v>
      </c>
      <c r="O1448" s="13">
        <v>334.65600000000001</v>
      </c>
      <c r="P1448" s="13">
        <v>15.44</v>
      </c>
      <c r="Q1448" s="13">
        <v>123.72</v>
      </c>
      <c r="R1448" s="13">
        <v>300</v>
      </c>
      <c r="S1448" s="13">
        <v>35631.360000000001</v>
      </c>
      <c r="T1448" s="13"/>
      <c r="U1448" s="13"/>
      <c r="V1448" s="13"/>
      <c r="W1448" s="13"/>
      <c r="X1448" s="13"/>
    </row>
    <row r="1449" spans="1:24" x14ac:dyDescent="0.25">
      <c r="A1449" s="15">
        <v>523</v>
      </c>
      <c r="B1449" s="13" t="s">
        <v>13</v>
      </c>
      <c r="C1449" s="22" t="s">
        <v>32</v>
      </c>
      <c r="D1449" s="29">
        <v>44515</v>
      </c>
      <c r="E1449" s="18" t="s">
        <v>23</v>
      </c>
      <c r="F1449" s="18"/>
      <c r="G1449" s="16">
        <v>296</v>
      </c>
      <c r="H1449" s="31"/>
      <c r="I1449" s="13" t="s">
        <v>2024</v>
      </c>
      <c r="J1449" s="13">
        <v>1435.6</v>
      </c>
      <c r="K1449" s="13" t="s">
        <v>2181</v>
      </c>
      <c r="L1449" s="13">
        <v>9.5600000000000004E-2</v>
      </c>
      <c r="M1449" s="13">
        <v>0.16</v>
      </c>
      <c r="N1449" s="13">
        <v>137.24340000000001</v>
      </c>
      <c r="O1449" s="13">
        <v>229.696</v>
      </c>
      <c r="P1449" s="13">
        <v>17.84</v>
      </c>
      <c r="Q1449" s="13">
        <v>24</v>
      </c>
      <c r="R1449" s="13">
        <v>251</v>
      </c>
      <c r="S1449" s="13">
        <v>34448.080000000002</v>
      </c>
      <c r="T1449" s="13"/>
      <c r="U1449" s="13"/>
      <c r="V1449" s="13"/>
      <c r="W1449" s="13"/>
      <c r="X1449" s="13"/>
    </row>
    <row r="1450" spans="1:24" x14ac:dyDescent="0.25">
      <c r="A1450" s="15">
        <v>523</v>
      </c>
      <c r="B1450" s="13" t="s">
        <v>13</v>
      </c>
      <c r="C1450" s="22" t="s">
        <v>32</v>
      </c>
      <c r="D1450" s="29">
        <v>44515</v>
      </c>
      <c r="E1450" s="18" t="s">
        <v>23</v>
      </c>
      <c r="F1450" s="18"/>
      <c r="G1450" s="13" t="s">
        <v>2249</v>
      </c>
      <c r="H1450" s="31"/>
      <c r="I1450" s="13" t="s">
        <v>1218</v>
      </c>
      <c r="J1450" s="13">
        <v>636</v>
      </c>
      <c r="K1450" s="13" t="s">
        <v>673</v>
      </c>
      <c r="L1450" s="13">
        <v>0.2651</v>
      </c>
      <c r="M1450" s="13">
        <v>0.82099999999999995</v>
      </c>
      <c r="N1450" s="13">
        <v>168.6036</v>
      </c>
      <c r="O1450" s="13">
        <v>522.15599999999995</v>
      </c>
      <c r="P1450" s="13">
        <v>21.92</v>
      </c>
      <c r="Q1450" s="13">
        <v>53.02</v>
      </c>
      <c r="R1450" s="13">
        <v>200</v>
      </c>
      <c r="S1450" s="13">
        <v>33720.720000000001</v>
      </c>
      <c r="T1450" s="13"/>
      <c r="U1450" s="13"/>
      <c r="V1450" s="13"/>
      <c r="W1450" s="13"/>
      <c r="X1450" s="13"/>
    </row>
    <row r="1451" spans="1:24" s="25" customFormat="1" x14ac:dyDescent="0.25">
      <c r="A1451" s="20">
        <v>525</v>
      </c>
      <c r="B1451" s="21" t="s">
        <v>13</v>
      </c>
      <c r="C1451" s="22" t="s">
        <v>32</v>
      </c>
      <c r="D1451" s="17">
        <v>44515</v>
      </c>
      <c r="E1451" s="23" t="s">
        <v>23</v>
      </c>
      <c r="F1451" s="23"/>
      <c r="G1451" s="21" t="s">
        <v>2373</v>
      </c>
      <c r="H1451" s="30"/>
      <c r="I1451" s="21" t="s">
        <v>2024</v>
      </c>
      <c r="J1451" s="21">
        <v>3201</v>
      </c>
      <c r="K1451" s="21" t="s">
        <v>2207</v>
      </c>
      <c r="L1451" s="21">
        <v>9.5600000000000004E-2</v>
      </c>
      <c r="M1451" s="21">
        <v>0.16</v>
      </c>
      <c r="N1451" s="21">
        <v>306.01560000000001</v>
      </c>
      <c r="O1451" s="21">
        <v>512.16</v>
      </c>
      <c r="P1451" s="21">
        <v>39.78</v>
      </c>
      <c r="Q1451" s="21">
        <v>24</v>
      </c>
      <c r="R1451" s="21">
        <v>251</v>
      </c>
      <c r="S1451" s="21">
        <v>76824</v>
      </c>
      <c r="T1451" s="21"/>
      <c r="U1451" s="21"/>
      <c r="V1451" s="21"/>
      <c r="W1451" s="21"/>
      <c r="X1451" s="21"/>
    </row>
    <row r="1452" spans="1:24" s="86" customFormat="1" x14ac:dyDescent="0.25">
      <c r="A1452" s="122">
        <v>525</v>
      </c>
      <c r="B1452" s="85" t="s">
        <v>13</v>
      </c>
      <c r="C1452" s="100" t="s">
        <v>32</v>
      </c>
      <c r="D1452" s="123">
        <v>44515</v>
      </c>
      <c r="E1452" s="112" t="s">
        <v>23</v>
      </c>
      <c r="F1452" s="112"/>
      <c r="G1452" s="85"/>
      <c r="H1452" s="124"/>
      <c r="I1452" s="85" t="s">
        <v>1975</v>
      </c>
      <c r="J1452" s="85">
        <v>1730.4</v>
      </c>
      <c r="K1452" s="85" t="s">
        <v>2208</v>
      </c>
      <c r="L1452" s="85">
        <v>0.15790000000000001</v>
      </c>
      <c r="M1452" s="85">
        <v>0.309</v>
      </c>
      <c r="N1452" s="85">
        <v>273.23020000000002</v>
      </c>
      <c r="O1452" s="85">
        <v>534.69359999999995</v>
      </c>
      <c r="P1452" s="85">
        <v>35.520000000000003</v>
      </c>
      <c r="Q1452" s="85">
        <v>39.630000000000003</v>
      </c>
      <c r="R1452" s="85">
        <v>251</v>
      </c>
      <c r="S1452" s="85">
        <v>68575.75</v>
      </c>
      <c r="T1452" s="85"/>
      <c r="U1452" s="85"/>
      <c r="V1452" s="85"/>
      <c r="W1452" s="85"/>
      <c r="X1452" s="85"/>
    </row>
    <row r="1453" spans="1:24" x14ac:dyDescent="0.25">
      <c r="A1453" s="15">
        <v>526</v>
      </c>
      <c r="B1453" s="13" t="s">
        <v>13</v>
      </c>
      <c r="C1453" s="22" t="s">
        <v>674</v>
      </c>
      <c r="D1453" s="29">
        <v>44517</v>
      </c>
      <c r="E1453" s="18" t="s">
        <v>23</v>
      </c>
      <c r="F1453" s="18"/>
      <c r="G1453" s="13" t="s">
        <v>2267</v>
      </c>
      <c r="H1453" s="31"/>
      <c r="I1453" s="13" t="s">
        <v>2050</v>
      </c>
      <c r="J1453" s="13">
        <v>1524</v>
      </c>
      <c r="K1453" s="13" t="s">
        <v>2215</v>
      </c>
      <c r="L1453" s="13">
        <v>0.30719999999999997</v>
      </c>
      <c r="M1453" s="13">
        <v>0.69199999999999995</v>
      </c>
      <c r="N1453" s="13">
        <v>468.1728</v>
      </c>
      <c r="O1453" s="13">
        <v>1054.6079999999999</v>
      </c>
      <c r="P1453" s="13">
        <v>60.86</v>
      </c>
      <c r="Q1453" s="13">
        <v>95.23</v>
      </c>
      <c r="R1453" s="13">
        <v>310</v>
      </c>
      <c r="S1453" s="13">
        <v>145133.57</v>
      </c>
      <c r="T1453" s="13"/>
      <c r="U1453" s="13"/>
      <c r="V1453" s="13"/>
      <c r="W1453" s="13"/>
      <c r="X1453" s="13"/>
    </row>
    <row r="1454" spans="1:24" x14ac:dyDescent="0.25">
      <c r="A1454" s="15">
        <v>473</v>
      </c>
      <c r="B1454" s="13" t="s">
        <v>13</v>
      </c>
      <c r="C1454" s="22" t="s">
        <v>2217</v>
      </c>
      <c r="D1454" s="29">
        <v>44517</v>
      </c>
      <c r="E1454" s="18" t="s">
        <v>23</v>
      </c>
      <c r="F1454" s="18"/>
      <c r="G1454" s="13"/>
      <c r="H1454" s="31"/>
      <c r="I1454" s="13" t="s">
        <v>2216</v>
      </c>
      <c r="J1454" s="13">
        <v>562.58000000000004</v>
      </c>
      <c r="K1454" s="13" t="s">
        <v>209</v>
      </c>
      <c r="L1454" s="13">
        <v>0.23949999999999999</v>
      </c>
      <c r="M1454" s="13">
        <v>0.95599999999999996</v>
      </c>
      <c r="N1454" s="13">
        <v>134.7379</v>
      </c>
      <c r="O1454" s="13">
        <v>537.82650000000001</v>
      </c>
      <c r="P1454" s="13">
        <v>17.52</v>
      </c>
      <c r="Q1454" s="13">
        <v>78.56</v>
      </c>
      <c r="R1454" s="13">
        <v>328</v>
      </c>
      <c r="S1454" s="13">
        <v>44196.28</v>
      </c>
      <c r="T1454" s="13"/>
      <c r="U1454" s="13"/>
      <c r="V1454" s="13"/>
      <c r="W1454" s="13"/>
      <c r="X1454" s="13"/>
    </row>
    <row r="1455" spans="1:24" x14ac:dyDescent="0.25">
      <c r="A1455" s="15" t="s">
        <v>2218</v>
      </c>
      <c r="B1455" s="13" t="s">
        <v>13</v>
      </c>
      <c r="C1455" s="22" t="s">
        <v>284</v>
      </c>
      <c r="D1455" s="29">
        <v>44517</v>
      </c>
      <c r="E1455" s="18" t="s">
        <v>23</v>
      </c>
      <c r="F1455" s="18"/>
      <c r="G1455" s="13"/>
      <c r="H1455" s="31"/>
      <c r="I1455" s="13" t="s">
        <v>69</v>
      </c>
      <c r="J1455" s="13">
        <v>60</v>
      </c>
      <c r="K1455" s="13">
        <v>10</v>
      </c>
      <c r="L1455" s="13"/>
      <c r="M1455" s="13"/>
      <c r="N1455" s="13"/>
      <c r="O1455" s="13"/>
      <c r="P1455" s="13"/>
      <c r="Q1455" s="13"/>
      <c r="R1455" s="13"/>
      <c r="S1455" s="13">
        <v>10300</v>
      </c>
      <c r="T1455" s="13"/>
      <c r="U1455" s="13"/>
      <c r="V1455" s="13"/>
      <c r="W1455" s="13"/>
      <c r="X1455" s="13"/>
    </row>
    <row r="1456" spans="1:24" x14ac:dyDescent="0.25">
      <c r="A1456" s="15" t="s">
        <v>2220</v>
      </c>
      <c r="B1456" s="13" t="s">
        <v>13</v>
      </c>
      <c r="C1456" s="22" t="s">
        <v>43</v>
      </c>
      <c r="D1456" s="29">
        <v>44517</v>
      </c>
      <c r="E1456" s="18" t="s">
        <v>23</v>
      </c>
      <c r="F1456" s="18"/>
      <c r="G1456" s="13" t="s">
        <v>2255</v>
      </c>
      <c r="H1456" s="31"/>
      <c r="I1456" s="13" t="s">
        <v>2093</v>
      </c>
      <c r="J1456" s="13" t="s">
        <v>2221</v>
      </c>
      <c r="K1456" s="13">
        <v>131</v>
      </c>
      <c r="L1456" s="13"/>
      <c r="M1456" s="13"/>
      <c r="N1456" s="13"/>
      <c r="O1456" s="13"/>
      <c r="P1456" s="13"/>
      <c r="Q1456" s="13"/>
      <c r="R1456" s="13"/>
      <c r="S1456" s="13" t="s">
        <v>1530</v>
      </c>
      <c r="T1456" s="13"/>
      <c r="U1456" s="13"/>
      <c r="V1456" s="13"/>
      <c r="W1456" s="13"/>
      <c r="X1456" s="13"/>
    </row>
    <row r="1457" spans="1:24" x14ac:dyDescent="0.25">
      <c r="A1457" s="15" t="s">
        <v>2220</v>
      </c>
      <c r="B1457" s="13" t="s">
        <v>13</v>
      </c>
      <c r="C1457" s="22" t="s">
        <v>43</v>
      </c>
      <c r="D1457" s="29">
        <v>44517</v>
      </c>
      <c r="E1457" s="18" t="s">
        <v>23</v>
      </c>
      <c r="F1457" s="18"/>
      <c r="G1457" s="13"/>
      <c r="H1457" s="19">
        <v>44522</v>
      </c>
      <c r="I1457" s="13" t="s">
        <v>2021</v>
      </c>
      <c r="J1457" s="13" t="s">
        <v>552</v>
      </c>
      <c r="K1457" s="13">
        <v>100</v>
      </c>
      <c r="L1457" s="13"/>
      <c r="M1457" s="13"/>
      <c r="N1457" s="13"/>
      <c r="O1457" s="13"/>
      <c r="P1457" s="13"/>
      <c r="Q1457" s="13"/>
      <c r="R1457" s="13"/>
      <c r="S1457" s="13" t="s">
        <v>2028</v>
      </c>
      <c r="T1457" s="13"/>
      <c r="U1457" s="13"/>
      <c r="V1457" s="13"/>
      <c r="W1457" s="13"/>
      <c r="X1457" s="13"/>
    </row>
    <row r="1458" spans="1:24" x14ac:dyDescent="0.25">
      <c r="A1458" s="15" t="s">
        <v>2220</v>
      </c>
      <c r="B1458" s="13" t="s">
        <v>13</v>
      </c>
      <c r="C1458" s="22" t="s">
        <v>43</v>
      </c>
      <c r="D1458" s="29">
        <v>44517</v>
      </c>
      <c r="E1458" s="18" t="s">
        <v>23</v>
      </c>
      <c r="F1458" s="18"/>
      <c r="G1458" s="13"/>
      <c r="H1458" s="19">
        <v>44522</v>
      </c>
      <c r="I1458" s="13" t="s">
        <v>406</v>
      </c>
      <c r="J1458" s="13" t="s">
        <v>2222</v>
      </c>
      <c r="K1458" s="13">
        <v>20</v>
      </c>
      <c r="L1458" s="13"/>
      <c r="M1458" s="13"/>
      <c r="N1458" s="13"/>
      <c r="O1458" s="13"/>
      <c r="P1458" s="13"/>
      <c r="Q1458" s="13"/>
      <c r="R1458" s="13"/>
      <c r="S1458" s="13" t="s">
        <v>615</v>
      </c>
      <c r="T1458" s="13"/>
      <c r="U1458" s="13"/>
      <c r="V1458" s="13"/>
      <c r="W1458" s="13"/>
      <c r="X1458" s="13"/>
    </row>
    <row r="1459" spans="1:24" x14ac:dyDescent="0.25">
      <c r="A1459" s="15">
        <v>527</v>
      </c>
      <c r="B1459" s="13" t="s">
        <v>34</v>
      </c>
      <c r="C1459" s="22" t="s">
        <v>46</v>
      </c>
      <c r="D1459" s="29">
        <v>44517</v>
      </c>
      <c r="E1459" s="18" t="s">
        <v>23</v>
      </c>
      <c r="F1459" s="18"/>
      <c r="G1459" s="13"/>
      <c r="H1459" s="31"/>
      <c r="I1459" s="13" t="s">
        <v>639</v>
      </c>
      <c r="J1459" s="13">
        <v>48</v>
      </c>
      <c r="K1459" s="13" t="s">
        <v>2223</v>
      </c>
      <c r="L1459" s="13">
        <v>0.35859999999999997</v>
      </c>
      <c r="M1459" s="13">
        <v>1.518</v>
      </c>
      <c r="N1459" s="13">
        <v>17.212800000000001</v>
      </c>
      <c r="O1459" s="13">
        <v>72.864000000000004</v>
      </c>
      <c r="P1459" s="13">
        <v>2.2400000000000002</v>
      </c>
      <c r="Q1459" s="13">
        <v>98.62</v>
      </c>
      <c r="R1459" s="13">
        <v>275</v>
      </c>
      <c r="S1459" s="13">
        <v>4733.5200000000004</v>
      </c>
      <c r="T1459" s="13"/>
      <c r="U1459" s="13"/>
      <c r="V1459" s="13"/>
      <c r="W1459" s="13"/>
      <c r="X1459" s="13"/>
    </row>
    <row r="1460" spans="1:24" x14ac:dyDescent="0.25">
      <c r="A1460" s="15">
        <v>528</v>
      </c>
      <c r="B1460" s="13" t="s">
        <v>34</v>
      </c>
      <c r="C1460" s="22" t="s">
        <v>1786</v>
      </c>
      <c r="D1460" s="29">
        <v>44517</v>
      </c>
      <c r="E1460" s="18" t="s">
        <v>23</v>
      </c>
      <c r="F1460" s="18"/>
      <c r="G1460" s="13"/>
      <c r="H1460" s="31"/>
      <c r="I1460" s="13" t="s">
        <v>639</v>
      </c>
      <c r="J1460" s="13">
        <v>318</v>
      </c>
      <c r="K1460" s="13" t="s">
        <v>140</v>
      </c>
      <c r="L1460" s="13">
        <v>0.35859999999999997</v>
      </c>
      <c r="M1460" s="13">
        <v>1.518</v>
      </c>
      <c r="N1460" s="13">
        <v>114.0348</v>
      </c>
      <c r="O1460" s="13">
        <v>482.72399999999999</v>
      </c>
      <c r="P1460" s="13">
        <v>14.82</v>
      </c>
      <c r="Q1460" s="13">
        <v>98.62</v>
      </c>
      <c r="R1460" s="13">
        <v>275</v>
      </c>
      <c r="S1460" s="13">
        <v>31359.57</v>
      </c>
      <c r="T1460" s="13"/>
      <c r="U1460" s="13"/>
      <c r="V1460" s="13"/>
      <c r="W1460" s="13"/>
      <c r="X1460" s="13"/>
    </row>
    <row r="1461" spans="1:24" x14ac:dyDescent="0.25">
      <c r="A1461" s="15">
        <v>529</v>
      </c>
      <c r="B1461" s="13" t="s">
        <v>13</v>
      </c>
      <c r="C1461" s="22" t="s">
        <v>2225</v>
      </c>
      <c r="D1461" s="29">
        <v>44517</v>
      </c>
      <c r="E1461" s="18" t="s">
        <v>23</v>
      </c>
      <c r="F1461" s="18"/>
      <c r="G1461" s="13"/>
      <c r="H1461" s="19">
        <v>44522</v>
      </c>
      <c r="I1461" s="13" t="s">
        <v>2156</v>
      </c>
      <c r="J1461" s="13">
        <v>240.5</v>
      </c>
      <c r="K1461" s="13" t="s">
        <v>257</v>
      </c>
      <c r="L1461" s="13">
        <v>0.62</v>
      </c>
      <c r="M1461" s="13">
        <v>2.544</v>
      </c>
      <c r="N1461" s="13">
        <v>149.11000000000001</v>
      </c>
      <c r="O1461" s="13">
        <v>611.83199999999999</v>
      </c>
      <c r="P1461" s="13">
        <v>19.38</v>
      </c>
      <c r="Q1461" s="13">
        <v>170.5</v>
      </c>
      <c r="R1461" s="13">
        <v>275</v>
      </c>
      <c r="S1461" s="13">
        <v>41005.25</v>
      </c>
      <c r="T1461" s="13"/>
      <c r="U1461" s="13"/>
      <c r="V1461" s="13"/>
      <c r="W1461" s="13"/>
      <c r="X1461" s="13"/>
    </row>
    <row r="1462" spans="1:24" x14ac:dyDescent="0.25">
      <c r="A1462" s="15" t="s">
        <v>2227</v>
      </c>
      <c r="B1462" s="13" t="s">
        <v>13</v>
      </c>
      <c r="C1462" s="22" t="s">
        <v>1696</v>
      </c>
      <c r="D1462" s="29">
        <v>44517</v>
      </c>
      <c r="E1462" s="18" t="s">
        <v>23</v>
      </c>
      <c r="F1462" s="18"/>
      <c r="G1462" s="13" t="s">
        <v>2336</v>
      </c>
      <c r="H1462" s="19">
        <v>44532</v>
      </c>
      <c r="I1462" s="13" t="s">
        <v>1988</v>
      </c>
      <c r="J1462" s="13" t="s">
        <v>2228</v>
      </c>
      <c r="K1462" s="13">
        <v>460</v>
      </c>
      <c r="L1462" s="13"/>
      <c r="M1462" s="13"/>
      <c r="N1462" s="13"/>
      <c r="O1462" s="13"/>
      <c r="P1462" s="13"/>
      <c r="Q1462" s="13"/>
      <c r="R1462" s="13"/>
      <c r="S1462" s="13" t="s">
        <v>2230</v>
      </c>
      <c r="T1462" s="13"/>
      <c r="U1462" s="13"/>
      <c r="V1462" s="13"/>
      <c r="W1462" s="13"/>
      <c r="X1462" s="13"/>
    </row>
    <row r="1463" spans="1:24" x14ac:dyDescent="0.25">
      <c r="A1463" s="15" t="s">
        <v>2227</v>
      </c>
      <c r="B1463" s="13" t="s">
        <v>13</v>
      </c>
      <c r="C1463" s="22" t="s">
        <v>1696</v>
      </c>
      <c r="D1463" s="29">
        <v>44517</v>
      </c>
      <c r="E1463" s="18" t="s">
        <v>23</v>
      </c>
      <c r="F1463" s="18"/>
      <c r="G1463" s="13"/>
      <c r="H1463" s="19">
        <v>44532</v>
      </c>
      <c r="I1463" s="13" t="s">
        <v>1638</v>
      </c>
      <c r="J1463" s="13" t="s">
        <v>582</v>
      </c>
      <c r="K1463" s="13">
        <v>360</v>
      </c>
      <c r="L1463" s="13"/>
      <c r="M1463" s="13"/>
      <c r="N1463" s="13"/>
      <c r="O1463" s="13"/>
      <c r="P1463" s="13"/>
      <c r="Q1463" s="13"/>
      <c r="R1463" s="13"/>
      <c r="S1463" s="13" t="s">
        <v>2231</v>
      </c>
      <c r="T1463" s="13"/>
      <c r="U1463" s="13"/>
      <c r="V1463" s="13"/>
      <c r="W1463" s="13"/>
      <c r="X1463" s="13"/>
    </row>
    <row r="1464" spans="1:24" x14ac:dyDescent="0.25">
      <c r="A1464" s="15" t="s">
        <v>2227</v>
      </c>
      <c r="B1464" s="13" t="s">
        <v>13</v>
      </c>
      <c r="C1464" s="22" t="s">
        <v>1696</v>
      </c>
      <c r="D1464" s="29">
        <v>44517</v>
      </c>
      <c r="E1464" s="18" t="s">
        <v>23</v>
      </c>
      <c r="F1464" s="18"/>
      <c r="G1464" s="13"/>
      <c r="H1464" s="19">
        <v>44532</v>
      </c>
      <c r="I1464" s="13" t="s">
        <v>2226</v>
      </c>
      <c r="J1464" s="13" t="s">
        <v>2229</v>
      </c>
      <c r="K1464" s="13">
        <v>1128</v>
      </c>
      <c r="L1464" s="13"/>
      <c r="M1464" s="13"/>
      <c r="N1464" s="13"/>
      <c r="O1464" s="13"/>
      <c r="P1464" s="13"/>
      <c r="Q1464" s="13"/>
      <c r="R1464" s="13"/>
      <c r="S1464" s="13" t="s">
        <v>2232</v>
      </c>
      <c r="T1464" s="13"/>
      <c r="U1464" s="13"/>
      <c r="V1464" s="13"/>
      <c r="W1464" s="13"/>
      <c r="X1464" s="13"/>
    </row>
    <row r="1465" spans="1:24" x14ac:dyDescent="0.25">
      <c r="A1465" s="15">
        <v>530</v>
      </c>
      <c r="B1465" s="13" t="s">
        <v>13</v>
      </c>
      <c r="C1465" s="22" t="s">
        <v>663</v>
      </c>
      <c r="D1465" s="29">
        <v>44517</v>
      </c>
      <c r="E1465" s="18" t="s">
        <v>23</v>
      </c>
      <c r="F1465" s="18"/>
      <c r="G1465" s="13"/>
      <c r="H1465" s="31"/>
      <c r="I1465" s="13" t="s">
        <v>2233</v>
      </c>
      <c r="J1465" s="13">
        <v>234</v>
      </c>
      <c r="K1465" s="13" t="s">
        <v>33</v>
      </c>
      <c r="L1465" s="13">
        <v>0.54100000000000004</v>
      </c>
      <c r="M1465" s="13">
        <v>2.5299999999999998</v>
      </c>
      <c r="N1465" s="13">
        <v>126.59399999999999</v>
      </c>
      <c r="O1465" s="13">
        <v>592.02</v>
      </c>
      <c r="P1465" s="13">
        <v>16.46</v>
      </c>
      <c r="Q1465" s="13">
        <v>148.78</v>
      </c>
      <c r="R1465" s="13">
        <v>275</v>
      </c>
      <c r="S1465" s="13">
        <v>34814.519999999997</v>
      </c>
      <c r="T1465" s="13"/>
      <c r="U1465" s="13"/>
      <c r="V1465" s="13"/>
      <c r="W1465" s="13"/>
      <c r="X1465" s="13"/>
    </row>
    <row r="1466" spans="1:24" x14ac:dyDescent="0.25">
      <c r="A1466" s="15">
        <v>530</v>
      </c>
      <c r="B1466" s="13" t="s">
        <v>13</v>
      </c>
      <c r="C1466" s="22" t="s">
        <v>663</v>
      </c>
      <c r="D1466" s="29">
        <v>44517</v>
      </c>
      <c r="E1466" s="18" t="s">
        <v>23</v>
      </c>
      <c r="F1466" s="18"/>
      <c r="G1466" s="13" t="s">
        <v>2290</v>
      </c>
      <c r="H1466" s="31"/>
      <c r="I1466" s="13" t="s">
        <v>1112</v>
      </c>
      <c r="J1466" s="13">
        <v>715</v>
      </c>
      <c r="K1466" s="13" t="s">
        <v>259</v>
      </c>
      <c r="L1466" s="13">
        <v>0.67</v>
      </c>
      <c r="M1466" s="13">
        <v>1.9690000000000001</v>
      </c>
      <c r="N1466" s="13">
        <v>479.05</v>
      </c>
      <c r="O1466" s="13">
        <v>1407.835</v>
      </c>
      <c r="P1466" s="13">
        <v>62.28</v>
      </c>
      <c r="Q1466" s="13">
        <v>184.25</v>
      </c>
      <c r="R1466" s="13">
        <v>275</v>
      </c>
      <c r="S1466" s="13">
        <v>131738.75</v>
      </c>
      <c r="T1466" s="13"/>
      <c r="U1466" s="13"/>
      <c r="V1466" s="13"/>
      <c r="W1466" s="13"/>
      <c r="X1466" s="13"/>
    </row>
    <row r="1467" spans="1:24" x14ac:dyDescent="0.25">
      <c r="A1467" s="15">
        <v>530</v>
      </c>
      <c r="B1467" s="13" t="s">
        <v>13</v>
      </c>
      <c r="C1467" s="22" t="s">
        <v>663</v>
      </c>
      <c r="D1467" s="29">
        <v>44517</v>
      </c>
      <c r="E1467" s="18" t="s">
        <v>23</v>
      </c>
      <c r="F1467" s="18"/>
      <c r="G1467" s="13" t="s">
        <v>2286</v>
      </c>
      <c r="H1467" s="31"/>
      <c r="I1467" s="13" t="s">
        <v>2156</v>
      </c>
      <c r="J1467" s="13">
        <v>656.5</v>
      </c>
      <c r="K1467" s="13" t="s">
        <v>200</v>
      </c>
      <c r="L1467" s="13">
        <v>0.62</v>
      </c>
      <c r="M1467" s="13">
        <v>2.544</v>
      </c>
      <c r="N1467" s="13">
        <v>407.03</v>
      </c>
      <c r="O1467" s="13">
        <v>1670.136</v>
      </c>
      <c r="P1467" s="13">
        <v>52.91</v>
      </c>
      <c r="Q1467" s="13">
        <v>170.5</v>
      </c>
      <c r="R1467" s="13">
        <v>275</v>
      </c>
      <c r="S1467" s="13">
        <v>111933.25</v>
      </c>
      <c r="T1467" s="13"/>
      <c r="U1467" s="13"/>
      <c r="V1467" s="13"/>
      <c r="W1467" s="13"/>
      <c r="X1467" s="13"/>
    </row>
    <row r="1468" spans="1:24" x14ac:dyDescent="0.25">
      <c r="A1468" s="15">
        <v>531</v>
      </c>
      <c r="B1468" s="13" t="s">
        <v>13</v>
      </c>
      <c r="C1468" s="22" t="s">
        <v>156</v>
      </c>
      <c r="D1468" s="29">
        <v>44517</v>
      </c>
      <c r="E1468" s="18" t="s">
        <v>23</v>
      </c>
      <c r="F1468" s="18"/>
      <c r="G1468" s="13"/>
      <c r="H1468" s="31"/>
      <c r="I1468" s="13" t="s">
        <v>2234</v>
      </c>
      <c r="J1468" s="13">
        <v>2664</v>
      </c>
      <c r="K1468" s="13" t="s">
        <v>2235</v>
      </c>
      <c r="L1468" s="13">
        <v>5.3600000000000002E-2</v>
      </c>
      <c r="M1468" s="13">
        <v>0.20200000000000001</v>
      </c>
      <c r="N1468" s="13">
        <v>142.79040000000001</v>
      </c>
      <c r="O1468" s="13">
        <v>538.12800000000004</v>
      </c>
      <c r="P1468" s="13">
        <v>18.559999999999999</v>
      </c>
      <c r="Q1468" s="13">
        <v>15.01</v>
      </c>
      <c r="R1468" s="13">
        <v>280</v>
      </c>
      <c r="S1468" s="13">
        <v>39981.31</v>
      </c>
      <c r="T1468" s="13"/>
      <c r="U1468" s="13"/>
      <c r="V1468" s="13"/>
      <c r="W1468" s="13"/>
      <c r="X1468" s="13"/>
    </row>
    <row r="1469" spans="1:24" s="86" customFormat="1" x14ac:dyDescent="0.25">
      <c r="A1469" s="122">
        <v>532</v>
      </c>
      <c r="B1469" s="85" t="s">
        <v>13</v>
      </c>
      <c r="C1469" s="100" t="s">
        <v>32</v>
      </c>
      <c r="D1469" s="123">
        <v>44517</v>
      </c>
      <c r="E1469" s="112" t="s">
        <v>23</v>
      </c>
      <c r="F1469" s="112"/>
      <c r="G1469" s="85"/>
      <c r="H1469" s="126">
        <v>44557</v>
      </c>
      <c r="I1469" s="85" t="s">
        <v>2024</v>
      </c>
      <c r="J1469" s="85">
        <v>1362.85</v>
      </c>
      <c r="K1469" s="85" t="s">
        <v>2236</v>
      </c>
      <c r="L1469" s="85">
        <v>9.5600000000000004E-2</v>
      </c>
      <c r="M1469" s="85">
        <v>0.16</v>
      </c>
      <c r="N1469" s="85">
        <v>130.2885</v>
      </c>
      <c r="O1469" s="85">
        <v>218.05600000000001</v>
      </c>
      <c r="P1469" s="85">
        <v>16.940000000000001</v>
      </c>
      <c r="Q1469" s="85">
        <v>24</v>
      </c>
      <c r="R1469" s="85">
        <v>251</v>
      </c>
      <c r="S1469" s="85">
        <v>32708.400000000001</v>
      </c>
      <c r="T1469" s="85"/>
      <c r="U1469" s="85"/>
      <c r="V1469" s="85"/>
      <c r="W1469" s="85"/>
      <c r="X1469" s="85"/>
    </row>
    <row r="1470" spans="1:24" x14ac:dyDescent="0.25">
      <c r="A1470" s="15">
        <v>532</v>
      </c>
      <c r="B1470" s="13" t="s">
        <v>13</v>
      </c>
      <c r="C1470" s="22" t="s">
        <v>32</v>
      </c>
      <c r="D1470" s="29">
        <v>44517</v>
      </c>
      <c r="E1470" s="18" t="s">
        <v>23</v>
      </c>
      <c r="F1470" s="18"/>
      <c r="G1470" s="13" t="s">
        <v>2289</v>
      </c>
      <c r="H1470" s="31"/>
      <c r="I1470" s="13" t="s">
        <v>1218</v>
      </c>
      <c r="J1470" s="13">
        <v>2634.1</v>
      </c>
      <c r="K1470" s="13" t="s">
        <v>478</v>
      </c>
      <c r="L1470" s="13">
        <v>0.2651</v>
      </c>
      <c r="M1470" s="13">
        <v>0.82099999999999995</v>
      </c>
      <c r="N1470" s="13">
        <v>698.29989999999998</v>
      </c>
      <c r="O1470" s="13">
        <v>2162.5961000000002</v>
      </c>
      <c r="P1470" s="13">
        <v>90.78</v>
      </c>
      <c r="Q1470" s="13">
        <v>53.02</v>
      </c>
      <c r="R1470" s="13">
        <v>200</v>
      </c>
      <c r="S1470" s="13">
        <v>139659.98000000001</v>
      </c>
      <c r="T1470" s="13"/>
      <c r="U1470" s="13"/>
      <c r="V1470" s="13"/>
      <c r="W1470" s="13"/>
      <c r="X1470" s="13"/>
    </row>
    <row r="1471" spans="1:24" x14ac:dyDescent="0.25">
      <c r="A1471" s="15" t="s">
        <v>2241</v>
      </c>
      <c r="B1471" s="13" t="s">
        <v>13</v>
      </c>
      <c r="C1471" s="22" t="s">
        <v>43</v>
      </c>
      <c r="D1471" s="29">
        <v>44518</v>
      </c>
      <c r="E1471" s="18" t="s">
        <v>23</v>
      </c>
      <c r="F1471" s="18"/>
      <c r="G1471" s="13"/>
      <c r="H1471" s="31"/>
      <c r="I1471" s="13" t="s">
        <v>249</v>
      </c>
      <c r="J1471" s="13" t="s">
        <v>68</v>
      </c>
      <c r="K1471" s="13">
        <v>18</v>
      </c>
      <c r="L1471" s="13"/>
      <c r="M1471" s="13"/>
      <c r="N1471" s="13"/>
      <c r="O1471" s="13"/>
      <c r="P1471" s="13"/>
      <c r="Q1471" s="13"/>
      <c r="R1471" s="13"/>
      <c r="S1471" s="13" t="s">
        <v>2242</v>
      </c>
      <c r="T1471" s="13"/>
      <c r="U1471" s="13"/>
      <c r="V1471" s="13"/>
      <c r="W1471" s="13"/>
      <c r="X1471" s="13"/>
    </row>
    <row r="1472" spans="1:24" x14ac:dyDescent="0.25">
      <c r="A1472" s="15" t="s">
        <v>2241</v>
      </c>
      <c r="B1472" s="13" t="s">
        <v>13</v>
      </c>
      <c r="C1472" s="22" t="s">
        <v>43</v>
      </c>
      <c r="D1472" s="29">
        <v>44518</v>
      </c>
      <c r="E1472" s="18" t="s">
        <v>23</v>
      </c>
      <c r="F1472" s="18"/>
      <c r="G1472" s="13"/>
      <c r="H1472" s="31"/>
      <c r="I1472" s="13" t="s">
        <v>247</v>
      </c>
      <c r="J1472" s="13" t="s">
        <v>250</v>
      </c>
      <c r="K1472" s="13">
        <v>7</v>
      </c>
      <c r="L1472" s="13"/>
      <c r="M1472" s="13"/>
      <c r="N1472" s="13"/>
      <c r="O1472" s="13"/>
      <c r="P1472" s="13"/>
      <c r="Q1472" s="13"/>
      <c r="R1472" s="13"/>
      <c r="S1472" s="13" t="s">
        <v>321</v>
      </c>
      <c r="T1472" s="13"/>
      <c r="U1472" s="13"/>
      <c r="V1472" s="13"/>
      <c r="W1472" s="13"/>
      <c r="X1472" s="13"/>
    </row>
    <row r="1473" spans="1:24" x14ac:dyDescent="0.25">
      <c r="A1473" s="15" t="s">
        <v>2241</v>
      </c>
      <c r="B1473" s="13" t="s">
        <v>13</v>
      </c>
      <c r="C1473" s="22" t="s">
        <v>43</v>
      </c>
      <c r="D1473" s="29">
        <v>44518</v>
      </c>
      <c r="E1473" s="18" t="s">
        <v>23</v>
      </c>
      <c r="F1473" s="18"/>
      <c r="G1473" s="13"/>
      <c r="H1473" s="31"/>
      <c r="I1473" s="13" t="s">
        <v>2239</v>
      </c>
      <c r="J1473" s="13" t="s">
        <v>54</v>
      </c>
      <c r="K1473" s="13">
        <v>1</v>
      </c>
      <c r="L1473" s="13"/>
      <c r="M1473" s="13"/>
      <c r="N1473" s="13"/>
      <c r="O1473" s="13"/>
      <c r="P1473" s="13"/>
      <c r="Q1473" s="13"/>
      <c r="R1473" s="13"/>
      <c r="S1473" s="13" t="s">
        <v>638</v>
      </c>
      <c r="T1473" s="13"/>
      <c r="U1473" s="13"/>
      <c r="V1473" s="13"/>
      <c r="W1473" s="13"/>
      <c r="X1473" s="13"/>
    </row>
    <row r="1474" spans="1:24" x14ac:dyDescent="0.25">
      <c r="A1474" s="15" t="s">
        <v>2241</v>
      </c>
      <c r="B1474" s="13" t="s">
        <v>13</v>
      </c>
      <c r="C1474" s="22" t="s">
        <v>43</v>
      </c>
      <c r="D1474" s="29">
        <v>44518</v>
      </c>
      <c r="E1474" s="18" t="s">
        <v>23</v>
      </c>
      <c r="F1474" s="18"/>
      <c r="G1474" s="13"/>
      <c r="H1474" s="31"/>
      <c r="I1474" s="13" t="s">
        <v>2240</v>
      </c>
      <c r="J1474" s="13" t="s">
        <v>54</v>
      </c>
      <c r="K1474" s="13">
        <v>1</v>
      </c>
      <c r="L1474" s="13"/>
      <c r="M1474" s="13"/>
      <c r="N1474" s="13"/>
      <c r="O1474" s="13"/>
      <c r="P1474" s="13"/>
      <c r="Q1474" s="13"/>
      <c r="R1474" s="13"/>
      <c r="S1474" s="13" t="s">
        <v>467</v>
      </c>
      <c r="T1474" s="13"/>
      <c r="U1474" s="13"/>
      <c r="V1474" s="13"/>
      <c r="W1474" s="13"/>
      <c r="X1474" s="13"/>
    </row>
    <row r="1475" spans="1:24" x14ac:dyDescent="0.25">
      <c r="A1475" s="15" t="s">
        <v>2241</v>
      </c>
      <c r="B1475" s="13" t="s">
        <v>13</v>
      </c>
      <c r="C1475" s="22" t="s">
        <v>43</v>
      </c>
      <c r="D1475" s="29">
        <v>44518</v>
      </c>
      <c r="E1475" s="18" t="s">
        <v>23</v>
      </c>
      <c r="F1475" s="18"/>
      <c r="G1475" s="13"/>
      <c r="H1475" s="31"/>
      <c r="I1475" s="13" t="s">
        <v>2247</v>
      </c>
      <c r="J1475" s="13" t="s">
        <v>379</v>
      </c>
      <c r="K1475" s="13">
        <v>50</v>
      </c>
      <c r="L1475" s="13"/>
      <c r="M1475" s="13"/>
      <c r="N1475" s="13"/>
      <c r="O1475" s="13"/>
      <c r="P1475" s="13"/>
      <c r="Q1475" s="13"/>
      <c r="R1475" s="13"/>
      <c r="S1475" s="13" t="s">
        <v>2295</v>
      </c>
      <c r="T1475" s="13"/>
      <c r="U1475" s="13"/>
      <c r="V1475" s="13"/>
      <c r="W1475" s="13"/>
      <c r="X1475" s="13"/>
    </row>
    <row r="1476" spans="1:24" x14ac:dyDescent="0.25">
      <c r="A1476" s="15" t="s">
        <v>2241</v>
      </c>
      <c r="B1476" s="13" t="s">
        <v>13</v>
      </c>
      <c r="C1476" s="22" t="s">
        <v>43</v>
      </c>
      <c r="D1476" s="29">
        <v>44518</v>
      </c>
      <c r="E1476" s="18" t="s">
        <v>23</v>
      </c>
      <c r="F1476" s="18"/>
      <c r="G1476" s="13"/>
      <c r="H1476" s="31"/>
      <c r="I1476" s="13" t="s">
        <v>276</v>
      </c>
      <c r="J1476" s="13" t="s">
        <v>96</v>
      </c>
      <c r="K1476" s="13">
        <v>2</v>
      </c>
      <c r="L1476" s="13"/>
      <c r="M1476" s="13"/>
      <c r="N1476" s="13"/>
      <c r="O1476" s="13"/>
      <c r="P1476" s="13"/>
      <c r="Q1476" s="13"/>
      <c r="R1476" s="13"/>
      <c r="S1476" s="13" t="s">
        <v>2296</v>
      </c>
      <c r="T1476" s="13"/>
      <c r="U1476" s="13"/>
      <c r="V1476" s="13"/>
      <c r="W1476" s="13"/>
      <c r="X1476" s="13"/>
    </row>
    <row r="1477" spans="1:24" x14ac:dyDescent="0.25">
      <c r="A1477" s="15" t="s">
        <v>2241</v>
      </c>
      <c r="B1477" s="13" t="s">
        <v>13</v>
      </c>
      <c r="C1477" s="22" t="s">
        <v>43</v>
      </c>
      <c r="D1477" s="29">
        <v>44518</v>
      </c>
      <c r="E1477" s="18" t="s">
        <v>23</v>
      </c>
      <c r="F1477" s="18"/>
      <c r="G1477" s="13"/>
      <c r="H1477" s="31"/>
      <c r="I1477" s="13" t="s">
        <v>347</v>
      </c>
      <c r="J1477" s="13" t="s">
        <v>538</v>
      </c>
      <c r="K1477" s="13">
        <v>150</v>
      </c>
      <c r="L1477" s="13"/>
      <c r="M1477" s="13"/>
      <c r="N1477" s="13"/>
      <c r="O1477" s="13"/>
      <c r="P1477" s="13"/>
      <c r="Q1477" s="13"/>
      <c r="R1477" s="13"/>
      <c r="S1477" s="13" t="s">
        <v>2297</v>
      </c>
      <c r="T1477" s="13"/>
      <c r="U1477" s="13"/>
      <c r="V1477" s="13"/>
      <c r="W1477" s="13"/>
      <c r="X1477" s="13"/>
    </row>
    <row r="1478" spans="1:24" s="25" customFormat="1" x14ac:dyDescent="0.25">
      <c r="A1478" s="20" t="s">
        <v>2241</v>
      </c>
      <c r="B1478" s="21" t="s">
        <v>13</v>
      </c>
      <c r="C1478" s="22" t="s">
        <v>43</v>
      </c>
      <c r="D1478" s="17">
        <v>44518</v>
      </c>
      <c r="E1478" s="23" t="s">
        <v>23</v>
      </c>
      <c r="F1478" s="23"/>
      <c r="G1478" s="21"/>
      <c r="H1478" s="30"/>
      <c r="I1478" s="21" t="s">
        <v>278</v>
      </c>
      <c r="J1478" s="21" t="s">
        <v>280</v>
      </c>
      <c r="K1478" s="21">
        <v>40</v>
      </c>
      <c r="L1478" s="21"/>
      <c r="M1478" s="21"/>
      <c r="N1478" s="21"/>
      <c r="O1478" s="21"/>
      <c r="P1478" s="21"/>
      <c r="Q1478" s="21"/>
      <c r="R1478" s="21"/>
      <c r="S1478" s="21" t="s">
        <v>2298</v>
      </c>
      <c r="T1478" s="21"/>
      <c r="U1478" s="21"/>
      <c r="V1478" s="21"/>
      <c r="W1478" s="21"/>
      <c r="X1478" s="21"/>
    </row>
    <row r="1479" spans="1:24" s="25" customFormat="1" x14ac:dyDescent="0.25">
      <c r="A1479" s="20" t="s">
        <v>2241</v>
      </c>
      <c r="B1479" s="21" t="s">
        <v>13</v>
      </c>
      <c r="C1479" s="22" t="s">
        <v>43</v>
      </c>
      <c r="D1479" s="17">
        <v>44518</v>
      </c>
      <c r="E1479" s="23" t="s">
        <v>23</v>
      </c>
      <c r="F1479" s="23"/>
      <c r="G1479" s="21" t="s">
        <v>1569</v>
      </c>
      <c r="H1479" s="30"/>
      <c r="I1479" s="21" t="s">
        <v>545</v>
      </c>
      <c r="J1479" s="21" t="s">
        <v>2293</v>
      </c>
      <c r="K1479" s="21">
        <v>300</v>
      </c>
      <c r="L1479" s="21"/>
      <c r="M1479" s="21"/>
      <c r="N1479" s="21"/>
      <c r="O1479" s="21"/>
      <c r="P1479" s="21"/>
      <c r="Q1479" s="21"/>
      <c r="R1479" s="21"/>
      <c r="S1479" s="21" t="s">
        <v>2299</v>
      </c>
      <c r="T1479" s="21"/>
      <c r="U1479" s="21"/>
      <c r="V1479" s="21"/>
      <c r="W1479" s="21"/>
      <c r="X1479" s="21"/>
    </row>
    <row r="1480" spans="1:24" s="71" customFormat="1" x14ac:dyDescent="0.25">
      <c r="A1480" s="130" t="s">
        <v>2241</v>
      </c>
      <c r="B1480" s="68" t="s">
        <v>13</v>
      </c>
      <c r="C1480" s="67" t="s">
        <v>43</v>
      </c>
      <c r="D1480" s="69">
        <v>44518</v>
      </c>
      <c r="E1480" s="70" t="s">
        <v>677</v>
      </c>
      <c r="F1480" s="70"/>
      <c r="G1480" s="68" t="s">
        <v>543</v>
      </c>
      <c r="H1480" s="131"/>
      <c r="I1480" s="68" t="s">
        <v>2021</v>
      </c>
      <c r="J1480" s="68" t="s">
        <v>2294</v>
      </c>
      <c r="K1480" s="68">
        <v>80</v>
      </c>
      <c r="L1480" s="68"/>
      <c r="M1480" s="68"/>
      <c r="N1480" s="68"/>
      <c r="O1480" s="68"/>
      <c r="P1480" s="68"/>
      <c r="Q1480" s="68"/>
      <c r="R1480" s="68"/>
      <c r="S1480" s="68" t="s">
        <v>2300</v>
      </c>
      <c r="T1480" s="68"/>
      <c r="U1480" s="68"/>
      <c r="V1480" s="68"/>
      <c r="W1480" s="68"/>
      <c r="X1480" s="68"/>
    </row>
    <row r="1481" spans="1:24" s="86" customFormat="1" x14ac:dyDescent="0.25">
      <c r="A1481" s="122" t="s">
        <v>2243</v>
      </c>
      <c r="B1481" s="85" t="s">
        <v>13</v>
      </c>
      <c r="C1481" s="100" t="s">
        <v>292</v>
      </c>
      <c r="D1481" s="123">
        <v>44518</v>
      </c>
      <c r="E1481" s="112" t="s">
        <v>23</v>
      </c>
      <c r="F1481" s="112"/>
      <c r="G1481" s="85"/>
      <c r="H1481" s="124"/>
      <c r="I1481" s="85" t="s">
        <v>1325</v>
      </c>
      <c r="J1481" s="85" t="s">
        <v>2244</v>
      </c>
      <c r="K1481" s="85">
        <v>1080</v>
      </c>
      <c r="L1481" s="85"/>
      <c r="M1481" s="85"/>
      <c r="N1481" s="85"/>
      <c r="O1481" s="85"/>
      <c r="P1481" s="85"/>
      <c r="Q1481" s="85"/>
      <c r="R1481" s="85"/>
      <c r="S1481" s="85" t="s">
        <v>2246</v>
      </c>
      <c r="T1481" s="85"/>
      <c r="U1481" s="85"/>
      <c r="V1481" s="85"/>
      <c r="W1481" s="85"/>
      <c r="X1481" s="85"/>
    </row>
    <row r="1482" spans="1:24" x14ac:dyDescent="0.25">
      <c r="A1482" s="15" t="s">
        <v>2243</v>
      </c>
      <c r="B1482" s="13" t="s">
        <v>13</v>
      </c>
      <c r="C1482" s="22" t="s">
        <v>292</v>
      </c>
      <c r="D1482" s="29">
        <v>44518</v>
      </c>
      <c r="E1482" s="112" t="s">
        <v>23</v>
      </c>
      <c r="F1482" s="112"/>
      <c r="G1482" s="13"/>
      <c r="H1482" s="31"/>
      <c r="I1482" s="13" t="s">
        <v>655</v>
      </c>
      <c r="J1482" s="13" t="s">
        <v>2245</v>
      </c>
      <c r="K1482" s="13">
        <v>160</v>
      </c>
      <c r="L1482" s="13"/>
      <c r="M1482" s="13"/>
      <c r="N1482" s="13"/>
      <c r="O1482" s="13"/>
      <c r="P1482" s="13"/>
      <c r="Q1482" s="13"/>
      <c r="R1482" s="13"/>
      <c r="S1482" s="13" t="s">
        <v>1712</v>
      </c>
      <c r="T1482" s="13"/>
      <c r="U1482" s="13"/>
      <c r="V1482" s="13"/>
      <c r="W1482" s="13"/>
      <c r="X1482" s="13"/>
    </row>
    <row r="1483" spans="1:24" x14ac:dyDescent="0.25">
      <c r="A1483" s="15" t="s">
        <v>2248</v>
      </c>
      <c r="B1483" s="13" t="s">
        <v>13</v>
      </c>
      <c r="C1483" s="22" t="s">
        <v>43</v>
      </c>
      <c r="D1483" s="29">
        <v>44518</v>
      </c>
      <c r="E1483" s="18" t="s">
        <v>677</v>
      </c>
      <c r="F1483" s="18"/>
      <c r="G1483" s="13"/>
      <c r="H1483" s="31"/>
      <c r="I1483" s="13" t="s">
        <v>2247</v>
      </c>
      <c r="J1483" s="13">
        <v>636</v>
      </c>
      <c r="K1483" s="13">
        <v>106</v>
      </c>
      <c r="L1483" s="13"/>
      <c r="M1483" s="13"/>
      <c r="N1483" s="13"/>
      <c r="O1483" s="13"/>
      <c r="P1483" s="13"/>
      <c r="Q1483" s="13"/>
      <c r="R1483" s="13"/>
      <c r="S1483" s="13">
        <v>74200</v>
      </c>
      <c r="T1483" s="13"/>
      <c r="U1483" s="13"/>
      <c r="V1483" s="13"/>
      <c r="W1483" s="13"/>
      <c r="X1483" s="13"/>
    </row>
    <row r="1484" spans="1:24" x14ac:dyDescent="0.25">
      <c r="A1484" s="15">
        <v>538</v>
      </c>
      <c r="B1484" s="13" t="s">
        <v>13</v>
      </c>
      <c r="C1484" s="22" t="s">
        <v>2251</v>
      </c>
      <c r="D1484" s="29">
        <v>44519</v>
      </c>
      <c r="E1484" s="18" t="s">
        <v>23</v>
      </c>
      <c r="F1484" s="18"/>
      <c r="G1484" s="13"/>
      <c r="H1484" s="31"/>
      <c r="I1484" s="13" t="s">
        <v>2250</v>
      </c>
      <c r="J1484" s="13">
        <v>286.7</v>
      </c>
      <c r="K1484" s="13" t="s">
        <v>636</v>
      </c>
      <c r="L1484" s="13">
        <v>0.29199999999999998</v>
      </c>
      <c r="M1484" s="13">
        <v>1.6870000000000001</v>
      </c>
      <c r="N1484" s="13">
        <v>83.716399999999993</v>
      </c>
      <c r="O1484" s="13">
        <v>483.66289999999998</v>
      </c>
      <c r="P1484" s="13">
        <v>10.88</v>
      </c>
      <c r="Q1484" s="13">
        <v>87.6</v>
      </c>
      <c r="R1484" s="13">
        <v>300</v>
      </c>
      <c r="S1484" s="13">
        <v>25114.92</v>
      </c>
      <c r="T1484" s="13"/>
      <c r="U1484" s="13"/>
      <c r="V1484" s="13"/>
      <c r="W1484" s="13"/>
      <c r="X1484" s="13"/>
    </row>
    <row r="1485" spans="1:24" x14ac:dyDescent="0.25">
      <c r="A1485" s="15" t="s">
        <v>2264</v>
      </c>
      <c r="B1485" s="13" t="s">
        <v>13</v>
      </c>
      <c r="C1485" s="22" t="s">
        <v>2265</v>
      </c>
      <c r="D1485" s="29">
        <v>44523</v>
      </c>
      <c r="E1485" s="18" t="s">
        <v>23</v>
      </c>
      <c r="F1485" s="18"/>
      <c r="G1485" s="13"/>
      <c r="H1485" s="31"/>
      <c r="I1485" s="13" t="s">
        <v>2266</v>
      </c>
      <c r="J1485" s="13">
        <v>402</v>
      </c>
      <c r="K1485" s="13">
        <v>67</v>
      </c>
      <c r="L1485" s="13"/>
      <c r="M1485" s="13"/>
      <c r="N1485" s="13"/>
      <c r="O1485" s="13"/>
      <c r="P1485" s="13"/>
      <c r="Q1485" s="13"/>
      <c r="R1485" s="13"/>
      <c r="S1485" s="13">
        <v>9000</v>
      </c>
      <c r="T1485" s="13"/>
      <c r="U1485" s="13"/>
      <c r="V1485" s="13"/>
      <c r="W1485" s="13"/>
      <c r="X1485" s="13"/>
    </row>
    <row r="1486" spans="1:24" x14ac:dyDescent="0.25">
      <c r="A1486" s="15">
        <v>539</v>
      </c>
      <c r="B1486" s="13" t="s">
        <v>13</v>
      </c>
      <c r="C1486" s="22" t="s">
        <v>1120</v>
      </c>
      <c r="D1486" s="29">
        <v>44523</v>
      </c>
      <c r="E1486" s="18" t="s">
        <v>23</v>
      </c>
      <c r="F1486" s="18"/>
      <c r="G1486" s="13" t="s">
        <v>2284</v>
      </c>
      <c r="H1486" s="31"/>
      <c r="I1486" s="13" t="s">
        <v>149</v>
      </c>
      <c r="J1486" s="13">
        <v>150</v>
      </c>
      <c r="K1486" s="13" t="s">
        <v>56</v>
      </c>
      <c r="L1486" s="13">
        <v>0.18360000000000001</v>
      </c>
      <c r="M1486" s="13">
        <v>0.39400000000000002</v>
      </c>
      <c r="N1486" s="13">
        <v>27.54</v>
      </c>
      <c r="O1486" s="13">
        <v>59.1</v>
      </c>
      <c r="P1486" s="13">
        <v>3.58</v>
      </c>
      <c r="Q1486" s="13">
        <v>55.08</v>
      </c>
      <c r="R1486" s="13">
        <v>300</v>
      </c>
      <c r="S1486" s="13">
        <v>8262</v>
      </c>
      <c r="T1486" s="13"/>
      <c r="U1486" s="13"/>
      <c r="V1486" s="13"/>
      <c r="W1486" s="13"/>
      <c r="X1486" s="13"/>
    </row>
    <row r="1487" spans="1:24" x14ac:dyDescent="0.25">
      <c r="A1487" s="15">
        <v>541</v>
      </c>
      <c r="B1487" s="13" t="s">
        <v>13</v>
      </c>
      <c r="C1487" s="22" t="s">
        <v>663</v>
      </c>
      <c r="D1487" s="29">
        <v>44523</v>
      </c>
      <c r="E1487" s="18" t="s">
        <v>23</v>
      </c>
      <c r="F1487" s="18"/>
      <c r="G1487" s="13"/>
      <c r="H1487" s="31"/>
      <c r="I1487" s="13" t="s">
        <v>630</v>
      </c>
      <c r="J1487" s="13">
        <v>585</v>
      </c>
      <c r="K1487" s="13" t="s">
        <v>235</v>
      </c>
      <c r="L1487" s="13">
        <v>0.54049999999999998</v>
      </c>
      <c r="M1487" s="13">
        <v>2.0979999999999999</v>
      </c>
      <c r="N1487" s="13">
        <v>316.1925</v>
      </c>
      <c r="O1487" s="13">
        <v>1227.33</v>
      </c>
      <c r="P1487" s="13">
        <v>41.11</v>
      </c>
      <c r="Q1487" s="13">
        <v>148.63999999999999</v>
      </c>
      <c r="R1487" s="13">
        <v>275</v>
      </c>
      <c r="S1487" s="13">
        <v>86954.4</v>
      </c>
      <c r="T1487" s="13"/>
      <c r="U1487" s="13"/>
      <c r="V1487" s="13"/>
      <c r="W1487" s="13"/>
      <c r="X1487" s="13"/>
    </row>
    <row r="1488" spans="1:24" x14ac:dyDescent="0.25">
      <c r="A1488" s="15">
        <v>545</v>
      </c>
      <c r="B1488" s="13" t="s">
        <v>13</v>
      </c>
      <c r="C1488" s="22" t="s">
        <v>625</v>
      </c>
      <c r="D1488" s="29">
        <v>44523</v>
      </c>
      <c r="E1488" s="18" t="s">
        <v>23</v>
      </c>
      <c r="F1488" s="18"/>
      <c r="G1488" s="13"/>
      <c r="H1488" s="31"/>
      <c r="I1488" s="13" t="s">
        <v>1684</v>
      </c>
      <c r="J1488" s="13">
        <v>948</v>
      </c>
      <c r="K1488" s="13" t="s">
        <v>522</v>
      </c>
      <c r="L1488" s="13">
        <v>0.13450000000000001</v>
      </c>
      <c r="M1488" s="13">
        <v>0.35499999999999998</v>
      </c>
      <c r="N1488" s="13">
        <v>127.506</v>
      </c>
      <c r="O1488" s="13">
        <v>336.54</v>
      </c>
      <c r="P1488" s="13">
        <v>16.579999999999998</v>
      </c>
      <c r="Q1488" s="13">
        <v>26.9</v>
      </c>
      <c r="R1488" s="13">
        <v>200</v>
      </c>
      <c r="S1488" s="13">
        <v>25501.200000000001</v>
      </c>
      <c r="T1488" s="13"/>
      <c r="U1488" s="13"/>
      <c r="V1488" s="13"/>
      <c r="W1488" s="13"/>
      <c r="X1488" s="13"/>
    </row>
    <row r="1489" spans="1:24" s="25" customFormat="1" x14ac:dyDescent="0.25">
      <c r="A1489" s="20">
        <v>546</v>
      </c>
      <c r="B1489" s="21" t="s">
        <v>13</v>
      </c>
      <c r="C1489" s="22" t="s">
        <v>32</v>
      </c>
      <c r="D1489" s="17">
        <v>44523</v>
      </c>
      <c r="E1489" s="23" t="s">
        <v>23</v>
      </c>
      <c r="F1489" s="23"/>
      <c r="G1489" s="21" t="s">
        <v>2374</v>
      </c>
      <c r="H1489" s="30"/>
      <c r="I1489" s="21" t="s">
        <v>1218</v>
      </c>
      <c r="J1489" s="21">
        <v>1399.2</v>
      </c>
      <c r="K1489" s="21" t="s">
        <v>889</v>
      </c>
      <c r="L1489" s="21">
        <v>0.2651</v>
      </c>
      <c r="M1489" s="21">
        <v>0.82099999999999995</v>
      </c>
      <c r="N1489" s="21">
        <v>370.92790000000002</v>
      </c>
      <c r="O1489" s="21">
        <v>1148.7431999999999</v>
      </c>
      <c r="P1489" s="21">
        <v>48.22</v>
      </c>
      <c r="Q1489" s="21">
        <v>66.540000000000006</v>
      </c>
      <c r="R1489" s="21">
        <v>251</v>
      </c>
      <c r="S1489" s="21">
        <v>93102.91</v>
      </c>
      <c r="T1489" s="21"/>
      <c r="U1489" s="21"/>
      <c r="V1489" s="21"/>
      <c r="W1489" s="21"/>
      <c r="X1489" s="21"/>
    </row>
    <row r="1490" spans="1:24" x14ac:dyDescent="0.25">
      <c r="A1490" s="15" t="s">
        <v>2268</v>
      </c>
      <c r="B1490" s="13" t="s">
        <v>13</v>
      </c>
      <c r="C1490" s="22" t="s">
        <v>30</v>
      </c>
      <c r="D1490" s="29">
        <v>44524</v>
      </c>
      <c r="E1490" s="18" t="s">
        <v>23</v>
      </c>
      <c r="F1490" s="18"/>
      <c r="G1490" s="13"/>
      <c r="H1490" s="31"/>
      <c r="I1490" s="13" t="s">
        <v>215</v>
      </c>
      <c r="J1490" s="13"/>
      <c r="K1490" s="13">
        <v>8</v>
      </c>
      <c r="L1490" s="13"/>
      <c r="M1490" s="13"/>
      <c r="N1490" s="13"/>
      <c r="O1490" s="13"/>
      <c r="P1490" s="13"/>
      <c r="Q1490" s="13"/>
      <c r="R1490" s="13"/>
      <c r="S1490" s="13" t="s">
        <v>419</v>
      </c>
      <c r="T1490" s="13"/>
      <c r="U1490" s="13"/>
      <c r="V1490" s="13"/>
      <c r="W1490" s="13"/>
      <c r="X1490" s="13"/>
    </row>
    <row r="1491" spans="1:24" x14ac:dyDescent="0.25">
      <c r="A1491" s="15" t="s">
        <v>2268</v>
      </c>
      <c r="B1491" s="13" t="s">
        <v>13</v>
      </c>
      <c r="C1491" s="22" t="s">
        <v>30</v>
      </c>
      <c r="D1491" s="29">
        <v>44524</v>
      </c>
      <c r="E1491" s="18" t="s">
        <v>23</v>
      </c>
      <c r="F1491" s="18"/>
      <c r="G1491" s="13"/>
      <c r="H1491" s="31"/>
      <c r="I1491" s="13" t="s">
        <v>216</v>
      </c>
      <c r="J1491" s="13"/>
      <c r="K1491" s="13">
        <v>8</v>
      </c>
      <c r="L1491" s="13"/>
      <c r="M1491" s="13"/>
      <c r="N1491" s="13"/>
      <c r="O1491" s="13"/>
      <c r="P1491" s="13"/>
      <c r="Q1491" s="13"/>
      <c r="R1491" s="13"/>
      <c r="S1491" s="13" t="s">
        <v>434</v>
      </c>
      <c r="T1491" s="13"/>
      <c r="U1491" s="13"/>
      <c r="V1491" s="13"/>
      <c r="W1491" s="13"/>
      <c r="X1491" s="13"/>
    </row>
    <row r="1492" spans="1:24" x14ac:dyDescent="0.25">
      <c r="A1492" s="15" t="s">
        <v>2268</v>
      </c>
      <c r="B1492" s="13" t="s">
        <v>13</v>
      </c>
      <c r="C1492" s="22" t="s">
        <v>30</v>
      </c>
      <c r="D1492" s="29">
        <v>44524</v>
      </c>
      <c r="E1492" s="18" t="s">
        <v>23</v>
      </c>
      <c r="F1492" s="18"/>
      <c r="G1492" s="13"/>
      <c r="H1492" s="31"/>
      <c r="I1492" s="13" t="s">
        <v>219</v>
      </c>
      <c r="J1492" s="13"/>
      <c r="K1492" s="13">
        <v>8</v>
      </c>
      <c r="L1492" s="13"/>
      <c r="M1492" s="13"/>
      <c r="N1492" s="13"/>
      <c r="O1492" s="13"/>
      <c r="P1492" s="13"/>
      <c r="Q1492" s="13"/>
      <c r="R1492" s="13"/>
      <c r="S1492" s="13" t="s">
        <v>267</v>
      </c>
      <c r="T1492" s="13"/>
      <c r="U1492" s="13"/>
      <c r="V1492" s="13"/>
      <c r="W1492" s="13"/>
      <c r="X1492" s="13"/>
    </row>
    <row r="1493" spans="1:24" x14ac:dyDescent="0.25">
      <c r="A1493" s="15" t="s">
        <v>2268</v>
      </c>
      <c r="B1493" s="13" t="s">
        <v>13</v>
      </c>
      <c r="C1493" s="22" t="s">
        <v>30</v>
      </c>
      <c r="D1493" s="29">
        <v>44524</v>
      </c>
      <c r="E1493" s="18" t="s">
        <v>23</v>
      </c>
      <c r="F1493" s="18"/>
      <c r="G1493" s="13"/>
      <c r="H1493" s="31"/>
      <c r="I1493" s="13" t="s">
        <v>220</v>
      </c>
      <c r="J1493" s="13"/>
      <c r="K1493" s="13">
        <v>8</v>
      </c>
      <c r="L1493" s="13"/>
      <c r="M1493" s="13"/>
      <c r="N1493" s="13"/>
      <c r="O1493" s="13"/>
      <c r="P1493" s="13"/>
      <c r="Q1493" s="13"/>
      <c r="R1493" s="13"/>
      <c r="S1493" s="13" t="s">
        <v>195</v>
      </c>
      <c r="T1493" s="13"/>
      <c r="U1493" s="13"/>
      <c r="V1493" s="13"/>
      <c r="W1493" s="13"/>
      <c r="X1493" s="13"/>
    </row>
    <row r="1494" spans="1:24" x14ac:dyDescent="0.25">
      <c r="A1494" s="15" t="s">
        <v>2268</v>
      </c>
      <c r="B1494" s="13" t="s">
        <v>13</v>
      </c>
      <c r="C1494" s="22" t="s">
        <v>30</v>
      </c>
      <c r="D1494" s="29">
        <v>44524</v>
      </c>
      <c r="E1494" s="18" t="s">
        <v>23</v>
      </c>
      <c r="F1494" s="18"/>
      <c r="G1494" s="13"/>
      <c r="H1494" s="31"/>
      <c r="I1494" s="13" t="s">
        <v>214</v>
      </c>
      <c r="J1494" s="13"/>
      <c r="K1494" s="13">
        <v>8</v>
      </c>
      <c r="L1494" s="13"/>
      <c r="M1494" s="13"/>
      <c r="N1494" s="13"/>
      <c r="O1494" s="13"/>
      <c r="P1494" s="13"/>
      <c r="Q1494" s="13"/>
      <c r="R1494" s="13"/>
      <c r="S1494" s="13" t="s">
        <v>2269</v>
      </c>
      <c r="T1494" s="13"/>
      <c r="U1494" s="13"/>
      <c r="V1494" s="13"/>
      <c r="W1494" s="13"/>
      <c r="X1494" s="13"/>
    </row>
    <row r="1495" spans="1:24" x14ac:dyDescent="0.25">
      <c r="A1495" s="15" t="s">
        <v>2270</v>
      </c>
      <c r="B1495" s="13" t="s">
        <v>13</v>
      </c>
      <c r="C1495" s="22" t="s">
        <v>30</v>
      </c>
      <c r="D1495" s="29">
        <v>44524</v>
      </c>
      <c r="E1495" s="18" t="s">
        <v>23</v>
      </c>
      <c r="F1495" s="18"/>
      <c r="G1495" s="13"/>
      <c r="H1495" s="31"/>
      <c r="I1495" s="13" t="s">
        <v>742</v>
      </c>
      <c r="J1495" s="13"/>
      <c r="K1495" s="13" t="s">
        <v>75</v>
      </c>
      <c r="L1495" s="13"/>
      <c r="M1495" s="13"/>
      <c r="N1495" s="13"/>
      <c r="O1495" s="13"/>
      <c r="P1495" s="13"/>
      <c r="Q1495" s="13"/>
      <c r="R1495" s="13"/>
      <c r="S1495" s="13" t="s">
        <v>134</v>
      </c>
      <c r="T1495" s="13"/>
      <c r="U1495" s="13"/>
      <c r="V1495" s="13"/>
      <c r="W1495" s="13"/>
      <c r="X1495" s="13"/>
    </row>
    <row r="1496" spans="1:24" x14ac:dyDescent="0.25">
      <c r="A1496" s="15" t="s">
        <v>2270</v>
      </c>
      <c r="B1496" s="13" t="s">
        <v>13</v>
      </c>
      <c r="C1496" s="22" t="s">
        <v>30</v>
      </c>
      <c r="D1496" s="29">
        <v>44524</v>
      </c>
      <c r="E1496" s="18" t="s">
        <v>23</v>
      </c>
      <c r="F1496" s="18"/>
      <c r="G1496" s="13"/>
      <c r="H1496" s="31"/>
      <c r="I1496" s="13" t="s">
        <v>731</v>
      </c>
      <c r="J1496" s="13"/>
      <c r="K1496" s="13" t="s">
        <v>125</v>
      </c>
      <c r="L1496" s="13"/>
      <c r="M1496" s="13"/>
      <c r="N1496" s="13"/>
      <c r="O1496" s="13"/>
      <c r="P1496" s="13"/>
      <c r="Q1496" s="13"/>
      <c r="R1496" s="13"/>
      <c r="S1496" s="13" t="s">
        <v>622</v>
      </c>
      <c r="T1496" s="13"/>
      <c r="U1496" s="13"/>
      <c r="V1496" s="13"/>
      <c r="W1496" s="13"/>
      <c r="X1496" s="13"/>
    </row>
    <row r="1497" spans="1:24" x14ac:dyDescent="0.25">
      <c r="A1497" s="15" t="s">
        <v>2270</v>
      </c>
      <c r="B1497" s="13" t="s">
        <v>13</v>
      </c>
      <c r="C1497" s="22" t="s">
        <v>30</v>
      </c>
      <c r="D1497" s="29">
        <v>44524</v>
      </c>
      <c r="E1497" s="18" t="s">
        <v>23</v>
      </c>
      <c r="F1497" s="18"/>
      <c r="G1497" s="13"/>
      <c r="H1497" s="31"/>
      <c r="I1497" s="13" t="s">
        <v>744</v>
      </c>
      <c r="J1497" s="13"/>
      <c r="K1497" s="13" t="s">
        <v>852</v>
      </c>
      <c r="L1497" s="13"/>
      <c r="M1497" s="13"/>
      <c r="N1497" s="13"/>
      <c r="O1497" s="13"/>
      <c r="P1497" s="13"/>
      <c r="Q1497" s="13"/>
      <c r="R1497" s="13"/>
      <c r="S1497" s="13" t="s">
        <v>93</v>
      </c>
      <c r="T1497" s="13"/>
      <c r="U1497" s="13"/>
      <c r="V1497" s="13"/>
      <c r="W1497" s="13"/>
      <c r="X1497" s="13"/>
    </row>
    <row r="1498" spans="1:24" x14ac:dyDescent="0.25">
      <c r="A1498" s="15" t="s">
        <v>2270</v>
      </c>
      <c r="B1498" s="13" t="s">
        <v>13</v>
      </c>
      <c r="C1498" s="22" t="s">
        <v>30</v>
      </c>
      <c r="D1498" s="29">
        <v>44524</v>
      </c>
      <c r="E1498" s="18" t="s">
        <v>23</v>
      </c>
      <c r="F1498" s="18"/>
      <c r="G1498" s="13"/>
      <c r="H1498" s="31"/>
      <c r="I1498" s="13" t="s">
        <v>733</v>
      </c>
      <c r="J1498" s="13"/>
      <c r="K1498" s="13" t="s">
        <v>75</v>
      </c>
      <c r="L1498" s="13"/>
      <c r="M1498" s="13"/>
      <c r="N1498" s="13"/>
      <c r="O1498" s="13"/>
      <c r="P1498" s="13"/>
      <c r="Q1498" s="13"/>
      <c r="R1498" s="13"/>
      <c r="S1498" s="13" t="s">
        <v>2271</v>
      </c>
      <c r="T1498" s="13"/>
      <c r="U1498" s="13"/>
      <c r="V1498" s="13"/>
      <c r="W1498" s="13"/>
      <c r="X1498" s="13"/>
    </row>
    <row r="1499" spans="1:24" x14ac:dyDescent="0.25">
      <c r="A1499" s="15" t="s">
        <v>2270</v>
      </c>
      <c r="B1499" s="13" t="s">
        <v>13</v>
      </c>
      <c r="C1499" s="22" t="s">
        <v>30</v>
      </c>
      <c r="D1499" s="29">
        <v>44524</v>
      </c>
      <c r="E1499" s="18" t="s">
        <v>23</v>
      </c>
      <c r="F1499" s="18"/>
      <c r="G1499" s="13"/>
      <c r="H1499" s="31"/>
      <c r="I1499" s="13" t="s">
        <v>1255</v>
      </c>
      <c r="J1499" s="13"/>
      <c r="K1499" s="13" t="s">
        <v>75</v>
      </c>
      <c r="L1499" s="13"/>
      <c r="M1499" s="13"/>
      <c r="N1499" s="13"/>
      <c r="O1499" s="13"/>
      <c r="P1499" s="13"/>
      <c r="Q1499" s="13"/>
      <c r="R1499" s="13"/>
      <c r="S1499" s="13" t="s">
        <v>502</v>
      </c>
      <c r="T1499" s="13"/>
      <c r="U1499" s="13"/>
      <c r="V1499" s="13"/>
      <c r="W1499" s="13"/>
      <c r="X1499" s="13"/>
    </row>
    <row r="1500" spans="1:24" x14ac:dyDescent="0.25">
      <c r="A1500" s="15" t="s">
        <v>2270</v>
      </c>
      <c r="B1500" s="13" t="s">
        <v>13</v>
      </c>
      <c r="C1500" s="22" t="s">
        <v>30</v>
      </c>
      <c r="D1500" s="29">
        <v>44524</v>
      </c>
      <c r="E1500" s="18" t="s">
        <v>23</v>
      </c>
      <c r="F1500" s="18"/>
      <c r="G1500" s="13"/>
      <c r="H1500" s="31"/>
      <c r="I1500" s="13" t="s">
        <v>739</v>
      </c>
      <c r="J1500" s="13"/>
      <c r="K1500" s="13" t="s">
        <v>123</v>
      </c>
      <c r="L1500" s="13"/>
      <c r="M1500" s="13"/>
      <c r="N1500" s="13"/>
      <c r="O1500" s="13"/>
      <c r="P1500" s="13"/>
      <c r="Q1500" s="13"/>
      <c r="R1500" s="13"/>
      <c r="S1500" s="13" t="s">
        <v>617</v>
      </c>
      <c r="T1500" s="13"/>
      <c r="U1500" s="13"/>
      <c r="V1500" s="13"/>
      <c r="W1500" s="13"/>
      <c r="X1500" s="13"/>
    </row>
    <row r="1501" spans="1:24" x14ac:dyDescent="0.25">
      <c r="A1501" s="15" t="s">
        <v>2270</v>
      </c>
      <c r="B1501" s="13" t="s">
        <v>13</v>
      </c>
      <c r="C1501" s="22" t="s">
        <v>30</v>
      </c>
      <c r="D1501" s="29">
        <v>44524</v>
      </c>
      <c r="E1501" s="18" t="s">
        <v>23</v>
      </c>
      <c r="F1501" s="18"/>
      <c r="G1501" s="13"/>
      <c r="H1501" s="31"/>
      <c r="I1501" s="13" t="s">
        <v>740</v>
      </c>
      <c r="J1501" s="13"/>
      <c r="K1501" s="13" t="s">
        <v>181</v>
      </c>
      <c r="L1501" s="13"/>
      <c r="M1501" s="13"/>
      <c r="N1501" s="13"/>
      <c r="O1501" s="13"/>
      <c r="P1501" s="13"/>
      <c r="Q1501" s="13"/>
      <c r="R1501" s="13"/>
      <c r="S1501" s="13" t="s">
        <v>2272</v>
      </c>
      <c r="T1501" s="13"/>
      <c r="U1501" s="13"/>
      <c r="V1501" s="13"/>
      <c r="W1501" s="13"/>
      <c r="X1501" s="13"/>
    </row>
    <row r="1502" spans="1:24" x14ac:dyDescent="0.25">
      <c r="A1502" s="15" t="s">
        <v>2270</v>
      </c>
      <c r="B1502" s="13" t="s">
        <v>13</v>
      </c>
      <c r="C1502" s="22" t="s">
        <v>30</v>
      </c>
      <c r="D1502" s="29">
        <v>44524</v>
      </c>
      <c r="E1502" s="18" t="s">
        <v>23</v>
      </c>
      <c r="F1502" s="18"/>
      <c r="G1502" s="13"/>
      <c r="H1502" s="31"/>
      <c r="I1502" s="13" t="s">
        <v>1243</v>
      </c>
      <c r="J1502" s="13"/>
      <c r="K1502" s="13" t="s">
        <v>123</v>
      </c>
      <c r="L1502" s="13"/>
      <c r="M1502" s="13"/>
      <c r="N1502" s="13"/>
      <c r="O1502" s="13"/>
      <c r="P1502" s="13"/>
      <c r="Q1502" s="13"/>
      <c r="R1502" s="13"/>
      <c r="S1502" s="13" t="s">
        <v>2273</v>
      </c>
      <c r="T1502" s="13"/>
      <c r="U1502" s="13"/>
      <c r="V1502" s="13"/>
      <c r="W1502" s="13"/>
      <c r="X1502" s="13"/>
    </row>
    <row r="1503" spans="1:24" x14ac:dyDescent="0.25">
      <c r="A1503" s="15" t="s">
        <v>2270</v>
      </c>
      <c r="B1503" s="13" t="s">
        <v>13</v>
      </c>
      <c r="C1503" s="22" t="s">
        <v>30</v>
      </c>
      <c r="D1503" s="29">
        <v>44524</v>
      </c>
      <c r="E1503" s="18" t="s">
        <v>23</v>
      </c>
      <c r="F1503" s="18"/>
      <c r="G1503" s="13"/>
      <c r="H1503" s="31"/>
      <c r="I1503" s="13" t="s">
        <v>741</v>
      </c>
      <c r="J1503" s="13"/>
      <c r="K1503" s="13" t="s">
        <v>36</v>
      </c>
      <c r="L1503" s="13"/>
      <c r="M1503" s="13"/>
      <c r="N1503" s="13"/>
      <c r="O1503" s="13"/>
      <c r="P1503" s="13"/>
      <c r="Q1503" s="13"/>
      <c r="R1503" s="13"/>
      <c r="S1503" s="13" t="s">
        <v>2274</v>
      </c>
      <c r="T1503" s="13"/>
      <c r="U1503" s="13"/>
      <c r="V1503" s="13"/>
      <c r="W1503" s="13"/>
      <c r="X1503" s="13"/>
    </row>
    <row r="1504" spans="1:24" x14ac:dyDescent="0.25">
      <c r="A1504" s="15" t="s">
        <v>2270</v>
      </c>
      <c r="B1504" s="13" t="s">
        <v>13</v>
      </c>
      <c r="C1504" s="22" t="s">
        <v>30</v>
      </c>
      <c r="D1504" s="29">
        <v>44524</v>
      </c>
      <c r="E1504" s="18" t="s">
        <v>23</v>
      </c>
      <c r="F1504" s="18"/>
      <c r="G1504" s="13"/>
      <c r="H1504" s="31"/>
      <c r="I1504" s="13" t="s">
        <v>206</v>
      </c>
      <c r="J1504" s="13"/>
      <c r="K1504" s="13" t="s">
        <v>1251</v>
      </c>
      <c r="L1504" s="13"/>
      <c r="M1504" s="13"/>
      <c r="N1504" s="13"/>
      <c r="O1504" s="13"/>
      <c r="P1504" s="13"/>
      <c r="Q1504" s="13"/>
      <c r="R1504" s="13"/>
      <c r="S1504" s="13" t="s">
        <v>858</v>
      </c>
      <c r="T1504" s="13"/>
      <c r="U1504" s="13"/>
      <c r="V1504" s="13"/>
      <c r="W1504" s="13"/>
      <c r="X1504" s="13"/>
    </row>
    <row r="1505" spans="1:24" x14ac:dyDescent="0.25">
      <c r="A1505" s="15" t="s">
        <v>2276</v>
      </c>
      <c r="B1505" s="13" t="s">
        <v>34</v>
      </c>
      <c r="C1505" s="22" t="s">
        <v>16</v>
      </c>
      <c r="D1505" s="29">
        <v>44525</v>
      </c>
      <c r="E1505" s="18" t="s">
        <v>23</v>
      </c>
      <c r="F1505" s="18"/>
      <c r="G1505" s="13" t="s">
        <v>2321</v>
      </c>
      <c r="H1505" s="31"/>
      <c r="I1505" s="13" t="s">
        <v>995</v>
      </c>
      <c r="J1505" s="13">
        <v>312</v>
      </c>
      <c r="K1505" s="13" t="s">
        <v>302</v>
      </c>
      <c r="L1505" s="13">
        <v>0.56989999999999996</v>
      </c>
      <c r="M1505" s="13">
        <v>1.304</v>
      </c>
      <c r="N1505" s="13">
        <v>177.80879999999999</v>
      </c>
      <c r="O1505" s="13">
        <v>406.84800000000001</v>
      </c>
      <c r="P1505" s="13">
        <v>23.12</v>
      </c>
      <c r="Q1505" s="13">
        <v>216.56</v>
      </c>
      <c r="R1505" s="13">
        <v>380</v>
      </c>
      <c r="S1505" s="13">
        <v>67566.720000000001</v>
      </c>
      <c r="T1505" s="13"/>
      <c r="U1505" s="13"/>
      <c r="V1505" s="13"/>
      <c r="W1505" s="13"/>
      <c r="X1505" s="13"/>
    </row>
    <row r="1506" spans="1:24" x14ac:dyDescent="0.25">
      <c r="A1506" s="15" t="s">
        <v>2275</v>
      </c>
      <c r="B1506" s="13" t="s">
        <v>34</v>
      </c>
      <c r="C1506" s="16" t="s">
        <v>16</v>
      </c>
      <c r="D1506" s="29">
        <v>44525</v>
      </c>
      <c r="E1506" s="18" t="s">
        <v>23</v>
      </c>
      <c r="F1506" s="18"/>
      <c r="G1506" s="13" t="s">
        <v>2483</v>
      </c>
      <c r="H1506" s="31"/>
      <c r="I1506" s="13" t="s">
        <v>866</v>
      </c>
      <c r="J1506" s="13">
        <v>1266</v>
      </c>
      <c r="K1506" s="13" t="s">
        <v>2277</v>
      </c>
      <c r="L1506" s="13">
        <v>0.15909999999999999</v>
      </c>
      <c r="M1506" s="13">
        <v>0.26</v>
      </c>
      <c r="N1506" s="13">
        <v>201.42060000000001</v>
      </c>
      <c r="O1506" s="13">
        <v>329.16</v>
      </c>
      <c r="P1506" s="13">
        <v>26.18</v>
      </c>
      <c r="Q1506" s="13">
        <v>60.46</v>
      </c>
      <c r="R1506" s="13">
        <v>380</v>
      </c>
      <c r="S1506" s="13">
        <v>76539.83</v>
      </c>
      <c r="T1506" s="13"/>
      <c r="U1506" s="13"/>
      <c r="V1506" s="13"/>
      <c r="W1506" s="13"/>
      <c r="X1506" s="13"/>
    </row>
    <row r="1507" spans="1:24" x14ac:dyDescent="0.25">
      <c r="A1507" s="197" t="s">
        <v>2279</v>
      </c>
      <c r="B1507" s="13" t="s">
        <v>34</v>
      </c>
      <c r="C1507" s="16" t="s">
        <v>16</v>
      </c>
      <c r="D1507" s="29">
        <v>44525</v>
      </c>
      <c r="E1507" s="18" t="s">
        <v>23</v>
      </c>
      <c r="F1507" s="18"/>
      <c r="G1507" s="13"/>
      <c r="H1507" s="31"/>
      <c r="I1507" s="13" t="s">
        <v>791</v>
      </c>
      <c r="J1507" s="13">
        <v>918</v>
      </c>
      <c r="K1507" s="13" t="s">
        <v>2278</v>
      </c>
      <c r="L1507" s="13">
        <v>0.3498</v>
      </c>
      <c r="M1507" s="13">
        <v>1.425</v>
      </c>
      <c r="N1507" s="13">
        <v>321.1164</v>
      </c>
      <c r="O1507" s="13">
        <v>1308.1500000000001</v>
      </c>
      <c r="P1507" s="13">
        <v>41.75</v>
      </c>
      <c r="Q1507" s="13">
        <v>104.94</v>
      </c>
      <c r="R1507" s="13">
        <v>300</v>
      </c>
      <c r="S1507" s="13">
        <v>96334.92</v>
      </c>
      <c r="T1507" s="13"/>
      <c r="U1507" s="13"/>
      <c r="V1507" s="13"/>
      <c r="W1507" s="13"/>
      <c r="X1507" s="13"/>
    </row>
    <row r="1508" spans="1:24" x14ac:dyDescent="0.25">
      <c r="A1508" s="15">
        <v>547</v>
      </c>
      <c r="B1508" s="13" t="s">
        <v>13</v>
      </c>
      <c r="C1508" s="22" t="s">
        <v>625</v>
      </c>
      <c r="D1508" s="29">
        <v>44525</v>
      </c>
      <c r="E1508" s="18" t="s">
        <v>23</v>
      </c>
      <c r="F1508" s="18"/>
      <c r="G1508" s="13"/>
      <c r="H1508" s="31"/>
      <c r="I1508" s="13" t="s">
        <v>2280</v>
      </c>
      <c r="J1508" s="13">
        <v>801</v>
      </c>
      <c r="K1508" s="13" t="s">
        <v>382</v>
      </c>
      <c r="L1508" s="13">
        <v>0.1973</v>
      </c>
      <c r="M1508" s="13">
        <v>0.34399999999999997</v>
      </c>
      <c r="N1508" s="13">
        <v>158.03729999999999</v>
      </c>
      <c r="O1508" s="13">
        <v>275.54399999999998</v>
      </c>
      <c r="P1508" s="13">
        <v>20.54</v>
      </c>
      <c r="Q1508" s="13">
        <v>59.19</v>
      </c>
      <c r="R1508" s="13">
        <v>300</v>
      </c>
      <c r="S1508" s="13">
        <v>47411.19</v>
      </c>
      <c r="T1508" s="13"/>
      <c r="U1508" s="13"/>
      <c r="V1508" s="13"/>
      <c r="W1508" s="13"/>
      <c r="X1508" s="13"/>
    </row>
    <row r="1509" spans="1:24" x14ac:dyDescent="0.25">
      <c r="A1509" s="15">
        <v>548</v>
      </c>
      <c r="B1509" s="13" t="s">
        <v>13</v>
      </c>
      <c r="C1509" s="22" t="s">
        <v>625</v>
      </c>
      <c r="D1509" s="29">
        <v>44525</v>
      </c>
      <c r="E1509" s="18" t="s">
        <v>23</v>
      </c>
      <c r="F1509" s="18"/>
      <c r="G1509" s="13"/>
      <c r="H1509" s="31"/>
      <c r="I1509" s="13" t="s">
        <v>1684</v>
      </c>
      <c r="J1509" s="13">
        <v>1401</v>
      </c>
      <c r="K1509" s="13" t="s">
        <v>2281</v>
      </c>
      <c r="L1509" s="13">
        <v>0.13450000000000001</v>
      </c>
      <c r="M1509" s="13">
        <v>0.35499999999999998</v>
      </c>
      <c r="N1509" s="13">
        <v>188.43450000000001</v>
      </c>
      <c r="O1509" s="13">
        <v>497.35500000000002</v>
      </c>
      <c r="P1509" s="13">
        <v>24.5</v>
      </c>
      <c r="Q1509" s="13">
        <v>26.9</v>
      </c>
      <c r="R1509" s="13">
        <v>200</v>
      </c>
      <c r="S1509" s="13">
        <v>37686.9</v>
      </c>
      <c r="T1509" s="13"/>
      <c r="U1509" s="13"/>
      <c r="V1509" s="13"/>
      <c r="W1509" s="13"/>
      <c r="X1509" s="13"/>
    </row>
    <row r="1510" spans="1:24" s="25" customFormat="1" x14ac:dyDescent="0.25">
      <c r="A1510" s="20">
        <v>549</v>
      </c>
      <c r="B1510" s="21" t="s">
        <v>13</v>
      </c>
      <c r="C1510" s="22" t="s">
        <v>32</v>
      </c>
      <c r="D1510" s="17">
        <v>44525</v>
      </c>
      <c r="E1510" s="23" t="s">
        <v>23</v>
      </c>
      <c r="F1510" s="23"/>
      <c r="G1510" s="21"/>
      <c r="H1510" s="30"/>
      <c r="I1510" s="21" t="s">
        <v>2024</v>
      </c>
      <c r="J1510" s="21">
        <v>2454.1</v>
      </c>
      <c r="K1510" s="21" t="s">
        <v>2282</v>
      </c>
      <c r="L1510" s="21">
        <v>9.5600000000000004E-2</v>
      </c>
      <c r="M1510" s="21">
        <v>0.16</v>
      </c>
      <c r="N1510" s="21">
        <v>234.61199999999999</v>
      </c>
      <c r="O1510" s="21">
        <v>392.65600000000001</v>
      </c>
      <c r="P1510" s="21">
        <v>30.5</v>
      </c>
      <c r="Q1510" s="21">
        <v>24</v>
      </c>
      <c r="R1510" s="21">
        <v>251</v>
      </c>
      <c r="S1510" s="21">
        <v>58887.6</v>
      </c>
      <c r="T1510" s="21"/>
      <c r="U1510" s="21"/>
      <c r="V1510" s="21"/>
      <c r="W1510" s="21"/>
      <c r="X1510" s="21"/>
    </row>
    <row r="1511" spans="1:24" x14ac:dyDescent="0.25">
      <c r="A1511" s="15">
        <v>549</v>
      </c>
      <c r="B1511" s="13" t="s">
        <v>13</v>
      </c>
      <c r="C1511" s="16" t="s">
        <v>32</v>
      </c>
      <c r="D1511" s="29">
        <v>44525</v>
      </c>
      <c r="E1511" s="18" t="s">
        <v>23</v>
      </c>
      <c r="F1511" s="18"/>
      <c r="G1511" s="13"/>
      <c r="H1511" s="31"/>
      <c r="I1511" s="13" t="s">
        <v>1218</v>
      </c>
      <c r="J1511" s="13">
        <v>1181.9000000000001</v>
      </c>
      <c r="K1511" s="13" t="s">
        <v>661</v>
      </c>
      <c r="L1511" s="13">
        <v>0.2651</v>
      </c>
      <c r="M1511" s="13">
        <v>0.82099999999999995</v>
      </c>
      <c r="N1511" s="13">
        <v>313.32170000000002</v>
      </c>
      <c r="O1511" s="13">
        <v>970.33989999999994</v>
      </c>
      <c r="P1511" s="13">
        <v>40.729999999999997</v>
      </c>
      <c r="Q1511" s="13">
        <v>53.02</v>
      </c>
      <c r="R1511" s="13">
        <v>200</v>
      </c>
      <c r="S1511" s="13">
        <v>62664.34</v>
      </c>
      <c r="T1511" s="13"/>
      <c r="U1511" s="13"/>
      <c r="V1511" s="13"/>
      <c r="W1511" s="13"/>
      <c r="X1511" s="13"/>
    </row>
    <row r="1512" spans="1:24" x14ac:dyDescent="0.25">
      <c r="A1512" s="15">
        <v>551</v>
      </c>
      <c r="B1512" s="13" t="s">
        <v>13</v>
      </c>
      <c r="C1512" s="22" t="s">
        <v>28</v>
      </c>
      <c r="D1512" s="29">
        <v>44525</v>
      </c>
      <c r="E1512" s="18" t="s">
        <v>23</v>
      </c>
      <c r="F1512" s="18"/>
      <c r="G1512" s="13" t="s">
        <v>2329</v>
      </c>
      <c r="H1512" s="31"/>
      <c r="I1512" s="13" t="s">
        <v>2050</v>
      </c>
      <c r="J1512" s="13">
        <v>1764</v>
      </c>
      <c r="K1512" s="13" t="s">
        <v>2285</v>
      </c>
      <c r="L1512" s="13">
        <v>0.30719999999999997</v>
      </c>
      <c r="M1512" s="13">
        <v>0.69199999999999995</v>
      </c>
      <c r="N1512" s="13">
        <v>541.9008</v>
      </c>
      <c r="O1512" s="13">
        <v>1220.6880000000001</v>
      </c>
      <c r="P1512" s="13">
        <v>70.45</v>
      </c>
      <c r="Q1512" s="13">
        <v>95.23</v>
      </c>
      <c r="R1512" s="13">
        <v>310</v>
      </c>
      <c r="S1512" s="13">
        <v>167989.25</v>
      </c>
      <c r="T1512" s="13"/>
      <c r="U1512" s="13"/>
      <c r="V1512" s="13"/>
      <c r="W1512" s="13"/>
      <c r="X1512" s="13"/>
    </row>
    <row r="1513" spans="1:24" x14ac:dyDescent="0.25">
      <c r="A1513" s="15">
        <v>552</v>
      </c>
      <c r="B1513" s="13" t="s">
        <v>13</v>
      </c>
      <c r="C1513" s="22" t="s">
        <v>292</v>
      </c>
      <c r="D1513" s="29">
        <v>44525</v>
      </c>
      <c r="E1513" s="18" t="s">
        <v>23</v>
      </c>
      <c r="F1513" s="18"/>
      <c r="G1513" s="13"/>
      <c r="H1513" s="31"/>
      <c r="I1513" s="13" t="s">
        <v>2140</v>
      </c>
      <c r="J1513" s="13">
        <v>134.4</v>
      </c>
      <c r="K1513" s="13" t="s">
        <v>207</v>
      </c>
      <c r="L1513" s="13">
        <v>0.3266</v>
      </c>
      <c r="M1513" s="13">
        <v>0.84099999999999997</v>
      </c>
      <c r="N1513" s="13">
        <v>43.895000000000003</v>
      </c>
      <c r="O1513" s="13">
        <v>113.0304</v>
      </c>
      <c r="P1513" s="13">
        <v>5.71</v>
      </c>
      <c r="Q1513" s="13">
        <v>101.25</v>
      </c>
      <c r="R1513" s="13">
        <v>310</v>
      </c>
      <c r="S1513" s="13">
        <v>13607.46</v>
      </c>
      <c r="T1513" s="13"/>
      <c r="U1513" s="13"/>
      <c r="V1513" s="13"/>
      <c r="W1513" s="13"/>
      <c r="X1513" s="13"/>
    </row>
    <row r="1514" spans="1:24" x14ac:dyDescent="0.25">
      <c r="A1514" s="15" t="s">
        <v>2292</v>
      </c>
      <c r="B1514" s="13" t="s">
        <v>13</v>
      </c>
      <c r="C1514" s="16" t="s">
        <v>45</v>
      </c>
      <c r="D1514" s="29">
        <v>44525</v>
      </c>
      <c r="E1514" s="18" t="s">
        <v>23</v>
      </c>
      <c r="F1514" s="18"/>
      <c r="G1514" s="13"/>
      <c r="H1514" s="31"/>
      <c r="I1514" s="13" t="s">
        <v>58</v>
      </c>
      <c r="J1514" s="13">
        <v>58.9</v>
      </c>
      <c r="K1514" s="13" t="s">
        <v>304</v>
      </c>
      <c r="L1514" s="13">
        <v>0.9929</v>
      </c>
      <c r="M1514" s="13">
        <v>4.5880000000000001</v>
      </c>
      <c r="N1514" s="13">
        <v>58.4818</v>
      </c>
      <c r="O1514" s="13">
        <v>270.23320000000001</v>
      </c>
      <c r="P1514" s="13">
        <v>7.6</v>
      </c>
      <c r="Q1514" s="13">
        <v>273.05</v>
      </c>
      <c r="R1514" s="13">
        <v>275</v>
      </c>
      <c r="S1514" s="13">
        <v>16082.5</v>
      </c>
      <c r="T1514" s="13"/>
      <c r="U1514" s="13"/>
      <c r="V1514" s="13"/>
      <c r="W1514" s="13"/>
      <c r="X1514" s="13"/>
    </row>
    <row r="1515" spans="1:24" x14ac:dyDescent="0.25">
      <c r="A1515" s="15" t="s">
        <v>2287</v>
      </c>
      <c r="B1515" s="13" t="s">
        <v>13</v>
      </c>
      <c r="C1515" s="16" t="s">
        <v>480</v>
      </c>
      <c r="D1515" s="29">
        <v>44525</v>
      </c>
      <c r="E1515" s="18" t="s">
        <v>23</v>
      </c>
      <c r="F1515" s="18"/>
      <c r="G1515" s="13"/>
      <c r="H1515" s="19">
        <v>44532</v>
      </c>
      <c r="I1515" s="13" t="s">
        <v>481</v>
      </c>
      <c r="J1515" s="13" t="s">
        <v>2288</v>
      </c>
      <c r="K1515" s="13">
        <v>61</v>
      </c>
      <c r="L1515" s="13"/>
      <c r="M1515" s="13"/>
      <c r="N1515" s="13"/>
      <c r="O1515" s="13"/>
      <c r="P1515" s="13"/>
      <c r="Q1515" s="13"/>
      <c r="R1515" s="13"/>
      <c r="S1515" s="13">
        <v>30000</v>
      </c>
      <c r="T1515" s="13"/>
      <c r="U1515" s="13"/>
      <c r="V1515" s="13"/>
      <c r="W1515" s="13"/>
      <c r="X1515" s="13"/>
    </row>
    <row r="1516" spans="1:24" x14ac:dyDescent="0.25">
      <c r="A1516" s="15">
        <v>556</v>
      </c>
      <c r="B1516" s="13" t="s">
        <v>34</v>
      </c>
      <c r="C1516" s="16" t="s">
        <v>79</v>
      </c>
      <c r="D1516" s="29">
        <v>44526</v>
      </c>
      <c r="E1516" s="18" t="s">
        <v>23</v>
      </c>
      <c r="F1516" s="18"/>
      <c r="G1516" s="13" t="s">
        <v>2359</v>
      </c>
      <c r="H1516" s="31"/>
      <c r="I1516" s="13" t="s">
        <v>78</v>
      </c>
      <c r="J1516" s="13">
        <v>1056</v>
      </c>
      <c r="K1516" s="13" t="s">
        <v>340</v>
      </c>
      <c r="L1516" s="13">
        <v>0.20230000000000001</v>
      </c>
      <c r="M1516" s="13">
        <v>0.499</v>
      </c>
      <c r="N1516" s="13">
        <v>213.62880000000001</v>
      </c>
      <c r="O1516" s="13">
        <v>526.94399999999996</v>
      </c>
      <c r="P1516" s="13">
        <v>27.77</v>
      </c>
      <c r="Q1516" s="13">
        <v>37.43</v>
      </c>
      <c r="R1516" s="13">
        <v>185</v>
      </c>
      <c r="S1516" s="13">
        <v>39521.33</v>
      </c>
      <c r="T1516" s="13"/>
      <c r="U1516" s="13"/>
      <c r="V1516" s="13"/>
      <c r="W1516" s="13"/>
      <c r="X1516" s="13"/>
    </row>
    <row r="1517" spans="1:24" x14ac:dyDescent="0.25">
      <c r="A1517" s="15">
        <v>557</v>
      </c>
      <c r="B1517" s="13" t="s">
        <v>13</v>
      </c>
      <c r="C1517" s="22" t="s">
        <v>45</v>
      </c>
      <c r="D1517" s="29">
        <v>44529</v>
      </c>
      <c r="E1517" s="18" t="s">
        <v>23</v>
      </c>
      <c r="F1517" s="18"/>
      <c r="G1517" s="13"/>
      <c r="H1517" s="31"/>
      <c r="I1517" s="13" t="s">
        <v>58</v>
      </c>
      <c r="J1517" s="13">
        <v>74.400000000000006</v>
      </c>
      <c r="K1517" s="13" t="s">
        <v>562</v>
      </c>
      <c r="L1517" s="13">
        <v>0.9929</v>
      </c>
      <c r="M1517" s="13">
        <v>4.5880000000000001</v>
      </c>
      <c r="N1517" s="13">
        <v>73.871799999999993</v>
      </c>
      <c r="O1517" s="13">
        <v>341.34719999999999</v>
      </c>
      <c r="P1517" s="13">
        <v>9.6</v>
      </c>
      <c r="Q1517" s="13">
        <v>273.05</v>
      </c>
      <c r="R1517" s="13">
        <v>275</v>
      </c>
      <c r="S1517" s="13">
        <v>20314.919999999998</v>
      </c>
      <c r="T1517" s="13"/>
      <c r="U1517" s="13"/>
      <c r="V1517" s="13"/>
      <c r="W1517" s="13"/>
      <c r="X1517" s="13"/>
    </row>
    <row r="1518" spans="1:24" s="25" customFormat="1" ht="30.75" x14ac:dyDescent="0.25">
      <c r="A1518" s="20" t="s">
        <v>2301</v>
      </c>
      <c r="B1518" s="21" t="s">
        <v>13</v>
      </c>
      <c r="C1518" s="22" t="s">
        <v>2303</v>
      </c>
      <c r="D1518" s="17">
        <v>44529</v>
      </c>
      <c r="E1518" s="23" t="s">
        <v>23</v>
      </c>
      <c r="F1518" s="23"/>
      <c r="G1518" s="21"/>
      <c r="H1518" s="30"/>
      <c r="I1518" s="99" t="s">
        <v>676</v>
      </c>
      <c r="J1518" s="21">
        <v>9351</v>
      </c>
      <c r="K1518" s="21">
        <v>3117</v>
      </c>
      <c r="L1518" s="21"/>
      <c r="M1518" s="21"/>
      <c r="N1518" s="21"/>
      <c r="O1518" s="21"/>
      <c r="P1518" s="21"/>
      <c r="Q1518" s="21"/>
      <c r="R1518" s="21"/>
      <c r="S1518" s="21" t="s">
        <v>2302</v>
      </c>
      <c r="T1518" s="21"/>
      <c r="U1518" s="21"/>
      <c r="V1518" s="21"/>
      <c r="W1518" s="21"/>
      <c r="X1518" s="21"/>
    </row>
    <row r="1519" spans="1:24" s="25" customFormat="1" ht="30.75" x14ac:dyDescent="0.25">
      <c r="A1519" s="20" t="s">
        <v>2304</v>
      </c>
      <c r="B1519" s="21" t="s">
        <v>13</v>
      </c>
      <c r="C1519" s="22" t="s">
        <v>653</v>
      </c>
      <c r="D1519" s="17">
        <v>44530</v>
      </c>
      <c r="E1519" s="23" t="s">
        <v>23</v>
      </c>
      <c r="F1519" s="23">
        <f>8320+3834</f>
        <v>12154</v>
      </c>
      <c r="G1519" s="21" t="s">
        <v>2905</v>
      </c>
      <c r="H1519" s="30"/>
      <c r="I1519" s="99" t="s">
        <v>1876</v>
      </c>
      <c r="J1519" s="21">
        <v>36510</v>
      </c>
      <c r="K1519" s="21">
        <v>12170</v>
      </c>
      <c r="L1519" s="21"/>
      <c r="M1519" s="21"/>
      <c r="N1519" s="21"/>
      <c r="O1519" s="21"/>
      <c r="P1519" s="21"/>
      <c r="Q1519" s="21"/>
      <c r="R1519" s="21"/>
      <c r="S1519" s="21" t="s">
        <v>2306</v>
      </c>
      <c r="T1519" s="21"/>
      <c r="U1519" s="21"/>
      <c r="V1519" s="21"/>
      <c r="W1519" s="21"/>
      <c r="X1519" s="21"/>
    </row>
    <row r="1520" spans="1:24" ht="15" customHeight="1" x14ac:dyDescent="0.25">
      <c r="A1520" s="15" t="s">
        <v>2304</v>
      </c>
      <c r="B1520" s="13" t="s">
        <v>13</v>
      </c>
      <c r="C1520" s="22" t="s">
        <v>653</v>
      </c>
      <c r="D1520" s="29">
        <v>44530</v>
      </c>
      <c r="E1520" s="18" t="s">
        <v>23</v>
      </c>
      <c r="F1520" s="18"/>
      <c r="G1520" s="13"/>
      <c r="H1520" s="31"/>
      <c r="I1520" s="74" t="s">
        <v>773</v>
      </c>
      <c r="J1520" s="13">
        <v>17535</v>
      </c>
      <c r="K1520" s="13">
        <v>3507</v>
      </c>
      <c r="L1520" s="13"/>
      <c r="M1520" s="13"/>
      <c r="N1520" s="13"/>
      <c r="O1520" s="13"/>
      <c r="P1520" s="13"/>
      <c r="Q1520" s="13"/>
      <c r="R1520" s="13"/>
      <c r="S1520" s="13" t="s">
        <v>2322</v>
      </c>
      <c r="T1520" s="13"/>
      <c r="U1520" s="13"/>
      <c r="V1520" s="13"/>
      <c r="W1520" s="13"/>
      <c r="X1520" s="13"/>
    </row>
    <row r="1521" spans="1:24" x14ac:dyDescent="0.25">
      <c r="A1521" s="15" t="s">
        <v>2310</v>
      </c>
      <c r="B1521" s="13" t="s">
        <v>34</v>
      </c>
      <c r="C1521" s="16" t="s">
        <v>576</v>
      </c>
      <c r="D1521" s="29">
        <v>44530</v>
      </c>
      <c r="E1521" s="18" t="s">
        <v>23</v>
      </c>
      <c r="F1521" s="18"/>
      <c r="G1521" s="13"/>
      <c r="H1521" s="31"/>
      <c r="I1521" s="13" t="s">
        <v>499</v>
      </c>
      <c r="J1521" s="13" t="s">
        <v>2305</v>
      </c>
      <c r="K1521" s="13"/>
      <c r="L1521" s="13"/>
      <c r="M1521" s="13"/>
      <c r="N1521" s="13"/>
      <c r="O1521" s="13"/>
      <c r="P1521" s="13"/>
      <c r="Q1521" s="13"/>
      <c r="R1521" s="13"/>
      <c r="S1521" s="13" t="s">
        <v>2307</v>
      </c>
      <c r="T1521" s="13"/>
      <c r="U1521" s="13"/>
      <c r="V1521" s="13"/>
      <c r="W1521" s="13"/>
      <c r="X1521" s="13"/>
    </row>
    <row r="1522" spans="1:24" x14ac:dyDescent="0.25">
      <c r="A1522" s="15" t="s">
        <v>2310</v>
      </c>
      <c r="B1522" s="13" t="s">
        <v>34</v>
      </c>
      <c r="C1522" s="16" t="s">
        <v>576</v>
      </c>
      <c r="D1522" s="29">
        <v>44530</v>
      </c>
      <c r="E1522" s="18" t="s">
        <v>23</v>
      </c>
      <c r="F1522" s="18"/>
      <c r="G1522" s="13"/>
      <c r="H1522" s="31"/>
      <c r="I1522" s="13" t="s">
        <v>499</v>
      </c>
      <c r="J1522" s="13" t="s">
        <v>2311</v>
      </c>
      <c r="K1522" s="13"/>
      <c r="L1522" s="13"/>
      <c r="M1522" s="13"/>
      <c r="N1522" s="13"/>
      <c r="O1522" s="13"/>
      <c r="P1522" s="13"/>
      <c r="Q1522" s="13"/>
      <c r="R1522" s="13"/>
      <c r="S1522" s="13"/>
      <c r="T1522" s="13"/>
      <c r="U1522" s="13"/>
      <c r="V1522" s="13"/>
      <c r="W1522" s="13"/>
      <c r="X1522" s="13"/>
    </row>
    <row r="1523" spans="1:24" x14ac:dyDescent="0.25">
      <c r="A1523" s="15" t="s">
        <v>2310</v>
      </c>
      <c r="B1523" s="13" t="s">
        <v>34</v>
      </c>
      <c r="C1523" s="16" t="s">
        <v>576</v>
      </c>
      <c r="D1523" s="29">
        <v>44530</v>
      </c>
      <c r="E1523" s="18" t="s">
        <v>23</v>
      </c>
      <c r="F1523" s="18"/>
      <c r="G1523" s="13"/>
      <c r="H1523" s="31"/>
      <c r="I1523" s="13" t="s">
        <v>2308</v>
      </c>
      <c r="J1523" s="13" t="s">
        <v>2312</v>
      </c>
      <c r="K1523" s="13"/>
      <c r="L1523" s="13"/>
      <c r="M1523" s="13"/>
      <c r="N1523" s="13"/>
      <c r="O1523" s="13"/>
      <c r="P1523" s="13"/>
      <c r="Q1523" s="13"/>
      <c r="R1523" s="13"/>
      <c r="S1523" s="13"/>
      <c r="T1523" s="13"/>
      <c r="U1523" s="13"/>
      <c r="V1523" s="13"/>
      <c r="W1523" s="13"/>
      <c r="X1523" s="13"/>
    </row>
    <row r="1524" spans="1:24" x14ac:dyDescent="0.25">
      <c r="A1524" s="15" t="s">
        <v>2310</v>
      </c>
      <c r="B1524" s="13" t="s">
        <v>34</v>
      </c>
      <c r="C1524" s="16" t="s">
        <v>576</v>
      </c>
      <c r="D1524" s="29">
        <v>44530</v>
      </c>
      <c r="E1524" s="18" t="s">
        <v>23</v>
      </c>
      <c r="F1524" s="18"/>
      <c r="G1524" s="13"/>
      <c r="H1524" s="31"/>
      <c r="I1524" s="13" t="s">
        <v>2309</v>
      </c>
      <c r="J1524" s="13" t="s">
        <v>2313</v>
      </c>
      <c r="K1524" s="13"/>
      <c r="L1524" s="13"/>
      <c r="M1524" s="13"/>
      <c r="N1524" s="13"/>
      <c r="O1524" s="13"/>
      <c r="P1524" s="13"/>
      <c r="Q1524" s="13"/>
      <c r="R1524" s="13"/>
      <c r="S1524" s="13"/>
      <c r="T1524" s="13"/>
      <c r="U1524" s="13"/>
      <c r="V1524" s="13"/>
      <c r="W1524" s="13"/>
      <c r="X1524" s="13"/>
    </row>
    <row r="1525" spans="1:24" x14ac:dyDescent="0.25">
      <c r="A1525" s="15" t="s">
        <v>2304</v>
      </c>
      <c r="B1525" s="13" t="s">
        <v>13</v>
      </c>
      <c r="C1525" s="16" t="s">
        <v>653</v>
      </c>
      <c r="D1525" s="29">
        <v>44530</v>
      </c>
      <c r="E1525" s="18" t="s">
        <v>23</v>
      </c>
      <c r="F1525" s="18"/>
      <c r="G1525" s="13"/>
      <c r="H1525" s="31"/>
      <c r="I1525" s="13" t="s">
        <v>499</v>
      </c>
      <c r="J1525" s="13" t="s">
        <v>2305</v>
      </c>
      <c r="K1525" s="13">
        <v>74</v>
      </c>
      <c r="L1525" s="13"/>
      <c r="M1525" s="13"/>
      <c r="N1525" s="13"/>
      <c r="O1525" s="13"/>
      <c r="P1525" s="13"/>
      <c r="Q1525" s="13"/>
      <c r="R1525" s="13"/>
      <c r="S1525" s="13" t="s">
        <v>2307</v>
      </c>
      <c r="T1525" s="13"/>
      <c r="U1525" s="13"/>
      <c r="V1525" s="13"/>
      <c r="W1525" s="13"/>
      <c r="X1525" s="13"/>
    </row>
    <row r="1526" spans="1:24" x14ac:dyDescent="0.25">
      <c r="A1526" s="15">
        <v>559</v>
      </c>
      <c r="B1526" s="13" t="s">
        <v>13</v>
      </c>
      <c r="C1526" s="16" t="s">
        <v>657</v>
      </c>
      <c r="D1526" s="29">
        <v>44530</v>
      </c>
      <c r="E1526" s="18" t="s">
        <v>23</v>
      </c>
      <c r="F1526" s="18"/>
      <c r="G1526" s="13"/>
      <c r="H1526" s="31"/>
      <c r="I1526" s="13" t="s">
        <v>1000</v>
      </c>
      <c r="J1526" s="13">
        <v>510.4</v>
      </c>
      <c r="K1526" s="13" t="s">
        <v>50</v>
      </c>
      <c r="L1526" s="13">
        <v>0.1724</v>
      </c>
      <c r="M1526" s="13">
        <v>0.41499999999999998</v>
      </c>
      <c r="N1526" s="13">
        <v>87.992999999999995</v>
      </c>
      <c r="O1526" s="13">
        <v>211.816</v>
      </c>
      <c r="P1526" s="13">
        <v>11.44</v>
      </c>
      <c r="Q1526" s="13">
        <v>47.41</v>
      </c>
      <c r="R1526" s="13">
        <v>275</v>
      </c>
      <c r="S1526" s="13">
        <v>24198.06</v>
      </c>
      <c r="T1526" s="13"/>
      <c r="U1526" s="13"/>
      <c r="V1526" s="13"/>
      <c r="W1526" s="13"/>
      <c r="X1526" s="13"/>
    </row>
    <row r="1527" spans="1:24" x14ac:dyDescent="0.25">
      <c r="A1527" s="15">
        <v>560</v>
      </c>
      <c r="B1527" s="13" t="s">
        <v>13</v>
      </c>
      <c r="C1527" s="22" t="s">
        <v>625</v>
      </c>
      <c r="D1527" s="29">
        <v>44530</v>
      </c>
      <c r="E1527" s="18" t="s">
        <v>23</v>
      </c>
      <c r="F1527" s="18"/>
      <c r="G1527" s="13"/>
      <c r="H1527" s="31"/>
      <c r="I1527" s="13" t="s">
        <v>2161</v>
      </c>
      <c r="J1527" s="13">
        <v>1734.3</v>
      </c>
      <c r="K1527" s="13" t="s">
        <v>1206</v>
      </c>
      <c r="L1527" s="13">
        <v>0.34810000000000002</v>
      </c>
      <c r="M1527" s="13">
        <v>1.4930000000000001</v>
      </c>
      <c r="N1527" s="13">
        <v>603.70979999999997</v>
      </c>
      <c r="O1527" s="13">
        <v>2589.3099000000002</v>
      </c>
      <c r="P1527" s="13">
        <v>78.48</v>
      </c>
      <c r="Q1527" s="13">
        <v>69.62</v>
      </c>
      <c r="R1527" s="13">
        <v>200</v>
      </c>
      <c r="S1527" s="13">
        <v>120741.97</v>
      </c>
      <c r="T1527" s="13"/>
      <c r="U1527" s="13"/>
      <c r="V1527" s="13"/>
      <c r="W1527" s="13"/>
      <c r="X1527" s="13"/>
    </row>
    <row r="1528" spans="1:24" x14ac:dyDescent="0.25">
      <c r="A1528" s="15">
        <v>560</v>
      </c>
      <c r="B1528" s="13" t="s">
        <v>13</v>
      </c>
      <c r="C1528" s="22" t="s">
        <v>625</v>
      </c>
      <c r="D1528" s="29">
        <v>44530</v>
      </c>
      <c r="E1528" s="18" t="s">
        <v>23</v>
      </c>
      <c r="F1528" s="18"/>
      <c r="G1528" s="13"/>
      <c r="H1528" s="31"/>
      <c r="I1528" s="13" t="s">
        <v>681</v>
      </c>
      <c r="J1528" s="13">
        <v>498.2</v>
      </c>
      <c r="K1528" s="13" t="s">
        <v>2314</v>
      </c>
      <c r="L1528" s="13">
        <v>0.34789999999999999</v>
      </c>
      <c r="M1528" s="13">
        <v>1.643</v>
      </c>
      <c r="N1528" s="13">
        <v>173.32380000000001</v>
      </c>
      <c r="O1528" s="13">
        <v>818.54259999999999</v>
      </c>
      <c r="P1528" s="13">
        <v>22.53</v>
      </c>
      <c r="Q1528" s="13">
        <v>69.58</v>
      </c>
      <c r="R1528" s="13">
        <v>200</v>
      </c>
      <c r="S1528" s="13">
        <v>34664.76</v>
      </c>
      <c r="T1528" s="13"/>
      <c r="U1528" s="13"/>
      <c r="V1528" s="13"/>
      <c r="W1528" s="13"/>
      <c r="X1528" s="13"/>
    </row>
    <row r="1529" spans="1:24" x14ac:dyDescent="0.25">
      <c r="A1529" s="15">
        <v>561</v>
      </c>
      <c r="B1529" s="13" t="s">
        <v>13</v>
      </c>
      <c r="C1529" s="22" t="s">
        <v>663</v>
      </c>
      <c r="D1529" s="29">
        <v>44531</v>
      </c>
      <c r="E1529" s="18" t="s">
        <v>23</v>
      </c>
      <c r="F1529" s="18"/>
      <c r="G1529" s="13" t="s">
        <v>2360</v>
      </c>
      <c r="H1529" s="31"/>
      <c r="I1529" s="13" t="s">
        <v>2233</v>
      </c>
      <c r="J1529" s="13">
        <v>71.5</v>
      </c>
      <c r="K1529" s="13" t="s">
        <v>270</v>
      </c>
      <c r="L1529" s="13">
        <v>0.54100000000000004</v>
      </c>
      <c r="M1529" s="13">
        <v>2.5299999999999998</v>
      </c>
      <c r="N1529" s="13">
        <v>38.6815</v>
      </c>
      <c r="O1529" s="13">
        <v>180.89500000000001</v>
      </c>
      <c r="P1529" s="13">
        <v>5.03</v>
      </c>
      <c r="Q1529" s="13">
        <v>148.77000000000001</v>
      </c>
      <c r="R1529" s="13">
        <v>275</v>
      </c>
      <c r="S1529" s="13">
        <v>10637.41</v>
      </c>
      <c r="T1529" s="13"/>
      <c r="U1529" s="13"/>
      <c r="V1529" s="13"/>
      <c r="W1529" s="13"/>
      <c r="X1529" s="13"/>
    </row>
    <row r="1530" spans="1:24" s="25" customFormat="1" x14ac:dyDescent="0.25">
      <c r="A1530" s="20">
        <v>562</v>
      </c>
      <c r="B1530" s="21" t="s">
        <v>13</v>
      </c>
      <c r="C1530" s="22" t="s">
        <v>663</v>
      </c>
      <c r="D1530" s="17">
        <v>44531</v>
      </c>
      <c r="E1530" s="23" t="s">
        <v>23</v>
      </c>
      <c r="F1530" s="23"/>
      <c r="G1530" s="21" t="s">
        <v>2457</v>
      </c>
      <c r="H1530" s="30"/>
      <c r="I1530" s="21" t="s">
        <v>1141</v>
      </c>
      <c r="J1530" s="21">
        <v>1696</v>
      </c>
      <c r="K1530" s="21" t="s">
        <v>2315</v>
      </c>
      <c r="L1530" s="21">
        <v>0.31</v>
      </c>
      <c r="M1530" s="21">
        <v>1.2010000000000001</v>
      </c>
      <c r="N1530" s="21">
        <v>525.76</v>
      </c>
      <c r="O1530" s="21">
        <v>2036.896</v>
      </c>
      <c r="P1530" s="21">
        <v>68.349999999999994</v>
      </c>
      <c r="Q1530" s="21">
        <v>85.25</v>
      </c>
      <c r="R1530" s="21">
        <v>275</v>
      </c>
      <c r="S1530" s="21">
        <v>144584</v>
      </c>
      <c r="T1530" s="21"/>
      <c r="U1530" s="21"/>
      <c r="V1530" s="21"/>
      <c r="W1530" s="21"/>
      <c r="X1530" s="21"/>
    </row>
    <row r="1531" spans="1:24" x14ac:dyDescent="0.25">
      <c r="A1531" s="15">
        <v>563</v>
      </c>
      <c r="B1531" s="13" t="s">
        <v>13</v>
      </c>
      <c r="C1531" s="22" t="s">
        <v>625</v>
      </c>
      <c r="D1531" s="29">
        <v>44531</v>
      </c>
      <c r="E1531" s="18" t="s">
        <v>677</v>
      </c>
      <c r="F1531" s="18"/>
      <c r="G1531" s="13"/>
      <c r="H1531" s="31"/>
      <c r="I1531" s="13" t="s">
        <v>2145</v>
      </c>
      <c r="J1531" s="13">
        <v>567</v>
      </c>
      <c r="K1531" s="13" t="s">
        <v>190</v>
      </c>
      <c r="L1531" s="13">
        <v>0.15329999999999999</v>
      </c>
      <c r="M1531" s="13">
        <v>0.26600000000000001</v>
      </c>
      <c r="N1531" s="13">
        <v>86.921099999999996</v>
      </c>
      <c r="O1531" s="13">
        <v>150.822</v>
      </c>
      <c r="P1531" s="13">
        <v>11.3</v>
      </c>
      <c r="Q1531" s="13">
        <v>58.25</v>
      </c>
      <c r="R1531" s="13">
        <v>380</v>
      </c>
      <c r="S1531" s="13">
        <v>33030.019999999997</v>
      </c>
      <c r="T1531" s="13"/>
      <c r="U1531" s="13"/>
      <c r="V1531" s="13"/>
      <c r="W1531" s="13"/>
      <c r="X1531" s="13"/>
    </row>
    <row r="1532" spans="1:24" s="25" customFormat="1" x14ac:dyDescent="0.25">
      <c r="A1532" s="20">
        <v>564</v>
      </c>
      <c r="B1532" s="21" t="s">
        <v>13</v>
      </c>
      <c r="C1532" s="22" t="s">
        <v>663</v>
      </c>
      <c r="D1532" s="17">
        <v>44531</v>
      </c>
      <c r="E1532" s="23" t="s">
        <v>23</v>
      </c>
      <c r="F1532" s="23"/>
      <c r="G1532" s="21" t="s">
        <v>2411</v>
      </c>
      <c r="H1532" s="30"/>
      <c r="I1532" s="21" t="s">
        <v>999</v>
      </c>
      <c r="J1532" s="21">
        <v>2106</v>
      </c>
      <c r="K1532" s="21" t="s">
        <v>393</v>
      </c>
      <c r="L1532" s="21">
        <v>0.626</v>
      </c>
      <c r="M1532" s="21">
        <v>2.1869999999999998</v>
      </c>
      <c r="N1532" s="21">
        <v>1318.356</v>
      </c>
      <c r="O1532" s="21">
        <v>4605.8220000000001</v>
      </c>
      <c r="P1532" s="21">
        <v>171.39</v>
      </c>
      <c r="Q1532" s="21">
        <v>172.15</v>
      </c>
      <c r="R1532" s="21">
        <v>275</v>
      </c>
      <c r="S1532" s="21">
        <v>362547.9</v>
      </c>
      <c r="T1532" s="21"/>
      <c r="U1532" s="21"/>
      <c r="V1532" s="21"/>
      <c r="W1532" s="21"/>
      <c r="X1532" s="21"/>
    </row>
    <row r="1533" spans="1:24" x14ac:dyDescent="0.25">
      <c r="A1533" s="15">
        <v>565</v>
      </c>
      <c r="B1533" s="13" t="s">
        <v>13</v>
      </c>
      <c r="C1533" s="22" t="s">
        <v>28</v>
      </c>
      <c r="D1533" s="29">
        <v>44531</v>
      </c>
      <c r="E1533" s="18" t="s">
        <v>23</v>
      </c>
      <c r="F1533" s="18"/>
      <c r="G1533" s="13"/>
      <c r="H1533" s="31"/>
      <c r="I1533" s="13" t="s">
        <v>2050</v>
      </c>
      <c r="J1533" s="13">
        <v>822</v>
      </c>
      <c r="K1533" s="13" t="s">
        <v>860</v>
      </c>
      <c r="L1533" s="13">
        <v>0.30719999999999997</v>
      </c>
      <c r="M1533" s="13">
        <v>0.69199999999999995</v>
      </c>
      <c r="N1533" s="13">
        <v>252.51840000000001</v>
      </c>
      <c r="O1533" s="13">
        <v>568.82399999999996</v>
      </c>
      <c r="P1533" s="13">
        <v>32.83</v>
      </c>
      <c r="Q1533" s="13">
        <v>95.23</v>
      </c>
      <c r="R1533" s="13">
        <v>310</v>
      </c>
      <c r="S1533" s="13">
        <v>78280.7</v>
      </c>
      <c r="T1533" s="13"/>
      <c r="U1533" s="13"/>
      <c r="V1533" s="13"/>
      <c r="W1533" s="13"/>
      <c r="X1533" s="13"/>
    </row>
    <row r="1534" spans="1:24" x14ac:dyDescent="0.25">
      <c r="A1534" s="15">
        <v>566</v>
      </c>
      <c r="B1534" s="13" t="s">
        <v>13</v>
      </c>
      <c r="C1534" s="22" t="s">
        <v>32</v>
      </c>
      <c r="D1534" s="29">
        <v>44531</v>
      </c>
      <c r="E1534" s="18" t="s">
        <v>23</v>
      </c>
      <c r="F1534" s="18"/>
      <c r="G1534" s="13"/>
      <c r="H1534" s="31"/>
      <c r="I1534" s="13" t="s">
        <v>1218</v>
      </c>
      <c r="J1534" s="13">
        <v>212</v>
      </c>
      <c r="K1534" s="13" t="s">
        <v>272</v>
      </c>
      <c r="L1534" s="13">
        <v>0.2651</v>
      </c>
      <c r="M1534" s="13">
        <v>0.82099999999999995</v>
      </c>
      <c r="N1534" s="13">
        <v>56.2012</v>
      </c>
      <c r="O1534" s="13">
        <v>174.05199999999999</v>
      </c>
      <c r="P1534" s="13">
        <v>7.31</v>
      </c>
      <c r="Q1534" s="13">
        <v>53.02</v>
      </c>
      <c r="R1534" s="13">
        <v>200</v>
      </c>
      <c r="S1534" s="13">
        <v>11240.24</v>
      </c>
      <c r="T1534" s="13"/>
      <c r="U1534" s="13"/>
      <c r="V1534" s="13"/>
      <c r="W1534" s="13"/>
      <c r="X1534" s="13"/>
    </row>
    <row r="1535" spans="1:24" s="25" customFormat="1" x14ac:dyDescent="0.25">
      <c r="A1535" s="20" t="s">
        <v>2337</v>
      </c>
      <c r="B1535" s="21" t="s">
        <v>13</v>
      </c>
      <c r="C1535" s="22" t="s">
        <v>45</v>
      </c>
      <c r="D1535" s="17">
        <v>44531</v>
      </c>
      <c r="E1535" s="23" t="s">
        <v>23</v>
      </c>
      <c r="F1535" s="23"/>
      <c r="G1535" s="21"/>
      <c r="H1535" s="30"/>
      <c r="I1535" s="21" t="s">
        <v>58</v>
      </c>
      <c r="J1535" s="21">
        <v>37.200000000000003</v>
      </c>
      <c r="K1535" s="21" t="s">
        <v>171</v>
      </c>
      <c r="L1535" s="21">
        <v>0.9929</v>
      </c>
      <c r="M1535" s="21">
        <v>4.5880000000000001</v>
      </c>
      <c r="N1535" s="21">
        <v>36.935899999999997</v>
      </c>
      <c r="O1535" s="21">
        <v>170.67359999999999</v>
      </c>
      <c r="P1535" s="21">
        <v>4.8</v>
      </c>
      <c r="Q1535" s="21">
        <v>273.05</v>
      </c>
      <c r="R1535" s="21">
        <v>275</v>
      </c>
      <c r="S1535" s="21">
        <v>10157.370000000001</v>
      </c>
      <c r="T1535" s="21"/>
      <c r="U1535" s="21"/>
      <c r="V1535" s="21"/>
      <c r="W1535" s="21"/>
      <c r="X1535" s="21"/>
    </row>
    <row r="1536" spans="1:24" x14ac:dyDescent="0.25">
      <c r="A1536" s="15">
        <v>568</v>
      </c>
      <c r="B1536" s="13" t="s">
        <v>13</v>
      </c>
      <c r="C1536" s="22" t="s">
        <v>625</v>
      </c>
      <c r="D1536" s="29">
        <v>44531</v>
      </c>
      <c r="E1536" s="18" t="s">
        <v>23</v>
      </c>
      <c r="F1536" s="18"/>
      <c r="G1536" s="13"/>
      <c r="H1536" s="31"/>
      <c r="I1536" s="13" t="s">
        <v>2316</v>
      </c>
      <c r="J1536" s="13">
        <v>1012.5</v>
      </c>
      <c r="K1536" s="13" t="s">
        <v>2317</v>
      </c>
      <c r="L1536" s="13">
        <v>0.13400000000000001</v>
      </c>
      <c r="M1536" s="13">
        <v>0.23200000000000001</v>
      </c>
      <c r="N1536" s="13">
        <v>135.67500000000001</v>
      </c>
      <c r="O1536" s="13">
        <v>234.9</v>
      </c>
      <c r="P1536" s="13">
        <v>17.64</v>
      </c>
      <c r="Q1536" s="13">
        <v>40.200000000000003</v>
      </c>
      <c r="R1536" s="13">
        <v>300</v>
      </c>
      <c r="S1536" s="13">
        <v>40702.5</v>
      </c>
      <c r="T1536" s="13"/>
      <c r="U1536" s="13"/>
      <c r="V1536" s="13"/>
      <c r="W1536" s="13"/>
      <c r="X1536" s="13"/>
    </row>
    <row r="1537" spans="1:24" x14ac:dyDescent="0.25">
      <c r="A1537" s="197" t="s">
        <v>2318</v>
      </c>
      <c r="B1537" s="13" t="s">
        <v>34</v>
      </c>
      <c r="C1537" s="16" t="s">
        <v>16</v>
      </c>
      <c r="D1537" s="29">
        <v>44531</v>
      </c>
      <c r="E1537" s="18" t="s">
        <v>23</v>
      </c>
      <c r="F1537" s="18"/>
      <c r="G1537" s="115"/>
      <c r="H1537" s="31"/>
      <c r="I1537" s="13" t="s">
        <v>2365</v>
      </c>
      <c r="J1537" s="13"/>
      <c r="K1537" s="13"/>
      <c r="L1537" s="13"/>
      <c r="M1537" s="13"/>
      <c r="N1537" s="13"/>
      <c r="O1537" s="13"/>
      <c r="P1537" s="13"/>
      <c r="Q1537" s="13"/>
      <c r="R1537" s="13"/>
      <c r="S1537" s="13"/>
      <c r="T1537" s="13"/>
      <c r="U1537" s="13"/>
      <c r="V1537" s="13"/>
      <c r="W1537" s="13"/>
      <c r="X1537" s="13"/>
    </row>
    <row r="1538" spans="1:24" x14ac:dyDescent="0.25">
      <c r="A1538" s="15" t="s">
        <v>2319</v>
      </c>
      <c r="B1538" s="13" t="s">
        <v>34</v>
      </c>
      <c r="C1538" s="16" t="s">
        <v>16</v>
      </c>
      <c r="D1538" s="29">
        <v>44531</v>
      </c>
      <c r="E1538" s="18" t="s">
        <v>23</v>
      </c>
      <c r="F1538" s="18"/>
      <c r="G1538" s="13"/>
      <c r="H1538" s="31"/>
      <c r="I1538" s="13" t="s">
        <v>866</v>
      </c>
      <c r="J1538" s="13">
        <v>756</v>
      </c>
      <c r="K1538" s="13" t="s">
        <v>190</v>
      </c>
      <c r="L1538" s="13">
        <v>0.15909999999999999</v>
      </c>
      <c r="M1538" s="13">
        <v>0.26</v>
      </c>
      <c r="N1538" s="13">
        <v>120.2796</v>
      </c>
      <c r="O1538" s="13">
        <v>196.56</v>
      </c>
      <c r="P1538" s="13">
        <v>15.64</v>
      </c>
      <c r="Q1538" s="13">
        <v>60.46</v>
      </c>
      <c r="R1538" s="13">
        <v>380</v>
      </c>
      <c r="S1538" s="13">
        <v>45706.25</v>
      </c>
      <c r="T1538" s="13"/>
      <c r="U1538" s="13"/>
      <c r="V1538" s="13"/>
      <c r="W1538" s="13"/>
      <c r="X1538" s="13"/>
    </row>
    <row r="1539" spans="1:24" x14ac:dyDescent="0.25">
      <c r="A1539" s="197" t="s">
        <v>2484</v>
      </c>
      <c r="B1539" s="13" t="s">
        <v>34</v>
      </c>
      <c r="C1539" s="16" t="s">
        <v>16</v>
      </c>
      <c r="D1539" s="29">
        <v>44531</v>
      </c>
      <c r="E1539" s="18" t="s">
        <v>23</v>
      </c>
      <c r="F1539" s="18"/>
      <c r="G1539" s="115" t="s">
        <v>2896</v>
      </c>
      <c r="H1539" s="31"/>
      <c r="I1539" s="13" t="s">
        <v>2730</v>
      </c>
      <c r="J1539" s="13">
        <v>18</v>
      </c>
      <c r="K1539" s="13" t="s">
        <v>2464</v>
      </c>
      <c r="L1539" s="13">
        <v>0.3498</v>
      </c>
      <c r="M1539" s="13">
        <v>1.425</v>
      </c>
      <c r="N1539" s="13">
        <v>6.2964000000000002</v>
      </c>
      <c r="O1539" s="13">
        <v>25.65</v>
      </c>
      <c r="P1539" s="13">
        <v>0.82</v>
      </c>
      <c r="Q1539" s="13">
        <v>104.94</v>
      </c>
      <c r="R1539" s="13">
        <v>300</v>
      </c>
      <c r="S1539" s="13">
        <v>1888.92</v>
      </c>
      <c r="T1539" s="13"/>
      <c r="U1539" s="13"/>
      <c r="V1539" s="13"/>
      <c r="W1539" s="13"/>
      <c r="X1539" s="13"/>
    </row>
    <row r="1540" spans="1:24" x14ac:dyDescent="0.25">
      <c r="A1540" s="15" t="s">
        <v>2320</v>
      </c>
      <c r="B1540" s="13" t="s">
        <v>34</v>
      </c>
      <c r="C1540" s="16" t="s">
        <v>16</v>
      </c>
      <c r="D1540" s="29">
        <v>44531</v>
      </c>
      <c r="E1540" s="18" t="s">
        <v>23</v>
      </c>
      <c r="F1540" s="18"/>
      <c r="G1540" s="217" t="s">
        <v>2906</v>
      </c>
      <c r="H1540" s="31"/>
      <c r="I1540" s="13" t="s">
        <v>631</v>
      </c>
      <c r="J1540" s="13">
        <v>1008</v>
      </c>
      <c r="K1540" s="13" t="s">
        <v>341</v>
      </c>
      <c r="L1540" s="13">
        <v>0.70820000000000005</v>
      </c>
      <c r="M1540" s="13">
        <v>3.4609999999999999</v>
      </c>
      <c r="N1540" s="13">
        <v>713.86559999999997</v>
      </c>
      <c r="O1540" s="13">
        <v>3488.6880000000001</v>
      </c>
      <c r="P1540" s="13">
        <v>92.8</v>
      </c>
      <c r="Q1540" s="13">
        <v>212.46</v>
      </c>
      <c r="R1540" s="13">
        <v>300</v>
      </c>
      <c r="S1540" s="13">
        <v>214159.68</v>
      </c>
      <c r="T1540" s="13"/>
      <c r="U1540" s="13"/>
      <c r="V1540" s="13"/>
      <c r="W1540" s="13"/>
      <c r="X1540" s="13"/>
    </row>
    <row r="1541" spans="1:24" s="25" customFormat="1" x14ac:dyDescent="0.25">
      <c r="A1541" s="20" t="s">
        <v>2323</v>
      </c>
      <c r="B1541" s="21" t="s">
        <v>13</v>
      </c>
      <c r="C1541" s="22" t="s">
        <v>653</v>
      </c>
      <c r="D1541" s="17">
        <v>44531</v>
      </c>
      <c r="E1541" s="23" t="s">
        <v>23</v>
      </c>
      <c r="F1541" s="23"/>
      <c r="G1541" s="21"/>
      <c r="H1541" s="30"/>
      <c r="I1541" s="21" t="s">
        <v>773</v>
      </c>
      <c r="J1541" s="21">
        <v>12880</v>
      </c>
      <c r="K1541" s="21">
        <v>2576</v>
      </c>
      <c r="L1541" s="21"/>
      <c r="M1541" s="21"/>
      <c r="N1541" s="21"/>
      <c r="O1541" s="21"/>
      <c r="P1541" s="21"/>
      <c r="Q1541" s="21"/>
      <c r="R1541" s="21"/>
      <c r="S1541" s="21" t="s">
        <v>2326</v>
      </c>
      <c r="T1541" s="21"/>
      <c r="U1541" s="21"/>
      <c r="V1541" s="21"/>
      <c r="W1541" s="21"/>
      <c r="X1541" s="21"/>
    </row>
    <row r="1542" spans="1:24" s="25" customFormat="1" x14ac:dyDescent="0.25">
      <c r="A1542" s="20" t="s">
        <v>2323</v>
      </c>
      <c r="B1542" s="21" t="s">
        <v>13</v>
      </c>
      <c r="C1542" s="22" t="s">
        <v>653</v>
      </c>
      <c r="D1542" s="17">
        <v>44531</v>
      </c>
      <c r="E1542" s="23" t="s">
        <v>23</v>
      </c>
      <c r="F1542" s="23"/>
      <c r="G1542" s="21" t="s">
        <v>2391</v>
      </c>
      <c r="H1542" s="30"/>
      <c r="I1542" s="21" t="s">
        <v>2324</v>
      </c>
      <c r="J1542" s="21">
        <v>532.4</v>
      </c>
      <c r="K1542" s="21">
        <v>121</v>
      </c>
      <c r="L1542" s="21"/>
      <c r="M1542" s="21"/>
      <c r="N1542" s="21"/>
      <c r="O1542" s="21"/>
      <c r="P1542" s="21"/>
      <c r="Q1542" s="21"/>
      <c r="R1542" s="21"/>
      <c r="S1542" s="21" t="s">
        <v>2327</v>
      </c>
      <c r="T1542" s="21"/>
      <c r="U1542" s="21"/>
      <c r="V1542" s="21"/>
      <c r="W1542" s="21"/>
      <c r="X1542" s="21"/>
    </row>
    <row r="1543" spans="1:24" s="25" customFormat="1" x14ac:dyDescent="0.25">
      <c r="A1543" s="20" t="s">
        <v>2323</v>
      </c>
      <c r="B1543" s="21" t="s">
        <v>13</v>
      </c>
      <c r="C1543" s="22" t="s">
        <v>653</v>
      </c>
      <c r="D1543" s="17">
        <v>44531</v>
      </c>
      <c r="E1543" s="23" t="s">
        <v>23</v>
      </c>
      <c r="F1543" s="23"/>
      <c r="G1543" s="21"/>
      <c r="H1543" s="30"/>
      <c r="I1543" s="21" t="s">
        <v>2325</v>
      </c>
      <c r="J1543" s="21">
        <v>4140</v>
      </c>
      <c r="K1543" s="21">
        <v>1380</v>
      </c>
      <c r="L1543" s="21"/>
      <c r="M1543" s="21"/>
      <c r="N1543" s="21"/>
      <c r="O1543" s="21"/>
      <c r="P1543" s="21"/>
      <c r="Q1543" s="21"/>
      <c r="R1543" s="21"/>
      <c r="S1543" s="21" t="s">
        <v>2328</v>
      </c>
      <c r="T1543" s="21"/>
      <c r="U1543" s="21"/>
      <c r="V1543" s="21"/>
      <c r="W1543" s="21"/>
      <c r="X1543" s="21"/>
    </row>
    <row r="1544" spans="1:24" x14ac:dyDescent="0.25">
      <c r="A1544" s="15" t="s">
        <v>2335</v>
      </c>
      <c r="B1544" s="13" t="s">
        <v>34</v>
      </c>
      <c r="C1544" s="16" t="s">
        <v>576</v>
      </c>
      <c r="D1544" s="29">
        <v>44532</v>
      </c>
      <c r="E1544" s="18" t="s">
        <v>23</v>
      </c>
      <c r="F1544" s="18"/>
      <c r="G1544" s="13"/>
      <c r="H1544" s="31"/>
      <c r="I1544" s="13" t="s">
        <v>2330</v>
      </c>
      <c r="J1544" s="13" t="s">
        <v>2331</v>
      </c>
      <c r="K1544" s="13"/>
      <c r="L1544" s="13"/>
      <c r="M1544" s="13"/>
      <c r="N1544" s="13"/>
      <c r="O1544" s="13"/>
      <c r="P1544" s="13"/>
      <c r="Q1544" s="13"/>
      <c r="R1544" s="13"/>
      <c r="S1544" s="13" t="s">
        <v>2333</v>
      </c>
      <c r="T1544" s="13"/>
      <c r="U1544" s="13"/>
      <c r="V1544" s="13"/>
      <c r="W1544" s="13"/>
      <c r="X1544" s="13"/>
    </row>
    <row r="1545" spans="1:24" x14ac:dyDescent="0.25">
      <c r="A1545" s="15" t="s">
        <v>2335</v>
      </c>
      <c r="B1545" s="13" t="s">
        <v>34</v>
      </c>
      <c r="C1545" s="16" t="s">
        <v>576</v>
      </c>
      <c r="D1545" s="29">
        <v>44532</v>
      </c>
      <c r="E1545" s="18" t="s">
        <v>23</v>
      </c>
      <c r="F1545" s="18"/>
      <c r="G1545" s="13" t="s">
        <v>2395</v>
      </c>
      <c r="H1545" s="31"/>
      <c r="I1545" s="13" t="s">
        <v>2309</v>
      </c>
      <c r="J1545" s="13" t="s">
        <v>2332</v>
      </c>
      <c r="K1545" s="13">
        <v>384</v>
      </c>
      <c r="L1545" s="13"/>
      <c r="M1545" s="13"/>
      <c r="N1545" s="13"/>
      <c r="O1545" s="13"/>
      <c r="P1545" s="13"/>
      <c r="Q1545" s="13"/>
      <c r="R1545" s="13"/>
      <c r="S1545" s="13" t="s">
        <v>2334</v>
      </c>
      <c r="T1545" s="13"/>
      <c r="U1545" s="13"/>
      <c r="V1545" s="13"/>
      <c r="W1545" s="13"/>
      <c r="X1545" s="13"/>
    </row>
    <row r="1546" spans="1:24" x14ac:dyDescent="0.25">
      <c r="A1546" s="15" t="s">
        <v>2338</v>
      </c>
      <c r="B1546" s="13" t="s">
        <v>13</v>
      </c>
      <c r="C1546" s="22" t="s">
        <v>43</v>
      </c>
      <c r="D1546" s="29">
        <v>44532</v>
      </c>
      <c r="E1546" s="18" t="s">
        <v>23</v>
      </c>
      <c r="F1546" s="18"/>
      <c r="G1546" s="13"/>
      <c r="H1546" s="31"/>
      <c r="I1546" s="13" t="s">
        <v>485</v>
      </c>
      <c r="J1546" s="13">
        <v>67.2</v>
      </c>
      <c r="K1546" s="13">
        <v>12</v>
      </c>
      <c r="L1546" s="13"/>
      <c r="M1546" s="13"/>
      <c r="N1546" s="13"/>
      <c r="O1546" s="13"/>
      <c r="P1546" s="13"/>
      <c r="Q1546" s="13"/>
      <c r="R1546" s="13"/>
      <c r="S1546" s="13">
        <v>10600</v>
      </c>
      <c r="T1546" s="13"/>
      <c r="U1546" s="13"/>
      <c r="V1546" s="13"/>
      <c r="W1546" s="13"/>
      <c r="X1546" s="13"/>
    </row>
    <row r="1547" spans="1:24" x14ac:dyDescent="0.25">
      <c r="A1547" s="196" t="s">
        <v>2364</v>
      </c>
      <c r="B1547" s="13" t="s">
        <v>34</v>
      </c>
      <c r="C1547" s="16" t="s">
        <v>16</v>
      </c>
      <c r="D1547" s="29">
        <v>44533</v>
      </c>
      <c r="E1547" s="18" t="s">
        <v>23</v>
      </c>
      <c r="F1547" s="18"/>
      <c r="G1547" s="115" t="s">
        <v>2897</v>
      </c>
      <c r="H1547" s="31"/>
      <c r="I1547" s="13" t="s">
        <v>2363</v>
      </c>
      <c r="J1547" s="13">
        <v>186</v>
      </c>
      <c r="K1547" s="13" t="s">
        <v>519</v>
      </c>
      <c r="L1547" s="13">
        <v>0.29970000000000002</v>
      </c>
      <c r="M1547" s="13">
        <v>1.647</v>
      </c>
      <c r="N1547" s="13">
        <v>55.744199999999999</v>
      </c>
      <c r="O1547" s="13">
        <v>306.34199999999998</v>
      </c>
      <c r="P1547" s="13">
        <v>7.25</v>
      </c>
      <c r="Q1547" s="13">
        <v>23.98</v>
      </c>
      <c r="R1547" s="13">
        <v>80</v>
      </c>
      <c r="S1547" s="13">
        <v>4459.54</v>
      </c>
      <c r="T1547" s="13"/>
      <c r="U1547" s="13"/>
      <c r="V1547" s="13"/>
      <c r="W1547" s="13"/>
      <c r="X1547" s="13"/>
    </row>
    <row r="1548" spans="1:24" s="25" customFormat="1" x14ac:dyDescent="0.25">
      <c r="A1548" s="20">
        <v>569</v>
      </c>
      <c r="B1548" s="21" t="s">
        <v>13</v>
      </c>
      <c r="C1548" s="22" t="s">
        <v>114</v>
      </c>
      <c r="D1548" s="17">
        <v>44533</v>
      </c>
      <c r="E1548" s="23" t="s">
        <v>23</v>
      </c>
      <c r="F1548" s="23"/>
      <c r="G1548" s="21"/>
      <c r="H1548" s="24">
        <v>44546</v>
      </c>
      <c r="I1548" s="21" t="s">
        <v>1400</v>
      </c>
      <c r="J1548" s="21">
        <v>600</v>
      </c>
      <c r="K1548" s="21" t="s">
        <v>42</v>
      </c>
      <c r="L1548" s="21">
        <v>0.29759999999999998</v>
      </c>
      <c r="M1548" s="21">
        <v>0.67600000000000005</v>
      </c>
      <c r="N1548" s="21">
        <v>178.56</v>
      </c>
      <c r="O1548" s="21">
        <v>405.6</v>
      </c>
      <c r="P1548" s="21">
        <v>23.21</v>
      </c>
      <c r="Q1548" s="21">
        <v>89.28</v>
      </c>
      <c r="R1548" s="21">
        <v>300</v>
      </c>
      <c r="S1548" s="21">
        <v>53568</v>
      </c>
      <c r="T1548" s="21"/>
      <c r="U1548" s="21"/>
      <c r="V1548" s="21"/>
      <c r="W1548" s="21"/>
      <c r="X1548" s="21"/>
    </row>
    <row r="1549" spans="1:24" s="25" customFormat="1" x14ac:dyDescent="0.25">
      <c r="A1549" s="20">
        <v>570</v>
      </c>
      <c r="B1549" s="21" t="s">
        <v>13</v>
      </c>
      <c r="C1549" s="22" t="s">
        <v>2342</v>
      </c>
      <c r="D1549" s="17">
        <v>44533</v>
      </c>
      <c r="E1549" s="23" t="s">
        <v>23</v>
      </c>
      <c r="F1549" s="23"/>
      <c r="G1549" s="21"/>
      <c r="H1549" s="30"/>
      <c r="I1549" s="21" t="s">
        <v>85</v>
      </c>
      <c r="J1549" s="21">
        <v>1179</v>
      </c>
      <c r="K1549" s="21" t="s">
        <v>297</v>
      </c>
      <c r="L1549" s="21">
        <v>0.30480000000000002</v>
      </c>
      <c r="M1549" s="21">
        <v>1.4590000000000001</v>
      </c>
      <c r="N1549" s="21">
        <v>359.35919999999999</v>
      </c>
      <c r="O1549" s="21">
        <v>1720.1610000000001</v>
      </c>
      <c r="P1549" s="21">
        <v>46.72</v>
      </c>
      <c r="Q1549" s="21">
        <v>83.82</v>
      </c>
      <c r="R1549" s="21">
        <v>275</v>
      </c>
      <c r="S1549" s="21">
        <v>98823.78</v>
      </c>
      <c r="T1549" s="21"/>
      <c r="U1549" s="21"/>
      <c r="V1549" s="21"/>
      <c r="W1549" s="21"/>
      <c r="X1549" s="21"/>
    </row>
    <row r="1550" spans="1:24" s="25" customFormat="1" x14ac:dyDescent="0.25">
      <c r="A1550" s="20" t="s">
        <v>2347</v>
      </c>
      <c r="B1550" s="21" t="s">
        <v>13</v>
      </c>
      <c r="C1550" s="22" t="s">
        <v>653</v>
      </c>
      <c r="D1550" s="17">
        <v>44533</v>
      </c>
      <c r="E1550" s="23" t="s">
        <v>23</v>
      </c>
      <c r="F1550" s="23"/>
      <c r="G1550" s="21" t="s">
        <v>2370</v>
      </c>
      <c r="H1550" s="30"/>
      <c r="I1550" s="21" t="s">
        <v>2344</v>
      </c>
      <c r="J1550" s="21">
        <v>1182</v>
      </c>
      <c r="K1550" s="21">
        <v>394</v>
      </c>
      <c r="L1550" s="21"/>
      <c r="M1550" s="21"/>
      <c r="N1550" s="21"/>
      <c r="O1550" s="21"/>
      <c r="P1550" s="21"/>
      <c r="Q1550" s="21"/>
      <c r="R1550" s="21"/>
      <c r="S1550" s="21"/>
      <c r="T1550" s="21"/>
      <c r="U1550" s="21"/>
      <c r="V1550" s="21"/>
      <c r="W1550" s="21"/>
      <c r="X1550" s="21"/>
    </row>
    <row r="1551" spans="1:24" s="25" customFormat="1" x14ac:dyDescent="0.25">
      <c r="A1551" s="20" t="s">
        <v>2347</v>
      </c>
      <c r="B1551" s="21" t="s">
        <v>13</v>
      </c>
      <c r="C1551" s="22" t="s">
        <v>653</v>
      </c>
      <c r="D1551" s="17">
        <v>44533</v>
      </c>
      <c r="E1551" s="23" t="s">
        <v>23</v>
      </c>
      <c r="F1551" s="23"/>
      <c r="G1551" s="21" t="s">
        <v>2418</v>
      </c>
      <c r="H1551" s="24">
        <v>44554</v>
      </c>
      <c r="I1551" s="21" t="s">
        <v>2345</v>
      </c>
      <c r="J1551" s="21">
        <v>1000.84</v>
      </c>
      <c r="K1551" s="21">
        <v>262</v>
      </c>
      <c r="L1551" s="21"/>
      <c r="M1551" s="21"/>
      <c r="N1551" s="21"/>
      <c r="O1551" s="21"/>
      <c r="P1551" s="21"/>
      <c r="Q1551" s="21"/>
      <c r="R1551" s="21"/>
      <c r="S1551" s="21"/>
      <c r="T1551" s="21"/>
      <c r="U1551" s="21"/>
      <c r="V1551" s="21"/>
      <c r="W1551" s="21"/>
      <c r="X1551" s="21"/>
    </row>
    <row r="1552" spans="1:24" s="25" customFormat="1" x14ac:dyDescent="0.25">
      <c r="A1552" s="20" t="s">
        <v>2347</v>
      </c>
      <c r="B1552" s="21" t="s">
        <v>13</v>
      </c>
      <c r="C1552" s="22" t="s">
        <v>653</v>
      </c>
      <c r="D1552" s="17">
        <v>44533</v>
      </c>
      <c r="E1552" s="23" t="s">
        <v>23</v>
      </c>
      <c r="F1552" s="23"/>
      <c r="G1552" s="21"/>
      <c r="H1552" s="30"/>
      <c r="I1552" s="21" t="s">
        <v>2346</v>
      </c>
      <c r="J1552" s="21">
        <v>1052.1600000000001</v>
      </c>
      <c r="K1552" s="21">
        <v>274</v>
      </c>
      <c r="L1552" s="21"/>
      <c r="M1552" s="21"/>
      <c r="N1552" s="21"/>
      <c r="O1552" s="21"/>
      <c r="P1552" s="21"/>
      <c r="Q1552" s="21"/>
      <c r="R1552" s="21"/>
      <c r="S1552" s="21"/>
      <c r="T1552" s="21"/>
      <c r="U1552" s="21"/>
      <c r="V1552" s="21"/>
      <c r="W1552" s="21"/>
      <c r="X1552" s="21"/>
    </row>
    <row r="1553" spans="1:24" x14ac:dyDescent="0.25">
      <c r="A1553" s="15">
        <v>571</v>
      </c>
      <c r="B1553" s="13" t="s">
        <v>34</v>
      </c>
      <c r="C1553" s="16" t="s">
        <v>79</v>
      </c>
      <c r="D1553" s="29">
        <v>44536</v>
      </c>
      <c r="E1553" s="18" t="s">
        <v>23</v>
      </c>
      <c r="F1553" s="18"/>
      <c r="G1553" s="13"/>
      <c r="H1553" s="31"/>
      <c r="I1553" s="13" t="s">
        <v>78</v>
      </c>
      <c r="J1553" s="13">
        <v>1782</v>
      </c>
      <c r="K1553" s="13" t="s">
        <v>1945</v>
      </c>
      <c r="L1553" s="13">
        <v>0.20230000000000001</v>
      </c>
      <c r="M1553" s="13">
        <v>0.499</v>
      </c>
      <c r="N1553" s="13">
        <v>360.49860000000001</v>
      </c>
      <c r="O1553" s="13">
        <v>889.21799999999996</v>
      </c>
      <c r="P1553" s="13">
        <v>46.86</v>
      </c>
      <c r="Q1553" s="13">
        <v>37.43</v>
      </c>
      <c r="R1553" s="13">
        <v>185</v>
      </c>
      <c r="S1553" s="13">
        <v>66692.240000000005</v>
      </c>
      <c r="T1553" s="13"/>
      <c r="U1553" s="13"/>
      <c r="V1553" s="13"/>
      <c r="W1553" s="13"/>
      <c r="X1553" s="13"/>
    </row>
    <row r="1554" spans="1:24" x14ac:dyDescent="0.25">
      <c r="A1554" s="15">
        <v>572</v>
      </c>
      <c r="B1554" s="13" t="s">
        <v>13</v>
      </c>
      <c r="C1554" s="22" t="s">
        <v>292</v>
      </c>
      <c r="D1554" s="29">
        <v>44536</v>
      </c>
      <c r="E1554" s="18" t="s">
        <v>23</v>
      </c>
      <c r="F1554" s="18"/>
      <c r="G1554" s="13"/>
      <c r="H1554" s="31"/>
      <c r="I1554" s="13" t="s">
        <v>291</v>
      </c>
      <c r="J1554" s="13">
        <v>268.8</v>
      </c>
      <c r="K1554" s="13" t="s">
        <v>293</v>
      </c>
      <c r="L1554" s="13">
        <v>0.3266</v>
      </c>
      <c r="M1554" s="13">
        <v>0.84099999999999997</v>
      </c>
      <c r="N1554" s="13">
        <v>87.790099999999995</v>
      </c>
      <c r="O1554" s="13">
        <v>226.0608</v>
      </c>
      <c r="P1554" s="13">
        <v>11.41</v>
      </c>
      <c r="Q1554" s="13">
        <v>97.98</v>
      </c>
      <c r="R1554" s="13">
        <v>300</v>
      </c>
      <c r="S1554" s="13">
        <v>26337.02</v>
      </c>
      <c r="T1554" s="13"/>
      <c r="U1554" s="13"/>
      <c r="V1554" s="13"/>
      <c r="W1554" s="13"/>
      <c r="X1554" s="13"/>
    </row>
    <row r="1555" spans="1:24" s="25" customFormat="1" x14ac:dyDescent="0.25">
      <c r="A1555" s="20">
        <v>573</v>
      </c>
      <c r="B1555" s="21" t="s">
        <v>13</v>
      </c>
      <c r="C1555" s="22" t="s">
        <v>663</v>
      </c>
      <c r="D1555" s="17">
        <v>44536</v>
      </c>
      <c r="E1555" s="23" t="s">
        <v>23</v>
      </c>
      <c r="F1555" s="23"/>
      <c r="G1555" s="21"/>
      <c r="H1555" s="30"/>
      <c r="I1555" s="21" t="s">
        <v>999</v>
      </c>
      <c r="J1555" s="21">
        <v>416</v>
      </c>
      <c r="K1555" s="21" t="s">
        <v>293</v>
      </c>
      <c r="L1555" s="21">
        <v>0.626</v>
      </c>
      <c r="M1555" s="21">
        <v>2.1869999999999998</v>
      </c>
      <c r="N1555" s="21">
        <v>260.416</v>
      </c>
      <c r="O1555" s="21">
        <v>909.79200000000003</v>
      </c>
      <c r="P1555" s="21">
        <v>33.85</v>
      </c>
      <c r="Q1555" s="21">
        <v>172.15</v>
      </c>
      <c r="R1555" s="21">
        <v>275</v>
      </c>
      <c r="S1555" s="21">
        <v>71614.399999999994</v>
      </c>
      <c r="T1555" s="21"/>
      <c r="U1555" s="21"/>
      <c r="V1555" s="21"/>
      <c r="W1555" s="21"/>
      <c r="X1555" s="21"/>
    </row>
    <row r="1556" spans="1:24" s="25" customFormat="1" x14ac:dyDescent="0.25">
      <c r="A1556" s="20">
        <v>574</v>
      </c>
      <c r="B1556" s="21" t="s">
        <v>13</v>
      </c>
      <c r="C1556" s="22" t="s">
        <v>608</v>
      </c>
      <c r="D1556" s="17">
        <v>44536</v>
      </c>
      <c r="E1556" s="23" t="s">
        <v>23</v>
      </c>
      <c r="F1556" s="23"/>
      <c r="G1556" s="21"/>
      <c r="H1556" s="30"/>
      <c r="I1556" s="21" t="s">
        <v>2348</v>
      </c>
      <c r="J1556" s="21">
        <v>690</v>
      </c>
      <c r="K1556" s="21" t="s">
        <v>352</v>
      </c>
      <c r="L1556" s="21">
        <v>0.31879999999999997</v>
      </c>
      <c r="M1556" s="21">
        <v>0.81100000000000005</v>
      </c>
      <c r="N1556" s="21">
        <v>219.97200000000001</v>
      </c>
      <c r="O1556" s="21">
        <v>559.59</v>
      </c>
      <c r="P1556" s="21">
        <v>28.6</v>
      </c>
      <c r="Q1556" s="21">
        <v>95.64</v>
      </c>
      <c r="R1556" s="21">
        <v>300</v>
      </c>
      <c r="S1556" s="21">
        <v>65991.600000000006</v>
      </c>
      <c r="T1556" s="21"/>
      <c r="U1556" s="21"/>
      <c r="V1556" s="21"/>
      <c r="W1556" s="21"/>
      <c r="X1556" s="21"/>
    </row>
    <row r="1557" spans="1:24" s="25" customFormat="1" x14ac:dyDescent="0.25">
      <c r="A1557" s="20">
        <v>575</v>
      </c>
      <c r="B1557" s="21" t="s">
        <v>13</v>
      </c>
      <c r="C1557" s="22" t="s">
        <v>32</v>
      </c>
      <c r="D1557" s="17">
        <v>44536</v>
      </c>
      <c r="E1557" s="23" t="s">
        <v>23</v>
      </c>
      <c r="F1557" s="23"/>
      <c r="G1557" s="21"/>
      <c r="H1557" s="30"/>
      <c r="I1557" s="21" t="s">
        <v>1218</v>
      </c>
      <c r="J1557" s="21">
        <v>1441.6</v>
      </c>
      <c r="K1557" s="21" t="s">
        <v>664</v>
      </c>
      <c r="L1557" s="21">
        <v>0.2651</v>
      </c>
      <c r="M1557" s="21">
        <v>0.82099999999999995</v>
      </c>
      <c r="N1557" s="21">
        <v>382.16820000000001</v>
      </c>
      <c r="O1557" s="21">
        <v>1183.5536</v>
      </c>
      <c r="P1557" s="21">
        <v>49.68</v>
      </c>
      <c r="Q1557" s="21">
        <v>66.540000000000006</v>
      </c>
      <c r="R1557" s="21">
        <v>251</v>
      </c>
      <c r="S1557" s="21">
        <v>95924.06</v>
      </c>
      <c r="T1557" s="21"/>
      <c r="U1557" s="21"/>
      <c r="V1557" s="21"/>
      <c r="W1557" s="21"/>
      <c r="X1557" s="21"/>
    </row>
    <row r="1558" spans="1:24" s="25" customFormat="1" x14ac:dyDescent="0.25">
      <c r="A1558" s="20">
        <v>576</v>
      </c>
      <c r="B1558" s="21" t="s">
        <v>13</v>
      </c>
      <c r="C1558" s="22" t="s">
        <v>625</v>
      </c>
      <c r="D1558" s="17">
        <v>44536</v>
      </c>
      <c r="E1558" s="23" t="s">
        <v>23</v>
      </c>
      <c r="F1558" s="23"/>
      <c r="G1558" s="21"/>
      <c r="H1558" s="30"/>
      <c r="I1558" s="21" t="s">
        <v>2316</v>
      </c>
      <c r="J1558" s="21">
        <v>1377</v>
      </c>
      <c r="K1558" s="21" t="s">
        <v>2349</v>
      </c>
      <c r="L1558" s="21">
        <v>0.13400000000000001</v>
      </c>
      <c r="M1558" s="21">
        <v>0.23200000000000001</v>
      </c>
      <c r="N1558" s="21">
        <v>184.518</v>
      </c>
      <c r="O1558" s="21">
        <v>319.464</v>
      </c>
      <c r="P1558" s="21">
        <v>23.99</v>
      </c>
      <c r="Q1558" s="21">
        <v>50.92</v>
      </c>
      <c r="R1558" s="21">
        <v>380</v>
      </c>
      <c r="S1558" s="21">
        <v>70116.84</v>
      </c>
      <c r="T1558" s="21"/>
      <c r="U1558" s="21"/>
      <c r="V1558" s="21"/>
      <c r="W1558" s="21"/>
      <c r="X1558" s="21"/>
    </row>
    <row r="1559" spans="1:24" x14ac:dyDescent="0.25">
      <c r="A1559" s="15">
        <v>577</v>
      </c>
      <c r="B1559" s="13" t="s">
        <v>13</v>
      </c>
      <c r="C1559" s="22" t="s">
        <v>892</v>
      </c>
      <c r="D1559" s="29">
        <v>44536</v>
      </c>
      <c r="E1559" s="18" t="s">
        <v>23</v>
      </c>
      <c r="F1559" s="18"/>
      <c r="G1559" s="13"/>
      <c r="H1559" s="19">
        <v>44557</v>
      </c>
      <c r="I1559" s="13" t="s">
        <v>2350</v>
      </c>
      <c r="J1559" s="13">
        <v>6</v>
      </c>
      <c r="K1559" s="13" t="s">
        <v>679</v>
      </c>
      <c r="L1559" s="13">
        <v>0.81399999999999995</v>
      </c>
      <c r="M1559" s="13">
        <v>0.127</v>
      </c>
      <c r="N1559" s="13">
        <v>4.8840000000000003</v>
      </c>
      <c r="O1559" s="13">
        <v>0.76200000000000001</v>
      </c>
      <c r="P1559" s="13">
        <v>0.63</v>
      </c>
      <c r="Q1559" s="13">
        <v>204.31</v>
      </c>
      <c r="R1559" s="13">
        <v>251</v>
      </c>
      <c r="S1559" s="13">
        <v>1225.8800000000001</v>
      </c>
      <c r="T1559" s="13"/>
      <c r="U1559" s="13"/>
      <c r="V1559" s="13"/>
      <c r="W1559" s="13"/>
      <c r="X1559" s="13"/>
    </row>
    <row r="1560" spans="1:24" x14ac:dyDescent="0.25">
      <c r="A1560" s="15">
        <v>578</v>
      </c>
      <c r="B1560" s="13" t="s">
        <v>34</v>
      </c>
      <c r="C1560" s="16" t="s">
        <v>79</v>
      </c>
      <c r="D1560" s="29">
        <v>44536</v>
      </c>
      <c r="E1560" s="18" t="s">
        <v>23</v>
      </c>
      <c r="F1560" s="18"/>
      <c r="G1560" s="13"/>
      <c r="H1560" s="31"/>
      <c r="I1560" s="13" t="s">
        <v>78</v>
      </c>
      <c r="J1560" s="13">
        <v>1392</v>
      </c>
      <c r="K1560" s="13" t="s">
        <v>141</v>
      </c>
      <c r="L1560" s="13">
        <v>0.20230000000000001</v>
      </c>
      <c r="M1560" s="13">
        <v>0.499</v>
      </c>
      <c r="N1560" s="13">
        <v>281.60160000000002</v>
      </c>
      <c r="O1560" s="13">
        <v>694.60799999999995</v>
      </c>
      <c r="P1560" s="13">
        <v>36.61</v>
      </c>
      <c r="Q1560" s="13">
        <v>37.43</v>
      </c>
      <c r="R1560" s="13">
        <v>185</v>
      </c>
      <c r="S1560" s="13">
        <v>52096.3</v>
      </c>
      <c r="T1560" s="13"/>
      <c r="U1560" s="13"/>
      <c r="V1560" s="13"/>
      <c r="W1560" s="13"/>
      <c r="X1560" s="13"/>
    </row>
    <row r="1561" spans="1:24" s="25" customFormat="1" x14ac:dyDescent="0.25">
      <c r="A1561" s="20">
        <v>579</v>
      </c>
      <c r="B1561" s="21" t="s">
        <v>13</v>
      </c>
      <c r="C1561" s="22" t="s">
        <v>292</v>
      </c>
      <c r="D1561" s="17">
        <v>44536</v>
      </c>
      <c r="E1561" s="23" t="s">
        <v>23</v>
      </c>
      <c r="F1561" s="23"/>
      <c r="G1561" s="21" t="s">
        <v>2378</v>
      </c>
      <c r="H1561" s="30"/>
      <c r="I1561" s="21" t="s">
        <v>291</v>
      </c>
      <c r="J1561" s="21">
        <v>1818.6</v>
      </c>
      <c r="K1561" s="21" t="s">
        <v>2351</v>
      </c>
      <c r="L1561" s="21">
        <v>0.3266</v>
      </c>
      <c r="M1561" s="21">
        <v>0.84099999999999997</v>
      </c>
      <c r="N1561" s="21">
        <v>593.95479999999998</v>
      </c>
      <c r="O1561" s="21">
        <v>1529.4426000000001</v>
      </c>
      <c r="P1561" s="21">
        <v>77.209999999999994</v>
      </c>
      <c r="Q1561" s="21">
        <v>101.25</v>
      </c>
      <c r="R1561" s="21">
        <v>310</v>
      </c>
      <c r="S1561" s="21">
        <v>184125.98</v>
      </c>
      <c r="T1561" s="21"/>
      <c r="U1561" s="21"/>
      <c r="V1561" s="21"/>
      <c r="W1561" s="21"/>
      <c r="X1561" s="21"/>
    </row>
    <row r="1562" spans="1:24" s="25" customFormat="1" x14ac:dyDescent="0.25">
      <c r="A1562" s="20">
        <v>580</v>
      </c>
      <c r="B1562" s="21" t="s">
        <v>13</v>
      </c>
      <c r="C1562" s="22" t="s">
        <v>608</v>
      </c>
      <c r="D1562" s="17">
        <v>44536</v>
      </c>
      <c r="E1562" s="23" t="s">
        <v>23</v>
      </c>
      <c r="F1562" s="23"/>
      <c r="G1562" s="21" t="s">
        <v>1707</v>
      </c>
      <c r="H1562" s="30"/>
      <c r="I1562" s="21" t="s">
        <v>2050</v>
      </c>
      <c r="J1562" s="21">
        <v>1260</v>
      </c>
      <c r="K1562" s="21" t="s">
        <v>71</v>
      </c>
      <c r="L1562" s="21">
        <v>0.30719999999999997</v>
      </c>
      <c r="M1562" s="21">
        <v>0.69199999999999995</v>
      </c>
      <c r="N1562" s="21">
        <v>387.072</v>
      </c>
      <c r="O1562" s="21">
        <v>871.92</v>
      </c>
      <c r="P1562" s="21">
        <v>50.32</v>
      </c>
      <c r="Q1562" s="21">
        <v>95.23</v>
      </c>
      <c r="R1562" s="21">
        <v>310</v>
      </c>
      <c r="S1562" s="21">
        <v>119992.32000000001</v>
      </c>
      <c r="T1562" s="21"/>
      <c r="U1562" s="21"/>
      <c r="V1562" s="21"/>
      <c r="W1562" s="21"/>
      <c r="X1562" s="21"/>
    </row>
    <row r="1563" spans="1:24" x14ac:dyDescent="0.25">
      <c r="A1563" s="15">
        <v>580</v>
      </c>
      <c r="B1563" s="13" t="s">
        <v>13</v>
      </c>
      <c r="C1563" s="22" t="s">
        <v>608</v>
      </c>
      <c r="D1563" s="29">
        <v>44536</v>
      </c>
      <c r="E1563" s="18" t="s">
        <v>23</v>
      </c>
      <c r="F1563" s="18"/>
      <c r="G1563" s="13"/>
      <c r="H1563" s="31"/>
      <c r="I1563" s="13" t="s">
        <v>104</v>
      </c>
      <c r="J1563" s="13">
        <v>918</v>
      </c>
      <c r="K1563" s="13" t="s">
        <v>2278</v>
      </c>
      <c r="L1563" s="13">
        <v>0.14929999999999999</v>
      </c>
      <c r="M1563" s="13">
        <v>0.56599999999999995</v>
      </c>
      <c r="N1563" s="13">
        <v>137.0574</v>
      </c>
      <c r="O1563" s="13">
        <v>519.58799999999997</v>
      </c>
      <c r="P1563" s="13">
        <v>17.82</v>
      </c>
      <c r="Q1563" s="13">
        <v>44.79</v>
      </c>
      <c r="R1563" s="13">
        <v>300</v>
      </c>
      <c r="S1563" s="13">
        <v>41117.22</v>
      </c>
      <c r="T1563" s="13"/>
      <c r="U1563" s="13"/>
      <c r="V1563" s="13"/>
      <c r="W1563" s="13"/>
      <c r="X1563" s="13"/>
    </row>
    <row r="1564" spans="1:24" x14ac:dyDescent="0.25">
      <c r="A1564" s="15">
        <v>581</v>
      </c>
      <c r="B1564" s="13" t="s">
        <v>13</v>
      </c>
      <c r="C1564" s="22" t="s">
        <v>625</v>
      </c>
      <c r="D1564" s="29">
        <v>44536</v>
      </c>
      <c r="E1564" s="18" t="s">
        <v>23</v>
      </c>
      <c r="F1564" s="18"/>
      <c r="G1564" s="13"/>
      <c r="H1564" s="31"/>
      <c r="I1564" s="13" t="s">
        <v>1686</v>
      </c>
      <c r="J1564" s="13">
        <v>576</v>
      </c>
      <c r="K1564" s="13" t="s">
        <v>2020</v>
      </c>
      <c r="L1564" s="13">
        <v>0.1018</v>
      </c>
      <c r="M1564" s="13">
        <v>0.26600000000000001</v>
      </c>
      <c r="N1564" s="13">
        <v>91.8643</v>
      </c>
      <c r="O1564" s="13">
        <v>240.0384</v>
      </c>
      <c r="P1564" s="13">
        <v>11.94</v>
      </c>
      <c r="Q1564" s="13">
        <v>28</v>
      </c>
      <c r="R1564" s="13">
        <v>275</v>
      </c>
      <c r="S1564" s="13">
        <v>25262.69</v>
      </c>
      <c r="T1564" s="13"/>
      <c r="U1564" s="13"/>
      <c r="V1564" s="13"/>
      <c r="W1564" s="13"/>
      <c r="X1564" s="13"/>
    </row>
    <row r="1565" spans="1:24" s="25" customFormat="1" x14ac:dyDescent="0.25">
      <c r="A1565" s="20">
        <v>582</v>
      </c>
      <c r="B1565" s="21" t="s">
        <v>13</v>
      </c>
      <c r="C1565" s="22" t="s">
        <v>663</v>
      </c>
      <c r="D1565" s="17">
        <v>44536</v>
      </c>
      <c r="E1565" s="23" t="s">
        <v>23</v>
      </c>
      <c r="F1565" s="23"/>
      <c r="G1565" s="21"/>
      <c r="H1565" s="30"/>
      <c r="I1565" s="21" t="s">
        <v>999</v>
      </c>
      <c r="J1565" s="21">
        <v>819</v>
      </c>
      <c r="K1565" s="21" t="s">
        <v>190</v>
      </c>
      <c r="L1565" s="21">
        <v>0.626</v>
      </c>
      <c r="M1565" s="21">
        <v>2.1869999999999998</v>
      </c>
      <c r="N1565" s="21">
        <v>512.69399999999996</v>
      </c>
      <c r="O1565" s="21">
        <v>1791.153</v>
      </c>
      <c r="P1565" s="21">
        <v>66.650000000000006</v>
      </c>
      <c r="Q1565" s="21">
        <v>172.15</v>
      </c>
      <c r="R1565" s="21">
        <v>275</v>
      </c>
      <c r="S1565" s="21">
        <v>140990.85</v>
      </c>
      <c r="T1565" s="21"/>
      <c r="U1565" s="21"/>
      <c r="V1565" s="21"/>
      <c r="W1565" s="21"/>
      <c r="X1565" s="21"/>
    </row>
    <row r="1566" spans="1:24" s="25" customFormat="1" x14ac:dyDescent="0.25">
      <c r="A1566" s="20" t="s">
        <v>2352</v>
      </c>
      <c r="B1566" s="21" t="s">
        <v>13</v>
      </c>
      <c r="C1566" s="22" t="s">
        <v>2353</v>
      </c>
      <c r="D1566" s="17">
        <v>44536</v>
      </c>
      <c r="E1566" s="23" t="s">
        <v>23</v>
      </c>
      <c r="F1566" s="23"/>
      <c r="G1566" s="21"/>
      <c r="H1566" s="30"/>
      <c r="I1566" s="21" t="s">
        <v>611</v>
      </c>
      <c r="J1566" s="21">
        <v>2847</v>
      </c>
      <c r="K1566" s="21"/>
      <c r="L1566" s="21"/>
      <c r="M1566" s="21"/>
      <c r="N1566" s="21"/>
      <c r="O1566" s="21"/>
      <c r="P1566" s="21"/>
      <c r="Q1566" s="21"/>
      <c r="R1566" s="21"/>
      <c r="S1566" s="21"/>
      <c r="T1566" s="21"/>
      <c r="U1566" s="21"/>
      <c r="V1566" s="21"/>
      <c r="W1566" s="21"/>
      <c r="X1566" s="21"/>
    </row>
    <row r="1567" spans="1:24" s="25" customFormat="1" x14ac:dyDescent="0.25">
      <c r="A1567" s="20" t="s">
        <v>2354</v>
      </c>
      <c r="B1567" s="21" t="s">
        <v>13</v>
      </c>
      <c r="C1567" s="22" t="s">
        <v>284</v>
      </c>
      <c r="D1567" s="17">
        <v>44537</v>
      </c>
      <c r="E1567" s="23" t="s">
        <v>23</v>
      </c>
      <c r="F1567" s="23"/>
      <c r="G1567" s="21"/>
      <c r="H1567" s="30"/>
      <c r="I1567" s="21" t="s">
        <v>2381</v>
      </c>
      <c r="J1567" s="21">
        <v>72</v>
      </c>
      <c r="K1567" s="21"/>
      <c r="L1567" s="21"/>
      <c r="M1567" s="21"/>
      <c r="N1567" s="21"/>
      <c r="O1567" s="21"/>
      <c r="P1567" s="21"/>
      <c r="Q1567" s="21"/>
      <c r="R1567" s="21"/>
      <c r="S1567" s="21">
        <v>18000</v>
      </c>
      <c r="T1567" s="21"/>
      <c r="U1567" s="21"/>
      <c r="V1567" s="21"/>
      <c r="W1567" s="21"/>
      <c r="X1567" s="21"/>
    </row>
    <row r="1568" spans="1:24" s="25" customFormat="1" x14ac:dyDescent="0.25">
      <c r="A1568" s="20" t="s">
        <v>2355</v>
      </c>
      <c r="B1568" s="21" t="s">
        <v>13</v>
      </c>
      <c r="C1568" s="22" t="s">
        <v>653</v>
      </c>
      <c r="D1568" s="17">
        <v>44537</v>
      </c>
      <c r="E1568" s="23" t="s">
        <v>23</v>
      </c>
      <c r="F1568" s="23"/>
      <c r="G1568" s="21" t="s">
        <v>2459</v>
      </c>
      <c r="H1568" s="30"/>
      <c r="I1568" s="21" t="s">
        <v>2048</v>
      </c>
      <c r="J1568" s="21">
        <v>1853.28</v>
      </c>
      <c r="K1568" s="21">
        <v>324</v>
      </c>
      <c r="L1568" s="21"/>
      <c r="M1568" s="21"/>
      <c r="N1568" s="21"/>
      <c r="O1568" s="21"/>
      <c r="P1568" s="21"/>
      <c r="Q1568" s="21"/>
      <c r="R1568" s="21"/>
      <c r="S1568" s="21"/>
      <c r="T1568" s="21"/>
      <c r="U1568" s="21"/>
      <c r="V1568" s="21"/>
      <c r="W1568" s="21"/>
      <c r="X1568" s="21"/>
    </row>
    <row r="1569" spans="1:24" s="28" customFormat="1" x14ac:dyDescent="0.25">
      <c r="A1569" s="104" t="s">
        <v>2355</v>
      </c>
      <c r="B1569" s="26" t="s">
        <v>13</v>
      </c>
      <c r="C1569" s="27" t="s">
        <v>653</v>
      </c>
      <c r="D1569" s="105">
        <v>44537</v>
      </c>
      <c r="E1569" s="106" t="s">
        <v>23</v>
      </c>
      <c r="F1569" s="106"/>
      <c r="G1569" s="26"/>
      <c r="H1569" s="107">
        <v>44554</v>
      </c>
      <c r="I1569" s="26" t="s">
        <v>2356</v>
      </c>
      <c r="J1569" s="26">
        <v>486</v>
      </c>
      <c r="K1569" s="26">
        <v>162</v>
      </c>
      <c r="L1569" s="26"/>
      <c r="M1569" s="26"/>
      <c r="N1569" s="26"/>
      <c r="O1569" s="26"/>
      <c r="P1569" s="26"/>
      <c r="Q1569" s="26"/>
      <c r="R1569" s="26"/>
      <c r="S1569" s="26"/>
      <c r="T1569" s="26"/>
      <c r="U1569" s="26"/>
      <c r="V1569" s="26"/>
      <c r="W1569" s="26"/>
      <c r="X1569" s="26"/>
    </row>
    <row r="1570" spans="1:24" s="25" customFormat="1" x14ac:dyDescent="0.25">
      <c r="A1570" s="20">
        <v>584</v>
      </c>
      <c r="B1570" s="21" t="s">
        <v>13</v>
      </c>
      <c r="C1570" s="22" t="s">
        <v>657</v>
      </c>
      <c r="D1570" s="17">
        <v>44537</v>
      </c>
      <c r="E1570" s="23" t="s">
        <v>23</v>
      </c>
      <c r="F1570" s="23"/>
      <c r="G1570" s="21"/>
      <c r="H1570" s="30"/>
      <c r="I1570" s="21" t="s">
        <v>1000</v>
      </c>
      <c r="J1570" s="21">
        <v>1409.4</v>
      </c>
      <c r="K1570" s="21" t="s">
        <v>110</v>
      </c>
      <c r="L1570" s="21">
        <v>0.1724</v>
      </c>
      <c r="M1570" s="21">
        <v>0.41499999999999998</v>
      </c>
      <c r="N1570" s="21">
        <v>242.98060000000001</v>
      </c>
      <c r="O1570" s="21">
        <v>584.90099999999995</v>
      </c>
      <c r="P1570" s="21">
        <v>31.59</v>
      </c>
      <c r="Q1570" s="21">
        <v>47.41</v>
      </c>
      <c r="R1570" s="21">
        <v>275</v>
      </c>
      <c r="S1570" s="21">
        <v>66819.649999999994</v>
      </c>
      <c r="T1570" s="21"/>
      <c r="U1570" s="21"/>
      <c r="V1570" s="21"/>
      <c r="W1570" s="21"/>
      <c r="X1570" s="21"/>
    </row>
    <row r="1571" spans="1:24" s="25" customFormat="1" x14ac:dyDescent="0.25">
      <c r="A1571" s="20">
        <v>585</v>
      </c>
      <c r="B1571" s="21" t="s">
        <v>13</v>
      </c>
      <c r="C1571" s="22" t="s">
        <v>625</v>
      </c>
      <c r="D1571" s="17">
        <v>44537</v>
      </c>
      <c r="E1571" s="23" t="s">
        <v>23</v>
      </c>
      <c r="F1571" s="23"/>
      <c r="G1571" s="21"/>
      <c r="H1571" s="30"/>
      <c r="I1571" s="21" t="s">
        <v>1686</v>
      </c>
      <c r="J1571" s="21">
        <v>768</v>
      </c>
      <c r="K1571" s="21" t="s">
        <v>409</v>
      </c>
      <c r="L1571" s="21">
        <v>0.1018</v>
      </c>
      <c r="M1571" s="21">
        <v>0.26600000000000001</v>
      </c>
      <c r="N1571" s="21">
        <v>78.182400000000001</v>
      </c>
      <c r="O1571" s="21">
        <v>204.28800000000001</v>
      </c>
      <c r="P1571" s="21">
        <v>10.16</v>
      </c>
      <c r="Q1571" s="21">
        <v>28</v>
      </c>
      <c r="R1571" s="21">
        <v>275</v>
      </c>
      <c r="S1571" s="21">
        <v>21504</v>
      </c>
      <c r="T1571" s="21"/>
      <c r="U1571" s="21"/>
      <c r="V1571" s="21"/>
      <c r="W1571" s="21"/>
      <c r="X1571" s="21"/>
    </row>
    <row r="1572" spans="1:24" s="25" customFormat="1" x14ac:dyDescent="0.25">
      <c r="A1572" s="20">
        <v>586</v>
      </c>
      <c r="B1572" s="21" t="s">
        <v>13</v>
      </c>
      <c r="C1572" s="22" t="s">
        <v>612</v>
      </c>
      <c r="D1572" s="17">
        <v>44537</v>
      </c>
      <c r="E1572" s="23" t="s">
        <v>23</v>
      </c>
      <c r="F1572" s="23"/>
      <c r="G1572" s="21"/>
      <c r="H1572" s="30"/>
      <c r="I1572" s="21" t="s">
        <v>2357</v>
      </c>
      <c r="J1572" s="21">
        <v>720</v>
      </c>
      <c r="K1572" s="21" t="s">
        <v>487</v>
      </c>
      <c r="L1572" s="21">
        <v>9.9900000000000003E-2</v>
      </c>
      <c r="M1572" s="21">
        <v>0.28599999999999998</v>
      </c>
      <c r="N1572" s="21">
        <v>71.927999999999997</v>
      </c>
      <c r="O1572" s="21">
        <v>205.92</v>
      </c>
      <c r="P1572" s="21">
        <v>9.35</v>
      </c>
      <c r="Q1572" s="21">
        <v>75</v>
      </c>
      <c r="R1572" s="21">
        <v>750.75</v>
      </c>
      <c r="S1572" s="21">
        <v>53999.95</v>
      </c>
      <c r="T1572" s="21"/>
      <c r="U1572" s="21"/>
      <c r="V1572" s="21"/>
      <c r="W1572" s="21"/>
      <c r="X1572" s="21"/>
    </row>
    <row r="1573" spans="1:24" s="25" customFormat="1" x14ac:dyDescent="0.25">
      <c r="A1573" s="20">
        <v>588</v>
      </c>
      <c r="B1573" s="21" t="s">
        <v>13</v>
      </c>
      <c r="C1573" s="22" t="s">
        <v>2358</v>
      </c>
      <c r="D1573" s="17">
        <v>44538</v>
      </c>
      <c r="E1573" s="23" t="s">
        <v>23</v>
      </c>
      <c r="F1573" s="23"/>
      <c r="G1573" s="21" t="s">
        <v>2366</v>
      </c>
      <c r="H1573" s="30"/>
      <c r="I1573" s="21" t="s">
        <v>149</v>
      </c>
      <c r="J1573" s="21">
        <v>250</v>
      </c>
      <c r="K1573" s="21" t="s">
        <v>305</v>
      </c>
      <c r="L1573" s="21">
        <v>0.18360000000000001</v>
      </c>
      <c r="M1573" s="21">
        <v>0.39400000000000002</v>
      </c>
      <c r="N1573" s="21">
        <v>45.9</v>
      </c>
      <c r="O1573" s="21">
        <v>98.5</v>
      </c>
      <c r="P1573" s="21">
        <v>5.97</v>
      </c>
      <c r="Q1573" s="21">
        <v>55.08</v>
      </c>
      <c r="R1573" s="21">
        <v>300</v>
      </c>
      <c r="S1573" s="21">
        <v>13770</v>
      </c>
      <c r="T1573" s="21"/>
      <c r="U1573" s="21"/>
      <c r="V1573" s="21"/>
      <c r="W1573" s="21"/>
      <c r="X1573" s="21"/>
    </row>
    <row r="1574" spans="1:24" s="25" customFormat="1" x14ac:dyDescent="0.25">
      <c r="A1574" s="20" t="s">
        <v>2361</v>
      </c>
      <c r="B1574" s="21" t="s">
        <v>13</v>
      </c>
      <c r="C1574" s="22" t="s">
        <v>799</v>
      </c>
      <c r="D1574" s="17">
        <v>44539</v>
      </c>
      <c r="E1574" s="23" t="s">
        <v>23</v>
      </c>
      <c r="F1574" s="23"/>
      <c r="G1574" s="21"/>
      <c r="H1574" s="30"/>
      <c r="I1574" s="21" t="s">
        <v>2362</v>
      </c>
      <c r="J1574" s="21"/>
      <c r="K1574" s="21">
        <v>325</v>
      </c>
      <c r="L1574" s="21"/>
      <c r="M1574" s="21"/>
      <c r="N1574" s="21"/>
      <c r="O1574" s="21"/>
      <c r="P1574" s="21"/>
      <c r="Q1574" s="21"/>
      <c r="R1574" s="21"/>
      <c r="S1574" s="21">
        <v>88532.75</v>
      </c>
      <c r="T1574" s="21"/>
      <c r="U1574" s="21"/>
      <c r="V1574" s="21"/>
      <c r="W1574" s="21"/>
      <c r="X1574" s="21"/>
    </row>
    <row r="1575" spans="1:24" s="25" customFormat="1" x14ac:dyDescent="0.25">
      <c r="A1575" s="20">
        <v>589</v>
      </c>
      <c r="B1575" s="21" t="s">
        <v>13</v>
      </c>
      <c r="C1575" s="22" t="s">
        <v>663</v>
      </c>
      <c r="D1575" s="17">
        <v>44540</v>
      </c>
      <c r="E1575" s="23" t="s">
        <v>23</v>
      </c>
      <c r="F1575" s="23"/>
      <c r="G1575" s="21"/>
      <c r="H1575" s="30"/>
      <c r="I1575" s="21" t="s">
        <v>1400</v>
      </c>
      <c r="J1575" s="21">
        <v>348</v>
      </c>
      <c r="K1575" s="21" t="s">
        <v>2367</v>
      </c>
      <c r="L1575" s="21">
        <v>0.29759999999999998</v>
      </c>
      <c r="M1575" s="21">
        <v>0.67600000000000005</v>
      </c>
      <c r="N1575" s="21">
        <v>103.56480000000001</v>
      </c>
      <c r="O1575" s="21">
        <v>235.24799999999999</v>
      </c>
      <c r="P1575" s="21">
        <v>13.46</v>
      </c>
      <c r="Q1575" s="21">
        <v>81.84</v>
      </c>
      <c r="R1575" s="21">
        <v>275</v>
      </c>
      <c r="S1575" s="21">
        <v>28480.32</v>
      </c>
      <c r="T1575" s="21"/>
      <c r="U1575" s="21"/>
      <c r="V1575" s="21"/>
      <c r="W1575" s="21"/>
      <c r="X1575" s="21"/>
    </row>
    <row r="1576" spans="1:24" s="25" customFormat="1" ht="15.6" customHeight="1" x14ac:dyDescent="0.25">
      <c r="A1576" s="20">
        <v>590</v>
      </c>
      <c r="B1576" s="21" t="s">
        <v>13</v>
      </c>
      <c r="C1576" s="22" t="s">
        <v>663</v>
      </c>
      <c r="D1576" s="17">
        <v>44540</v>
      </c>
      <c r="E1576" s="23" t="s">
        <v>23</v>
      </c>
      <c r="F1576" s="23"/>
      <c r="G1576" s="21" t="s">
        <v>2410</v>
      </c>
      <c r="H1576" s="30"/>
      <c r="I1576" s="21" t="s">
        <v>630</v>
      </c>
      <c r="J1576" s="21">
        <v>1014</v>
      </c>
      <c r="K1576" s="21" t="s">
        <v>242</v>
      </c>
      <c r="L1576" s="21">
        <v>0.54049999999999998</v>
      </c>
      <c r="M1576" s="21">
        <v>2.0979999999999999</v>
      </c>
      <c r="N1576" s="21">
        <v>555.09349999999995</v>
      </c>
      <c r="O1576" s="21">
        <v>2154.6460000000002</v>
      </c>
      <c r="P1576" s="21">
        <v>72.16</v>
      </c>
      <c r="Q1576" s="21">
        <v>148.63999999999999</v>
      </c>
      <c r="R1576" s="21">
        <v>275</v>
      </c>
      <c r="S1576" s="21">
        <v>152650.71</v>
      </c>
      <c r="T1576" s="21"/>
      <c r="U1576" s="21"/>
      <c r="V1576" s="21"/>
      <c r="W1576" s="21"/>
      <c r="X1576" s="21"/>
    </row>
    <row r="1577" spans="1:24" x14ac:dyDescent="0.25">
      <c r="A1577" s="15">
        <v>591</v>
      </c>
      <c r="B1577" s="13" t="s">
        <v>13</v>
      </c>
      <c r="C1577" s="22" t="s">
        <v>1750</v>
      </c>
      <c r="D1577" s="29">
        <v>44540</v>
      </c>
      <c r="E1577" s="18" t="s">
        <v>23</v>
      </c>
      <c r="F1577" s="18"/>
      <c r="G1577" s="13"/>
      <c r="H1577" s="19">
        <v>44546</v>
      </c>
      <c r="I1577" s="13" t="s">
        <v>1753</v>
      </c>
      <c r="J1577" s="13">
        <v>1078</v>
      </c>
      <c r="K1577" s="13" t="s">
        <v>483</v>
      </c>
      <c r="L1577" s="13">
        <v>0.247</v>
      </c>
      <c r="M1577" s="13">
        <v>0.498</v>
      </c>
      <c r="N1577" s="13">
        <v>266.26600000000002</v>
      </c>
      <c r="O1577" s="13">
        <v>536.84400000000005</v>
      </c>
      <c r="P1577" s="13">
        <v>34.61</v>
      </c>
      <c r="Q1577" s="13">
        <v>74.099999999999994</v>
      </c>
      <c r="R1577" s="13">
        <v>300</v>
      </c>
      <c r="S1577" s="13">
        <v>79879.8</v>
      </c>
      <c r="T1577" s="13"/>
      <c r="U1577" s="13"/>
      <c r="V1577" s="13"/>
      <c r="W1577" s="13"/>
      <c r="X1577" s="13"/>
    </row>
    <row r="1578" spans="1:24" s="25" customFormat="1" x14ac:dyDescent="0.25">
      <c r="A1578" s="20">
        <v>592</v>
      </c>
      <c r="B1578" s="21" t="s">
        <v>13</v>
      </c>
      <c r="C1578" s="22" t="s">
        <v>657</v>
      </c>
      <c r="D1578" s="17">
        <v>44540</v>
      </c>
      <c r="E1578" s="23" t="s">
        <v>23</v>
      </c>
      <c r="F1578" s="23"/>
      <c r="G1578" s="21"/>
      <c r="H1578" s="30"/>
      <c r="I1578" s="21" t="s">
        <v>1000</v>
      </c>
      <c r="J1578" s="21">
        <v>208.8</v>
      </c>
      <c r="K1578" s="21" t="s">
        <v>33</v>
      </c>
      <c r="L1578" s="21">
        <v>0.1724</v>
      </c>
      <c r="M1578" s="21">
        <v>0.41499999999999998</v>
      </c>
      <c r="N1578" s="21">
        <v>35.997100000000003</v>
      </c>
      <c r="O1578" s="21">
        <v>86.652000000000001</v>
      </c>
      <c r="P1578" s="21">
        <v>4.68</v>
      </c>
      <c r="Q1578" s="21">
        <v>47.41</v>
      </c>
      <c r="R1578" s="21">
        <v>275</v>
      </c>
      <c r="S1578" s="21">
        <v>9899.2099999999991</v>
      </c>
      <c r="T1578" s="21"/>
      <c r="U1578" s="21"/>
      <c r="V1578" s="21"/>
      <c r="W1578" s="21"/>
      <c r="X1578" s="21"/>
    </row>
    <row r="1579" spans="1:24" x14ac:dyDescent="0.25">
      <c r="A1579" s="15">
        <v>593</v>
      </c>
      <c r="B1579" s="13" t="s">
        <v>13</v>
      </c>
      <c r="C1579" s="22" t="s">
        <v>625</v>
      </c>
      <c r="D1579" s="29">
        <v>44540</v>
      </c>
      <c r="E1579" s="18" t="s">
        <v>677</v>
      </c>
      <c r="F1579" s="18"/>
      <c r="G1579" s="13"/>
      <c r="H1579" s="31"/>
      <c r="I1579" s="13" t="s">
        <v>681</v>
      </c>
      <c r="J1579" s="13">
        <v>606.29999999999995</v>
      </c>
      <c r="K1579" s="13" t="s">
        <v>1485</v>
      </c>
      <c r="L1579" s="13">
        <v>0.34789999999999999</v>
      </c>
      <c r="M1579" s="13">
        <v>1.643</v>
      </c>
      <c r="N1579" s="13">
        <v>210.93180000000001</v>
      </c>
      <c r="O1579" s="13">
        <v>996.15089999999998</v>
      </c>
      <c r="P1579" s="13">
        <v>27.42</v>
      </c>
      <c r="Q1579" s="13">
        <v>69.58</v>
      </c>
      <c r="R1579" s="13">
        <v>200</v>
      </c>
      <c r="S1579" s="13">
        <v>42186.35</v>
      </c>
      <c r="T1579" s="13"/>
      <c r="U1579" s="13"/>
      <c r="V1579" s="13"/>
      <c r="W1579" s="13"/>
      <c r="X1579" s="13"/>
    </row>
    <row r="1580" spans="1:24" x14ac:dyDescent="0.25">
      <c r="A1580" s="15" t="s">
        <v>2368</v>
      </c>
      <c r="B1580" s="13" t="s">
        <v>13</v>
      </c>
      <c r="C1580" s="22" t="s">
        <v>612</v>
      </c>
      <c r="D1580" s="29">
        <v>44540</v>
      </c>
      <c r="E1580" s="18" t="s">
        <v>23</v>
      </c>
      <c r="F1580" s="18"/>
      <c r="G1580" s="13"/>
      <c r="H1580" s="31"/>
      <c r="I1580" s="13" t="s">
        <v>505</v>
      </c>
      <c r="J1580" s="13"/>
      <c r="K1580" s="13">
        <v>12</v>
      </c>
      <c r="L1580" s="13"/>
      <c r="M1580" s="13"/>
      <c r="N1580" s="13"/>
      <c r="O1580" s="13"/>
      <c r="P1580" s="13"/>
      <c r="Q1580" s="13"/>
      <c r="R1580" s="13"/>
      <c r="S1580" s="13">
        <v>15600</v>
      </c>
      <c r="T1580" s="13"/>
      <c r="U1580" s="13"/>
      <c r="V1580" s="13"/>
      <c r="W1580" s="13"/>
      <c r="X1580" s="13"/>
    </row>
    <row r="1581" spans="1:24" s="25" customFormat="1" x14ac:dyDescent="0.25">
      <c r="A1581" s="20">
        <v>594</v>
      </c>
      <c r="B1581" s="21" t="s">
        <v>13</v>
      </c>
      <c r="C1581" s="22" t="s">
        <v>556</v>
      </c>
      <c r="D1581" s="17">
        <v>44540</v>
      </c>
      <c r="E1581" s="23" t="s">
        <v>23</v>
      </c>
      <c r="F1581" s="23"/>
      <c r="G1581" s="21"/>
      <c r="H1581" s="30"/>
      <c r="I1581" s="21" t="s">
        <v>2050</v>
      </c>
      <c r="J1581" s="21">
        <v>246</v>
      </c>
      <c r="K1581" s="21" t="s">
        <v>2379</v>
      </c>
      <c r="L1581" s="21">
        <v>0.30719999999999997</v>
      </c>
      <c r="M1581" s="21">
        <v>0.69199999999999995</v>
      </c>
      <c r="N1581" s="21">
        <v>75.571200000000005</v>
      </c>
      <c r="O1581" s="21">
        <v>170.232</v>
      </c>
      <c r="P1581" s="21">
        <v>9.82</v>
      </c>
      <c r="Q1581" s="21">
        <v>95.23</v>
      </c>
      <c r="R1581" s="21">
        <v>310</v>
      </c>
      <c r="S1581" s="21">
        <v>23426.58</v>
      </c>
      <c r="T1581" s="21"/>
      <c r="U1581" s="21"/>
      <c r="V1581" s="21"/>
      <c r="W1581" s="21"/>
      <c r="X1581" s="21"/>
    </row>
    <row r="1582" spans="1:24" s="25" customFormat="1" x14ac:dyDescent="0.25">
      <c r="A1582" s="20">
        <v>595</v>
      </c>
      <c r="B1582" s="21" t="s">
        <v>13</v>
      </c>
      <c r="C1582" s="22" t="s">
        <v>556</v>
      </c>
      <c r="D1582" s="17">
        <v>44540</v>
      </c>
      <c r="E1582" s="23" t="s">
        <v>23</v>
      </c>
      <c r="F1582" s="23"/>
      <c r="G1582" s="21"/>
      <c r="H1582" s="30"/>
      <c r="I1582" s="21" t="s">
        <v>104</v>
      </c>
      <c r="J1582" s="21">
        <v>954</v>
      </c>
      <c r="K1582" s="21" t="s">
        <v>236</v>
      </c>
      <c r="L1582" s="21">
        <v>0.14929999999999999</v>
      </c>
      <c r="M1582" s="21">
        <v>0.56599999999999995</v>
      </c>
      <c r="N1582" s="21">
        <v>142.43219999999999</v>
      </c>
      <c r="O1582" s="21">
        <v>539.96400000000006</v>
      </c>
      <c r="P1582" s="21">
        <v>18.52</v>
      </c>
      <c r="Q1582" s="21">
        <v>44.79</v>
      </c>
      <c r="R1582" s="21">
        <v>300</v>
      </c>
      <c r="S1582" s="21">
        <v>42729.66</v>
      </c>
      <c r="T1582" s="21"/>
      <c r="U1582" s="21"/>
      <c r="V1582" s="21"/>
      <c r="W1582" s="21"/>
      <c r="X1582" s="21"/>
    </row>
    <row r="1583" spans="1:24" s="25" customFormat="1" x14ac:dyDescent="0.25">
      <c r="A1583" s="20">
        <v>596</v>
      </c>
      <c r="B1583" s="21" t="s">
        <v>13</v>
      </c>
      <c r="C1583" s="22" t="s">
        <v>892</v>
      </c>
      <c r="D1583" s="17">
        <v>44540</v>
      </c>
      <c r="E1583" s="23" t="s">
        <v>23</v>
      </c>
      <c r="F1583" s="23"/>
      <c r="G1583" s="21" t="s">
        <v>2383</v>
      </c>
      <c r="H1583" s="30"/>
      <c r="I1583" s="21" t="s">
        <v>1218</v>
      </c>
      <c r="J1583" s="21">
        <v>1643</v>
      </c>
      <c r="K1583" s="21" t="s">
        <v>1302</v>
      </c>
      <c r="L1583" s="21">
        <v>0.2651</v>
      </c>
      <c r="M1583" s="21">
        <v>0.82099999999999995</v>
      </c>
      <c r="N1583" s="21">
        <v>435.55930000000001</v>
      </c>
      <c r="O1583" s="21">
        <v>1348.903</v>
      </c>
      <c r="P1583" s="21">
        <v>56.62</v>
      </c>
      <c r="Q1583" s="21">
        <v>66.540000000000006</v>
      </c>
      <c r="R1583" s="21">
        <v>251</v>
      </c>
      <c r="S1583" s="21">
        <v>109325.22</v>
      </c>
      <c r="T1583" s="21"/>
      <c r="U1583" s="21"/>
      <c r="V1583" s="21"/>
      <c r="W1583" s="21"/>
      <c r="X1583" s="21"/>
    </row>
    <row r="1584" spans="1:24" s="25" customFormat="1" x14ac:dyDescent="0.25">
      <c r="A1584" s="20">
        <v>597</v>
      </c>
      <c r="B1584" s="21" t="s">
        <v>13</v>
      </c>
      <c r="C1584" s="22" t="s">
        <v>892</v>
      </c>
      <c r="D1584" s="17">
        <v>44540</v>
      </c>
      <c r="E1584" s="23" t="s">
        <v>23</v>
      </c>
      <c r="F1584" s="23"/>
      <c r="G1584" s="21"/>
      <c r="H1584" s="24">
        <v>44557</v>
      </c>
      <c r="I1584" s="21" t="s">
        <v>2369</v>
      </c>
      <c r="J1584" s="21">
        <v>210</v>
      </c>
      <c r="K1584" s="21" t="s">
        <v>1607</v>
      </c>
      <c r="L1584" s="21">
        <v>8.4900000000000003E-2</v>
      </c>
      <c r="M1584" s="21">
        <v>0.13700000000000001</v>
      </c>
      <c r="N1584" s="21">
        <v>17.829000000000001</v>
      </c>
      <c r="O1584" s="21">
        <v>28.77</v>
      </c>
      <c r="P1584" s="21">
        <v>2.3199999999999998</v>
      </c>
      <c r="Q1584" s="21">
        <v>213.1</v>
      </c>
      <c r="R1584" s="21">
        <v>251</v>
      </c>
      <c r="S1584" s="21">
        <v>44750.79</v>
      </c>
      <c r="T1584" s="21"/>
      <c r="U1584" s="21"/>
      <c r="V1584" s="21"/>
      <c r="W1584" s="21"/>
      <c r="X1584" s="21"/>
    </row>
    <row r="1585" spans="1:24" s="25" customFormat="1" x14ac:dyDescent="0.25">
      <c r="A1585" s="20" t="s">
        <v>2371</v>
      </c>
      <c r="B1585" s="21" t="s">
        <v>13</v>
      </c>
      <c r="C1585" s="22" t="s">
        <v>1303</v>
      </c>
      <c r="D1585" s="17">
        <v>44543</v>
      </c>
      <c r="E1585" s="23" t="s">
        <v>23</v>
      </c>
      <c r="F1585" s="23"/>
      <c r="G1585" s="21"/>
      <c r="H1585" s="30"/>
      <c r="I1585" s="21" t="s">
        <v>1514</v>
      </c>
      <c r="J1585" s="21">
        <v>768</v>
      </c>
      <c r="K1585" s="21">
        <v>128</v>
      </c>
      <c r="L1585" s="21"/>
      <c r="M1585" s="21"/>
      <c r="N1585" s="21"/>
      <c r="O1585" s="21"/>
      <c r="P1585" s="21"/>
      <c r="Q1585" s="21"/>
      <c r="R1585" s="21"/>
      <c r="S1585" s="21">
        <v>35000</v>
      </c>
      <c r="T1585" s="21"/>
      <c r="U1585" s="21"/>
      <c r="V1585" s="21"/>
      <c r="W1585" s="21"/>
      <c r="X1585" s="21"/>
    </row>
    <row r="1586" spans="1:24" x14ac:dyDescent="0.25">
      <c r="A1586" s="15" t="s">
        <v>2372</v>
      </c>
      <c r="B1586" s="13" t="s">
        <v>13</v>
      </c>
      <c r="C1586" s="22" t="s">
        <v>284</v>
      </c>
      <c r="D1586" s="29">
        <v>44543</v>
      </c>
      <c r="E1586" s="18" t="s">
        <v>23</v>
      </c>
      <c r="F1586" s="18"/>
      <c r="G1586" s="21"/>
      <c r="H1586" s="31"/>
      <c r="I1586" s="13" t="s">
        <v>389</v>
      </c>
      <c r="J1586" s="13">
        <v>96</v>
      </c>
      <c r="K1586" s="13">
        <v>16</v>
      </c>
      <c r="L1586" s="13"/>
      <c r="M1586" s="13"/>
      <c r="N1586" s="13"/>
      <c r="O1586" s="13"/>
      <c r="P1586" s="13"/>
      <c r="Q1586" s="13"/>
      <c r="R1586" s="13"/>
      <c r="S1586" s="13">
        <v>10300</v>
      </c>
      <c r="T1586" s="13"/>
      <c r="U1586" s="13"/>
      <c r="V1586" s="13"/>
      <c r="W1586" s="13"/>
      <c r="X1586" s="13"/>
    </row>
    <row r="1587" spans="1:24" s="25" customFormat="1" x14ac:dyDescent="0.25">
      <c r="A1587" s="20">
        <v>599</v>
      </c>
      <c r="B1587" s="21" t="s">
        <v>13</v>
      </c>
      <c r="C1587" s="22" t="s">
        <v>2376</v>
      </c>
      <c r="D1587" s="17">
        <v>44544</v>
      </c>
      <c r="E1587" s="23" t="s">
        <v>23</v>
      </c>
      <c r="F1587" s="23"/>
      <c r="G1587" s="21" t="s">
        <v>2409</v>
      </c>
      <c r="H1587" s="30"/>
      <c r="I1587" s="21" t="s">
        <v>38</v>
      </c>
      <c r="J1587" s="21">
        <v>6150</v>
      </c>
      <c r="K1587" s="21" t="s">
        <v>2375</v>
      </c>
      <c r="L1587" s="21">
        <v>6.4500000000000002E-2</v>
      </c>
      <c r="M1587" s="21">
        <v>8.5000000000000006E-2</v>
      </c>
      <c r="N1587" s="21">
        <v>396.67500000000001</v>
      </c>
      <c r="O1587" s="21">
        <v>522.75</v>
      </c>
      <c r="P1587" s="21">
        <v>51.57</v>
      </c>
      <c r="Q1587" s="21">
        <v>17.739999999999998</v>
      </c>
      <c r="R1587" s="21">
        <v>275</v>
      </c>
      <c r="S1587" s="21">
        <v>109085.63</v>
      </c>
      <c r="T1587" s="21"/>
      <c r="U1587" s="21"/>
      <c r="V1587" s="21"/>
      <c r="W1587" s="21"/>
      <c r="X1587" s="21"/>
    </row>
    <row r="1588" spans="1:24" s="25" customFormat="1" x14ac:dyDescent="0.25">
      <c r="A1588" s="20">
        <v>600</v>
      </c>
      <c r="B1588" s="21" t="s">
        <v>13</v>
      </c>
      <c r="C1588" s="22" t="s">
        <v>32</v>
      </c>
      <c r="D1588" s="17">
        <v>44544</v>
      </c>
      <c r="E1588" s="23" t="s">
        <v>23</v>
      </c>
      <c r="F1588" s="23"/>
      <c r="G1588" s="21"/>
      <c r="H1588" s="24">
        <v>44557</v>
      </c>
      <c r="I1588" s="21" t="s">
        <v>2377</v>
      </c>
      <c r="J1588" s="21">
        <v>210</v>
      </c>
      <c r="K1588" s="21" t="s">
        <v>1607</v>
      </c>
      <c r="L1588" s="21">
        <v>5.7599999999999998E-2</v>
      </c>
      <c r="M1588" s="21">
        <v>8.7999999999999995E-2</v>
      </c>
      <c r="N1588" s="21">
        <v>12.096</v>
      </c>
      <c r="O1588" s="21">
        <v>18.48</v>
      </c>
      <c r="P1588" s="21">
        <v>1.57</v>
      </c>
      <c r="Q1588" s="21">
        <v>144.58000000000001</v>
      </c>
      <c r="R1588" s="21">
        <v>251</v>
      </c>
      <c r="S1588" s="21">
        <v>30360.959999999999</v>
      </c>
      <c r="T1588" s="21"/>
      <c r="U1588" s="21"/>
      <c r="V1588" s="21"/>
      <c r="W1588" s="21"/>
      <c r="X1588" s="21"/>
    </row>
    <row r="1589" spans="1:24" s="28" customFormat="1" x14ac:dyDescent="0.25">
      <c r="A1589" s="104">
        <v>601</v>
      </c>
      <c r="B1589" s="26" t="s">
        <v>13</v>
      </c>
      <c r="C1589" s="27" t="s">
        <v>32</v>
      </c>
      <c r="D1589" s="105">
        <v>44544</v>
      </c>
      <c r="E1589" s="106" t="s">
        <v>23</v>
      </c>
      <c r="F1589" s="106"/>
      <c r="G1589" s="26"/>
      <c r="H1589" s="107">
        <v>44557</v>
      </c>
      <c r="I1589" s="26" t="s">
        <v>1218</v>
      </c>
      <c r="J1589" s="26">
        <v>879.8</v>
      </c>
      <c r="K1589" s="26" t="s">
        <v>887</v>
      </c>
      <c r="L1589" s="26">
        <v>0.2651</v>
      </c>
      <c r="M1589" s="26">
        <v>0.82099999999999995</v>
      </c>
      <c r="N1589" s="26">
        <v>233.23500000000001</v>
      </c>
      <c r="O1589" s="26">
        <v>722.31579999999997</v>
      </c>
      <c r="P1589" s="26">
        <v>30.32</v>
      </c>
      <c r="Q1589" s="26">
        <v>66.540000000000006</v>
      </c>
      <c r="R1589" s="26">
        <v>251</v>
      </c>
      <c r="S1589" s="26">
        <v>58541.89</v>
      </c>
      <c r="T1589" s="26"/>
      <c r="U1589" s="26"/>
      <c r="V1589" s="26"/>
      <c r="W1589" s="26"/>
      <c r="X1589" s="26"/>
    </row>
    <row r="1590" spans="1:24" x14ac:dyDescent="0.25">
      <c r="A1590" s="15" t="s">
        <v>2394</v>
      </c>
      <c r="B1590" s="13" t="s">
        <v>13</v>
      </c>
      <c r="C1590" s="22" t="s">
        <v>156</v>
      </c>
      <c r="D1590" s="29">
        <v>44546</v>
      </c>
      <c r="E1590" s="18" t="s">
        <v>23</v>
      </c>
      <c r="F1590" s="18"/>
      <c r="G1590" s="13"/>
      <c r="H1590" s="31"/>
      <c r="I1590" s="13" t="s">
        <v>2396</v>
      </c>
      <c r="J1590" s="13">
        <v>375</v>
      </c>
      <c r="K1590" s="13">
        <v>125</v>
      </c>
      <c r="L1590" s="13"/>
      <c r="M1590" s="13"/>
      <c r="N1590" s="13"/>
      <c r="O1590" s="13"/>
      <c r="P1590" s="13"/>
      <c r="Q1590" s="13"/>
      <c r="R1590" s="13"/>
      <c r="S1590" s="13" t="s">
        <v>2397</v>
      </c>
      <c r="T1590" s="13"/>
      <c r="U1590" s="13"/>
      <c r="V1590" s="13"/>
      <c r="W1590" s="13"/>
      <c r="X1590" s="13"/>
    </row>
    <row r="1591" spans="1:24" s="28" customFormat="1" x14ac:dyDescent="0.25">
      <c r="A1591" s="104">
        <v>602</v>
      </c>
      <c r="B1591" s="26" t="s">
        <v>13</v>
      </c>
      <c r="C1591" s="27" t="s">
        <v>1750</v>
      </c>
      <c r="D1591" s="105">
        <v>44545</v>
      </c>
      <c r="E1591" s="106" t="s">
        <v>23</v>
      </c>
      <c r="F1591" s="106"/>
      <c r="G1591" s="26"/>
      <c r="H1591" s="125"/>
      <c r="I1591" s="26" t="s">
        <v>1863</v>
      </c>
      <c r="J1591" s="26">
        <v>318.5</v>
      </c>
      <c r="K1591" s="26" t="s">
        <v>326</v>
      </c>
      <c r="L1591" s="26">
        <v>0.39269999999999999</v>
      </c>
      <c r="M1591" s="26">
        <v>0.872</v>
      </c>
      <c r="N1591" s="26">
        <v>125.075</v>
      </c>
      <c r="O1591" s="26">
        <v>277.73200000000003</v>
      </c>
      <c r="P1591" s="26">
        <v>16.260000000000002</v>
      </c>
      <c r="Q1591" s="26">
        <v>117.81</v>
      </c>
      <c r="R1591" s="26">
        <v>300</v>
      </c>
      <c r="S1591" s="26">
        <v>37522.49</v>
      </c>
      <c r="T1591" s="26"/>
      <c r="U1591" s="26"/>
      <c r="V1591" s="26"/>
      <c r="W1591" s="26"/>
      <c r="X1591" s="26"/>
    </row>
    <row r="1592" spans="1:24" x14ac:dyDescent="0.25">
      <c r="A1592" s="15">
        <v>603</v>
      </c>
      <c r="B1592" s="13" t="s">
        <v>34</v>
      </c>
      <c r="C1592" s="22" t="s">
        <v>14</v>
      </c>
      <c r="D1592" s="29">
        <v>44546</v>
      </c>
      <c r="E1592" s="18" t="s">
        <v>23</v>
      </c>
      <c r="F1592" s="18"/>
      <c r="G1592" s="13"/>
      <c r="H1592" s="31"/>
      <c r="I1592" s="13" t="s">
        <v>1940</v>
      </c>
      <c r="J1592" s="13">
        <v>2064</v>
      </c>
      <c r="K1592" s="13" t="s">
        <v>1367</v>
      </c>
      <c r="L1592" s="13">
        <v>0.16289999999999999</v>
      </c>
      <c r="M1592" s="13">
        <v>0.45800000000000002</v>
      </c>
      <c r="N1592" s="13">
        <v>336.22559999999999</v>
      </c>
      <c r="O1592" s="13">
        <v>945.31200000000001</v>
      </c>
      <c r="P1592" s="13">
        <v>43.71</v>
      </c>
      <c r="Q1592" s="13">
        <v>41.54</v>
      </c>
      <c r="R1592" s="13">
        <v>255</v>
      </c>
      <c r="S1592" s="13">
        <v>85738.559999999998</v>
      </c>
      <c r="T1592" s="13"/>
      <c r="U1592" s="13"/>
      <c r="V1592" s="13"/>
      <c r="W1592" s="13"/>
      <c r="X1592" s="13"/>
    </row>
    <row r="1593" spans="1:24" x14ac:dyDescent="0.25">
      <c r="A1593" s="15">
        <v>603</v>
      </c>
      <c r="B1593" s="13" t="s">
        <v>34</v>
      </c>
      <c r="C1593" s="22" t="s">
        <v>14</v>
      </c>
      <c r="D1593" s="29">
        <v>44546</v>
      </c>
      <c r="E1593" s="18" t="s">
        <v>23</v>
      </c>
      <c r="F1593" s="18"/>
      <c r="G1593" s="13" t="s">
        <v>2419</v>
      </c>
      <c r="H1593" s="19">
        <v>44554</v>
      </c>
      <c r="I1593" s="13" t="s">
        <v>651</v>
      </c>
      <c r="J1593" s="13">
        <v>2790</v>
      </c>
      <c r="K1593" s="13" t="s">
        <v>2380</v>
      </c>
      <c r="L1593" s="13">
        <v>0.2208</v>
      </c>
      <c r="M1593" s="13">
        <v>0.77300000000000002</v>
      </c>
      <c r="N1593" s="13">
        <v>616.03200000000004</v>
      </c>
      <c r="O1593" s="13">
        <v>2156.67</v>
      </c>
      <c r="P1593" s="13">
        <v>80.08</v>
      </c>
      <c r="Q1593" s="13">
        <v>56.3</v>
      </c>
      <c r="R1593" s="13">
        <v>255</v>
      </c>
      <c r="S1593" s="13">
        <v>157088.16</v>
      </c>
      <c r="T1593" s="13"/>
      <c r="U1593" s="13"/>
      <c r="V1593" s="13"/>
      <c r="W1593" s="13"/>
      <c r="X1593" s="13"/>
    </row>
    <row r="1594" spans="1:24" x14ac:dyDescent="0.25">
      <c r="A1594" s="15">
        <v>604</v>
      </c>
      <c r="B1594" s="13" t="s">
        <v>34</v>
      </c>
      <c r="C1594" s="22" t="s">
        <v>2382</v>
      </c>
      <c r="D1594" s="29">
        <v>44546</v>
      </c>
      <c r="E1594" s="18" t="s">
        <v>23</v>
      </c>
      <c r="F1594" s="18"/>
      <c r="G1594" s="13"/>
      <c r="H1594" s="31"/>
      <c r="I1594" s="13" t="s">
        <v>630</v>
      </c>
      <c r="J1594" s="13">
        <v>13</v>
      </c>
      <c r="K1594" s="13" t="s">
        <v>41</v>
      </c>
      <c r="L1594" s="13">
        <v>0.54049999999999998</v>
      </c>
      <c r="M1594" s="13">
        <v>2.0979999999999999</v>
      </c>
      <c r="N1594" s="13">
        <v>7.0265000000000004</v>
      </c>
      <c r="O1594" s="13">
        <v>27.274000000000001</v>
      </c>
      <c r="P1594" s="13">
        <v>0.91</v>
      </c>
      <c r="Q1594" s="13">
        <v>118.91</v>
      </c>
      <c r="R1594" s="13">
        <v>220</v>
      </c>
      <c r="S1594" s="13">
        <v>1545.83</v>
      </c>
      <c r="T1594" s="13"/>
      <c r="U1594" s="13"/>
      <c r="V1594" s="13"/>
      <c r="W1594" s="13"/>
      <c r="X1594" s="13"/>
    </row>
    <row r="1595" spans="1:24" x14ac:dyDescent="0.25">
      <c r="A1595" s="15">
        <v>604</v>
      </c>
      <c r="B1595" s="13" t="s">
        <v>34</v>
      </c>
      <c r="C1595" s="22" t="s">
        <v>2382</v>
      </c>
      <c r="D1595" s="29">
        <v>44546</v>
      </c>
      <c r="E1595" s="18" t="s">
        <v>677</v>
      </c>
      <c r="F1595" s="18"/>
      <c r="G1595" s="13"/>
      <c r="H1595" s="31"/>
      <c r="I1595" s="13" t="s">
        <v>999</v>
      </c>
      <c r="J1595" s="13">
        <v>26</v>
      </c>
      <c r="K1595" s="13" t="s">
        <v>558</v>
      </c>
      <c r="L1595" s="13">
        <v>0.626</v>
      </c>
      <c r="M1595" s="13">
        <v>2.1869999999999998</v>
      </c>
      <c r="N1595" s="13">
        <v>16.276</v>
      </c>
      <c r="O1595" s="13">
        <v>56.862000000000002</v>
      </c>
      <c r="P1595" s="13">
        <v>2.12</v>
      </c>
      <c r="Q1595" s="13">
        <v>137.72</v>
      </c>
      <c r="R1595" s="13">
        <v>220</v>
      </c>
      <c r="S1595" s="13">
        <v>3580.72</v>
      </c>
      <c r="T1595" s="13"/>
      <c r="U1595" s="13"/>
      <c r="V1595" s="13"/>
      <c r="W1595" s="13"/>
      <c r="X1595" s="13"/>
    </row>
    <row r="1596" spans="1:24" x14ac:dyDescent="0.25">
      <c r="A1596" s="15">
        <v>605</v>
      </c>
      <c r="B1596" s="13" t="s">
        <v>13</v>
      </c>
      <c r="C1596" s="22" t="s">
        <v>161</v>
      </c>
      <c r="D1596" s="29">
        <v>44546</v>
      </c>
      <c r="E1596" s="18" t="s">
        <v>23</v>
      </c>
      <c r="F1596" s="18"/>
      <c r="G1596" s="13"/>
      <c r="H1596" s="31"/>
      <c r="I1596" s="13" t="s">
        <v>149</v>
      </c>
      <c r="J1596" s="13">
        <v>150</v>
      </c>
      <c r="K1596" s="13" t="s">
        <v>56</v>
      </c>
      <c r="L1596" s="13">
        <v>0.18360000000000001</v>
      </c>
      <c r="M1596" s="13">
        <v>0.39400000000000002</v>
      </c>
      <c r="N1596" s="13">
        <v>27.54</v>
      </c>
      <c r="O1596" s="13">
        <v>59.1</v>
      </c>
      <c r="P1596" s="13">
        <v>3.58</v>
      </c>
      <c r="Q1596" s="13">
        <v>55.08</v>
      </c>
      <c r="R1596" s="13">
        <v>300</v>
      </c>
      <c r="S1596" s="13">
        <v>8262</v>
      </c>
      <c r="T1596" s="13"/>
      <c r="U1596" s="13"/>
      <c r="V1596" s="13"/>
      <c r="W1596" s="13"/>
      <c r="X1596" s="13"/>
    </row>
    <row r="1597" spans="1:24" x14ac:dyDescent="0.25">
      <c r="A1597" s="15" t="s">
        <v>2384</v>
      </c>
      <c r="B1597" s="13" t="s">
        <v>13</v>
      </c>
      <c r="C1597" s="22" t="s">
        <v>43</v>
      </c>
      <c r="D1597" s="29">
        <v>44550</v>
      </c>
      <c r="E1597" s="18" t="s">
        <v>23</v>
      </c>
      <c r="F1597" s="18"/>
      <c r="G1597" s="13"/>
      <c r="H1597" s="31"/>
      <c r="I1597" s="13" t="s">
        <v>485</v>
      </c>
      <c r="J1597" s="13" t="s">
        <v>2386</v>
      </c>
      <c r="K1597" s="13">
        <v>12</v>
      </c>
      <c r="L1597" s="13"/>
      <c r="M1597" s="13"/>
      <c r="N1597" s="13"/>
      <c r="O1597" s="13"/>
      <c r="P1597" s="13"/>
      <c r="Q1597" s="13"/>
      <c r="R1597" s="13"/>
      <c r="S1597" s="13">
        <v>5300</v>
      </c>
      <c r="T1597" s="13"/>
      <c r="U1597" s="13"/>
      <c r="V1597" s="13"/>
      <c r="W1597" s="13"/>
      <c r="X1597" s="13"/>
    </row>
    <row r="1598" spans="1:24" x14ac:dyDescent="0.25">
      <c r="A1598" s="15" t="s">
        <v>2384</v>
      </c>
      <c r="B1598" s="13" t="s">
        <v>13</v>
      </c>
      <c r="C1598" s="22" t="s">
        <v>43</v>
      </c>
      <c r="D1598" s="29">
        <v>44550</v>
      </c>
      <c r="E1598" s="18" t="s">
        <v>23</v>
      </c>
      <c r="F1598" s="18"/>
      <c r="G1598" s="13" t="s">
        <v>2392</v>
      </c>
      <c r="H1598" s="31"/>
      <c r="I1598" s="13" t="s">
        <v>2385</v>
      </c>
      <c r="J1598" s="13" t="s">
        <v>2387</v>
      </c>
      <c r="K1598" s="13">
        <v>4</v>
      </c>
      <c r="L1598" s="13"/>
      <c r="M1598" s="13"/>
      <c r="N1598" s="13"/>
      <c r="O1598" s="13"/>
      <c r="P1598" s="13"/>
      <c r="Q1598" s="13"/>
      <c r="R1598" s="13"/>
      <c r="S1598" s="13">
        <v>5300</v>
      </c>
      <c r="T1598" s="13"/>
      <c r="U1598" s="13"/>
      <c r="V1598" s="13"/>
      <c r="W1598" s="13"/>
      <c r="X1598" s="13"/>
    </row>
    <row r="1599" spans="1:24" x14ac:dyDescent="0.25">
      <c r="A1599" s="15" t="s">
        <v>2384</v>
      </c>
      <c r="B1599" s="13" t="s">
        <v>13</v>
      </c>
      <c r="C1599" s="22" t="s">
        <v>43</v>
      </c>
      <c r="D1599" s="29">
        <v>44550</v>
      </c>
      <c r="E1599" s="18" t="s">
        <v>23</v>
      </c>
      <c r="F1599" s="18"/>
      <c r="G1599" s="13"/>
      <c r="H1599" s="31"/>
      <c r="I1599" s="13" t="s">
        <v>249</v>
      </c>
      <c r="J1599" s="13" t="s">
        <v>96</v>
      </c>
      <c r="K1599" s="13">
        <v>2</v>
      </c>
      <c r="L1599" s="13"/>
      <c r="M1599" s="13"/>
      <c r="N1599" s="13"/>
      <c r="O1599" s="13"/>
      <c r="P1599" s="13"/>
      <c r="Q1599" s="13"/>
      <c r="R1599" s="13"/>
      <c r="S1599" s="13">
        <v>5300</v>
      </c>
      <c r="T1599" s="13"/>
      <c r="U1599" s="13"/>
      <c r="V1599" s="13"/>
      <c r="W1599" s="13"/>
      <c r="X1599" s="13"/>
    </row>
    <row r="1600" spans="1:24" x14ac:dyDescent="0.25">
      <c r="A1600" s="15" t="s">
        <v>2384</v>
      </c>
      <c r="B1600" s="13" t="s">
        <v>13</v>
      </c>
      <c r="C1600" s="22" t="s">
        <v>43</v>
      </c>
      <c r="D1600" s="29">
        <v>44550</v>
      </c>
      <c r="E1600" s="18" t="s">
        <v>23</v>
      </c>
      <c r="F1600" s="18"/>
      <c r="G1600" s="13"/>
      <c r="H1600" s="31"/>
      <c r="I1600" s="13" t="s">
        <v>2247</v>
      </c>
      <c r="J1600" s="13" t="s">
        <v>96</v>
      </c>
      <c r="K1600" s="13">
        <v>2</v>
      </c>
      <c r="L1600" s="13"/>
      <c r="M1600" s="13"/>
      <c r="N1600" s="13"/>
      <c r="O1600" s="13"/>
      <c r="P1600" s="13"/>
      <c r="Q1600" s="13"/>
      <c r="R1600" s="13"/>
      <c r="S1600" s="13">
        <v>5300</v>
      </c>
      <c r="T1600" s="13"/>
      <c r="U1600" s="13"/>
      <c r="V1600" s="13"/>
      <c r="W1600" s="13"/>
      <c r="X1600" s="13"/>
    </row>
    <row r="1601" spans="1:24" x14ac:dyDescent="0.25">
      <c r="A1601" s="15" t="s">
        <v>2388</v>
      </c>
      <c r="B1601" s="13" t="s">
        <v>13</v>
      </c>
      <c r="C1601" s="22" t="s">
        <v>284</v>
      </c>
      <c r="D1601" s="29">
        <v>44550</v>
      </c>
      <c r="E1601" s="18" t="s">
        <v>677</v>
      </c>
      <c r="F1601" s="18"/>
      <c r="G1601" s="13" t="s">
        <v>543</v>
      </c>
      <c r="H1601" s="31"/>
      <c r="I1601" s="13" t="s">
        <v>65</v>
      </c>
      <c r="J1601" s="13" t="s">
        <v>160</v>
      </c>
      <c r="K1601" s="13">
        <v>120</v>
      </c>
      <c r="L1601" s="13"/>
      <c r="M1601" s="13"/>
      <c r="N1601" s="13"/>
      <c r="O1601" s="13"/>
      <c r="P1601" s="13"/>
      <c r="Q1601" s="13"/>
      <c r="R1601" s="13"/>
      <c r="S1601" s="13">
        <v>20600</v>
      </c>
      <c r="T1601" s="13"/>
      <c r="U1601" s="13"/>
      <c r="V1601" s="13"/>
      <c r="W1601" s="13"/>
      <c r="X1601" s="13"/>
    </row>
    <row r="1602" spans="1:24" x14ac:dyDescent="0.25">
      <c r="A1602" s="15" t="s">
        <v>2388</v>
      </c>
      <c r="B1602" s="13" t="s">
        <v>13</v>
      </c>
      <c r="C1602" s="22" t="s">
        <v>284</v>
      </c>
      <c r="D1602" s="29">
        <v>44550</v>
      </c>
      <c r="E1602" s="18" t="s">
        <v>677</v>
      </c>
      <c r="F1602" s="18"/>
      <c r="G1602" s="13" t="s">
        <v>543</v>
      </c>
      <c r="H1602" s="31"/>
      <c r="I1602" s="13" t="s">
        <v>67</v>
      </c>
      <c r="J1602" s="13" t="s">
        <v>68</v>
      </c>
      <c r="K1602" s="13">
        <v>36</v>
      </c>
      <c r="L1602" s="13"/>
      <c r="M1602" s="13"/>
      <c r="N1602" s="13"/>
      <c r="O1602" s="13"/>
      <c r="P1602" s="13"/>
      <c r="Q1602" s="13"/>
      <c r="R1602" s="13"/>
      <c r="S1602" s="13">
        <v>10300</v>
      </c>
      <c r="T1602" s="13"/>
      <c r="U1602" s="13"/>
      <c r="V1602" s="13"/>
      <c r="W1602" s="13"/>
      <c r="X1602" s="13"/>
    </row>
    <row r="1603" spans="1:24" x14ac:dyDescent="0.25">
      <c r="A1603" s="15">
        <v>606</v>
      </c>
      <c r="B1603" s="13" t="s">
        <v>13</v>
      </c>
      <c r="C1603" s="22" t="s">
        <v>625</v>
      </c>
      <c r="D1603" s="29">
        <v>44550</v>
      </c>
      <c r="E1603" s="18" t="s">
        <v>23</v>
      </c>
      <c r="F1603" s="18"/>
      <c r="G1603" s="13"/>
      <c r="H1603" s="31"/>
      <c r="I1603" s="13" t="s">
        <v>2316</v>
      </c>
      <c r="J1603" s="13">
        <v>4743</v>
      </c>
      <c r="K1603" s="13" t="s">
        <v>2389</v>
      </c>
      <c r="L1603" s="13">
        <v>0.13400000000000001</v>
      </c>
      <c r="M1603" s="13">
        <v>0.23200000000000001</v>
      </c>
      <c r="N1603" s="13">
        <v>635.56200000000001</v>
      </c>
      <c r="O1603" s="13">
        <v>1100.376</v>
      </c>
      <c r="P1603" s="13">
        <v>82.62</v>
      </c>
      <c r="Q1603" s="13">
        <v>40.200000000000003</v>
      </c>
      <c r="R1603" s="13">
        <v>300</v>
      </c>
      <c r="S1603" s="13">
        <v>190668.6</v>
      </c>
      <c r="T1603" s="13"/>
      <c r="U1603" s="13"/>
      <c r="V1603" s="13"/>
      <c r="W1603" s="13"/>
      <c r="X1603" s="13"/>
    </row>
    <row r="1604" spans="1:24" x14ac:dyDescent="0.25">
      <c r="A1604" s="15">
        <v>607</v>
      </c>
      <c r="B1604" s="13" t="s">
        <v>13</v>
      </c>
      <c r="C1604" s="22" t="s">
        <v>657</v>
      </c>
      <c r="D1604" s="29">
        <v>44550</v>
      </c>
      <c r="E1604" s="18" t="s">
        <v>23</v>
      </c>
      <c r="F1604" s="18"/>
      <c r="G1604" s="13"/>
      <c r="H1604" s="31"/>
      <c r="I1604" s="13" t="s">
        <v>1000</v>
      </c>
      <c r="J1604" s="13">
        <v>1455.8</v>
      </c>
      <c r="K1604" s="13" t="s">
        <v>2390</v>
      </c>
      <c r="L1604" s="13">
        <v>0.1724</v>
      </c>
      <c r="M1604" s="13">
        <v>0.41499999999999998</v>
      </c>
      <c r="N1604" s="13">
        <v>250.97989999999999</v>
      </c>
      <c r="O1604" s="13">
        <v>604.15700000000004</v>
      </c>
      <c r="P1604" s="13">
        <v>32.630000000000003</v>
      </c>
      <c r="Q1604" s="13">
        <v>47.41</v>
      </c>
      <c r="R1604" s="13">
        <v>275</v>
      </c>
      <c r="S1604" s="13">
        <v>69019.48</v>
      </c>
      <c r="T1604" s="13"/>
      <c r="U1604" s="13"/>
      <c r="V1604" s="13"/>
      <c r="W1604" s="13"/>
      <c r="X1604" s="13"/>
    </row>
    <row r="1605" spans="1:24" s="25" customFormat="1" x14ac:dyDescent="0.25">
      <c r="A1605" s="20">
        <v>608</v>
      </c>
      <c r="B1605" s="21" t="s">
        <v>13</v>
      </c>
      <c r="C1605" s="22" t="s">
        <v>663</v>
      </c>
      <c r="D1605" s="17">
        <v>44550</v>
      </c>
      <c r="E1605" s="23" t="s">
        <v>23</v>
      </c>
      <c r="F1605" s="23"/>
      <c r="G1605" s="21" t="s">
        <v>2673</v>
      </c>
      <c r="H1605" s="30"/>
      <c r="I1605" s="21" t="s">
        <v>999</v>
      </c>
      <c r="J1605" s="21">
        <v>1085.5</v>
      </c>
      <c r="K1605" s="21" t="s">
        <v>2627</v>
      </c>
      <c r="L1605" s="21">
        <v>0.626</v>
      </c>
      <c r="M1605" s="21">
        <v>2.1869999999999998</v>
      </c>
      <c r="N1605" s="21">
        <v>679.52300000000002</v>
      </c>
      <c r="O1605" s="21">
        <v>2373.9884999999999</v>
      </c>
      <c r="P1605" s="21">
        <v>88.34</v>
      </c>
      <c r="Q1605" s="21">
        <v>172.15</v>
      </c>
      <c r="R1605" s="21">
        <v>275</v>
      </c>
      <c r="S1605" s="21">
        <v>186868.83</v>
      </c>
      <c r="T1605" s="21">
        <v>186868.83</v>
      </c>
      <c r="U1605" s="21"/>
      <c r="V1605" s="21"/>
      <c r="W1605" s="21"/>
      <c r="X1605" s="21"/>
    </row>
    <row r="1606" spans="1:24" s="25" customFormat="1" x14ac:dyDescent="0.25">
      <c r="A1606" s="20">
        <v>609</v>
      </c>
      <c r="B1606" s="21" t="s">
        <v>13</v>
      </c>
      <c r="C1606" s="22" t="s">
        <v>595</v>
      </c>
      <c r="D1606" s="17">
        <v>44550</v>
      </c>
      <c r="E1606" s="23" t="s">
        <v>23</v>
      </c>
      <c r="F1606" s="23"/>
      <c r="G1606" s="21" t="s">
        <v>2656</v>
      </c>
      <c r="H1606" s="30"/>
      <c r="I1606" s="21" t="s">
        <v>1400</v>
      </c>
      <c r="J1606" s="21">
        <v>360</v>
      </c>
      <c r="K1606" s="21" t="s">
        <v>308</v>
      </c>
      <c r="L1606" s="21">
        <v>0.29759999999999998</v>
      </c>
      <c r="M1606" s="21">
        <v>0.67600000000000005</v>
      </c>
      <c r="N1606" s="21">
        <v>107.136</v>
      </c>
      <c r="O1606" s="21">
        <v>243.36</v>
      </c>
      <c r="P1606" s="21">
        <v>13.93</v>
      </c>
      <c r="Q1606" s="21">
        <v>81.84</v>
      </c>
      <c r="R1606" s="21">
        <v>275</v>
      </c>
      <c r="S1606" s="21">
        <v>29462.400000000001</v>
      </c>
      <c r="T1606" s="21"/>
      <c r="U1606" s="21"/>
      <c r="V1606" s="21"/>
      <c r="W1606" s="21"/>
      <c r="X1606" s="21"/>
    </row>
    <row r="1607" spans="1:24" s="28" customFormat="1" x14ac:dyDescent="0.25">
      <c r="A1607" s="104">
        <v>610</v>
      </c>
      <c r="B1607" s="26" t="s">
        <v>13</v>
      </c>
      <c r="C1607" s="27" t="s">
        <v>1750</v>
      </c>
      <c r="D1607" s="105">
        <v>44550</v>
      </c>
      <c r="E1607" s="106" t="s">
        <v>23</v>
      </c>
      <c r="F1607" s="106"/>
      <c r="G1607" s="26"/>
      <c r="H1607" s="125"/>
      <c r="I1607" s="26" t="s">
        <v>1863</v>
      </c>
      <c r="J1607" s="26">
        <v>274.39999999999998</v>
      </c>
      <c r="K1607" s="26" t="s">
        <v>527</v>
      </c>
      <c r="L1607" s="26">
        <v>0.39269999999999999</v>
      </c>
      <c r="M1607" s="26">
        <v>0.872</v>
      </c>
      <c r="N1607" s="26">
        <v>107.7569</v>
      </c>
      <c r="O1607" s="26">
        <v>239.27680000000001</v>
      </c>
      <c r="P1607" s="26">
        <v>14.01</v>
      </c>
      <c r="Q1607" s="26">
        <v>117.81</v>
      </c>
      <c r="R1607" s="26">
        <v>300</v>
      </c>
      <c r="S1607" s="26">
        <v>32327.06</v>
      </c>
      <c r="T1607" s="26"/>
      <c r="U1607" s="26"/>
      <c r="V1607" s="26"/>
      <c r="W1607" s="26"/>
      <c r="X1607" s="26"/>
    </row>
    <row r="1608" spans="1:24" s="25" customFormat="1" x14ac:dyDescent="0.25">
      <c r="A1608" s="20">
        <v>611</v>
      </c>
      <c r="B1608" s="21" t="s">
        <v>13</v>
      </c>
      <c r="C1608" s="22" t="s">
        <v>32</v>
      </c>
      <c r="D1608" s="17">
        <v>44550</v>
      </c>
      <c r="E1608" s="23" t="s">
        <v>23</v>
      </c>
      <c r="F1608" s="23"/>
      <c r="G1608" s="21" t="s">
        <v>1973</v>
      </c>
      <c r="H1608" s="30"/>
      <c r="I1608" s="21" t="s">
        <v>1218</v>
      </c>
      <c r="J1608" s="21">
        <v>779.1</v>
      </c>
      <c r="K1608" s="21" t="s">
        <v>408</v>
      </c>
      <c r="L1608" s="21">
        <v>0.2651</v>
      </c>
      <c r="M1608" s="21">
        <v>0.82099999999999995</v>
      </c>
      <c r="N1608" s="21">
        <v>206.5394</v>
      </c>
      <c r="O1608" s="21">
        <v>639.64110000000005</v>
      </c>
      <c r="P1608" s="21">
        <v>26.85</v>
      </c>
      <c r="Q1608" s="21">
        <v>53.02</v>
      </c>
      <c r="R1608" s="21">
        <v>200</v>
      </c>
      <c r="S1608" s="21">
        <v>41307.879999999997</v>
      </c>
      <c r="T1608" s="21"/>
      <c r="U1608" s="21"/>
      <c r="V1608" s="21"/>
      <c r="W1608" s="21"/>
      <c r="X1608" s="21"/>
    </row>
    <row r="1609" spans="1:24" s="86" customFormat="1" x14ac:dyDescent="0.25">
      <c r="A1609" s="122">
        <v>612</v>
      </c>
      <c r="B1609" s="85" t="s">
        <v>13</v>
      </c>
      <c r="C1609" s="100" t="s">
        <v>32</v>
      </c>
      <c r="D1609" s="123">
        <v>44550</v>
      </c>
      <c r="E1609" s="112" t="s">
        <v>23</v>
      </c>
      <c r="F1609" s="112"/>
      <c r="G1609" s="85" t="s">
        <v>2732</v>
      </c>
      <c r="H1609" s="126">
        <v>44610</v>
      </c>
      <c r="I1609" s="85" t="s">
        <v>1218</v>
      </c>
      <c r="J1609" s="85">
        <v>2448.6</v>
      </c>
      <c r="K1609" s="85" t="s">
        <v>2393</v>
      </c>
      <c r="L1609" s="85">
        <v>0.2651</v>
      </c>
      <c r="M1609" s="85">
        <v>0.82099999999999995</v>
      </c>
      <c r="N1609" s="85">
        <v>649.12390000000005</v>
      </c>
      <c r="O1609" s="85">
        <v>2010.3006</v>
      </c>
      <c r="P1609" s="85">
        <v>84.39</v>
      </c>
      <c r="Q1609" s="85">
        <v>66.540000000000006</v>
      </c>
      <c r="R1609" s="85">
        <v>251</v>
      </c>
      <c r="S1609" s="85">
        <v>162930.09</v>
      </c>
      <c r="T1609" s="85"/>
      <c r="U1609" s="85"/>
      <c r="V1609" s="85"/>
      <c r="W1609" s="85"/>
      <c r="X1609" s="85"/>
    </row>
    <row r="1610" spans="1:24" x14ac:dyDescent="0.25">
      <c r="A1610" s="15" t="s">
        <v>2398</v>
      </c>
      <c r="B1610" s="13" t="s">
        <v>13</v>
      </c>
      <c r="C1610" s="22" t="s">
        <v>2399</v>
      </c>
      <c r="D1610" s="29">
        <v>44551</v>
      </c>
      <c r="E1610" s="18" t="s">
        <v>23</v>
      </c>
      <c r="F1610" s="18"/>
      <c r="G1610" s="13"/>
      <c r="H1610" s="31"/>
      <c r="I1610" s="13" t="s">
        <v>2403</v>
      </c>
      <c r="J1610" s="13"/>
      <c r="K1610" s="13">
        <v>156</v>
      </c>
      <c r="L1610" s="13"/>
      <c r="M1610" s="13"/>
      <c r="N1610" s="13"/>
      <c r="O1610" s="13"/>
      <c r="P1610" s="13"/>
      <c r="Q1610" s="13"/>
      <c r="R1610" s="13"/>
      <c r="S1610" s="13">
        <v>23800</v>
      </c>
      <c r="T1610" s="13"/>
      <c r="U1610" s="13"/>
      <c r="V1610" s="13"/>
      <c r="W1610" s="13"/>
      <c r="X1610" s="13"/>
    </row>
    <row r="1611" spans="1:24" x14ac:dyDescent="0.25">
      <c r="A1611" s="15" t="s">
        <v>2437</v>
      </c>
      <c r="B1611" s="13" t="s">
        <v>34</v>
      </c>
      <c r="C1611" s="22" t="s">
        <v>576</v>
      </c>
      <c r="D1611" s="29">
        <v>44551</v>
      </c>
      <c r="E1611" s="18" t="s">
        <v>23</v>
      </c>
      <c r="F1611" s="18"/>
      <c r="G1611" s="13"/>
      <c r="H1611" s="31"/>
      <c r="I1611" s="13" t="s">
        <v>2308</v>
      </c>
      <c r="J1611" s="13" t="s">
        <v>2400</v>
      </c>
      <c r="K1611" s="13"/>
      <c r="L1611" s="13"/>
      <c r="M1611" s="13"/>
      <c r="N1611" s="13"/>
      <c r="O1611" s="13"/>
      <c r="P1611" s="13"/>
      <c r="Q1611" s="13"/>
      <c r="R1611" s="13"/>
      <c r="S1611" s="13" t="s">
        <v>2401</v>
      </c>
      <c r="T1611" s="13"/>
      <c r="U1611" s="13"/>
      <c r="V1611" s="13"/>
      <c r="W1611" s="13"/>
      <c r="X1611" s="13"/>
    </row>
    <row r="1612" spans="1:24" s="25" customFormat="1" x14ac:dyDescent="0.25">
      <c r="A1612" s="20" t="s">
        <v>2415</v>
      </c>
      <c r="B1612" s="21" t="s">
        <v>13</v>
      </c>
      <c r="C1612" s="22" t="s">
        <v>43</v>
      </c>
      <c r="D1612" s="17">
        <v>44552</v>
      </c>
      <c r="E1612" s="23" t="s">
        <v>23</v>
      </c>
      <c r="F1612" s="23"/>
      <c r="G1612" s="21"/>
      <c r="H1612" s="30"/>
      <c r="I1612" s="21" t="s">
        <v>2413</v>
      </c>
      <c r="J1612" s="21" t="s">
        <v>2414</v>
      </c>
      <c r="K1612" s="21">
        <v>251</v>
      </c>
      <c r="L1612" s="21"/>
      <c r="M1612" s="21"/>
      <c r="N1612" s="21"/>
      <c r="O1612" s="21"/>
      <c r="P1612" s="21"/>
      <c r="Q1612" s="21"/>
      <c r="R1612" s="21"/>
      <c r="S1612" s="21" t="s">
        <v>2416</v>
      </c>
      <c r="T1612" s="21"/>
      <c r="U1612" s="21"/>
      <c r="V1612" s="21"/>
      <c r="W1612" s="21"/>
      <c r="X1612" s="21"/>
    </row>
    <row r="1613" spans="1:24" x14ac:dyDescent="0.25">
      <c r="A1613" s="15" t="s">
        <v>2402</v>
      </c>
      <c r="B1613" s="13" t="s">
        <v>13</v>
      </c>
      <c r="C1613" s="22" t="s">
        <v>2399</v>
      </c>
      <c r="D1613" s="29">
        <v>44552</v>
      </c>
      <c r="E1613" s="18" t="s">
        <v>23</v>
      </c>
      <c r="F1613" s="18"/>
      <c r="G1613" s="13"/>
      <c r="H1613" s="31"/>
      <c r="I1613" s="13" t="s">
        <v>2403</v>
      </c>
      <c r="J1613" s="13"/>
      <c r="K1613" s="13">
        <v>80</v>
      </c>
      <c r="L1613" s="13"/>
      <c r="M1613" s="13"/>
      <c r="N1613" s="13"/>
      <c r="O1613" s="13"/>
      <c r="P1613" s="13"/>
      <c r="Q1613" s="13"/>
      <c r="R1613" s="13"/>
      <c r="S1613" s="13" t="s">
        <v>2406</v>
      </c>
      <c r="T1613" s="13"/>
      <c r="U1613" s="13"/>
      <c r="V1613" s="13"/>
      <c r="W1613" s="13"/>
      <c r="X1613" s="13"/>
    </row>
    <row r="1614" spans="1:24" s="25" customFormat="1" x14ac:dyDescent="0.25">
      <c r="A1614" s="20" t="s">
        <v>2404</v>
      </c>
      <c r="B1614" s="21" t="s">
        <v>13</v>
      </c>
      <c r="C1614" s="22" t="s">
        <v>653</v>
      </c>
      <c r="D1614" s="17">
        <v>44552</v>
      </c>
      <c r="E1614" s="23" t="s">
        <v>23</v>
      </c>
      <c r="F1614" s="23"/>
      <c r="G1614" s="21" t="s">
        <v>2428</v>
      </c>
      <c r="H1614" s="30"/>
      <c r="I1614" s="21" t="s">
        <v>1952</v>
      </c>
      <c r="J1614" s="21" t="s">
        <v>2405</v>
      </c>
      <c r="K1614" s="21">
        <v>355</v>
      </c>
      <c r="L1614" s="21"/>
      <c r="M1614" s="21"/>
      <c r="N1614" s="21"/>
      <c r="O1614" s="21"/>
      <c r="P1614" s="21"/>
      <c r="Q1614" s="21"/>
      <c r="R1614" s="21"/>
      <c r="S1614" s="21" t="s">
        <v>2407</v>
      </c>
      <c r="T1614" s="21"/>
      <c r="U1614" s="21"/>
      <c r="V1614" s="21"/>
      <c r="W1614" s="21"/>
      <c r="X1614" s="21"/>
    </row>
    <row r="1615" spans="1:24" x14ac:dyDescent="0.25">
      <c r="A1615" s="15" t="s">
        <v>2404</v>
      </c>
      <c r="B1615" s="13" t="s">
        <v>13</v>
      </c>
      <c r="C1615" s="16" t="s">
        <v>653</v>
      </c>
      <c r="D1615" s="29">
        <v>44552</v>
      </c>
      <c r="E1615" s="18" t="s">
        <v>23</v>
      </c>
      <c r="F1615" s="18">
        <f>1780+1824</f>
        <v>3604</v>
      </c>
      <c r="G1615" s="13" t="s">
        <v>2968</v>
      </c>
      <c r="H1615" s="31"/>
      <c r="I1615" s="13" t="s">
        <v>1075</v>
      </c>
      <c r="J1615" s="13">
        <v>48930</v>
      </c>
      <c r="K1615" s="13">
        <v>9786</v>
      </c>
      <c r="L1615" s="13"/>
      <c r="M1615" s="13"/>
      <c r="N1615" s="13"/>
      <c r="O1615" s="13"/>
      <c r="P1615" s="13"/>
      <c r="Q1615" s="13"/>
      <c r="R1615" s="13"/>
      <c r="S1615" s="13" t="s">
        <v>2408</v>
      </c>
      <c r="T1615" s="13"/>
      <c r="U1615" s="13"/>
      <c r="V1615" s="13"/>
      <c r="W1615" s="13"/>
      <c r="X1615" s="13"/>
    </row>
    <row r="1616" spans="1:24" s="86" customFormat="1" x14ac:dyDescent="0.25">
      <c r="A1616" s="122" t="s">
        <v>2404</v>
      </c>
      <c r="B1616" s="85" t="s">
        <v>13</v>
      </c>
      <c r="C1616" s="100" t="s">
        <v>653</v>
      </c>
      <c r="D1616" s="123">
        <v>44552</v>
      </c>
      <c r="E1616" s="112" t="s">
        <v>23</v>
      </c>
      <c r="F1616" s="112"/>
      <c r="G1616" s="85"/>
      <c r="H1616" s="124"/>
      <c r="I1616" s="85" t="s">
        <v>2012</v>
      </c>
      <c r="J1616" s="85">
        <v>3102</v>
      </c>
      <c r="K1616" s="85">
        <v>660</v>
      </c>
      <c r="L1616" s="85"/>
      <c r="M1616" s="85"/>
      <c r="N1616" s="85"/>
      <c r="O1616" s="85"/>
      <c r="P1616" s="85"/>
      <c r="Q1616" s="85"/>
      <c r="R1616" s="85"/>
      <c r="S1616" s="85" t="s">
        <v>2425</v>
      </c>
      <c r="T1616" s="85"/>
      <c r="U1616" s="85"/>
      <c r="V1616" s="85"/>
      <c r="W1616" s="85"/>
      <c r="X1616" s="85"/>
    </row>
    <row r="1617" spans="1:24" x14ac:dyDescent="0.25">
      <c r="A1617" s="15" t="s">
        <v>2412</v>
      </c>
      <c r="B1617" s="13" t="s">
        <v>13</v>
      </c>
      <c r="C1617" s="22" t="s">
        <v>30</v>
      </c>
      <c r="D1617" s="29">
        <v>44553</v>
      </c>
      <c r="E1617" s="18" t="s">
        <v>23</v>
      </c>
      <c r="F1617" s="18"/>
      <c r="G1617" s="13"/>
      <c r="H1617" s="31"/>
      <c r="I1617" s="13" t="s">
        <v>215</v>
      </c>
      <c r="J1617" s="13"/>
      <c r="K1617" s="13" t="s">
        <v>96</v>
      </c>
      <c r="L1617" s="13"/>
      <c r="M1617" s="13"/>
      <c r="N1617" s="13"/>
      <c r="O1617" s="13"/>
      <c r="P1617" s="13"/>
      <c r="Q1617" s="13"/>
      <c r="R1617" s="13"/>
      <c r="S1617" s="13" t="s">
        <v>1556</v>
      </c>
      <c r="T1617" s="13"/>
      <c r="U1617" s="13"/>
      <c r="V1617" s="13"/>
      <c r="W1617" s="13"/>
      <c r="X1617" s="13"/>
    </row>
    <row r="1618" spans="1:24" x14ac:dyDescent="0.25">
      <c r="A1618" s="15" t="s">
        <v>2412</v>
      </c>
      <c r="B1618" s="13" t="s">
        <v>13</v>
      </c>
      <c r="C1618" s="22" t="s">
        <v>30</v>
      </c>
      <c r="D1618" s="29">
        <v>44553</v>
      </c>
      <c r="E1618" s="18" t="s">
        <v>23</v>
      </c>
      <c r="F1618" s="18"/>
      <c r="G1618" s="13"/>
      <c r="H1618" s="31"/>
      <c r="I1618" s="13" t="s">
        <v>216</v>
      </c>
      <c r="J1618" s="13"/>
      <c r="K1618" s="13" t="s">
        <v>96</v>
      </c>
      <c r="L1618" s="13"/>
      <c r="M1618" s="13"/>
      <c r="N1618" s="13"/>
      <c r="O1618" s="13"/>
      <c r="P1618" s="13"/>
      <c r="Q1618" s="13"/>
      <c r="R1618" s="13"/>
      <c r="S1618" s="13" t="s">
        <v>470</v>
      </c>
      <c r="T1618" s="13"/>
      <c r="U1618" s="13"/>
      <c r="V1618" s="13"/>
      <c r="W1618" s="13"/>
      <c r="X1618" s="13"/>
    </row>
    <row r="1619" spans="1:24" x14ac:dyDescent="0.25">
      <c r="A1619" s="15" t="s">
        <v>2412</v>
      </c>
      <c r="B1619" s="13" t="s">
        <v>13</v>
      </c>
      <c r="C1619" s="22" t="s">
        <v>30</v>
      </c>
      <c r="D1619" s="29">
        <v>44553</v>
      </c>
      <c r="E1619" s="18" t="s">
        <v>23</v>
      </c>
      <c r="F1619" s="18"/>
      <c r="G1619" s="13"/>
      <c r="H1619" s="31"/>
      <c r="I1619" s="13" t="s">
        <v>219</v>
      </c>
      <c r="J1619" s="13"/>
      <c r="K1619" s="13" t="s">
        <v>96</v>
      </c>
      <c r="L1619" s="13"/>
      <c r="M1619" s="13"/>
      <c r="N1619" s="13"/>
      <c r="O1619" s="13"/>
      <c r="P1619" s="13"/>
      <c r="Q1619" s="13"/>
      <c r="R1619" s="13"/>
      <c r="S1619" s="13" t="s">
        <v>469</v>
      </c>
      <c r="T1619" s="13"/>
      <c r="U1619" s="13"/>
      <c r="V1619" s="13"/>
      <c r="W1619" s="13"/>
      <c r="X1619" s="13"/>
    </row>
    <row r="1620" spans="1:24" x14ac:dyDescent="0.25">
      <c r="A1620" s="15" t="s">
        <v>2412</v>
      </c>
      <c r="B1620" s="13" t="s">
        <v>13</v>
      </c>
      <c r="C1620" s="22" t="s">
        <v>30</v>
      </c>
      <c r="D1620" s="29">
        <v>44553</v>
      </c>
      <c r="E1620" s="18" t="s">
        <v>23</v>
      </c>
      <c r="F1620" s="18"/>
      <c r="G1620" s="13"/>
      <c r="H1620" s="31"/>
      <c r="I1620" s="13" t="s">
        <v>220</v>
      </c>
      <c r="J1620" s="13"/>
      <c r="K1620" s="13" t="s">
        <v>96</v>
      </c>
      <c r="L1620" s="13"/>
      <c r="M1620" s="13"/>
      <c r="N1620" s="13"/>
      <c r="O1620" s="13"/>
      <c r="P1620" s="13"/>
      <c r="Q1620" s="13"/>
      <c r="R1620" s="13"/>
      <c r="S1620" s="13" t="s">
        <v>245</v>
      </c>
      <c r="T1620" s="13"/>
      <c r="U1620" s="13"/>
      <c r="V1620" s="13"/>
      <c r="W1620" s="13"/>
      <c r="X1620" s="13"/>
    </row>
    <row r="1621" spans="1:24" x14ac:dyDescent="0.25">
      <c r="A1621" s="15" t="s">
        <v>2412</v>
      </c>
      <c r="B1621" s="13" t="s">
        <v>13</v>
      </c>
      <c r="C1621" s="22" t="s">
        <v>30</v>
      </c>
      <c r="D1621" s="29">
        <v>44553</v>
      </c>
      <c r="E1621" s="18" t="s">
        <v>23</v>
      </c>
      <c r="F1621" s="18"/>
      <c r="G1621" s="13"/>
      <c r="H1621" s="31"/>
      <c r="I1621" s="13" t="s">
        <v>214</v>
      </c>
      <c r="J1621" s="13"/>
      <c r="K1621" s="13" t="s">
        <v>96</v>
      </c>
      <c r="L1621" s="13"/>
      <c r="M1621" s="13"/>
      <c r="N1621" s="13"/>
      <c r="O1621" s="13"/>
      <c r="P1621" s="13"/>
      <c r="Q1621" s="13"/>
      <c r="R1621" s="13"/>
      <c r="S1621" s="13" t="s">
        <v>2003</v>
      </c>
      <c r="T1621" s="13"/>
      <c r="U1621" s="13"/>
      <c r="V1621" s="13"/>
      <c r="W1621" s="13"/>
      <c r="X1621" s="13"/>
    </row>
    <row r="1622" spans="1:24" x14ac:dyDescent="0.25">
      <c r="A1622" s="15" t="s">
        <v>2417</v>
      </c>
      <c r="B1622" s="13" t="s">
        <v>13</v>
      </c>
      <c r="C1622" s="22" t="s">
        <v>2399</v>
      </c>
      <c r="D1622" s="29">
        <v>44553</v>
      </c>
      <c r="E1622" s="18" t="s">
        <v>23</v>
      </c>
      <c r="F1622" s="18"/>
      <c r="G1622" s="13"/>
      <c r="H1622" s="31"/>
      <c r="I1622" s="13" t="s">
        <v>2403</v>
      </c>
      <c r="J1622" s="13"/>
      <c r="K1622" s="13">
        <v>80</v>
      </c>
      <c r="L1622" s="13"/>
      <c r="M1622" s="13"/>
      <c r="N1622" s="13"/>
      <c r="O1622" s="13"/>
      <c r="P1622" s="13"/>
      <c r="Q1622" s="13"/>
      <c r="R1622" s="13"/>
      <c r="S1622" s="13">
        <v>11900</v>
      </c>
      <c r="T1622" s="13"/>
      <c r="U1622" s="13"/>
      <c r="V1622" s="13"/>
      <c r="W1622" s="13"/>
      <c r="X1622" s="13"/>
    </row>
    <row r="1623" spans="1:24" x14ac:dyDescent="0.25">
      <c r="A1623" s="15" t="s">
        <v>2420</v>
      </c>
      <c r="B1623" s="13" t="s">
        <v>13</v>
      </c>
      <c r="C1623" s="22" t="s">
        <v>30</v>
      </c>
      <c r="D1623" s="29">
        <v>44554</v>
      </c>
      <c r="E1623" s="18" t="s">
        <v>23</v>
      </c>
      <c r="F1623" s="18"/>
      <c r="G1623" s="13"/>
      <c r="H1623" s="31"/>
      <c r="I1623" s="13" t="s">
        <v>568</v>
      </c>
      <c r="J1623" s="13"/>
      <c r="K1623" s="13" t="s">
        <v>26</v>
      </c>
      <c r="L1623" s="13"/>
      <c r="M1623" s="13"/>
      <c r="N1623" s="13"/>
      <c r="O1623" s="13"/>
      <c r="P1623" s="13"/>
      <c r="Q1623" s="13"/>
      <c r="R1623" s="13"/>
      <c r="S1623" s="13" t="s">
        <v>569</v>
      </c>
      <c r="T1623" s="13"/>
      <c r="U1623" s="13"/>
      <c r="V1623" s="13"/>
      <c r="W1623" s="13"/>
      <c r="X1623" s="13"/>
    </row>
    <row r="1624" spans="1:24" x14ac:dyDescent="0.25">
      <c r="A1624" s="15" t="s">
        <v>2420</v>
      </c>
      <c r="B1624" s="13" t="s">
        <v>13</v>
      </c>
      <c r="C1624" s="22" t="s">
        <v>30</v>
      </c>
      <c r="D1624" s="29">
        <v>44554</v>
      </c>
      <c r="E1624" s="18" t="s">
        <v>23</v>
      </c>
      <c r="F1624" s="18"/>
      <c r="G1624" s="13"/>
      <c r="H1624" s="31"/>
      <c r="I1624" s="13" t="s">
        <v>742</v>
      </c>
      <c r="J1624" s="13"/>
      <c r="K1624" s="13" t="s">
        <v>123</v>
      </c>
      <c r="L1624" s="13"/>
      <c r="M1624" s="13"/>
      <c r="N1624" s="13"/>
      <c r="O1624" s="13"/>
      <c r="P1624" s="13"/>
      <c r="Q1624" s="13"/>
      <c r="R1624" s="13"/>
      <c r="S1624" s="13" t="s">
        <v>437</v>
      </c>
      <c r="T1624" s="13"/>
      <c r="U1624" s="13"/>
      <c r="V1624" s="13"/>
      <c r="W1624" s="13"/>
      <c r="X1624" s="13"/>
    </row>
    <row r="1625" spans="1:24" x14ac:dyDescent="0.25">
      <c r="A1625" s="15" t="s">
        <v>2420</v>
      </c>
      <c r="B1625" s="13" t="s">
        <v>13</v>
      </c>
      <c r="C1625" s="22" t="s">
        <v>30</v>
      </c>
      <c r="D1625" s="29">
        <v>44554</v>
      </c>
      <c r="E1625" s="18" t="s">
        <v>23</v>
      </c>
      <c r="F1625" s="18"/>
      <c r="G1625" s="13"/>
      <c r="H1625" s="31"/>
      <c r="I1625" s="13" t="s">
        <v>730</v>
      </c>
      <c r="J1625" s="13"/>
      <c r="K1625" s="13" t="s">
        <v>26</v>
      </c>
      <c r="L1625" s="13"/>
      <c r="M1625" s="13"/>
      <c r="N1625" s="13"/>
      <c r="O1625" s="13"/>
      <c r="P1625" s="13"/>
      <c r="Q1625" s="13"/>
      <c r="R1625" s="13"/>
      <c r="S1625" s="13" t="s">
        <v>438</v>
      </c>
      <c r="T1625" s="13"/>
      <c r="U1625" s="13"/>
      <c r="V1625" s="13"/>
      <c r="W1625" s="13"/>
      <c r="X1625" s="13"/>
    </row>
    <row r="1626" spans="1:24" x14ac:dyDescent="0.25">
      <c r="A1626" s="15" t="s">
        <v>2420</v>
      </c>
      <c r="B1626" s="13" t="s">
        <v>13</v>
      </c>
      <c r="C1626" s="22" t="s">
        <v>30</v>
      </c>
      <c r="D1626" s="29">
        <v>44554</v>
      </c>
      <c r="E1626" s="18" t="s">
        <v>23</v>
      </c>
      <c r="F1626" s="18"/>
      <c r="G1626" s="13"/>
      <c r="H1626" s="31"/>
      <c r="I1626" s="13" t="s">
        <v>731</v>
      </c>
      <c r="J1626" s="13"/>
      <c r="K1626" s="13" t="s">
        <v>268</v>
      </c>
      <c r="L1626" s="13"/>
      <c r="M1626" s="13"/>
      <c r="N1626" s="13"/>
      <c r="O1626" s="13"/>
      <c r="P1626" s="13"/>
      <c r="Q1626" s="13"/>
      <c r="R1626" s="13"/>
      <c r="S1626" s="13" t="s">
        <v>2212</v>
      </c>
      <c r="T1626" s="13"/>
      <c r="U1626" s="13"/>
      <c r="V1626" s="13"/>
      <c r="W1626" s="13"/>
      <c r="X1626" s="13"/>
    </row>
    <row r="1627" spans="1:24" x14ac:dyDescent="0.25">
      <c r="A1627" s="15" t="s">
        <v>2420</v>
      </c>
      <c r="B1627" s="13" t="s">
        <v>13</v>
      </c>
      <c r="C1627" s="22" t="s">
        <v>30</v>
      </c>
      <c r="D1627" s="29">
        <v>44554</v>
      </c>
      <c r="E1627" s="18" t="s">
        <v>23</v>
      </c>
      <c r="F1627" s="18"/>
      <c r="G1627" s="13"/>
      <c r="H1627" s="31"/>
      <c r="I1627" s="13" t="s">
        <v>732</v>
      </c>
      <c r="J1627" s="13"/>
      <c r="K1627" s="13" t="s">
        <v>26</v>
      </c>
      <c r="L1627" s="13"/>
      <c r="M1627" s="13"/>
      <c r="N1627" s="13"/>
      <c r="O1627" s="13"/>
      <c r="P1627" s="13"/>
      <c r="Q1627" s="13"/>
      <c r="R1627" s="13"/>
      <c r="S1627" s="13" t="s">
        <v>130</v>
      </c>
      <c r="T1627" s="13"/>
      <c r="U1627" s="13"/>
      <c r="V1627" s="13"/>
      <c r="W1627" s="13"/>
      <c r="X1627" s="13"/>
    </row>
    <row r="1628" spans="1:24" x14ac:dyDescent="0.25">
      <c r="A1628" s="15" t="s">
        <v>2420</v>
      </c>
      <c r="B1628" s="13" t="s">
        <v>13</v>
      </c>
      <c r="C1628" s="22" t="s">
        <v>30</v>
      </c>
      <c r="D1628" s="29">
        <v>44554</v>
      </c>
      <c r="E1628" s="18" t="s">
        <v>23</v>
      </c>
      <c r="F1628" s="18"/>
      <c r="G1628" s="13"/>
      <c r="H1628" s="31"/>
      <c r="I1628" s="13" t="s">
        <v>440</v>
      </c>
      <c r="J1628" s="13"/>
      <c r="K1628" s="13" t="s">
        <v>26</v>
      </c>
      <c r="L1628" s="13"/>
      <c r="M1628" s="13"/>
      <c r="N1628" s="13"/>
      <c r="O1628" s="13"/>
      <c r="P1628" s="13"/>
      <c r="Q1628" s="13"/>
      <c r="R1628" s="13"/>
      <c r="S1628" s="13" t="s">
        <v>441</v>
      </c>
      <c r="T1628" s="13"/>
      <c r="U1628" s="13"/>
      <c r="V1628" s="13"/>
      <c r="W1628" s="13"/>
      <c r="X1628" s="13"/>
    </row>
    <row r="1629" spans="1:24" x14ac:dyDescent="0.25">
      <c r="A1629" s="15" t="s">
        <v>2420</v>
      </c>
      <c r="B1629" s="13" t="s">
        <v>13</v>
      </c>
      <c r="C1629" s="22" t="s">
        <v>30</v>
      </c>
      <c r="D1629" s="29">
        <v>44554</v>
      </c>
      <c r="E1629" s="18" t="s">
        <v>23</v>
      </c>
      <c r="F1629" s="18"/>
      <c r="G1629" s="13"/>
      <c r="H1629" s="31"/>
      <c r="I1629" s="13" t="s">
        <v>743</v>
      </c>
      <c r="J1629" s="13"/>
      <c r="K1629" s="13" t="s">
        <v>108</v>
      </c>
      <c r="L1629" s="13"/>
      <c r="M1629" s="13"/>
      <c r="N1629" s="13"/>
      <c r="O1629" s="13"/>
      <c r="P1629" s="13"/>
      <c r="Q1629" s="13"/>
      <c r="R1629" s="13"/>
      <c r="S1629" s="13" t="s">
        <v>571</v>
      </c>
      <c r="T1629" s="13"/>
      <c r="U1629" s="13"/>
      <c r="V1629" s="13"/>
      <c r="W1629" s="13"/>
      <c r="X1629" s="13"/>
    </row>
    <row r="1630" spans="1:24" x14ac:dyDescent="0.25">
      <c r="A1630" s="15" t="s">
        <v>2420</v>
      </c>
      <c r="B1630" s="13" t="s">
        <v>13</v>
      </c>
      <c r="C1630" s="22" t="s">
        <v>30</v>
      </c>
      <c r="D1630" s="29">
        <v>44554</v>
      </c>
      <c r="E1630" s="18" t="s">
        <v>23</v>
      </c>
      <c r="F1630" s="18"/>
      <c r="G1630" s="13"/>
      <c r="H1630" s="31"/>
      <c r="I1630" s="13" t="s">
        <v>744</v>
      </c>
      <c r="J1630" s="13"/>
      <c r="K1630" s="13" t="s">
        <v>226</v>
      </c>
      <c r="L1630" s="13"/>
      <c r="M1630" s="13"/>
      <c r="N1630" s="13"/>
      <c r="O1630" s="13"/>
      <c r="P1630" s="13"/>
      <c r="Q1630" s="13"/>
      <c r="R1630" s="13"/>
      <c r="S1630" s="13" t="s">
        <v>462</v>
      </c>
      <c r="T1630" s="13"/>
      <c r="U1630" s="13"/>
      <c r="V1630" s="13"/>
      <c r="W1630" s="13"/>
      <c r="X1630" s="13"/>
    </row>
    <row r="1631" spans="1:24" x14ac:dyDescent="0.25">
      <c r="A1631" s="15" t="s">
        <v>2420</v>
      </c>
      <c r="B1631" s="13" t="s">
        <v>13</v>
      </c>
      <c r="C1631" s="22" t="s">
        <v>30</v>
      </c>
      <c r="D1631" s="29">
        <v>44554</v>
      </c>
      <c r="E1631" s="18" t="s">
        <v>23</v>
      </c>
      <c r="F1631" s="18"/>
      <c r="G1631" s="13"/>
      <c r="H1631" s="31"/>
      <c r="I1631" s="13" t="s">
        <v>733</v>
      </c>
      <c r="J1631" s="13"/>
      <c r="K1631" s="13" t="s">
        <v>123</v>
      </c>
      <c r="L1631" s="13"/>
      <c r="M1631" s="13"/>
      <c r="N1631" s="13"/>
      <c r="O1631" s="13"/>
      <c r="P1631" s="13"/>
      <c r="Q1631" s="13"/>
      <c r="R1631" s="13"/>
      <c r="S1631" s="13" t="s">
        <v>444</v>
      </c>
      <c r="T1631" s="13"/>
      <c r="U1631" s="13"/>
      <c r="V1631" s="13"/>
      <c r="W1631" s="13"/>
      <c r="X1631" s="13"/>
    </row>
    <row r="1632" spans="1:24" x14ac:dyDescent="0.25">
      <c r="A1632" s="15" t="s">
        <v>2420</v>
      </c>
      <c r="B1632" s="13" t="s">
        <v>13</v>
      </c>
      <c r="C1632" s="22" t="s">
        <v>30</v>
      </c>
      <c r="D1632" s="29">
        <v>44554</v>
      </c>
      <c r="E1632" s="18" t="s">
        <v>23</v>
      </c>
      <c r="F1632" s="18"/>
      <c r="G1632" s="13"/>
      <c r="H1632" s="31"/>
      <c r="I1632" s="13" t="s">
        <v>734</v>
      </c>
      <c r="J1632" s="13"/>
      <c r="K1632" s="13" t="s">
        <v>26</v>
      </c>
      <c r="L1632" s="13"/>
      <c r="M1632" s="13"/>
      <c r="N1632" s="13"/>
      <c r="O1632" s="13"/>
      <c r="P1632" s="13"/>
      <c r="Q1632" s="13"/>
      <c r="R1632" s="13"/>
      <c r="S1632" s="13" t="s">
        <v>572</v>
      </c>
      <c r="T1632" s="13"/>
      <c r="U1632" s="13"/>
      <c r="V1632" s="13"/>
      <c r="W1632" s="13"/>
      <c r="X1632" s="13"/>
    </row>
    <row r="1633" spans="1:24" x14ac:dyDescent="0.25">
      <c r="A1633" s="15" t="s">
        <v>2420</v>
      </c>
      <c r="B1633" s="13" t="s">
        <v>13</v>
      </c>
      <c r="C1633" s="22" t="s">
        <v>30</v>
      </c>
      <c r="D1633" s="29">
        <v>44554</v>
      </c>
      <c r="E1633" s="18" t="s">
        <v>23</v>
      </c>
      <c r="F1633" s="18"/>
      <c r="G1633" s="13"/>
      <c r="H1633" s="31"/>
      <c r="I1633" s="13" t="s">
        <v>735</v>
      </c>
      <c r="J1633" s="13"/>
      <c r="K1633" s="13" t="s">
        <v>26</v>
      </c>
      <c r="L1633" s="13"/>
      <c r="M1633" s="13"/>
      <c r="N1633" s="13"/>
      <c r="O1633" s="13"/>
      <c r="P1633" s="13"/>
      <c r="Q1633" s="13"/>
      <c r="R1633" s="13"/>
      <c r="S1633" s="13" t="s">
        <v>573</v>
      </c>
      <c r="T1633" s="13"/>
      <c r="U1633" s="13"/>
      <c r="V1633" s="13"/>
      <c r="W1633" s="13"/>
      <c r="X1633" s="13"/>
    </row>
    <row r="1634" spans="1:24" x14ac:dyDescent="0.25">
      <c r="A1634" s="15" t="s">
        <v>2420</v>
      </c>
      <c r="B1634" s="13" t="s">
        <v>13</v>
      </c>
      <c r="C1634" s="22" t="s">
        <v>30</v>
      </c>
      <c r="D1634" s="29">
        <v>44554</v>
      </c>
      <c r="E1634" s="18" t="s">
        <v>23</v>
      </c>
      <c r="F1634" s="18"/>
      <c r="G1634" s="13"/>
      <c r="H1634" s="31"/>
      <c r="I1634" s="13" t="s">
        <v>736</v>
      </c>
      <c r="J1634" s="13"/>
      <c r="K1634" s="13" t="s">
        <v>26</v>
      </c>
      <c r="L1634" s="13"/>
      <c r="M1634" s="13"/>
      <c r="N1634" s="13"/>
      <c r="O1634" s="13"/>
      <c r="P1634" s="13"/>
      <c r="Q1634" s="13"/>
      <c r="R1634" s="13"/>
      <c r="S1634" s="13" t="s">
        <v>184</v>
      </c>
      <c r="T1634" s="13"/>
      <c r="U1634" s="13"/>
      <c r="V1634" s="13"/>
      <c r="W1634" s="13"/>
      <c r="X1634" s="13"/>
    </row>
    <row r="1635" spans="1:24" x14ac:dyDescent="0.25">
      <c r="A1635" s="15" t="s">
        <v>2420</v>
      </c>
      <c r="B1635" s="13" t="s">
        <v>13</v>
      </c>
      <c r="C1635" s="22" t="s">
        <v>30</v>
      </c>
      <c r="D1635" s="29">
        <v>44554</v>
      </c>
      <c r="E1635" s="18" t="s">
        <v>23</v>
      </c>
      <c r="F1635" s="18"/>
      <c r="G1635" s="13"/>
      <c r="H1635" s="31"/>
      <c r="I1635" s="13" t="s">
        <v>737</v>
      </c>
      <c r="J1635" s="13"/>
      <c r="K1635" s="13" t="s">
        <v>108</v>
      </c>
      <c r="L1635" s="13"/>
      <c r="M1635" s="13"/>
      <c r="N1635" s="13"/>
      <c r="O1635" s="13"/>
      <c r="P1635" s="13"/>
      <c r="Q1635" s="13"/>
      <c r="R1635" s="13"/>
      <c r="S1635" s="13" t="s">
        <v>124</v>
      </c>
      <c r="T1635" s="13"/>
      <c r="U1635" s="13"/>
      <c r="V1635" s="13"/>
      <c r="W1635" s="13"/>
      <c r="X1635" s="13"/>
    </row>
    <row r="1636" spans="1:24" x14ac:dyDescent="0.25">
      <c r="A1636" s="15" t="s">
        <v>2420</v>
      </c>
      <c r="B1636" s="13" t="s">
        <v>13</v>
      </c>
      <c r="C1636" s="22" t="s">
        <v>30</v>
      </c>
      <c r="D1636" s="29">
        <v>44554</v>
      </c>
      <c r="E1636" s="18" t="s">
        <v>23</v>
      </c>
      <c r="F1636" s="18"/>
      <c r="G1636" s="13"/>
      <c r="H1636" s="31"/>
      <c r="I1636" s="13" t="s">
        <v>738</v>
      </c>
      <c r="J1636" s="13"/>
      <c r="K1636" s="13" t="s">
        <v>26</v>
      </c>
      <c r="L1636" s="13"/>
      <c r="M1636" s="13"/>
      <c r="N1636" s="13"/>
      <c r="O1636" s="13"/>
      <c r="P1636" s="13"/>
      <c r="Q1636" s="13"/>
      <c r="R1636" s="13"/>
      <c r="S1636" s="13" t="s">
        <v>132</v>
      </c>
      <c r="T1636" s="13"/>
      <c r="U1636" s="13"/>
      <c r="V1636" s="13"/>
      <c r="W1636" s="13"/>
      <c r="X1636" s="13"/>
    </row>
    <row r="1637" spans="1:24" x14ac:dyDescent="0.25">
      <c r="A1637" s="15" t="s">
        <v>2420</v>
      </c>
      <c r="B1637" s="13" t="s">
        <v>13</v>
      </c>
      <c r="C1637" s="22" t="s">
        <v>30</v>
      </c>
      <c r="D1637" s="29">
        <v>44554</v>
      </c>
      <c r="E1637" s="18" t="s">
        <v>23</v>
      </c>
      <c r="F1637" s="18"/>
      <c r="G1637" s="13"/>
      <c r="H1637" s="31"/>
      <c r="I1637" s="13" t="s">
        <v>282</v>
      </c>
      <c r="J1637" s="13"/>
      <c r="K1637" s="13" t="s">
        <v>26</v>
      </c>
      <c r="L1637" s="13"/>
      <c r="M1637" s="13"/>
      <c r="N1637" s="13"/>
      <c r="O1637" s="13"/>
      <c r="P1637" s="13"/>
      <c r="Q1637" s="13"/>
      <c r="R1637" s="13"/>
      <c r="S1637" s="13" t="s">
        <v>2213</v>
      </c>
      <c r="T1637" s="13"/>
      <c r="U1637" s="13"/>
      <c r="V1637" s="13"/>
      <c r="W1637" s="13"/>
      <c r="X1637" s="13"/>
    </row>
    <row r="1638" spans="1:24" x14ac:dyDescent="0.25">
      <c r="A1638" s="15" t="s">
        <v>2420</v>
      </c>
      <c r="B1638" s="13" t="s">
        <v>13</v>
      </c>
      <c r="C1638" s="22" t="s">
        <v>30</v>
      </c>
      <c r="D1638" s="29">
        <v>44554</v>
      </c>
      <c r="E1638" s="18" t="s">
        <v>23</v>
      </c>
      <c r="F1638" s="18"/>
      <c r="G1638" s="13"/>
      <c r="H1638" s="31"/>
      <c r="I1638" s="13" t="s">
        <v>739</v>
      </c>
      <c r="J1638" s="13"/>
      <c r="K1638" s="13" t="s">
        <v>108</v>
      </c>
      <c r="L1638" s="13"/>
      <c r="M1638" s="13"/>
      <c r="N1638" s="13"/>
      <c r="O1638" s="13"/>
      <c r="P1638" s="13"/>
      <c r="Q1638" s="13"/>
      <c r="R1638" s="13"/>
      <c r="S1638" s="13" t="s">
        <v>1451</v>
      </c>
      <c r="T1638" s="13"/>
      <c r="U1638" s="13"/>
      <c r="V1638" s="13"/>
      <c r="W1638" s="13"/>
      <c r="X1638" s="13"/>
    </row>
    <row r="1639" spans="1:24" x14ac:dyDescent="0.25">
      <c r="A1639" s="15" t="s">
        <v>2420</v>
      </c>
      <c r="B1639" s="13" t="s">
        <v>13</v>
      </c>
      <c r="C1639" s="22" t="s">
        <v>30</v>
      </c>
      <c r="D1639" s="29">
        <v>44554</v>
      </c>
      <c r="E1639" s="18" t="s">
        <v>23</v>
      </c>
      <c r="F1639" s="18"/>
      <c r="G1639" s="13"/>
      <c r="H1639" s="31"/>
      <c r="I1639" s="13" t="s">
        <v>740</v>
      </c>
      <c r="J1639" s="13"/>
      <c r="K1639" s="13" t="s">
        <v>193</v>
      </c>
      <c r="L1639" s="13"/>
      <c r="M1639" s="13"/>
      <c r="N1639" s="13"/>
      <c r="O1639" s="13"/>
      <c r="P1639" s="13"/>
      <c r="Q1639" s="13"/>
      <c r="R1639" s="13"/>
      <c r="S1639" s="13" t="s">
        <v>2214</v>
      </c>
      <c r="T1639" s="13"/>
      <c r="U1639" s="13"/>
      <c r="V1639" s="13"/>
      <c r="W1639" s="13"/>
      <c r="X1639" s="13"/>
    </row>
    <row r="1640" spans="1:24" x14ac:dyDescent="0.25">
      <c r="A1640" s="15" t="s">
        <v>2420</v>
      </c>
      <c r="B1640" s="13" t="s">
        <v>13</v>
      </c>
      <c r="C1640" s="22" t="s">
        <v>30</v>
      </c>
      <c r="D1640" s="29">
        <v>44554</v>
      </c>
      <c r="E1640" s="18" t="s">
        <v>23</v>
      </c>
      <c r="F1640" s="18"/>
      <c r="G1640" s="13"/>
      <c r="H1640" s="31"/>
      <c r="I1640" s="13" t="s">
        <v>741</v>
      </c>
      <c r="J1640" s="13"/>
      <c r="K1640" s="13" t="s">
        <v>75</v>
      </c>
      <c r="L1640" s="13"/>
      <c r="M1640" s="13"/>
      <c r="N1640" s="13"/>
      <c r="O1640" s="13"/>
      <c r="P1640" s="13"/>
      <c r="Q1640" s="13"/>
      <c r="R1640" s="13"/>
      <c r="S1640" s="13" t="s">
        <v>968</v>
      </c>
      <c r="T1640" s="13"/>
      <c r="U1640" s="13"/>
      <c r="V1640" s="13"/>
      <c r="W1640" s="13"/>
      <c r="X1640" s="13"/>
    </row>
    <row r="1641" spans="1:24" x14ac:dyDescent="0.25">
      <c r="A1641" s="15" t="s">
        <v>2420</v>
      </c>
      <c r="B1641" s="13" t="s">
        <v>13</v>
      </c>
      <c r="C1641" s="22" t="s">
        <v>30</v>
      </c>
      <c r="D1641" s="29">
        <v>44554</v>
      </c>
      <c r="E1641" s="18" t="s">
        <v>23</v>
      </c>
      <c r="F1641" s="18"/>
      <c r="G1641" s="13"/>
      <c r="H1641" s="31"/>
      <c r="I1641" s="13" t="s">
        <v>745</v>
      </c>
      <c r="J1641" s="13"/>
      <c r="K1641" s="13" t="s">
        <v>446</v>
      </c>
      <c r="L1641" s="13"/>
      <c r="M1641" s="13"/>
      <c r="N1641" s="13"/>
      <c r="O1641" s="13"/>
      <c r="P1641" s="13"/>
      <c r="Q1641" s="13"/>
      <c r="R1641" s="13"/>
      <c r="S1641" s="13" t="s">
        <v>809</v>
      </c>
      <c r="T1641" s="13"/>
      <c r="U1641" s="13"/>
      <c r="V1641" s="13"/>
      <c r="W1641" s="13"/>
      <c r="X1641" s="13"/>
    </row>
    <row r="1642" spans="1:24" x14ac:dyDescent="0.25">
      <c r="A1642" s="15" t="s">
        <v>2420</v>
      </c>
      <c r="B1642" s="13" t="s">
        <v>13</v>
      </c>
      <c r="C1642" s="22" t="s">
        <v>30</v>
      </c>
      <c r="D1642" s="29">
        <v>44554</v>
      </c>
      <c r="E1642" s="18" t="s">
        <v>23</v>
      </c>
      <c r="F1642" s="18"/>
      <c r="G1642" s="13"/>
      <c r="H1642" s="31"/>
      <c r="I1642" s="13" t="s">
        <v>206</v>
      </c>
      <c r="J1642" s="13"/>
      <c r="K1642" s="13" t="s">
        <v>852</v>
      </c>
      <c r="L1642" s="13"/>
      <c r="M1642" s="13"/>
      <c r="N1642" s="13"/>
      <c r="O1642" s="13"/>
      <c r="P1642" s="13"/>
      <c r="Q1642" s="13"/>
      <c r="R1642" s="13"/>
      <c r="S1642" s="13" t="s">
        <v>858</v>
      </c>
      <c r="T1642" s="13"/>
      <c r="U1642" s="13"/>
      <c r="V1642" s="13"/>
      <c r="W1642" s="13"/>
      <c r="X1642" s="13"/>
    </row>
    <row r="1643" spans="1:24" x14ac:dyDescent="0.25">
      <c r="A1643" s="15" t="s">
        <v>2421</v>
      </c>
      <c r="B1643" s="13" t="s">
        <v>13</v>
      </c>
      <c r="C1643" s="22" t="s">
        <v>30</v>
      </c>
      <c r="D1643" s="29">
        <v>44554</v>
      </c>
      <c r="E1643" s="18" t="s">
        <v>23</v>
      </c>
      <c r="F1643" s="18"/>
      <c r="G1643" s="13"/>
      <c r="H1643" s="31"/>
      <c r="I1643" s="13" t="s">
        <v>99</v>
      </c>
      <c r="J1643" s="13"/>
      <c r="K1643" s="13" t="s">
        <v>884</v>
      </c>
      <c r="L1643" s="13"/>
      <c r="M1643" s="13"/>
      <c r="N1643" s="13"/>
      <c r="O1643" s="13"/>
      <c r="P1643" s="13"/>
      <c r="Q1643" s="13"/>
      <c r="R1643" s="13"/>
      <c r="S1643" s="13" t="s">
        <v>319</v>
      </c>
      <c r="T1643" s="13"/>
      <c r="U1643" s="13"/>
      <c r="V1643" s="13"/>
      <c r="W1643" s="13"/>
      <c r="X1643" s="13"/>
    </row>
    <row r="1644" spans="1:24" x14ac:dyDescent="0.25">
      <c r="A1644" s="15" t="s">
        <v>2421</v>
      </c>
      <c r="B1644" s="13" t="s">
        <v>13</v>
      </c>
      <c r="C1644" s="22" t="s">
        <v>30</v>
      </c>
      <c r="D1644" s="29">
        <v>44554</v>
      </c>
      <c r="E1644" s="18" t="s">
        <v>23</v>
      </c>
      <c r="F1644" s="18"/>
      <c r="G1644" s="13"/>
      <c r="H1644" s="31"/>
      <c r="I1644" s="13" t="s">
        <v>102</v>
      </c>
      <c r="J1644" s="13"/>
      <c r="K1644" s="13" t="s">
        <v>884</v>
      </c>
      <c r="L1644" s="13"/>
      <c r="M1644" s="13"/>
      <c r="N1644" s="13"/>
      <c r="O1644" s="13"/>
      <c r="P1644" s="13"/>
      <c r="Q1644" s="13"/>
      <c r="R1644" s="13"/>
      <c r="S1644" s="13" t="s">
        <v>319</v>
      </c>
      <c r="T1644" s="13"/>
      <c r="U1644" s="13"/>
      <c r="V1644" s="13"/>
      <c r="W1644" s="13"/>
      <c r="X1644" s="13"/>
    </row>
    <row r="1645" spans="1:24" x14ac:dyDescent="0.25">
      <c r="A1645" s="15" t="s">
        <v>2421</v>
      </c>
      <c r="B1645" s="13" t="s">
        <v>13</v>
      </c>
      <c r="C1645" s="22" t="s">
        <v>30</v>
      </c>
      <c r="D1645" s="29">
        <v>44554</v>
      </c>
      <c r="E1645" s="18" t="s">
        <v>23</v>
      </c>
      <c r="F1645" s="18"/>
      <c r="G1645" s="13"/>
      <c r="H1645" s="31"/>
      <c r="I1645" s="13" t="s">
        <v>95</v>
      </c>
      <c r="J1645" s="13"/>
      <c r="K1645" s="13" t="s">
        <v>318</v>
      </c>
      <c r="L1645" s="13"/>
      <c r="M1645" s="13"/>
      <c r="N1645" s="13"/>
      <c r="O1645" s="13"/>
      <c r="P1645" s="13"/>
      <c r="Q1645" s="13"/>
      <c r="R1645" s="13"/>
      <c r="S1645" s="13" t="s">
        <v>135</v>
      </c>
      <c r="T1645" s="13"/>
      <c r="U1645" s="13"/>
      <c r="V1645" s="13"/>
      <c r="W1645" s="13"/>
      <c r="X1645" s="13"/>
    </row>
    <row r="1646" spans="1:24" x14ac:dyDescent="0.25">
      <c r="A1646" s="15" t="s">
        <v>2421</v>
      </c>
      <c r="B1646" s="13" t="s">
        <v>13</v>
      </c>
      <c r="C1646" s="22" t="s">
        <v>30</v>
      </c>
      <c r="D1646" s="29">
        <v>44554</v>
      </c>
      <c r="E1646" s="18" t="s">
        <v>23</v>
      </c>
      <c r="F1646" s="18"/>
      <c r="G1646" s="13"/>
      <c r="H1646" s="31"/>
      <c r="I1646" s="13" t="s">
        <v>98</v>
      </c>
      <c r="J1646" s="13"/>
      <c r="K1646" s="13" t="s">
        <v>318</v>
      </c>
      <c r="L1646" s="13"/>
      <c r="M1646" s="13"/>
      <c r="N1646" s="13"/>
      <c r="O1646" s="13"/>
      <c r="P1646" s="13"/>
      <c r="Q1646" s="13"/>
      <c r="R1646" s="13"/>
      <c r="S1646" s="13" t="s">
        <v>135</v>
      </c>
      <c r="T1646" s="13"/>
      <c r="U1646" s="13"/>
      <c r="V1646" s="13"/>
      <c r="W1646" s="13"/>
      <c r="X1646" s="13"/>
    </row>
    <row r="1647" spans="1:24" x14ac:dyDescent="0.25">
      <c r="A1647" s="15" t="s">
        <v>2421</v>
      </c>
      <c r="B1647" s="13" t="s">
        <v>13</v>
      </c>
      <c r="C1647" s="22" t="s">
        <v>30</v>
      </c>
      <c r="D1647" s="29">
        <v>44554</v>
      </c>
      <c r="E1647" s="18" t="s">
        <v>23</v>
      </c>
      <c r="F1647" s="18"/>
      <c r="G1647" s="13"/>
      <c r="H1647" s="31"/>
      <c r="I1647" s="13" t="s">
        <v>92</v>
      </c>
      <c r="J1647" s="13"/>
      <c r="K1647" s="13" t="s">
        <v>357</v>
      </c>
      <c r="L1647" s="13"/>
      <c r="M1647" s="13"/>
      <c r="N1647" s="13"/>
      <c r="O1647" s="13"/>
      <c r="P1647" s="13"/>
      <c r="Q1647" s="13"/>
      <c r="R1647" s="13"/>
      <c r="S1647" s="13" t="s">
        <v>183</v>
      </c>
      <c r="T1647" s="13"/>
      <c r="U1647" s="13"/>
      <c r="V1647" s="13"/>
      <c r="W1647" s="13"/>
      <c r="X1647" s="13"/>
    </row>
    <row r="1648" spans="1:24" x14ac:dyDescent="0.25">
      <c r="A1648" s="15" t="s">
        <v>2421</v>
      </c>
      <c r="B1648" s="13" t="s">
        <v>13</v>
      </c>
      <c r="C1648" s="22" t="s">
        <v>30</v>
      </c>
      <c r="D1648" s="29">
        <v>44554</v>
      </c>
      <c r="E1648" s="18" t="s">
        <v>23</v>
      </c>
      <c r="F1648" s="18"/>
      <c r="G1648" s="13"/>
      <c r="H1648" s="31"/>
      <c r="I1648" s="13" t="s">
        <v>94</v>
      </c>
      <c r="J1648" s="13"/>
      <c r="K1648" s="13" t="s">
        <v>357</v>
      </c>
      <c r="L1648" s="13"/>
      <c r="M1648" s="13"/>
      <c r="N1648" s="13"/>
      <c r="O1648" s="13"/>
      <c r="P1648" s="13"/>
      <c r="Q1648" s="13"/>
      <c r="R1648" s="13"/>
      <c r="S1648" s="13" t="s">
        <v>183</v>
      </c>
      <c r="T1648" s="13"/>
      <c r="U1648" s="13"/>
      <c r="V1648" s="13"/>
      <c r="W1648" s="13"/>
      <c r="X1648" s="13"/>
    </row>
    <row r="1649" spans="1:24" x14ac:dyDescent="0.25">
      <c r="A1649" s="15" t="s">
        <v>2422</v>
      </c>
      <c r="B1649" s="13" t="s">
        <v>13</v>
      </c>
      <c r="C1649" s="22" t="s">
        <v>15</v>
      </c>
      <c r="D1649" s="29">
        <v>44554</v>
      </c>
      <c r="E1649" s="18" t="s">
        <v>23</v>
      </c>
      <c r="F1649" s="18"/>
      <c r="G1649" s="13" t="s">
        <v>2454</v>
      </c>
      <c r="H1649" s="31"/>
      <c r="I1649" s="13" t="s">
        <v>89</v>
      </c>
      <c r="J1649" s="13"/>
      <c r="K1649" s="13">
        <v>96</v>
      </c>
      <c r="L1649" s="13"/>
      <c r="M1649" s="13"/>
      <c r="N1649" s="13"/>
      <c r="O1649" s="13"/>
      <c r="P1649" s="13"/>
      <c r="Q1649" s="13"/>
      <c r="R1649" s="13"/>
      <c r="S1649" s="13"/>
      <c r="T1649" s="13"/>
      <c r="U1649" s="13"/>
      <c r="V1649" s="13"/>
      <c r="W1649" s="13"/>
      <c r="X1649" s="13"/>
    </row>
    <row r="1650" spans="1:24" x14ac:dyDescent="0.25">
      <c r="A1650" s="15" t="s">
        <v>2424</v>
      </c>
      <c r="B1650" s="13" t="s">
        <v>34</v>
      </c>
      <c r="C1650" s="22" t="s">
        <v>16</v>
      </c>
      <c r="D1650" s="29">
        <v>44554</v>
      </c>
      <c r="E1650" s="18" t="s">
        <v>23</v>
      </c>
      <c r="F1650" s="18"/>
      <c r="G1650" s="13" t="s">
        <v>2192</v>
      </c>
      <c r="H1650" s="31"/>
      <c r="I1650" s="13" t="s">
        <v>2423</v>
      </c>
      <c r="J1650" s="13">
        <v>432</v>
      </c>
      <c r="K1650" s="13" t="s">
        <v>57</v>
      </c>
      <c r="L1650" s="13">
        <v>0.29970000000000002</v>
      </c>
      <c r="M1650" s="13">
        <v>1.6739999999999999</v>
      </c>
      <c r="N1650" s="13">
        <v>129.47040000000001</v>
      </c>
      <c r="O1650" s="13">
        <v>723.16800000000001</v>
      </c>
      <c r="P1650" s="13">
        <v>16.829999999999998</v>
      </c>
      <c r="Q1650" s="13">
        <v>89.91</v>
      </c>
      <c r="R1650" s="13">
        <v>300</v>
      </c>
      <c r="S1650" s="13">
        <v>38841.120000000003</v>
      </c>
      <c r="T1650" s="13"/>
      <c r="U1650" s="13"/>
      <c r="V1650" s="13"/>
      <c r="W1650" s="13"/>
      <c r="X1650" s="13"/>
    </row>
    <row r="1651" spans="1:24" x14ac:dyDescent="0.25">
      <c r="A1651" s="15" t="s">
        <v>2426</v>
      </c>
      <c r="B1651" s="13" t="s">
        <v>13</v>
      </c>
      <c r="C1651" s="22" t="s">
        <v>2399</v>
      </c>
      <c r="D1651" s="29">
        <v>44554</v>
      </c>
      <c r="E1651" s="18" t="s">
        <v>23</v>
      </c>
      <c r="F1651" s="18"/>
      <c r="G1651" s="13"/>
      <c r="H1651" s="31"/>
      <c r="I1651" s="13" t="s">
        <v>2403</v>
      </c>
      <c r="J1651" s="13"/>
      <c r="K1651" s="13">
        <v>80</v>
      </c>
      <c r="L1651" s="13"/>
      <c r="M1651" s="13"/>
      <c r="N1651" s="13"/>
      <c r="O1651" s="13"/>
      <c r="P1651" s="13"/>
      <c r="Q1651" s="13"/>
      <c r="R1651" s="13"/>
      <c r="S1651" s="13">
        <v>11900</v>
      </c>
      <c r="T1651" s="13"/>
      <c r="U1651" s="13"/>
      <c r="V1651" s="13"/>
      <c r="W1651" s="13"/>
      <c r="X1651" s="13"/>
    </row>
    <row r="1652" spans="1:24" x14ac:dyDescent="0.25">
      <c r="A1652" s="15">
        <v>615</v>
      </c>
      <c r="B1652" s="13" t="s">
        <v>13</v>
      </c>
      <c r="C1652" s="22" t="s">
        <v>32</v>
      </c>
      <c r="D1652" s="29">
        <v>44554</v>
      </c>
      <c r="E1652" s="18" t="s">
        <v>23</v>
      </c>
      <c r="F1652" s="18"/>
      <c r="G1652" s="13" t="s">
        <v>2451</v>
      </c>
      <c r="H1652" s="31"/>
      <c r="I1652" s="13" t="s">
        <v>1598</v>
      </c>
      <c r="J1652" s="13">
        <v>1043.0999999999999</v>
      </c>
      <c r="K1652" s="13" t="s">
        <v>165</v>
      </c>
      <c r="L1652" s="13">
        <v>0.2651</v>
      </c>
      <c r="M1652" s="13">
        <v>0.82099999999999995</v>
      </c>
      <c r="N1652" s="13">
        <v>276.5258</v>
      </c>
      <c r="O1652" s="13">
        <v>856.38509999999997</v>
      </c>
      <c r="P1652" s="13">
        <v>35.950000000000003</v>
      </c>
      <c r="Q1652" s="13">
        <v>66.540000000000006</v>
      </c>
      <c r="R1652" s="13">
        <v>251</v>
      </c>
      <c r="S1652" s="13">
        <v>69407.87</v>
      </c>
      <c r="T1652" s="13"/>
      <c r="U1652" s="13"/>
      <c r="V1652" s="13"/>
      <c r="W1652" s="13"/>
      <c r="X1652" s="13"/>
    </row>
    <row r="1653" spans="1:24" s="25" customFormat="1" x14ac:dyDescent="0.25">
      <c r="A1653" s="20">
        <v>616</v>
      </c>
      <c r="B1653" s="21" t="s">
        <v>13</v>
      </c>
      <c r="C1653" s="22" t="s">
        <v>292</v>
      </c>
      <c r="D1653" s="17">
        <v>44557</v>
      </c>
      <c r="E1653" s="23" t="s">
        <v>23</v>
      </c>
      <c r="F1653" s="23"/>
      <c r="G1653" s="21"/>
      <c r="H1653" s="30"/>
      <c r="I1653" s="21" t="s">
        <v>291</v>
      </c>
      <c r="J1653" s="21">
        <v>336</v>
      </c>
      <c r="K1653" s="21" t="s">
        <v>113</v>
      </c>
      <c r="L1653" s="21">
        <v>0.3266</v>
      </c>
      <c r="M1653" s="21">
        <v>0.84099999999999997</v>
      </c>
      <c r="N1653" s="21">
        <v>109.7376</v>
      </c>
      <c r="O1653" s="21">
        <v>282.57600000000002</v>
      </c>
      <c r="P1653" s="21">
        <v>14.27</v>
      </c>
      <c r="Q1653" s="21">
        <v>101.25</v>
      </c>
      <c r="R1653" s="21">
        <v>310</v>
      </c>
      <c r="S1653" s="21">
        <v>34018.660000000003</v>
      </c>
      <c r="T1653" s="21"/>
      <c r="U1653" s="21"/>
      <c r="V1653" s="21"/>
      <c r="W1653" s="21"/>
      <c r="X1653" s="21"/>
    </row>
    <row r="1654" spans="1:24" s="25" customFormat="1" x14ac:dyDescent="0.25">
      <c r="A1654" s="20" t="s">
        <v>2427</v>
      </c>
      <c r="B1654" s="21" t="s">
        <v>13</v>
      </c>
      <c r="C1654" s="22" t="s">
        <v>497</v>
      </c>
      <c r="D1654" s="17">
        <v>44557</v>
      </c>
      <c r="E1654" s="23" t="s">
        <v>23</v>
      </c>
      <c r="F1654" s="23"/>
      <c r="G1654" s="21"/>
      <c r="H1654" s="30"/>
      <c r="I1654" s="21" t="s">
        <v>473</v>
      </c>
      <c r="J1654" s="21"/>
      <c r="K1654" s="21">
        <v>66</v>
      </c>
      <c r="L1654" s="21"/>
      <c r="M1654" s="21"/>
      <c r="N1654" s="21"/>
      <c r="O1654" s="21"/>
      <c r="P1654" s="21"/>
      <c r="Q1654" s="21"/>
      <c r="R1654" s="21"/>
      <c r="S1654" s="21">
        <v>139800</v>
      </c>
      <c r="T1654" s="21"/>
      <c r="U1654" s="21"/>
      <c r="V1654" s="21"/>
      <c r="W1654" s="21"/>
      <c r="X1654" s="21"/>
    </row>
    <row r="1655" spans="1:24" s="25" customFormat="1" x14ac:dyDescent="0.25">
      <c r="A1655" s="20">
        <v>617</v>
      </c>
      <c r="B1655" s="21" t="s">
        <v>13</v>
      </c>
      <c r="C1655" s="22" t="s">
        <v>663</v>
      </c>
      <c r="D1655" s="17">
        <v>44557</v>
      </c>
      <c r="E1655" s="23" t="s">
        <v>23</v>
      </c>
      <c r="F1655" s="23"/>
      <c r="G1655" s="21"/>
      <c r="H1655" s="30"/>
      <c r="I1655" s="21" t="s">
        <v>630</v>
      </c>
      <c r="J1655" s="21">
        <v>1001</v>
      </c>
      <c r="K1655" s="21" t="s">
        <v>359</v>
      </c>
      <c r="L1655" s="21">
        <v>0.54049999999999998</v>
      </c>
      <c r="M1655" s="21">
        <v>2.0979999999999999</v>
      </c>
      <c r="N1655" s="21">
        <v>541.04049999999995</v>
      </c>
      <c r="O1655" s="21">
        <v>2100.098</v>
      </c>
      <c r="P1655" s="21">
        <v>70.34</v>
      </c>
      <c r="Q1655" s="21">
        <v>148.63999999999999</v>
      </c>
      <c r="R1655" s="21">
        <v>275</v>
      </c>
      <c r="S1655" s="21">
        <v>148786.14000000001</v>
      </c>
      <c r="T1655" s="21"/>
      <c r="U1655" s="21"/>
      <c r="V1655" s="21"/>
      <c r="W1655" s="21"/>
      <c r="X1655" s="21"/>
    </row>
    <row r="1656" spans="1:24" s="25" customFormat="1" x14ac:dyDescent="0.25">
      <c r="A1656" s="20">
        <v>618</v>
      </c>
      <c r="B1656" s="21" t="s">
        <v>13</v>
      </c>
      <c r="C1656" s="22" t="s">
        <v>1750</v>
      </c>
      <c r="D1656" s="17">
        <v>44557</v>
      </c>
      <c r="E1656" s="23" t="s">
        <v>23</v>
      </c>
      <c r="F1656" s="23"/>
      <c r="G1656" s="21"/>
      <c r="H1656" s="30"/>
      <c r="I1656" s="21" t="s">
        <v>1751</v>
      </c>
      <c r="J1656" s="21">
        <v>88.2</v>
      </c>
      <c r="K1656" s="21" t="s">
        <v>303</v>
      </c>
      <c r="L1656" s="21">
        <v>0.66659999999999997</v>
      </c>
      <c r="M1656" s="21">
        <v>1.994</v>
      </c>
      <c r="N1656" s="21">
        <v>58.7941</v>
      </c>
      <c r="O1656" s="21">
        <v>175.8708</v>
      </c>
      <c r="P1656" s="21">
        <v>7.64</v>
      </c>
      <c r="Q1656" s="21">
        <v>199.98</v>
      </c>
      <c r="R1656" s="21">
        <v>300</v>
      </c>
      <c r="S1656" s="21">
        <v>17638.240000000002</v>
      </c>
      <c r="T1656" s="21"/>
      <c r="U1656" s="21"/>
      <c r="V1656" s="21"/>
      <c r="W1656" s="21"/>
      <c r="X1656" s="21"/>
    </row>
    <row r="1657" spans="1:24" s="25" customFormat="1" x14ac:dyDescent="0.25">
      <c r="A1657" s="20">
        <v>619</v>
      </c>
      <c r="B1657" s="21" t="s">
        <v>13</v>
      </c>
      <c r="C1657" s="22" t="s">
        <v>28</v>
      </c>
      <c r="D1657" s="17">
        <v>44557</v>
      </c>
      <c r="E1657" s="23" t="s">
        <v>23</v>
      </c>
      <c r="F1657" s="23"/>
      <c r="G1657" s="21"/>
      <c r="H1657" s="30"/>
      <c r="I1657" s="21" t="s">
        <v>2050</v>
      </c>
      <c r="J1657" s="21">
        <v>1080</v>
      </c>
      <c r="K1657" s="21" t="s">
        <v>203</v>
      </c>
      <c r="L1657" s="21">
        <v>0.30719999999999997</v>
      </c>
      <c r="M1657" s="21">
        <v>0.69199999999999995</v>
      </c>
      <c r="N1657" s="21">
        <v>331.77600000000001</v>
      </c>
      <c r="O1657" s="21">
        <v>747.36</v>
      </c>
      <c r="P1657" s="21">
        <v>43.13</v>
      </c>
      <c r="Q1657" s="21">
        <v>95.23</v>
      </c>
      <c r="R1657" s="21">
        <v>310</v>
      </c>
      <c r="S1657" s="21">
        <v>102850.56</v>
      </c>
      <c r="T1657" s="21"/>
      <c r="U1657" s="21"/>
      <c r="V1657" s="21"/>
      <c r="W1657" s="21"/>
      <c r="X1657" s="21"/>
    </row>
    <row r="1658" spans="1:24" x14ac:dyDescent="0.25">
      <c r="A1658" s="15" t="s">
        <v>2429</v>
      </c>
      <c r="B1658" s="13" t="s">
        <v>13</v>
      </c>
      <c r="C1658" s="22" t="s">
        <v>1303</v>
      </c>
      <c r="D1658" s="29">
        <v>44557</v>
      </c>
      <c r="E1658" s="18" t="s">
        <v>23</v>
      </c>
      <c r="F1658" s="18"/>
      <c r="G1658" s="13"/>
      <c r="H1658" s="31"/>
      <c r="I1658" s="13" t="s">
        <v>347</v>
      </c>
      <c r="J1658" s="13" t="s">
        <v>2431</v>
      </c>
      <c r="K1658" s="13">
        <v>340</v>
      </c>
      <c r="L1658" s="13"/>
      <c r="M1658" s="13"/>
      <c r="N1658" s="13"/>
      <c r="O1658" s="13"/>
      <c r="P1658" s="13"/>
      <c r="Q1658" s="13"/>
      <c r="R1658" s="13"/>
      <c r="S1658" s="13" t="s">
        <v>2432</v>
      </c>
      <c r="T1658" s="13"/>
      <c r="U1658" s="13"/>
      <c r="V1658" s="13"/>
      <c r="W1658" s="13"/>
      <c r="X1658" s="13"/>
    </row>
    <row r="1659" spans="1:24" x14ac:dyDescent="0.25">
      <c r="A1659" s="15" t="s">
        <v>2429</v>
      </c>
      <c r="B1659" s="13" t="s">
        <v>13</v>
      </c>
      <c r="C1659" s="22" t="s">
        <v>1303</v>
      </c>
      <c r="D1659" s="29">
        <v>44557</v>
      </c>
      <c r="E1659" s="18" t="s">
        <v>23</v>
      </c>
      <c r="F1659" s="18"/>
      <c r="G1659" s="13"/>
      <c r="H1659" s="31"/>
      <c r="I1659" s="13" t="s">
        <v>2430</v>
      </c>
      <c r="J1659" s="13" t="s">
        <v>362</v>
      </c>
      <c r="K1659" s="13">
        <v>15</v>
      </c>
      <c r="L1659" s="13"/>
      <c r="M1659" s="13"/>
      <c r="N1659" s="13"/>
      <c r="O1659" s="13"/>
      <c r="P1659" s="13"/>
      <c r="Q1659" s="13"/>
      <c r="R1659" s="13"/>
      <c r="S1659" s="13" t="s">
        <v>1145</v>
      </c>
      <c r="T1659" s="13"/>
      <c r="U1659" s="13"/>
      <c r="V1659" s="13"/>
      <c r="W1659" s="13"/>
      <c r="X1659" s="13"/>
    </row>
    <row r="1660" spans="1:24" s="25" customFormat="1" x14ac:dyDescent="0.25">
      <c r="A1660" s="20">
        <v>620</v>
      </c>
      <c r="B1660" s="21" t="s">
        <v>13</v>
      </c>
      <c r="C1660" s="22" t="s">
        <v>625</v>
      </c>
      <c r="D1660" s="17">
        <v>44557</v>
      </c>
      <c r="E1660" s="23" t="s">
        <v>23</v>
      </c>
      <c r="F1660" s="23"/>
      <c r="G1660" s="21"/>
      <c r="H1660" s="30"/>
      <c r="I1660" s="21" t="s">
        <v>681</v>
      </c>
      <c r="J1660" s="21">
        <v>225.6</v>
      </c>
      <c r="K1660" s="21" t="s">
        <v>634</v>
      </c>
      <c r="L1660" s="21">
        <v>0.34789999999999999</v>
      </c>
      <c r="M1660" s="21">
        <v>1.643</v>
      </c>
      <c r="N1660" s="21">
        <v>78.486199999999997</v>
      </c>
      <c r="O1660" s="21">
        <v>370.66079999999999</v>
      </c>
      <c r="P1660" s="21">
        <v>10.199999999999999</v>
      </c>
      <c r="Q1660" s="21">
        <v>69.58</v>
      </c>
      <c r="R1660" s="21">
        <v>200</v>
      </c>
      <c r="S1660" s="21">
        <v>15697.25</v>
      </c>
      <c r="T1660" s="21"/>
      <c r="U1660" s="21"/>
      <c r="V1660" s="21"/>
      <c r="W1660" s="21"/>
      <c r="X1660" s="21"/>
    </row>
    <row r="1661" spans="1:24" s="25" customFormat="1" x14ac:dyDescent="0.25">
      <c r="A1661" s="20">
        <v>621</v>
      </c>
      <c r="B1661" s="21" t="s">
        <v>13</v>
      </c>
      <c r="C1661" s="22" t="s">
        <v>663</v>
      </c>
      <c r="D1661" s="17">
        <v>44557</v>
      </c>
      <c r="E1661" s="23" t="s">
        <v>23</v>
      </c>
      <c r="F1661" s="23"/>
      <c r="G1661" s="21" t="s">
        <v>2456</v>
      </c>
      <c r="H1661" s="30"/>
      <c r="I1661" s="21" t="s">
        <v>2433</v>
      </c>
      <c r="J1661" s="21">
        <v>990</v>
      </c>
      <c r="K1661" s="21" t="s">
        <v>87</v>
      </c>
      <c r="L1661" s="21">
        <v>0.222</v>
      </c>
      <c r="M1661" s="21">
        <v>0.74399999999999999</v>
      </c>
      <c r="N1661" s="21">
        <v>219.78</v>
      </c>
      <c r="O1661" s="21">
        <v>736.56</v>
      </c>
      <c r="P1661" s="21">
        <v>28.57</v>
      </c>
      <c r="Q1661" s="21">
        <v>61.05</v>
      </c>
      <c r="R1661" s="21">
        <v>275</v>
      </c>
      <c r="S1661" s="21">
        <v>60439.5</v>
      </c>
      <c r="T1661" s="21"/>
      <c r="U1661" s="21"/>
      <c r="V1661" s="21"/>
      <c r="W1661" s="21"/>
      <c r="X1661" s="21"/>
    </row>
    <row r="1662" spans="1:24" ht="60.75" x14ac:dyDescent="0.25">
      <c r="A1662" s="15" t="s">
        <v>2438</v>
      </c>
      <c r="B1662" s="13" t="s">
        <v>34</v>
      </c>
      <c r="C1662" s="16" t="s">
        <v>576</v>
      </c>
      <c r="D1662" s="29">
        <v>44554</v>
      </c>
      <c r="E1662" s="18" t="s">
        <v>23</v>
      </c>
      <c r="F1662" s="18"/>
      <c r="G1662" s="184" t="s">
        <v>2737</v>
      </c>
      <c r="H1662" s="19">
        <v>44560</v>
      </c>
      <c r="I1662" s="13" t="s">
        <v>2434</v>
      </c>
      <c r="J1662" s="127" t="s">
        <v>2439</v>
      </c>
      <c r="K1662" s="128">
        <v>1244</v>
      </c>
      <c r="L1662" s="13"/>
      <c r="M1662" s="13"/>
      <c r="N1662" s="13"/>
      <c r="O1662" s="13"/>
      <c r="P1662" s="13"/>
      <c r="Q1662" s="13"/>
      <c r="R1662" s="13"/>
      <c r="S1662" s="129" t="s">
        <v>2442</v>
      </c>
      <c r="T1662" s="13"/>
      <c r="U1662" s="13"/>
      <c r="V1662" s="13"/>
      <c r="W1662" s="13"/>
      <c r="X1662" s="13"/>
    </row>
    <row r="1663" spans="1:24" x14ac:dyDescent="0.25">
      <c r="A1663" s="15" t="s">
        <v>2438</v>
      </c>
      <c r="B1663" s="13" t="s">
        <v>34</v>
      </c>
      <c r="C1663" s="16" t="s">
        <v>576</v>
      </c>
      <c r="D1663" s="29">
        <v>44554</v>
      </c>
      <c r="E1663" s="18" t="s">
        <v>23</v>
      </c>
      <c r="F1663" s="18"/>
      <c r="G1663" s="13" t="s">
        <v>2493</v>
      </c>
      <c r="H1663" s="19">
        <v>44207</v>
      </c>
      <c r="I1663" s="13" t="s">
        <v>2435</v>
      </c>
      <c r="J1663" s="127" t="s">
        <v>2440</v>
      </c>
      <c r="K1663" s="128">
        <v>362</v>
      </c>
      <c r="L1663" s="13"/>
      <c r="M1663" s="13"/>
      <c r="N1663" s="13"/>
      <c r="O1663" s="13"/>
      <c r="P1663" s="13"/>
      <c r="Q1663" s="13"/>
      <c r="R1663" s="13"/>
      <c r="S1663" s="129" t="s">
        <v>2443</v>
      </c>
      <c r="T1663" s="13"/>
      <c r="U1663" s="13"/>
      <c r="V1663" s="13"/>
      <c r="W1663" s="13"/>
      <c r="X1663" s="13"/>
    </row>
    <row r="1664" spans="1:24" x14ac:dyDescent="0.25">
      <c r="A1664" s="15" t="s">
        <v>2438</v>
      </c>
      <c r="B1664" s="13" t="s">
        <v>34</v>
      </c>
      <c r="C1664" s="16" t="s">
        <v>576</v>
      </c>
      <c r="D1664" s="29">
        <v>44554</v>
      </c>
      <c r="E1664" s="18" t="s">
        <v>23</v>
      </c>
      <c r="F1664" s="18"/>
      <c r="G1664" s="13" t="s">
        <v>2518</v>
      </c>
      <c r="H1664" s="19">
        <v>44560</v>
      </c>
      <c r="I1664" s="13" t="s">
        <v>2436</v>
      </c>
      <c r="J1664" s="127" t="s">
        <v>2441</v>
      </c>
      <c r="K1664" s="128">
        <v>2366</v>
      </c>
      <c r="L1664" s="13"/>
      <c r="M1664" s="13"/>
      <c r="N1664" s="13"/>
      <c r="O1664" s="13"/>
      <c r="P1664" s="13"/>
      <c r="Q1664" s="13"/>
      <c r="R1664" s="13"/>
      <c r="S1664" s="129" t="s">
        <v>2444</v>
      </c>
      <c r="T1664" s="13"/>
      <c r="U1664" s="13"/>
      <c r="V1664" s="13"/>
      <c r="W1664" s="13"/>
      <c r="X1664" s="13"/>
    </row>
    <row r="1665" spans="1:24" x14ac:dyDescent="0.25">
      <c r="A1665" s="15" t="s">
        <v>2445</v>
      </c>
      <c r="B1665" s="13" t="s">
        <v>13</v>
      </c>
      <c r="C1665" s="22" t="s">
        <v>2399</v>
      </c>
      <c r="D1665" s="29">
        <v>44558</v>
      </c>
      <c r="E1665" s="18" t="s">
        <v>23</v>
      </c>
      <c r="F1665" s="18"/>
      <c r="G1665" s="13"/>
      <c r="H1665" s="31"/>
      <c r="I1665" s="13" t="s">
        <v>2403</v>
      </c>
      <c r="J1665" s="13"/>
      <c r="K1665" s="13">
        <v>80</v>
      </c>
      <c r="L1665" s="13"/>
      <c r="M1665" s="13"/>
      <c r="N1665" s="13"/>
      <c r="O1665" s="13"/>
      <c r="P1665" s="13"/>
      <c r="Q1665" s="13"/>
      <c r="R1665" s="13"/>
      <c r="S1665" s="13">
        <v>11900</v>
      </c>
      <c r="T1665" s="13"/>
      <c r="U1665" s="13"/>
      <c r="V1665" s="13"/>
      <c r="W1665" s="13"/>
      <c r="X1665" s="13"/>
    </row>
    <row r="1666" spans="1:24" s="25" customFormat="1" x14ac:dyDescent="0.25">
      <c r="A1666" s="20" t="s">
        <v>2446</v>
      </c>
      <c r="B1666" s="21" t="s">
        <v>13</v>
      </c>
      <c r="C1666" s="22" t="s">
        <v>2447</v>
      </c>
      <c r="D1666" s="17">
        <v>44558</v>
      </c>
      <c r="E1666" s="23" t="s">
        <v>23</v>
      </c>
      <c r="F1666" s="23"/>
      <c r="G1666" s="21"/>
      <c r="H1666" s="30"/>
      <c r="I1666" s="21" t="s">
        <v>1293</v>
      </c>
      <c r="J1666" s="21"/>
      <c r="K1666" s="21" t="s">
        <v>1898</v>
      </c>
      <c r="L1666" s="21"/>
      <c r="M1666" s="21"/>
      <c r="N1666" s="21"/>
      <c r="O1666" s="21"/>
      <c r="P1666" s="21"/>
      <c r="Q1666" s="21"/>
      <c r="R1666" s="21"/>
      <c r="S1666" s="21" t="s">
        <v>2450</v>
      </c>
      <c r="T1666" s="21"/>
      <c r="U1666" s="21"/>
      <c r="V1666" s="21"/>
      <c r="W1666" s="21"/>
      <c r="X1666" s="21"/>
    </row>
    <row r="1667" spans="1:24" s="25" customFormat="1" x14ac:dyDescent="0.25">
      <c r="A1667" s="20" t="s">
        <v>2446</v>
      </c>
      <c r="B1667" s="21" t="s">
        <v>13</v>
      </c>
      <c r="C1667" s="22" t="s">
        <v>2447</v>
      </c>
      <c r="D1667" s="17">
        <v>44558</v>
      </c>
      <c r="E1667" s="23" t="s">
        <v>23</v>
      </c>
      <c r="F1667" s="23"/>
      <c r="G1667" s="21"/>
      <c r="H1667" s="30"/>
      <c r="I1667" s="21" t="s">
        <v>25</v>
      </c>
      <c r="J1667" s="21"/>
      <c r="K1667" s="21" t="s">
        <v>26</v>
      </c>
      <c r="L1667" s="21"/>
      <c r="M1667" s="21"/>
      <c r="N1667" s="21"/>
      <c r="O1667" s="21"/>
      <c r="P1667" s="21"/>
      <c r="Q1667" s="21"/>
      <c r="R1667" s="21"/>
      <c r="S1667" s="21" t="s">
        <v>234</v>
      </c>
      <c r="T1667" s="21"/>
      <c r="U1667" s="21"/>
      <c r="V1667" s="21"/>
      <c r="W1667" s="21"/>
      <c r="X1667" s="21"/>
    </row>
    <row r="1668" spans="1:24" x14ac:dyDescent="0.25">
      <c r="A1668" s="15" t="s">
        <v>2448</v>
      </c>
      <c r="B1668" s="13" t="s">
        <v>13</v>
      </c>
      <c r="C1668" s="22" t="s">
        <v>284</v>
      </c>
      <c r="D1668" s="29">
        <v>44558</v>
      </c>
      <c r="E1668" s="18" t="s">
        <v>23</v>
      </c>
      <c r="F1668" s="18"/>
      <c r="G1668" s="13"/>
      <c r="H1668" s="31"/>
      <c r="I1668" s="13" t="s">
        <v>63</v>
      </c>
      <c r="J1668" s="13" t="s">
        <v>2449</v>
      </c>
      <c r="K1668" s="13">
        <v>44</v>
      </c>
      <c r="L1668" s="13"/>
      <c r="M1668" s="13"/>
      <c r="N1668" s="13"/>
      <c r="O1668" s="13"/>
      <c r="P1668" s="13"/>
      <c r="Q1668" s="13"/>
      <c r="R1668" s="13"/>
      <c r="S1668" s="13" t="s">
        <v>1285</v>
      </c>
      <c r="T1668" s="13"/>
      <c r="U1668" s="13"/>
      <c r="V1668" s="13"/>
      <c r="W1668" s="13"/>
      <c r="X1668" s="13"/>
    </row>
    <row r="1669" spans="1:24" x14ac:dyDescent="0.25">
      <c r="A1669" s="15" t="s">
        <v>2448</v>
      </c>
      <c r="B1669" s="13" t="s">
        <v>13</v>
      </c>
      <c r="C1669" s="22" t="s">
        <v>284</v>
      </c>
      <c r="D1669" s="29">
        <v>44558</v>
      </c>
      <c r="E1669" s="18" t="s">
        <v>23</v>
      </c>
      <c r="F1669" s="18"/>
      <c r="G1669" s="13"/>
      <c r="H1669" s="31"/>
      <c r="I1669" s="13" t="s">
        <v>169</v>
      </c>
      <c r="J1669" s="13" t="s">
        <v>1283</v>
      </c>
      <c r="K1669" s="13">
        <v>24</v>
      </c>
      <c r="L1669" s="13"/>
      <c r="M1669" s="13"/>
      <c r="N1669" s="13"/>
      <c r="O1669" s="13"/>
      <c r="P1669" s="13"/>
      <c r="Q1669" s="13"/>
      <c r="R1669" s="13"/>
      <c r="S1669" s="13" t="s">
        <v>1285</v>
      </c>
      <c r="T1669" s="13"/>
      <c r="U1669" s="13"/>
      <c r="V1669" s="13"/>
      <c r="W1669" s="13"/>
      <c r="X1669" s="13"/>
    </row>
    <row r="1670" spans="1:24" x14ac:dyDescent="0.25">
      <c r="A1670" s="15" t="s">
        <v>2452</v>
      </c>
      <c r="B1670" s="13" t="s">
        <v>13</v>
      </c>
      <c r="C1670" s="22" t="s">
        <v>2453</v>
      </c>
      <c r="D1670" s="29">
        <v>44558</v>
      </c>
      <c r="E1670" s="18" t="s">
        <v>23</v>
      </c>
      <c r="F1670" s="18"/>
      <c r="G1670" s="13"/>
      <c r="H1670" s="31"/>
      <c r="I1670" s="13" t="s">
        <v>177</v>
      </c>
      <c r="J1670" s="13"/>
      <c r="K1670" s="13">
        <v>29</v>
      </c>
      <c r="L1670" s="13"/>
      <c r="M1670" s="13"/>
      <c r="N1670" s="13"/>
      <c r="O1670" s="13"/>
      <c r="P1670" s="13"/>
      <c r="Q1670" s="13"/>
      <c r="R1670" s="13"/>
      <c r="S1670" s="13">
        <v>26300</v>
      </c>
      <c r="T1670" s="13"/>
      <c r="U1670" s="13"/>
      <c r="V1670" s="13"/>
      <c r="W1670" s="13"/>
      <c r="X1670" s="13"/>
    </row>
    <row r="1671" spans="1:24" s="25" customFormat="1" x14ac:dyDescent="0.25">
      <c r="A1671" s="20">
        <v>622</v>
      </c>
      <c r="B1671" s="21" t="s">
        <v>13</v>
      </c>
      <c r="C1671" s="22" t="s">
        <v>663</v>
      </c>
      <c r="D1671" s="17">
        <v>44559</v>
      </c>
      <c r="E1671" s="23" t="s">
        <v>23</v>
      </c>
      <c r="F1671" s="23"/>
      <c r="G1671" s="21" t="s">
        <v>2674</v>
      </c>
      <c r="H1671" s="30"/>
      <c r="I1671" s="21" t="s">
        <v>999</v>
      </c>
      <c r="J1671" s="21">
        <v>208</v>
      </c>
      <c r="K1671" s="21" t="s">
        <v>207</v>
      </c>
      <c r="L1671" s="21">
        <v>0.626</v>
      </c>
      <c r="M1671" s="21">
        <v>2.1869999999999998</v>
      </c>
      <c r="N1671" s="21">
        <v>130.208</v>
      </c>
      <c r="O1671" s="21">
        <v>454.89600000000002</v>
      </c>
      <c r="P1671" s="21">
        <v>16.93</v>
      </c>
      <c r="Q1671" s="21">
        <v>172.15</v>
      </c>
      <c r="R1671" s="21">
        <v>275</v>
      </c>
      <c r="S1671" s="21">
        <v>35807.199999999997</v>
      </c>
      <c r="T1671" s="21"/>
      <c r="U1671" s="21"/>
      <c r="V1671" s="21"/>
      <c r="W1671" s="21"/>
      <c r="X1671" s="21"/>
    </row>
    <row r="1672" spans="1:24" s="25" customFormat="1" x14ac:dyDescent="0.25">
      <c r="A1672" s="20">
        <v>623</v>
      </c>
      <c r="B1672" s="21" t="s">
        <v>13</v>
      </c>
      <c r="C1672" s="22" t="s">
        <v>1750</v>
      </c>
      <c r="D1672" s="17">
        <v>44559</v>
      </c>
      <c r="E1672" s="23" t="s">
        <v>23</v>
      </c>
      <c r="F1672" s="23"/>
      <c r="G1672" s="21"/>
      <c r="H1672" s="30"/>
      <c r="I1672" s="21" t="s">
        <v>1751</v>
      </c>
      <c r="J1672" s="21">
        <v>117.6</v>
      </c>
      <c r="K1672" s="21" t="s">
        <v>562</v>
      </c>
      <c r="L1672" s="21">
        <v>0.66659999999999997</v>
      </c>
      <c r="M1672" s="21">
        <v>1.994</v>
      </c>
      <c r="N1672" s="21">
        <v>78.392200000000003</v>
      </c>
      <c r="O1672" s="21">
        <v>234.49440000000001</v>
      </c>
      <c r="P1672" s="21">
        <v>10.19</v>
      </c>
      <c r="Q1672" s="21">
        <v>199.98</v>
      </c>
      <c r="R1672" s="21">
        <v>300</v>
      </c>
      <c r="S1672" s="21">
        <v>23517.65</v>
      </c>
      <c r="T1672" s="21"/>
      <c r="U1672" s="21"/>
      <c r="V1672" s="21"/>
      <c r="W1672" s="21"/>
      <c r="X1672" s="21"/>
    </row>
    <row r="1673" spans="1:24" x14ac:dyDescent="0.25">
      <c r="A1673" s="15" t="s">
        <v>2455</v>
      </c>
      <c r="B1673" s="13" t="s">
        <v>13</v>
      </c>
      <c r="C1673" s="22" t="s">
        <v>2399</v>
      </c>
      <c r="D1673" s="29">
        <v>44559</v>
      </c>
      <c r="E1673" s="18" t="s">
        <v>23</v>
      </c>
      <c r="F1673" s="18"/>
      <c r="G1673" s="13"/>
      <c r="H1673" s="31"/>
      <c r="I1673" s="13" t="s">
        <v>2403</v>
      </c>
      <c r="J1673" s="13"/>
      <c r="K1673" s="13">
        <v>160</v>
      </c>
      <c r="L1673" s="13"/>
      <c r="M1673" s="13"/>
      <c r="N1673" s="13"/>
      <c r="O1673" s="13"/>
      <c r="P1673" s="13"/>
      <c r="Q1673" s="13"/>
      <c r="R1673" s="13"/>
      <c r="S1673" s="13"/>
      <c r="T1673" s="13"/>
      <c r="U1673" s="13"/>
      <c r="V1673" s="13"/>
      <c r="W1673" s="13"/>
      <c r="X1673" s="13"/>
    </row>
    <row r="1674" spans="1:24" x14ac:dyDescent="0.25">
      <c r="A1674" s="15" t="s">
        <v>2458</v>
      </c>
      <c r="B1674" s="13" t="s">
        <v>13</v>
      </c>
      <c r="C1674" s="22" t="s">
        <v>15</v>
      </c>
      <c r="D1674" s="29">
        <v>44560</v>
      </c>
      <c r="E1674" s="18" t="s">
        <v>23</v>
      </c>
      <c r="F1674" s="18"/>
      <c r="G1674" s="13"/>
      <c r="H1674" s="31"/>
      <c r="I1674" s="13" t="s">
        <v>89</v>
      </c>
      <c r="J1674" s="13"/>
      <c r="K1674" s="13">
        <v>48</v>
      </c>
      <c r="L1674" s="13"/>
      <c r="M1674" s="13"/>
      <c r="N1674" s="13"/>
      <c r="O1674" s="13"/>
      <c r="P1674" s="13"/>
      <c r="Q1674" s="13"/>
      <c r="R1674" s="13"/>
      <c r="S1674" s="13">
        <v>34992</v>
      </c>
      <c r="T1674" s="13"/>
      <c r="U1674" s="13"/>
      <c r="V1674" s="13"/>
      <c r="W1674" s="13"/>
      <c r="X1674" s="13"/>
    </row>
    <row r="1675" spans="1:24" x14ac:dyDescent="0.25">
      <c r="A1675" s="15"/>
      <c r="B1675" s="13"/>
      <c r="C1675" s="22"/>
      <c r="D1675" s="13"/>
      <c r="E1675" s="18"/>
      <c r="F1675" s="18"/>
      <c r="G1675" s="13"/>
      <c r="H1675" s="31"/>
      <c r="I1675" s="13"/>
      <c r="J1675" s="13"/>
      <c r="K1675" s="13"/>
      <c r="L1675" s="13"/>
      <c r="M1675" s="13"/>
      <c r="N1675" s="13"/>
      <c r="O1675" s="13"/>
      <c r="P1675" s="13"/>
      <c r="Q1675" s="13"/>
      <c r="R1675" s="13"/>
      <c r="S1675" s="13"/>
      <c r="T1675" s="13"/>
      <c r="U1675" s="13"/>
      <c r="V1675" s="13"/>
      <c r="W1675" s="13"/>
      <c r="X1675" s="13"/>
    </row>
    <row r="1676" spans="1:24" x14ac:dyDescent="0.25">
      <c r="A1676" s="15"/>
      <c r="B1676" s="13"/>
      <c r="C1676" s="22"/>
      <c r="D1676" s="13"/>
      <c r="E1676" s="18"/>
      <c r="F1676" s="18"/>
      <c r="G1676" s="13"/>
      <c r="H1676" s="31"/>
      <c r="I1676" s="13"/>
      <c r="J1676" s="13"/>
      <c r="K1676" s="13"/>
      <c r="L1676" s="13"/>
      <c r="M1676" s="13"/>
      <c r="N1676" s="13"/>
      <c r="O1676" s="13"/>
      <c r="P1676" s="13"/>
      <c r="Q1676" s="13"/>
      <c r="R1676" s="13"/>
      <c r="S1676" s="13"/>
      <c r="T1676" s="13"/>
      <c r="U1676" s="13"/>
      <c r="V1676" s="13"/>
      <c r="W1676" s="13"/>
      <c r="X1676" s="13"/>
    </row>
    <row r="1677" spans="1:24" x14ac:dyDescent="0.25">
      <c r="A1677" s="15"/>
      <c r="B1677" s="13"/>
      <c r="C1677" s="22"/>
      <c r="D1677" s="13"/>
      <c r="E1677" s="18"/>
      <c r="F1677" s="18"/>
      <c r="G1677" s="13"/>
      <c r="H1677" s="31"/>
      <c r="I1677" s="13"/>
      <c r="J1677" s="13"/>
      <c r="K1677" s="13"/>
      <c r="L1677" s="13"/>
      <c r="M1677" s="13"/>
      <c r="N1677" s="13"/>
      <c r="O1677" s="13"/>
      <c r="P1677" s="13"/>
      <c r="Q1677" s="13"/>
      <c r="R1677" s="13"/>
      <c r="S1677" s="13"/>
      <c r="T1677" s="13"/>
      <c r="U1677" s="13"/>
      <c r="V1677" s="13"/>
      <c r="W1677" s="13"/>
      <c r="X1677" s="13"/>
    </row>
    <row r="1678" spans="1:24" x14ac:dyDescent="0.25">
      <c r="A1678" s="15"/>
      <c r="B1678" s="13"/>
      <c r="C1678" s="22"/>
      <c r="D1678" s="13"/>
      <c r="E1678" s="18"/>
      <c r="F1678" s="18"/>
      <c r="G1678" s="21"/>
      <c r="H1678" s="31"/>
      <c r="I1678" s="13"/>
      <c r="J1678" s="13"/>
      <c r="K1678" s="13"/>
      <c r="L1678" s="13"/>
      <c r="M1678" s="13"/>
      <c r="N1678" s="13"/>
      <c r="O1678" s="13"/>
      <c r="P1678" s="13"/>
      <c r="Q1678" s="13"/>
      <c r="R1678" s="13"/>
      <c r="S1678" s="13"/>
      <c r="T1678" s="13"/>
      <c r="U1678" s="13"/>
      <c r="V1678" s="13"/>
      <c r="W1678" s="13"/>
      <c r="X1678" s="13"/>
    </row>
    <row r="1679" spans="1:24" x14ac:dyDescent="0.25">
      <c r="A1679" s="15"/>
      <c r="B1679" s="13"/>
      <c r="C1679" s="22"/>
      <c r="D1679" s="13"/>
      <c r="E1679" s="18"/>
      <c r="F1679" s="18"/>
      <c r="G1679" s="13"/>
      <c r="H1679" s="31"/>
      <c r="I1679" s="13"/>
      <c r="J1679" s="13"/>
      <c r="K1679" s="13"/>
      <c r="L1679" s="13"/>
      <c r="M1679" s="13"/>
      <c r="N1679" s="13"/>
      <c r="O1679" s="13"/>
      <c r="P1679" s="13"/>
      <c r="Q1679" s="13"/>
      <c r="R1679" s="13"/>
      <c r="S1679" s="13"/>
      <c r="T1679" s="13"/>
      <c r="U1679" s="13"/>
      <c r="V1679" s="13"/>
      <c r="W1679" s="13"/>
      <c r="X1679" s="13"/>
    </row>
    <row r="1680" spans="1:24" x14ac:dyDescent="0.25">
      <c r="A1680" s="15"/>
      <c r="B1680" s="13"/>
      <c r="C1680" s="22"/>
      <c r="D1680" s="13"/>
      <c r="E1680" s="18"/>
      <c r="F1680" s="18"/>
      <c r="G1680" s="13"/>
      <c r="H1680" s="31"/>
      <c r="I1680" s="13"/>
      <c r="J1680" s="13"/>
      <c r="K1680" s="13"/>
      <c r="L1680" s="13"/>
      <c r="M1680" s="13"/>
      <c r="N1680" s="13"/>
      <c r="O1680" s="13"/>
      <c r="P1680" s="13"/>
      <c r="Q1680" s="13"/>
      <c r="R1680" s="13"/>
      <c r="S1680" s="13"/>
      <c r="T1680" s="13"/>
      <c r="U1680" s="13"/>
      <c r="V1680" s="13"/>
      <c r="W1680" s="13"/>
      <c r="X1680" s="13"/>
    </row>
    <row r="1681" spans="1:24" x14ac:dyDescent="0.25">
      <c r="A1681" s="15"/>
      <c r="B1681" s="13"/>
      <c r="C1681" s="22"/>
      <c r="D1681" s="13"/>
      <c r="E1681" s="18"/>
      <c r="F1681" s="18"/>
      <c r="G1681" s="13"/>
      <c r="H1681" s="31"/>
      <c r="I1681" s="13"/>
      <c r="J1681" s="13"/>
      <c r="K1681" s="13"/>
      <c r="L1681" s="13"/>
      <c r="M1681" s="13"/>
      <c r="N1681" s="13"/>
      <c r="O1681" s="13"/>
      <c r="P1681" s="13"/>
      <c r="Q1681" s="13"/>
      <c r="R1681" s="13"/>
      <c r="S1681" s="13"/>
      <c r="T1681" s="13"/>
      <c r="U1681" s="13"/>
      <c r="V1681" s="13"/>
      <c r="W1681" s="13"/>
      <c r="X1681" s="13"/>
    </row>
    <row r="1682" spans="1:24" x14ac:dyDescent="0.25">
      <c r="A1682" s="15"/>
      <c r="B1682" s="13"/>
      <c r="C1682" s="22"/>
      <c r="D1682" s="13"/>
      <c r="E1682" s="18"/>
      <c r="F1682" s="18"/>
      <c r="G1682" s="13"/>
      <c r="H1682" s="31"/>
      <c r="I1682" s="13"/>
      <c r="J1682" s="13"/>
      <c r="K1682" s="13"/>
      <c r="L1682" s="13"/>
      <c r="M1682" s="13"/>
      <c r="N1682" s="13"/>
      <c r="O1682" s="13"/>
      <c r="P1682" s="13"/>
      <c r="Q1682" s="13"/>
      <c r="R1682" s="13"/>
      <c r="S1682" s="13"/>
      <c r="T1682" s="13"/>
      <c r="U1682" s="13"/>
      <c r="V1682" s="13"/>
      <c r="W1682" s="13"/>
      <c r="X1682" s="13"/>
    </row>
    <row r="1683" spans="1:24" x14ac:dyDescent="0.25">
      <c r="A1683" s="15"/>
      <c r="B1683" s="13"/>
      <c r="C1683" s="22"/>
      <c r="D1683" s="13"/>
      <c r="E1683" s="18"/>
      <c r="F1683" s="18"/>
      <c r="G1683" s="13"/>
      <c r="H1683" s="31"/>
      <c r="I1683" s="13"/>
      <c r="J1683" s="13"/>
      <c r="K1683" s="13"/>
      <c r="L1683" s="13"/>
      <c r="M1683" s="13"/>
      <c r="N1683" s="13"/>
      <c r="O1683" s="13"/>
      <c r="P1683" s="13"/>
      <c r="Q1683" s="13"/>
      <c r="R1683" s="13"/>
      <c r="S1683" s="13"/>
      <c r="T1683" s="13"/>
      <c r="U1683" s="13"/>
      <c r="V1683" s="13"/>
      <c r="W1683" s="13"/>
      <c r="X1683" s="13"/>
    </row>
    <row r="1684" spans="1:24" x14ac:dyDescent="0.25">
      <c r="A1684" s="15"/>
      <c r="B1684" s="13"/>
      <c r="C1684" s="22"/>
      <c r="D1684" s="13"/>
      <c r="E1684" s="18"/>
      <c r="F1684" s="18"/>
      <c r="G1684" s="13"/>
      <c r="H1684" s="31"/>
      <c r="I1684" s="13"/>
      <c r="J1684" s="13"/>
      <c r="K1684" s="13"/>
      <c r="L1684" s="13"/>
      <c r="M1684" s="13"/>
      <c r="N1684" s="13"/>
      <c r="O1684" s="13"/>
      <c r="P1684" s="13"/>
      <c r="Q1684" s="13"/>
      <c r="R1684" s="13"/>
      <c r="S1684" s="13"/>
      <c r="T1684" s="13"/>
      <c r="U1684" s="13"/>
      <c r="V1684" s="13"/>
      <c r="W1684" s="13"/>
      <c r="X1684" s="13"/>
    </row>
    <row r="1685" spans="1:24" x14ac:dyDescent="0.25">
      <c r="A1685" s="15"/>
      <c r="B1685" s="13"/>
      <c r="C1685" s="22"/>
      <c r="D1685" s="13"/>
      <c r="E1685" s="18"/>
      <c r="F1685" s="18"/>
      <c r="G1685" s="13"/>
      <c r="H1685" s="31"/>
      <c r="I1685" s="13"/>
      <c r="J1685" s="13"/>
      <c r="K1685" s="13"/>
      <c r="L1685" s="13"/>
      <c r="M1685" s="13"/>
      <c r="N1685" s="13"/>
      <c r="O1685" s="13"/>
      <c r="P1685" s="13"/>
      <c r="Q1685" s="13"/>
      <c r="R1685" s="13"/>
      <c r="S1685" s="13"/>
      <c r="T1685" s="13"/>
      <c r="U1685" s="13"/>
      <c r="V1685" s="13"/>
      <c r="W1685" s="13"/>
      <c r="X1685" s="13"/>
    </row>
    <row r="1686" spans="1:24" x14ac:dyDescent="0.25">
      <c r="A1686" s="15"/>
      <c r="B1686" s="13"/>
      <c r="C1686" s="22"/>
      <c r="D1686" s="13" t="s">
        <v>17</v>
      </c>
      <c r="E1686" s="18"/>
      <c r="F1686" s="18"/>
      <c r="G1686" s="13"/>
      <c r="H1686" s="31"/>
      <c r="I1686" s="13"/>
      <c r="J1686" s="13"/>
      <c r="K1686" s="13"/>
      <c r="L1686" s="13"/>
      <c r="M1686" s="13"/>
      <c r="N1686" s="13"/>
      <c r="O1686" s="13"/>
      <c r="P1686" s="13"/>
      <c r="Q1686" s="13"/>
      <c r="R1686" s="13"/>
      <c r="S1686" s="13"/>
      <c r="T1686" s="13"/>
      <c r="U1686" s="13"/>
      <c r="V1686" s="13"/>
      <c r="W1686" s="13"/>
      <c r="X1686" s="13"/>
    </row>
    <row r="1687" spans="1:24" x14ac:dyDescent="0.25">
      <c r="A1687" s="15"/>
      <c r="B1687" s="13"/>
      <c r="C1687" s="22"/>
      <c r="D1687" s="13"/>
      <c r="E1687" s="18"/>
      <c r="F1687" s="18"/>
      <c r="G1687" s="13"/>
      <c r="H1687" s="31"/>
      <c r="I1687" s="13"/>
      <c r="J1687" s="13"/>
      <c r="K1687" s="13"/>
      <c r="L1687" s="13"/>
      <c r="M1687" s="13"/>
      <c r="N1687" s="13"/>
      <c r="O1687" s="13"/>
      <c r="P1687" s="13"/>
      <c r="Q1687" s="13"/>
      <c r="R1687" s="13"/>
      <c r="S1687" s="13"/>
      <c r="T1687" s="13"/>
      <c r="U1687" s="13"/>
      <c r="V1687" s="13"/>
      <c r="W1687" s="13"/>
      <c r="X1687" s="13"/>
    </row>
    <row r="1688" spans="1:24" x14ac:dyDescent="0.25">
      <c r="A1688" s="15"/>
      <c r="B1688" s="13"/>
      <c r="C1688" s="22"/>
      <c r="D1688" s="13"/>
      <c r="E1688" s="18"/>
      <c r="F1688" s="18"/>
      <c r="G1688" s="13"/>
      <c r="H1688" s="31"/>
      <c r="I1688" s="13"/>
      <c r="J1688" s="13"/>
      <c r="K1688" s="13"/>
      <c r="L1688" s="13"/>
      <c r="M1688" s="13"/>
      <c r="N1688" s="13"/>
      <c r="O1688" s="13"/>
      <c r="P1688" s="13"/>
      <c r="Q1688" s="13"/>
      <c r="R1688" s="13"/>
      <c r="S1688" s="13"/>
      <c r="T1688" s="13"/>
      <c r="U1688" s="13"/>
      <c r="V1688" s="13"/>
      <c r="W1688" s="13"/>
      <c r="X1688" s="13"/>
    </row>
    <row r="1689" spans="1:24" x14ac:dyDescent="0.25">
      <c r="A1689" s="15"/>
      <c r="B1689" s="13"/>
      <c r="C1689" s="22"/>
      <c r="D1689" s="13"/>
      <c r="E1689" s="18"/>
      <c r="F1689" s="18"/>
      <c r="G1689" s="13"/>
      <c r="H1689" s="31"/>
      <c r="I1689" s="13"/>
      <c r="J1689" s="13"/>
      <c r="K1689" s="13"/>
      <c r="L1689" s="13"/>
      <c r="M1689" s="13"/>
      <c r="N1689" s="13"/>
      <c r="O1689" s="13"/>
      <c r="P1689" s="13"/>
      <c r="Q1689" s="13"/>
      <c r="R1689" s="13"/>
      <c r="S1689" s="13"/>
      <c r="T1689" s="13"/>
      <c r="U1689" s="13"/>
      <c r="V1689" s="13"/>
      <c r="W1689" s="13"/>
      <c r="X1689" s="13"/>
    </row>
    <row r="1690" spans="1:24" x14ac:dyDescent="0.25">
      <c r="A1690" s="15"/>
      <c r="B1690" s="13"/>
      <c r="C1690" s="22"/>
      <c r="D1690" s="13"/>
      <c r="E1690" s="18"/>
      <c r="F1690" s="18"/>
      <c r="G1690" s="13"/>
      <c r="H1690" s="31"/>
      <c r="I1690" s="13"/>
      <c r="J1690" s="13"/>
      <c r="K1690" s="13"/>
      <c r="L1690" s="13"/>
      <c r="M1690" s="13"/>
      <c r="N1690" s="13"/>
      <c r="O1690" s="13"/>
      <c r="P1690" s="13"/>
      <c r="Q1690" s="13"/>
      <c r="R1690" s="13"/>
      <c r="S1690" s="13"/>
      <c r="T1690" s="13"/>
      <c r="U1690" s="13"/>
      <c r="V1690" s="13"/>
      <c r="W1690" s="13"/>
      <c r="X1690" s="13"/>
    </row>
    <row r="1691" spans="1:24" x14ac:dyDescent="0.25">
      <c r="A1691" s="15"/>
      <c r="B1691" s="13"/>
      <c r="C1691" s="22"/>
      <c r="D1691" s="13"/>
      <c r="E1691" s="18"/>
      <c r="F1691" s="18"/>
      <c r="G1691" s="13"/>
      <c r="H1691" s="31"/>
      <c r="I1691" s="13"/>
      <c r="J1691" s="13"/>
      <c r="K1691" s="13"/>
      <c r="L1691" s="13"/>
      <c r="M1691" s="13"/>
      <c r="N1691" s="13"/>
      <c r="O1691" s="13"/>
      <c r="P1691" s="13"/>
      <c r="Q1691" s="13"/>
      <c r="R1691" s="13"/>
      <c r="S1691" s="13"/>
      <c r="T1691" s="13"/>
      <c r="U1691" s="13"/>
      <c r="V1691" s="13"/>
      <c r="W1691" s="13"/>
      <c r="X1691" s="13"/>
    </row>
    <row r="1692" spans="1:24" x14ac:dyDescent="0.25">
      <c r="A1692" s="15"/>
      <c r="B1692" s="13"/>
      <c r="C1692" s="22"/>
      <c r="D1692" s="13"/>
      <c r="E1692" s="18"/>
      <c r="F1692" s="18"/>
      <c r="G1692" s="13"/>
      <c r="H1692" s="31"/>
      <c r="I1692" s="13"/>
      <c r="J1692" s="13"/>
      <c r="K1692" s="13"/>
      <c r="L1692" s="13"/>
      <c r="M1692" s="13"/>
      <c r="N1692" s="13"/>
      <c r="O1692" s="13"/>
      <c r="P1692" s="13"/>
      <c r="Q1692" s="13"/>
      <c r="R1692" s="13"/>
      <c r="S1692" s="13"/>
      <c r="T1692" s="13"/>
      <c r="U1692" s="13"/>
      <c r="V1692" s="13"/>
      <c r="W1692" s="13"/>
      <c r="X1692" s="13"/>
    </row>
    <row r="1693" spans="1:24" x14ac:dyDescent="0.25">
      <c r="A1693" s="15"/>
      <c r="B1693" s="13"/>
      <c r="C1693" s="22"/>
      <c r="D1693" s="13"/>
      <c r="E1693" s="18"/>
      <c r="F1693" s="18"/>
      <c r="G1693" s="13"/>
      <c r="H1693" s="31"/>
      <c r="I1693" s="13"/>
      <c r="J1693" s="13"/>
      <c r="K1693" s="13"/>
      <c r="L1693" s="13"/>
      <c r="M1693" s="13"/>
      <c r="N1693" s="13"/>
      <c r="O1693" s="13"/>
      <c r="P1693" s="13"/>
      <c r="Q1693" s="13"/>
      <c r="R1693" s="13"/>
      <c r="S1693" s="13"/>
      <c r="T1693" s="13"/>
      <c r="U1693" s="13"/>
      <c r="V1693" s="13"/>
      <c r="W1693" s="13"/>
      <c r="X1693" s="13"/>
    </row>
    <row r="1694" spans="1:24" x14ac:dyDescent="0.25">
      <c r="A1694" s="15"/>
      <c r="B1694" s="13"/>
      <c r="C1694" s="22"/>
      <c r="D1694" s="13"/>
      <c r="E1694" s="18"/>
      <c r="F1694" s="18"/>
      <c r="G1694" s="13"/>
      <c r="H1694" s="31"/>
      <c r="I1694" s="13"/>
      <c r="J1694" s="13"/>
      <c r="K1694" s="13"/>
      <c r="L1694" s="13"/>
      <c r="M1694" s="13"/>
      <c r="N1694" s="13"/>
      <c r="O1694" s="13"/>
      <c r="P1694" s="13"/>
      <c r="Q1694" s="13"/>
      <c r="R1694" s="13"/>
      <c r="S1694" s="13"/>
      <c r="T1694" s="13"/>
      <c r="U1694" s="13"/>
      <c r="V1694" s="13"/>
      <c r="W1694" s="13"/>
      <c r="X1694" s="13"/>
    </row>
  </sheetData>
  <autoFilter ref="A1:U1674"/>
  <sortState ref="A507:U890">
    <sortCondition ref="H1"/>
  </sortState>
  <conditionalFormatting sqref="E1:F955">
    <cfRule type="cellIs" dxfId="24" priority="106" operator="equal">
      <formula>"готова"</formula>
    </cfRule>
    <cfRule type="cellIs" dxfId="23" priority="107" operator="equal">
      <formula>"отмена"</formula>
    </cfRule>
    <cfRule type="cellIs" dxfId="22" priority="108" operator="equal">
      <formula>"готов"</formula>
    </cfRule>
    <cfRule type="cellIs" dxfId="21" priority="109" operator="equal">
      <formula>"в работе"</formula>
    </cfRule>
    <cfRule type="cellIs" dxfId="20" priority="110" operator="equal">
      <formula>"вывезено"</formula>
    </cfRule>
  </conditionalFormatting>
  <conditionalFormatting sqref="E964:F1048576">
    <cfRule type="cellIs" dxfId="19" priority="1" operator="equal">
      <formula>"готова"</formula>
    </cfRule>
    <cfRule type="cellIs" dxfId="18" priority="2" operator="equal">
      <formula>"отмена"</formula>
    </cfRule>
    <cfRule type="cellIs" dxfId="17" priority="3" operator="equal">
      <formula>"готов"</formula>
    </cfRule>
    <cfRule type="cellIs" dxfId="16" priority="4" operator="equal">
      <formula>"в работе"</formula>
    </cfRule>
    <cfRule type="cellIs" dxfId="15" priority="5" operator="equal">
      <formula>"вывезено"</formula>
    </cfRule>
  </conditionalFormatting>
  <conditionalFormatting sqref="E956:G963">
    <cfRule type="cellIs" dxfId="14" priority="1081" operator="equal">
      <formula>"готова"</formula>
    </cfRule>
    <cfRule type="cellIs" dxfId="13" priority="1105" operator="equal">
      <formula>"отмена"</formula>
    </cfRule>
    <cfRule type="cellIs" dxfId="12" priority="1106" operator="equal">
      <formula>"готов"</formula>
    </cfRule>
    <cfRule type="cellIs" dxfId="11" priority="1107" operator="equal">
      <formula>"в работе"</formula>
    </cfRule>
    <cfRule type="cellIs" dxfId="10" priority="1108" operator="equal">
      <formula>"вывезено"</formula>
    </cfRule>
  </conditionalFormatting>
  <conditionalFormatting sqref="G1">
    <cfRule type="cellIs" dxfId="9" priority="1115" operator="equal">
      <formula>"не завезли"</formula>
    </cfRule>
    <cfRule type="cellIs" dxfId="8" priority="1116" operator="equal">
      <formula>"отменена"</formula>
    </cfRule>
    <cfRule type="cellIs" dxfId="7" priority="1117" operator="equal">
      <formula>"в работе"</formula>
    </cfRule>
    <cfRule type="cellIs" dxfId="6" priority="1118" operator="equal">
      <formula>"готова"</formula>
    </cfRule>
    <cfRule type="cellIs" dxfId="5" priority="1119" operator="equal">
      <formula>"вывезено"</formula>
    </cfRule>
  </conditionalFormatting>
  <conditionalFormatting sqref="G484">
    <cfRule type="cellIs" dxfId="4" priority="471" operator="equal">
      <formula>"готова"</formula>
    </cfRule>
    <cfRule type="cellIs" dxfId="3" priority="472" operator="equal">
      <formula>"отмена"</formula>
    </cfRule>
    <cfRule type="cellIs" dxfId="2" priority="473" operator="equal">
      <formula>"готов"</formula>
    </cfRule>
    <cfRule type="cellIs" dxfId="1" priority="474" operator="equal">
      <formula>"в работе"</formula>
    </cfRule>
    <cfRule type="cellIs" dxfId="0" priority="475" operator="equal">
      <formula>"вывезено"</formula>
    </cfRule>
  </conditionalFormatting>
  <pageMargins left="0.25" right="0.25" top="0.75" bottom="0.75" header="0.3" footer="0.3"/>
  <pageSetup paperSize="9" scale="10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36"/>
  <sheetViews>
    <sheetView workbookViewId="0">
      <selection activeCell="G3" sqref="G3"/>
    </sheetView>
  </sheetViews>
  <sheetFormatPr defaultRowHeight="12.75" x14ac:dyDescent="0.2"/>
  <sheetData>
    <row r="1" spans="1:9" ht="15" x14ac:dyDescent="0.25">
      <c r="A1" s="368"/>
      <c r="B1" s="369"/>
    </row>
    <row r="2" spans="1:9" ht="15" x14ac:dyDescent="0.25">
      <c r="A2" s="370"/>
      <c r="B2" s="371"/>
      <c r="F2" s="906" t="s">
        <v>5285</v>
      </c>
    </row>
    <row r="3" spans="1:9" ht="15" x14ac:dyDescent="0.25">
      <c r="A3" s="368">
        <v>60</v>
      </c>
      <c r="B3" s="369"/>
      <c r="F3" s="412"/>
      <c r="G3" s="413" t="s">
        <v>1475</v>
      </c>
      <c r="H3" s="413" t="s">
        <v>3955</v>
      </c>
      <c r="I3" s="338"/>
    </row>
    <row r="4" spans="1:9" ht="15" x14ac:dyDescent="0.25">
      <c r="A4" s="370"/>
      <c r="B4" s="371"/>
      <c r="F4" s="412"/>
      <c r="G4" s="413" t="s">
        <v>1476</v>
      </c>
      <c r="H4" s="413" t="s">
        <v>3955</v>
      </c>
      <c r="I4" s="338"/>
    </row>
    <row r="5" spans="1:9" ht="15" x14ac:dyDescent="0.25">
      <c r="A5" s="368"/>
      <c r="B5" s="369"/>
      <c r="F5" s="412" t="s">
        <v>4712</v>
      </c>
      <c r="G5" s="413" t="s">
        <v>3954</v>
      </c>
      <c r="H5" s="413" t="s">
        <v>3956</v>
      </c>
      <c r="I5" s="338"/>
    </row>
    <row r="6" spans="1:9" ht="15" x14ac:dyDescent="0.25">
      <c r="A6" s="370"/>
      <c r="B6" s="371"/>
      <c r="F6" s="412"/>
      <c r="G6" s="413" t="s">
        <v>3957</v>
      </c>
      <c r="H6" s="413" t="s">
        <v>3955</v>
      </c>
      <c r="I6" s="338"/>
    </row>
    <row r="7" spans="1:9" ht="15" x14ac:dyDescent="0.25">
      <c r="A7" s="368"/>
      <c r="B7" s="369"/>
      <c r="F7" s="412"/>
      <c r="G7" s="413" t="s">
        <v>3958</v>
      </c>
      <c r="H7" s="413" t="s">
        <v>3959</v>
      </c>
      <c r="I7" s="338"/>
    </row>
    <row r="8" spans="1:9" ht="15" x14ac:dyDescent="0.25">
      <c r="A8" s="370"/>
      <c r="B8" s="371"/>
    </row>
    <row r="9" spans="1:9" ht="15" x14ac:dyDescent="0.25">
      <c r="A9" s="368"/>
      <c r="B9" s="369"/>
    </row>
    <row r="10" spans="1:9" ht="15" x14ac:dyDescent="0.25">
      <c r="A10" s="370"/>
      <c r="B10" s="371"/>
    </row>
    <row r="11" spans="1:9" ht="15" x14ac:dyDescent="0.25">
      <c r="A11" s="368"/>
      <c r="B11" s="369"/>
    </row>
    <row r="12" spans="1:9" ht="15" x14ac:dyDescent="0.25">
      <c r="A12" s="370"/>
      <c r="B12" s="371"/>
    </row>
    <row r="13" spans="1:9" ht="15" x14ac:dyDescent="0.25">
      <c r="A13" s="368"/>
      <c r="B13" s="369"/>
    </row>
    <row r="14" spans="1:9" ht="15" x14ac:dyDescent="0.25">
      <c r="A14" s="370"/>
      <c r="B14" s="371"/>
    </row>
    <row r="15" spans="1:9" ht="15" x14ac:dyDescent="0.25">
      <c r="A15" s="368">
        <v>225</v>
      </c>
      <c r="B15" s="369"/>
    </row>
    <row r="16" spans="1:9" ht="15" x14ac:dyDescent="0.25">
      <c r="A16" s="370"/>
      <c r="B16" s="371">
        <v>154</v>
      </c>
    </row>
    <row r="17" spans="1:2" ht="15" x14ac:dyDescent="0.25">
      <c r="A17" s="368"/>
      <c r="B17" s="369"/>
    </row>
    <row r="18" spans="1:2" ht="15" x14ac:dyDescent="0.25">
      <c r="A18" s="370"/>
      <c r="B18" s="371"/>
    </row>
    <row r="19" spans="1:2" ht="15" x14ac:dyDescent="0.25">
      <c r="A19" s="368"/>
      <c r="B19" s="369"/>
    </row>
    <row r="20" spans="1:2" ht="15" x14ac:dyDescent="0.25">
      <c r="A20" s="370"/>
      <c r="B20" s="371"/>
    </row>
    <row r="21" spans="1:2" ht="15" x14ac:dyDescent="0.25">
      <c r="A21" s="368"/>
      <c r="B21" s="369"/>
    </row>
    <row r="22" spans="1:2" ht="15" x14ac:dyDescent="0.25">
      <c r="A22" s="370"/>
      <c r="B22" s="371"/>
    </row>
    <row r="23" spans="1:2" ht="15" x14ac:dyDescent="0.25">
      <c r="A23" s="368"/>
      <c r="B23" s="369"/>
    </row>
    <row r="24" spans="1:2" ht="15" x14ac:dyDescent="0.25">
      <c r="A24" s="370"/>
      <c r="B24" s="371"/>
    </row>
    <row r="25" spans="1:2" ht="15" x14ac:dyDescent="0.25">
      <c r="A25" s="368"/>
      <c r="B25" s="369"/>
    </row>
    <row r="26" spans="1:2" ht="15" x14ac:dyDescent="0.25">
      <c r="A26" s="370"/>
      <c r="B26" s="371"/>
    </row>
    <row r="27" spans="1:2" ht="15" x14ac:dyDescent="0.25">
      <c r="A27" s="368"/>
      <c r="B27" s="369"/>
    </row>
    <row r="28" spans="1:2" ht="15" x14ac:dyDescent="0.25">
      <c r="A28" s="370"/>
      <c r="B28" s="371"/>
    </row>
    <row r="29" spans="1:2" ht="15" x14ac:dyDescent="0.25">
      <c r="A29" s="368"/>
      <c r="B29" s="369"/>
    </row>
    <row r="30" spans="1:2" ht="15" x14ac:dyDescent="0.25">
      <c r="A30" s="370"/>
      <c r="B30" s="371"/>
    </row>
    <row r="31" spans="1:2" ht="15" x14ac:dyDescent="0.25">
      <c r="A31" s="368"/>
      <c r="B31" s="369"/>
    </row>
    <row r="32" spans="1:2" ht="15" x14ac:dyDescent="0.25">
      <c r="A32" s="370"/>
      <c r="B32" s="371"/>
    </row>
    <row r="33" spans="1:2" ht="15" x14ac:dyDescent="0.25">
      <c r="A33" s="368"/>
      <c r="B33" s="369"/>
    </row>
    <row r="34" spans="1:2" ht="15" x14ac:dyDescent="0.25">
      <c r="A34" s="370"/>
      <c r="B34" s="371"/>
    </row>
    <row r="35" spans="1:2" ht="15" x14ac:dyDescent="0.25">
      <c r="A35" s="368"/>
      <c r="B35" s="369"/>
    </row>
    <row r="36" spans="1:2" ht="15" x14ac:dyDescent="0.25">
      <c r="A36" s="370"/>
      <c r="B36" s="371"/>
    </row>
    <row r="37" spans="1:2" ht="15" x14ac:dyDescent="0.25">
      <c r="A37" s="368"/>
      <c r="B37" s="369"/>
    </row>
    <row r="38" spans="1:2" ht="15" x14ac:dyDescent="0.25">
      <c r="A38" s="370"/>
      <c r="B38" s="371"/>
    </row>
    <row r="39" spans="1:2" ht="15" x14ac:dyDescent="0.25">
      <c r="A39" s="368"/>
      <c r="B39" s="369"/>
    </row>
    <row r="40" spans="1:2" ht="15" x14ac:dyDescent="0.25">
      <c r="A40" s="370"/>
      <c r="B40" s="371"/>
    </row>
    <row r="41" spans="1:2" ht="15" x14ac:dyDescent="0.25">
      <c r="A41" s="368"/>
      <c r="B41" s="369"/>
    </row>
    <row r="42" spans="1:2" ht="15" x14ac:dyDescent="0.25">
      <c r="A42" s="370"/>
      <c r="B42" s="371"/>
    </row>
    <row r="43" spans="1:2" ht="15" x14ac:dyDescent="0.25">
      <c r="A43" s="368"/>
      <c r="B43" s="369"/>
    </row>
    <row r="44" spans="1:2" ht="15" x14ac:dyDescent="0.25">
      <c r="A44" s="370"/>
      <c r="B44" s="371"/>
    </row>
    <row r="45" spans="1:2" ht="15" x14ac:dyDescent="0.25">
      <c r="A45" s="368"/>
      <c r="B45" s="369"/>
    </row>
    <row r="46" spans="1:2" ht="15" x14ac:dyDescent="0.25">
      <c r="A46" s="370"/>
      <c r="B46" s="371">
        <v>36</v>
      </c>
    </row>
    <row r="47" spans="1:2" ht="15" x14ac:dyDescent="0.25">
      <c r="A47" s="368"/>
      <c r="B47" s="369"/>
    </row>
    <row r="48" spans="1:2" ht="15" x14ac:dyDescent="0.25">
      <c r="A48" s="370"/>
      <c r="B48" s="371"/>
    </row>
    <row r="49" spans="1:2" ht="15" x14ac:dyDescent="0.25">
      <c r="A49" s="368"/>
      <c r="B49" s="369">
        <v>20</v>
      </c>
    </row>
    <row r="50" spans="1:2" ht="15" x14ac:dyDescent="0.25">
      <c r="A50" s="370"/>
      <c r="B50" s="371"/>
    </row>
    <row r="51" spans="1:2" ht="15" x14ac:dyDescent="0.25">
      <c r="A51" s="368"/>
      <c r="B51" s="369"/>
    </row>
    <row r="52" spans="1:2" ht="15" x14ac:dyDescent="0.25">
      <c r="A52" s="370"/>
      <c r="B52" s="371"/>
    </row>
    <row r="53" spans="1:2" ht="15" x14ac:dyDescent="0.25">
      <c r="A53" s="374"/>
      <c r="B53" s="375">
        <v>540</v>
      </c>
    </row>
    <row r="54" spans="1:2" ht="15" x14ac:dyDescent="0.25">
      <c r="A54" s="370"/>
      <c r="B54" s="371"/>
    </row>
    <row r="55" spans="1:2" ht="15" x14ac:dyDescent="0.25">
      <c r="A55" s="368"/>
      <c r="B55" s="369">
        <v>45</v>
      </c>
    </row>
    <row r="56" spans="1:2" ht="15" x14ac:dyDescent="0.25">
      <c r="A56" s="370"/>
      <c r="B56" s="371">
        <v>41</v>
      </c>
    </row>
    <row r="57" spans="1:2" ht="15" x14ac:dyDescent="0.25">
      <c r="A57" s="368"/>
      <c r="B57" s="369"/>
    </row>
    <row r="58" spans="1:2" ht="15" x14ac:dyDescent="0.25">
      <c r="A58" s="370"/>
      <c r="B58" s="371"/>
    </row>
    <row r="59" spans="1:2" ht="15" x14ac:dyDescent="0.25">
      <c r="A59" s="368"/>
      <c r="B59" s="369">
        <v>77</v>
      </c>
    </row>
    <row r="60" spans="1:2" ht="15" x14ac:dyDescent="0.25">
      <c r="A60" s="370"/>
      <c r="B60" s="371"/>
    </row>
    <row r="61" spans="1:2" ht="15" x14ac:dyDescent="0.25">
      <c r="A61" s="368"/>
      <c r="B61" s="369"/>
    </row>
    <row r="62" spans="1:2" ht="15" x14ac:dyDescent="0.25">
      <c r="A62" s="370"/>
      <c r="B62" s="371"/>
    </row>
    <row r="63" spans="1:2" ht="15" x14ac:dyDescent="0.25">
      <c r="A63" s="368"/>
      <c r="B63" s="369"/>
    </row>
    <row r="64" spans="1:2" ht="15" x14ac:dyDescent="0.25">
      <c r="A64" s="370"/>
      <c r="B64" s="371"/>
    </row>
    <row r="65" spans="1:2" ht="15" x14ac:dyDescent="0.25">
      <c r="A65" s="368"/>
      <c r="B65" s="369"/>
    </row>
    <row r="66" spans="1:2" ht="15" x14ac:dyDescent="0.25">
      <c r="A66" s="370"/>
      <c r="B66" s="371"/>
    </row>
    <row r="67" spans="1:2" ht="15" x14ac:dyDescent="0.25">
      <c r="A67" s="368"/>
      <c r="B67" s="369"/>
    </row>
    <row r="68" spans="1:2" ht="15" x14ac:dyDescent="0.25">
      <c r="A68" s="376"/>
      <c r="B68" s="377">
        <v>198</v>
      </c>
    </row>
    <row r="69" spans="1:2" ht="15" x14ac:dyDescent="0.25">
      <c r="A69" s="368">
        <v>576</v>
      </c>
      <c r="B69" s="369"/>
    </row>
    <row r="70" spans="1:2" ht="15" x14ac:dyDescent="0.25">
      <c r="A70" s="370"/>
      <c r="B70" s="371"/>
    </row>
    <row r="71" spans="1:2" ht="15" x14ac:dyDescent="0.25">
      <c r="A71" s="368"/>
      <c r="B71" s="369"/>
    </row>
    <row r="72" spans="1:2" ht="15" x14ac:dyDescent="0.25">
      <c r="A72" s="370"/>
      <c r="B72" s="371"/>
    </row>
    <row r="73" spans="1:2" ht="15" x14ac:dyDescent="0.25">
      <c r="A73" s="368"/>
      <c r="B73" s="369"/>
    </row>
    <row r="74" spans="1:2" ht="15" x14ac:dyDescent="0.25">
      <c r="A74" s="370"/>
      <c r="B74" s="371"/>
    </row>
    <row r="75" spans="1:2" ht="15" x14ac:dyDescent="0.25">
      <c r="A75" s="368"/>
      <c r="B75" s="369"/>
    </row>
    <row r="76" spans="1:2" ht="15" x14ac:dyDescent="0.25">
      <c r="A76" s="370"/>
      <c r="B76" s="371"/>
    </row>
    <row r="77" spans="1:2" ht="15" x14ac:dyDescent="0.25">
      <c r="A77" s="368"/>
      <c r="B77" s="369"/>
    </row>
    <row r="78" spans="1:2" ht="15" x14ac:dyDescent="0.25">
      <c r="A78" s="370"/>
      <c r="B78" s="371"/>
    </row>
    <row r="79" spans="1:2" ht="15" x14ac:dyDescent="0.25">
      <c r="A79" s="368"/>
      <c r="B79" s="369"/>
    </row>
    <row r="80" spans="1:2" ht="15" x14ac:dyDescent="0.25">
      <c r="A80" s="370"/>
      <c r="B80" s="371"/>
    </row>
    <row r="81" spans="1:2" ht="15" x14ac:dyDescent="0.25">
      <c r="A81" s="368"/>
      <c r="B81" s="369"/>
    </row>
    <row r="82" spans="1:2" ht="15" x14ac:dyDescent="0.25">
      <c r="A82" s="370"/>
      <c r="B82" s="371"/>
    </row>
    <row r="83" spans="1:2" ht="15" x14ac:dyDescent="0.25">
      <c r="A83" s="368"/>
      <c r="B83" s="369"/>
    </row>
    <row r="84" spans="1:2" ht="15" x14ac:dyDescent="0.25">
      <c r="A84" s="370"/>
      <c r="B84" s="371"/>
    </row>
    <row r="85" spans="1:2" ht="15" x14ac:dyDescent="0.25">
      <c r="A85" s="368"/>
      <c r="B85" s="369"/>
    </row>
    <row r="86" spans="1:2" ht="15" x14ac:dyDescent="0.25">
      <c r="A86" s="370"/>
      <c r="B86" s="371"/>
    </row>
    <row r="87" spans="1:2" ht="15" x14ac:dyDescent="0.25">
      <c r="A87" s="368"/>
      <c r="B87" s="369"/>
    </row>
    <row r="88" spans="1:2" ht="15" x14ac:dyDescent="0.25">
      <c r="A88" s="370"/>
      <c r="B88" s="371"/>
    </row>
    <row r="89" spans="1:2" ht="15" x14ac:dyDescent="0.25">
      <c r="A89" s="368"/>
      <c r="B89" s="369"/>
    </row>
    <row r="90" spans="1:2" ht="15" x14ac:dyDescent="0.25">
      <c r="A90" s="370"/>
      <c r="B90" s="371"/>
    </row>
    <row r="91" spans="1:2" ht="15" x14ac:dyDescent="0.25">
      <c r="A91" s="368"/>
      <c r="B91" s="369"/>
    </row>
    <row r="92" spans="1:2" ht="15" x14ac:dyDescent="0.25">
      <c r="A92" s="370"/>
      <c r="B92" s="371"/>
    </row>
    <row r="93" spans="1:2" ht="15" x14ac:dyDescent="0.25">
      <c r="A93" s="368"/>
      <c r="B93" s="369">
        <v>606</v>
      </c>
    </row>
    <row r="94" spans="1:2" ht="15" x14ac:dyDescent="0.25">
      <c r="A94" s="370"/>
      <c r="B94" s="371"/>
    </row>
    <row r="95" spans="1:2" ht="15" x14ac:dyDescent="0.25">
      <c r="A95" s="368"/>
      <c r="B95" s="369"/>
    </row>
    <row r="96" spans="1:2" ht="15" x14ac:dyDescent="0.25">
      <c r="A96" s="370"/>
      <c r="B96" s="371"/>
    </row>
    <row r="97" spans="1:2" ht="15" x14ac:dyDescent="0.25">
      <c r="A97" s="368"/>
      <c r="B97" s="369"/>
    </row>
    <row r="98" spans="1:2" ht="15" x14ac:dyDescent="0.25">
      <c r="A98" s="370"/>
      <c r="B98" s="371"/>
    </row>
    <row r="99" spans="1:2" ht="15" x14ac:dyDescent="0.25">
      <c r="A99" s="368"/>
      <c r="B99" s="369"/>
    </row>
    <row r="100" spans="1:2" ht="15" x14ac:dyDescent="0.25">
      <c r="A100" s="370"/>
      <c r="B100" s="371"/>
    </row>
    <row r="101" spans="1:2" ht="15" x14ac:dyDescent="0.25">
      <c r="A101" s="368"/>
      <c r="B101" s="369"/>
    </row>
    <row r="102" spans="1:2" ht="15" x14ac:dyDescent="0.25">
      <c r="A102" s="370"/>
      <c r="B102" s="371"/>
    </row>
    <row r="103" spans="1:2" ht="15" x14ac:dyDescent="0.25">
      <c r="A103" s="368"/>
      <c r="B103" s="369"/>
    </row>
    <row r="104" spans="1:2" ht="15" x14ac:dyDescent="0.25">
      <c r="A104" s="370"/>
      <c r="B104" s="371"/>
    </row>
    <row r="105" spans="1:2" ht="15" x14ac:dyDescent="0.25">
      <c r="A105" s="368"/>
      <c r="B105" s="369"/>
    </row>
    <row r="106" spans="1:2" ht="15" x14ac:dyDescent="0.25">
      <c r="A106" s="370"/>
      <c r="B106" s="371"/>
    </row>
    <row r="107" spans="1:2" ht="15" x14ac:dyDescent="0.25">
      <c r="A107" s="368"/>
      <c r="B107" s="369"/>
    </row>
    <row r="108" spans="1:2" ht="15" x14ac:dyDescent="0.25">
      <c r="A108" s="370"/>
      <c r="B108" s="371"/>
    </row>
    <row r="109" spans="1:2" ht="15" x14ac:dyDescent="0.25">
      <c r="A109" s="368"/>
      <c r="B109" s="369"/>
    </row>
    <row r="110" spans="1:2" ht="15" x14ac:dyDescent="0.25">
      <c r="A110" s="370"/>
      <c r="B110" s="371"/>
    </row>
    <row r="111" spans="1:2" ht="15" x14ac:dyDescent="0.25">
      <c r="A111" s="368"/>
      <c r="B111" s="369"/>
    </row>
    <row r="112" spans="1:2" ht="15" x14ac:dyDescent="0.25">
      <c r="A112" s="370"/>
      <c r="B112" s="371"/>
    </row>
    <row r="113" spans="1:2" ht="15" x14ac:dyDescent="0.25">
      <c r="A113" s="368"/>
      <c r="B113" s="369"/>
    </row>
    <row r="114" spans="1:2" ht="15" x14ac:dyDescent="0.25">
      <c r="A114" s="370"/>
      <c r="B114" s="371"/>
    </row>
    <row r="115" spans="1:2" ht="15" x14ac:dyDescent="0.25">
      <c r="A115" s="368"/>
      <c r="B115" s="369"/>
    </row>
    <row r="116" spans="1:2" ht="15" x14ac:dyDescent="0.25">
      <c r="A116" s="370"/>
      <c r="B116" s="371"/>
    </row>
    <row r="117" spans="1:2" ht="15" x14ac:dyDescent="0.25">
      <c r="A117" s="368"/>
      <c r="B117" s="369"/>
    </row>
    <row r="118" spans="1:2" ht="15" x14ac:dyDescent="0.25">
      <c r="A118" s="370"/>
      <c r="B118" s="371"/>
    </row>
    <row r="119" spans="1:2" ht="15" x14ac:dyDescent="0.25">
      <c r="A119" s="368"/>
      <c r="B119" s="369"/>
    </row>
    <row r="120" spans="1:2" ht="15" x14ac:dyDescent="0.25">
      <c r="A120" s="370"/>
      <c r="B120" s="371"/>
    </row>
    <row r="121" spans="1:2" ht="15" x14ac:dyDescent="0.25">
      <c r="A121" s="368"/>
      <c r="B121" s="369"/>
    </row>
    <row r="122" spans="1:2" ht="15" x14ac:dyDescent="0.25">
      <c r="A122" s="370"/>
      <c r="B122" s="371"/>
    </row>
    <row r="123" spans="1:2" ht="15" x14ac:dyDescent="0.25">
      <c r="A123" s="368"/>
      <c r="B123" s="369"/>
    </row>
    <row r="124" spans="1:2" ht="15" x14ac:dyDescent="0.25">
      <c r="A124" s="370"/>
      <c r="B124" s="371"/>
    </row>
    <row r="125" spans="1:2" ht="15" x14ac:dyDescent="0.25">
      <c r="A125" s="368"/>
      <c r="B125" s="369"/>
    </row>
    <row r="126" spans="1:2" ht="15" x14ac:dyDescent="0.25">
      <c r="A126" s="370"/>
      <c r="B126" s="371"/>
    </row>
    <row r="127" spans="1:2" ht="15" x14ac:dyDescent="0.25">
      <c r="A127" s="368"/>
      <c r="B127" s="369"/>
    </row>
    <row r="128" spans="1:2" ht="15" x14ac:dyDescent="0.25">
      <c r="A128" s="370"/>
      <c r="B128" s="371"/>
    </row>
    <row r="129" spans="1:2" ht="15" x14ac:dyDescent="0.25">
      <c r="A129" s="368"/>
      <c r="B129" s="369"/>
    </row>
    <row r="130" spans="1:2" ht="15" x14ac:dyDescent="0.25">
      <c r="A130" s="370"/>
      <c r="B130" s="371"/>
    </row>
    <row r="131" spans="1:2" ht="15" x14ac:dyDescent="0.25">
      <c r="A131" s="368"/>
      <c r="B131" s="369"/>
    </row>
    <row r="132" spans="1:2" ht="15" x14ac:dyDescent="0.25">
      <c r="A132" s="370"/>
      <c r="B132" s="371"/>
    </row>
    <row r="133" spans="1:2" ht="15" x14ac:dyDescent="0.25">
      <c r="A133" s="368"/>
      <c r="B133" s="369"/>
    </row>
    <row r="134" spans="1:2" ht="15" x14ac:dyDescent="0.25">
      <c r="A134" s="370"/>
      <c r="B134" s="371"/>
    </row>
    <row r="135" spans="1:2" ht="15" x14ac:dyDescent="0.25">
      <c r="A135" s="368"/>
      <c r="B135" s="369"/>
    </row>
    <row r="136" spans="1:2" ht="15" x14ac:dyDescent="0.25">
      <c r="A136" s="370"/>
      <c r="B136" s="371"/>
    </row>
    <row r="137" spans="1:2" ht="15" x14ac:dyDescent="0.25">
      <c r="A137" s="368"/>
      <c r="B137" s="369"/>
    </row>
    <row r="138" spans="1:2" ht="15" x14ac:dyDescent="0.25">
      <c r="A138" s="370"/>
      <c r="B138" s="371"/>
    </row>
    <row r="139" spans="1:2" ht="15" x14ac:dyDescent="0.25">
      <c r="A139" s="368"/>
      <c r="B139" s="369"/>
    </row>
    <row r="140" spans="1:2" ht="15" x14ac:dyDescent="0.25">
      <c r="A140" s="370"/>
      <c r="B140" s="371"/>
    </row>
    <row r="141" spans="1:2" ht="15" x14ac:dyDescent="0.25">
      <c r="A141" s="368"/>
      <c r="B141" s="369"/>
    </row>
    <row r="142" spans="1:2" ht="15" x14ac:dyDescent="0.25">
      <c r="A142" s="370"/>
      <c r="B142" s="371"/>
    </row>
    <row r="143" spans="1:2" ht="15" x14ac:dyDescent="0.25">
      <c r="A143" s="368"/>
      <c r="B143" s="369"/>
    </row>
    <row r="144" spans="1:2" ht="15" x14ac:dyDescent="0.25">
      <c r="A144" s="370"/>
      <c r="B144" s="371"/>
    </row>
    <row r="145" spans="1:2" ht="15" x14ac:dyDescent="0.25">
      <c r="A145" s="368"/>
      <c r="B145" s="369"/>
    </row>
    <row r="146" spans="1:2" ht="15" x14ac:dyDescent="0.25">
      <c r="A146" s="370"/>
      <c r="B146" s="371"/>
    </row>
    <row r="147" spans="1:2" ht="15" x14ac:dyDescent="0.25">
      <c r="A147" s="368"/>
      <c r="B147" s="369"/>
    </row>
    <row r="148" spans="1:2" ht="15" x14ac:dyDescent="0.25">
      <c r="A148" s="370"/>
      <c r="B148" s="371"/>
    </row>
    <row r="149" spans="1:2" ht="15" x14ac:dyDescent="0.25">
      <c r="A149" s="368"/>
      <c r="B149" s="369"/>
    </row>
    <row r="150" spans="1:2" ht="15" x14ac:dyDescent="0.25">
      <c r="A150" s="370"/>
      <c r="B150" s="371"/>
    </row>
    <row r="151" spans="1:2" ht="15" x14ac:dyDescent="0.25">
      <c r="A151" s="368"/>
      <c r="B151" s="369"/>
    </row>
    <row r="152" spans="1:2" ht="15" x14ac:dyDescent="0.25">
      <c r="A152" s="370"/>
      <c r="B152" s="371"/>
    </row>
    <row r="153" spans="1:2" ht="15" x14ac:dyDescent="0.25">
      <c r="A153" s="368"/>
      <c r="B153" s="369"/>
    </row>
    <row r="154" spans="1:2" ht="15" x14ac:dyDescent="0.25">
      <c r="A154" s="370"/>
      <c r="B154" s="371"/>
    </row>
    <row r="155" spans="1:2" ht="15" x14ac:dyDescent="0.25">
      <c r="A155" s="368"/>
      <c r="B155" s="369"/>
    </row>
    <row r="156" spans="1:2" ht="15" x14ac:dyDescent="0.25">
      <c r="A156" s="370"/>
      <c r="B156" s="371"/>
    </row>
    <row r="157" spans="1:2" ht="15" x14ac:dyDescent="0.25">
      <c r="A157" s="368"/>
      <c r="B157" s="369"/>
    </row>
    <row r="158" spans="1:2" ht="15" x14ac:dyDescent="0.25">
      <c r="A158" s="370"/>
      <c r="B158" s="371"/>
    </row>
    <row r="159" spans="1:2" ht="15" x14ac:dyDescent="0.25">
      <c r="A159" s="368"/>
      <c r="B159" s="369"/>
    </row>
    <row r="160" spans="1:2" ht="15" x14ac:dyDescent="0.25">
      <c r="A160" s="370"/>
      <c r="B160" s="371"/>
    </row>
    <row r="161" spans="1:2" ht="15" x14ac:dyDescent="0.25">
      <c r="A161" s="368"/>
      <c r="B161" s="369"/>
    </row>
    <row r="162" spans="1:2" ht="15" x14ac:dyDescent="0.25">
      <c r="A162" s="370"/>
      <c r="B162" s="371"/>
    </row>
    <row r="163" spans="1:2" ht="15" x14ac:dyDescent="0.25">
      <c r="A163" s="368"/>
      <c r="B163" s="369"/>
    </row>
    <row r="164" spans="1:2" ht="15" x14ac:dyDescent="0.25">
      <c r="A164" s="370"/>
      <c r="B164" s="371"/>
    </row>
    <row r="165" spans="1:2" ht="15" x14ac:dyDescent="0.25">
      <c r="A165" s="368"/>
      <c r="B165" s="369"/>
    </row>
    <row r="166" spans="1:2" ht="15" x14ac:dyDescent="0.25">
      <c r="A166" s="370"/>
      <c r="B166" s="371"/>
    </row>
    <row r="167" spans="1:2" ht="15" x14ac:dyDescent="0.25">
      <c r="A167" s="368"/>
      <c r="B167" s="369"/>
    </row>
    <row r="168" spans="1:2" ht="15" x14ac:dyDescent="0.25">
      <c r="A168" s="370"/>
      <c r="B168" s="371"/>
    </row>
    <row r="169" spans="1:2" ht="15" x14ac:dyDescent="0.25">
      <c r="A169" s="368"/>
      <c r="B169" s="369"/>
    </row>
    <row r="170" spans="1:2" ht="15" x14ac:dyDescent="0.25">
      <c r="A170" s="370"/>
      <c r="B170" s="371"/>
    </row>
    <row r="171" spans="1:2" ht="15" x14ac:dyDescent="0.25">
      <c r="A171" s="368"/>
      <c r="B171" s="369"/>
    </row>
    <row r="172" spans="1:2" ht="15" x14ac:dyDescent="0.25">
      <c r="A172" s="370"/>
      <c r="B172" s="371"/>
    </row>
    <row r="173" spans="1:2" ht="15" x14ac:dyDescent="0.25">
      <c r="A173" s="368"/>
      <c r="B173" s="369"/>
    </row>
    <row r="174" spans="1:2" ht="15" x14ac:dyDescent="0.25">
      <c r="A174" s="370"/>
      <c r="B174" s="371"/>
    </row>
    <row r="175" spans="1:2" ht="15" x14ac:dyDescent="0.25">
      <c r="A175" s="368"/>
      <c r="B175" s="369"/>
    </row>
    <row r="176" spans="1:2" ht="15" x14ac:dyDescent="0.25">
      <c r="A176" s="370"/>
      <c r="B176" s="371"/>
    </row>
    <row r="177" spans="1:2" ht="15" x14ac:dyDescent="0.25">
      <c r="A177" s="368"/>
      <c r="B177" s="369"/>
    </row>
    <row r="178" spans="1:2" ht="15" x14ac:dyDescent="0.25">
      <c r="A178" s="370"/>
      <c r="B178" s="371"/>
    </row>
    <row r="179" spans="1:2" ht="15" x14ac:dyDescent="0.25">
      <c r="A179" s="368"/>
      <c r="B179" s="369"/>
    </row>
    <row r="180" spans="1:2" ht="15" x14ac:dyDescent="0.25">
      <c r="A180" s="370"/>
      <c r="B180" s="371"/>
    </row>
    <row r="181" spans="1:2" ht="15" x14ac:dyDescent="0.25">
      <c r="A181" s="368"/>
      <c r="B181" s="369"/>
    </row>
    <row r="182" spans="1:2" ht="15" x14ac:dyDescent="0.25">
      <c r="A182" s="370"/>
      <c r="B182" s="371"/>
    </row>
    <row r="183" spans="1:2" ht="15" x14ac:dyDescent="0.25">
      <c r="A183" s="368"/>
      <c r="B183" s="369"/>
    </row>
    <row r="184" spans="1:2" ht="15" x14ac:dyDescent="0.25">
      <c r="A184" s="370"/>
      <c r="B184" s="371"/>
    </row>
    <row r="185" spans="1:2" ht="15" x14ac:dyDescent="0.25">
      <c r="A185" s="368"/>
      <c r="B185" s="369"/>
    </row>
    <row r="186" spans="1:2" ht="15" x14ac:dyDescent="0.25">
      <c r="A186" s="370"/>
      <c r="B186" s="371"/>
    </row>
    <row r="187" spans="1:2" ht="15" x14ac:dyDescent="0.25">
      <c r="A187" s="368"/>
      <c r="B187" s="369"/>
    </row>
    <row r="188" spans="1:2" ht="15" x14ac:dyDescent="0.25">
      <c r="A188" s="370"/>
      <c r="B188" s="371"/>
    </row>
    <row r="189" spans="1:2" ht="15" x14ac:dyDescent="0.25">
      <c r="A189" s="368"/>
      <c r="B189" s="369"/>
    </row>
    <row r="190" spans="1:2" ht="15" x14ac:dyDescent="0.25">
      <c r="A190" s="370"/>
      <c r="B190" s="371"/>
    </row>
    <row r="191" spans="1:2" ht="15" x14ac:dyDescent="0.25">
      <c r="A191" s="368"/>
      <c r="B191" s="369"/>
    </row>
    <row r="192" spans="1:2" ht="15" x14ac:dyDescent="0.25">
      <c r="A192" s="370"/>
      <c r="B192" s="371"/>
    </row>
    <row r="193" spans="1:2" ht="15" x14ac:dyDescent="0.25">
      <c r="A193" s="368"/>
      <c r="B193" s="369"/>
    </row>
    <row r="194" spans="1:2" ht="15" x14ac:dyDescent="0.25">
      <c r="A194" s="370"/>
      <c r="B194" s="371"/>
    </row>
    <row r="195" spans="1:2" ht="15" x14ac:dyDescent="0.25">
      <c r="A195" s="368"/>
      <c r="B195" s="369"/>
    </row>
    <row r="196" spans="1:2" ht="15" x14ac:dyDescent="0.25">
      <c r="A196" s="370"/>
      <c r="B196" s="371"/>
    </row>
    <row r="197" spans="1:2" ht="15" x14ac:dyDescent="0.25">
      <c r="A197" s="368"/>
      <c r="B197" s="369"/>
    </row>
    <row r="198" spans="1:2" ht="15" x14ac:dyDescent="0.25">
      <c r="A198" s="370"/>
      <c r="B198" s="371"/>
    </row>
    <row r="199" spans="1:2" ht="15" x14ac:dyDescent="0.25">
      <c r="A199" s="368"/>
      <c r="B199" s="369"/>
    </row>
    <row r="200" spans="1:2" ht="15" x14ac:dyDescent="0.25">
      <c r="A200" s="370"/>
      <c r="B200" s="371"/>
    </row>
    <row r="201" spans="1:2" ht="15" x14ac:dyDescent="0.25">
      <c r="A201" s="368"/>
      <c r="B201" s="369"/>
    </row>
    <row r="202" spans="1:2" ht="15" x14ac:dyDescent="0.25">
      <c r="A202" s="370"/>
      <c r="B202" s="371"/>
    </row>
    <row r="203" spans="1:2" ht="15" x14ac:dyDescent="0.25">
      <c r="A203" s="368"/>
      <c r="B203" s="369"/>
    </row>
    <row r="204" spans="1:2" ht="15" x14ac:dyDescent="0.25">
      <c r="A204" s="370"/>
      <c r="B204" s="371"/>
    </row>
    <row r="205" spans="1:2" ht="15" x14ac:dyDescent="0.25">
      <c r="A205" s="368"/>
      <c r="B205" s="369"/>
    </row>
    <row r="206" spans="1:2" ht="15" x14ac:dyDescent="0.25">
      <c r="A206" s="370"/>
      <c r="B206" s="371"/>
    </row>
    <row r="207" spans="1:2" ht="15" x14ac:dyDescent="0.25">
      <c r="A207" s="368"/>
      <c r="B207" s="369"/>
    </row>
    <row r="208" spans="1:2" ht="15" x14ac:dyDescent="0.25">
      <c r="A208" s="370"/>
      <c r="B208" s="371"/>
    </row>
    <row r="209" spans="1:2" ht="15" x14ac:dyDescent="0.25">
      <c r="A209" s="368"/>
      <c r="B209" s="369"/>
    </row>
    <row r="210" spans="1:2" ht="15" x14ac:dyDescent="0.25">
      <c r="A210" s="370"/>
      <c r="B210" s="371"/>
    </row>
    <row r="211" spans="1:2" ht="15" x14ac:dyDescent="0.25">
      <c r="A211" s="368"/>
      <c r="B211" s="369"/>
    </row>
    <row r="212" spans="1:2" ht="15" x14ac:dyDescent="0.25">
      <c r="A212" s="370"/>
      <c r="B212" s="371"/>
    </row>
    <row r="213" spans="1:2" ht="15" x14ac:dyDescent="0.25">
      <c r="A213" s="368"/>
      <c r="B213" s="369"/>
    </row>
    <row r="214" spans="1:2" ht="15" x14ac:dyDescent="0.25">
      <c r="A214" s="370"/>
      <c r="B214" s="371"/>
    </row>
    <row r="215" spans="1:2" ht="15" x14ac:dyDescent="0.25">
      <c r="A215" s="368"/>
      <c r="B215" s="369"/>
    </row>
    <row r="216" spans="1:2" ht="15" x14ac:dyDescent="0.25">
      <c r="A216" s="370"/>
      <c r="B216" s="371"/>
    </row>
    <row r="217" spans="1:2" ht="15" x14ac:dyDescent="0.25">
      <c r="A217" s="368"/>
      <c r="B217" s="369"/>
    </row>
    <row r="218" spans="1:2" ht="15" x14ac:dyDescent="0.25">
      <c r="A218" s="370"/>
      <c r="B218" s="371"/>
    </row>
    <row r="219" spans="1:2" ht="15" x14ac:dyDescent="0.25">
      <c r="A219" s="368"/>
      <c r="B219" s="369"/>
    </row>
    <row r="220" spans="1:2" ht="15" x14ac:dyDescent="0.25">
      <c r="A220" s="370"/>
      <c r="B220" s="371"/>
    </row>
    <row r="221" spans="1:2" ht="15" x14ac:dyDescent="0.25">
      <c r="A221" s="368"/>
      <c r="B221" s="369"/>
    </row>
    <row r="222" spans="1:2" ht="15" x14ac:dyDescent="0.25">
      <c r="A222" s="370"/>
      <c r="B222" s="371"/>
    </row>
    <row r="223" spans="1:2" ht="15" x14ac:dyDescent="0.25">
      <c r="A223" s="368"/>
      <c r="B223" s="369"/>
    </row>
    <row r="224" spans="1:2" ht="15" x14ac:dyDescent="0.25">
      <c r="A224" s="370"/>
      <c r="B224" s="371"/>
    </row>
    <row r="225" spans="1:2" ht="15" x14ac:dyDescent="0.25">
      <c r="A225" s="368"/>
      <c r="B225" s="369"/>
    </row>
    <row r="226" spans="1:2" ht="15" x14ac:dyDescent="0.25">
      <c r="A226" s="370"/>
      <c r="B226" s="371"/>
    </row>
    <row r="227" spans="1:2" ht="15" x14ac:dyDescent="0.25">
      <c r="A227" s="368"/>
      <c r="B227" s="369"/>
    </row>
    <row r="228" spans="1:2" ht="15" x14ac:dyDescent="0.25">
      <c r="A228" s="370"/>
      <c r="B228" s="371"/>
    </row>
    <row r="229" spans="1:2" ht="15" x14ac:dyDescent="0.25">
      <c r="A229" s="368"/>
      <c r="B229" s="369"/>
    </row>
    <row r="230" spans="1:2" ht="15" x14ac:dyDescent="0.25">
      <c r="A230" s="370"/>
      <c r="B230" s="371"/>
    </row>
    <row r="231" spans="1:2" ht="15" x14ac:dyDescent="0.25">
      <c r="A231" s="368"/>
      <c r="B231" s="369"/>
    </row>
    <row r="232" spans="1:2" ht="15" x14ac:dyDescent="0.25">
      <c r="A232" s="370"/>
      <c r="B232" s="371"/>
    </row>
    <row r="233" spans="1:2" ht="15" x14ac:dyDescent="0.25">
      <c r="A233" s="368"/>
      <c r="B233" s="369"/>
    </row>
    <row r="234" spans="1:2" ht="15" x14ac:dyDescent="0.25">
      <c r="A234" s="370"/>
      <c r="B234" s="371"/>
    </row>
    <row r="235" spans="1:2" ht="15" x14ac:dyDescent="0.25">
      <c r="A235" s="368"/>
      <c r="B235" s="369"/>
    </row>
    <row r="236" spans="1:2" ht="15" x14ac:dyDescent="0.25">
      <c r="A236" s="370"/>
      <c r="B236" s="371"/>
    </row>
    <row r="237" spans="1:2" ht="15" x14ac:dyDescent="0.25">
      <c r="A237" s="368"/>
      <c r="B237" s="369"/>
    </row>
    <row r="238" spans="1:2" ht="15" x14ac:dyDescent="0.25">
      <c r="A238" s="370"/>
      <c r="B238" s="371"/>
    </row>
    <row r="239" spans="1:2" ht="15" x14ac:dyDescent="0.25">
      <c r="A239" s="368"/>
      <c r="B239" s="369"/>
    </row>
    <row r="240" spans="1:2" ht="15" x14ac:dyDescent="0.25">
      <c r="A240" s="370"/>
      <c r="B240" s="371"/>
    </row>
    <row r="241" spans="1:2" ht="15" x14ac:dyDescent="0.25">
      <c r="A241" s="368"/>
      <c r="B241" s="369"/>
    </row>
    <row r="242" spans="1:2" ht="15" x14ac:dyDescent="0.25">
      <c r="A242" s="370"/>
      <c r="B242" s="371"/>
    </row>
    <row r="243" spans="1:2" ht="15" x14ac:dyDescent="0.25">
      <c r="A243" s="368"/>
      <c r="B243" s="369"/>
    </row>
    <row r="244" spans="1:2" ht="15" x14ac:dyDescent="0.25">
      <c r="A244" s="370"/>
      <c r="B244" s="371"/>
    </row>
    <row r="245" spans="1:2" ht="15" x14ac:dyDescent="0.25">
      <c r="A245" s="368"/>
      <c r="B245" s="369"/>
    </row>
    <row r="246" spans="1:2" ht="15" x14ac:dyDescent="0.25">
      <c r="A246" s="370"/>
      <c r="B246" s="371"/>
    </row>
    <row r="247" spans="1:2" ht="15" x14ac:dyDescent="0.25">
      <c r="A247" s="368"/>
      <c r="B247" s="369"/>
    </row>
    <row r="248" spans="1:2" ht="15" x14ac:dyDescent="0.25">
      <c r="A248" s="370"/>
      <c r="B248" s="371"/>
    </row>
    <row r="249" spans="1:2" ht="15" x14ac:dyDescent="0.25">
      <c r="A249" s="368"/>
      <c r="B249" s="369"/>
    </row>
    <row r="250" spans="1:2" ht="15" x14ac:dyDescent="0.25">
      <c r="A250" s="370"/>
      <c r="B250" s="371"/>
    </row>
    <row r="251" spans="1:2" ht="15" x14ac:dyDescent="0.25">
      <c r="A251" s="368"/>
      <c r="B251" s="369"/>
    </row>
    <row r="252" spans="1:2" ht="15" x14ac:dyDescent="0.25">
      <c r="A252" s="370"/>
      <c r="B252" s="371"/>
    </row>
    <row r="253" spans="1:2" ht="15" x14ac:dyDescent="0.25">
      <c r="A253" s="368"/>
      <c r="B253" s="369"/>
    </row>
    <row r="254" spans="1:2" ht="15" x14ac:dyDescent="0.25">
      <c r="A254" s="370"/>
      <c r="B254" s="371"/>
    </row>
    <row r="255" spans="1:2" ht="15" x14ac:dyDescent="0.25">
      <c r="A255" s="368"/>
      <c r="B255" s="369"/>
    </row>
    <row r="256" spans="1:2" ht="15" x14ac:dyDescent="0.25">
      <c r="A256" s="370"/>
      <c r="B256" s="371"/>
    </row>
    <row r="257" spans="1:2" ht="15" x14ac:dyDescent="0.25">
      <c r="A257" s="368"/>
      <c r="B257" s="369"/>
    </row>
    <row r="258" spans="1:2" ht="15" x14ac:dyDescent="0.25">
      <c r="A258" s="370"/>
      <c r="B258" s="371"/>
    </row>
    <row r="259" spans="1:2" ht="15" x14ac:dyDescent="0.25">
      <c r="A259" s="368"/>
      <c r="B259" s="369"/>
    </row>
    <row r="260" spans="1:2" ht="15" x14ac:dyDescent="0.25">
      <c r="A260" s="370"/>
      <c r="B260" s="371"/>
    </row>
    <row r="261" spans="1:2" ht="15" x14ac:dyDescent="0.25">
      <c r="A261" s="368"/>
      <c r="B261" s="369"/>
    </row>
    <row r="262" spans="1:2" ht="15" x14ac:dyDescent="0.25">
      <c r="A262" s="370"/>
      <c r="B262" s="371"/>
    </row>
    <row r="263" spans="1:2" ht="15" x14ac:dyDescent="0.25">
      <c r="A263" s="368"/>
      <c r="B263" s="369"/>
    </row>
    <row r="264" spans="1:2" ht="15" x14ac:dyDescent="0.25">
      <c r="A264" s="370"/>
      <c r="B264" s="371"/>
    </row>
    <row r="265" spans="1:2" ht="15" x14ac:dyDescent="0.25">
      <c r="A265" s="368"/>
      <c r="B265" s="369"/>
    </row>
    <row r="266" spans="1:2" ht="15" x14ac:dyDescent="0.25">
      <c r="A266" s="370"/>
      <c r="B266" s="371"/>
    </row>
    <row r="267" spans="1:2" ht="15" x14ac:dyDescent="0.25">
      <c r="A267" s="368"/>
      <c r="B267" s="369"/>
    </row>
    <row r="268" spans="1:2" ht="15" x14ac:dyDescent="0.25">
      <c r="A268" s="370"/>
      <c r="B268" s="371"/>
    </row>
    <row r="269" spans="1:2" ht="15" x14ac:dyDescent="0.25">
      <c r="A269" s="368"/>
      <c r="B269" s="369"/>
    </row>
    <row r="270" spans="1:2" ht="15" x14ac:dyDescent="0.25">
      <c r="A270" s="370"/>
      <c r="B270" s="371"/>
    </row>
    <row r="271" spans="1:2" ht="15" x14ac:dyDescent="0.25">
      <c r="A271" s="368"/>
      <c r="B271" s="369"/>
    </row>
    <row r="272" spans="1:2" ht="15" x14ac:dyDescent="0.25">
      <c r="A272" s="370"/>
      <c r="B272" s="371"/>
    </row>
    <row r="273" spans="1:2" ht="15" x14ac:dyDescent="0.25">
      <c r="A273" s="368"/>
      <c r="B273" s="369"/>
    </row>
    <row r="274" spans="1:2" ht="15" x14ac:dyDescent="0.25">
      <c r="A274" s="370"/>
      <c r="B274" s="371"/>
    </row>
    <row r="275" spans="1:2" ht="15" x14ac:dyDescent="0.25">
      <c r="A275" s="368"/>
      <c r="B275" s="369"/>
    </row>
    <row r="276" spans="1:2" ht="15" x14ac:dyDescent="0.25">
      <c r="A276" s="370"/>
      <c r="B276" s="371"/>
    </row>
    <row r="277" spans="1:2" ht="15" x14ac:dyDescent="0.25">
      <c r="A277" s="368"/>
      <c r="B277" s="369"/>
    </row>
    <row r="278" spans="1:2" ht="15" x14ac:dyDescent="0.25">
      <c r="A278" s="370"/>
      <c r="B278" s="371"/>
    </row>
    <row r="279" spans="1:2" ht="15" x14ac:dyDescent="0.25">
      <c r="A279" s="378"/>
      <c r="B279" s="379"/>
    </row>
    <row r="280" spans="1:2" ht="15" x14ac:dyDescent="0.25">
      <c r="A280" s="370"/>
      <c r="B280" s="371"/>
    </row>
    <row r="281" spans="1:2" ht="15" x14ac:dyDescent="0.25">
      <c r="A281" s="368"/>
      <c r="B281" s="369"/>
    </row>
    <row r="282" spans="1:2" ht="15" x14ac:dyDescent="0.25">
      <c r="A282" s="370"/>
      <c r="B282" s="371">
        <v>117</v>
      </c>
    </row>
    <row r="283" spans="1:2" ht="15" x14ac:dyDescent="0.25">
      <c r="A283" s="368"/>
      <c r="B283" s="369"/>
    </row>
    <row r="284" spans="1:2" ht="15" x14ac:dyDescent="0.25">
      <c r="A284" s="370"/>
      <c r="B284" s="371"/>
    </row>
    <row r="285" spans="1:2" ht="15" x14ac:dyDescent="0.25">
      <c r="A285" s="368"/>
      <c r="B285" s="369"/>
    </row>
    <row r="286" spans="1:2" ht="15" x14ac:dyDescent="0.25">
      <c r="A286" s="370"/>
      <c r="B286" s="371"/>
    </row>
    <row r="287" spans="1:2" ht="15" x14ac:dyDescent="0.25">
      <c r="A287" s="368"/>
      <c r="B287" s="369"/>
    </row>
    <row r="288" spans="1:2" ht="15" x14ac:dyDescent="0.25">
      <c r="A288" s="370"/>
      <c r="B288" s="371"/>
    </row>
    <row r="289" spans="1:2" ht="15" x14ac:dyDescent="0.25">
      <c r="A289" s="368"/>
      <c r="B289" s="369"/>
    </row>
    <row r="290" spans="1:2" ht="15" x14ac:dyDescent="0.25">
      <c r="A290" s="370"/>
      <c r="B290" s="371"/>
    </row>
    <row r="291" spans="1:2" ht="15" x14ac:dyDescent="0.25">
      <c r="A291" s="368"/>
      <c r="B291" s="369"/>
    </row>
    <row r="292" spans="1:2" ht="15" x14ac:dyDescent="0.25">
      <c r="A292" s="370"/>
      <c r="B292" s="371"/>
    </row>
    <row r="293" spans="1:2" ht="15" x14ac:dyDescent="0.25">
      <c r="A293" s="368"/>
      <c r="B293" s="369"/>
    </row>
    <row r="294" spans="1:2" ht="15" x14ac:dyDescent="0.25">
      <c r="A294" s="370"/>
      <c r="B294" s="371"/>
    </row>
    <row r="295" spans="1:2" ht="15" x14ac:dyDescent="0.25">
      <c r="A295" s="368"/>
      <c r="B295" s="369"/>
    </row>
    <row r="296" spans="1:2" ht="15" x14ac:dyDescent="0.25">
      <c r="A296" s="370"/>
      <c r="B296" s="371"/>
    </row>
    <row r="297" spans="1:2" ht="15" x14ac:dyDescent="0.25">
      <c r="A297" s="368"/>
      <c r="B297" s="369"/>
    </row>
    <row r="298" spans="1:2" ht="15" x14ac:dyDescent="0.25">
      <c r="A298" s="370"/>
      <c r="B298" s="371"/>
    </row>
    <row r="299" spans="1:2" ht="15" x14ac:dyDescent="0.25">
      <c r="A299" s="368"/>
      <c r="B299" s="369"/>
    </row>
    <row r="300" spans="1:2" ht="15" x14ac:dyDescent="0.25">
      <c r="A300" s="370"/>
      <c r="B300" s="371"/>
    </row>
    <row r="301" spans="1:2" ht="15" x14ac:dyDescent="0.25">
      <c r="A301" s="368"/>
      <c r="B301" s="369"/>
    </row>
    <row r="302" spans="1:2" ht="15" x14ac:dyDescent="0.25">
      <c r="A302" s="370"/>
      <c r="B302" s="371"/>
    </row>
    <row r="303" spans="1:2" ht="15" x14ac:dyDescent="0.25">
      <c r="A303" s="368"/>
      <c r="B303" s="369"/>
    </row>
    <row r="304" spans="1:2" ht="15" x14ac:dyDescent="0.25">
      <c r="A304" s="370"/>
      <c r="B304" s="371"/>
    </row>
    <row r="305" spans="1:2" ht="15" x14ac:dyDescent="0.25">
      <c r="A305" s="368"/>
      <c r="B305" s="369"/>
    </row>
    <row r="306" spans="1:2" ht="15" x14ac:dyDescent="0.25">
      <c r="A306" s="370"/>
      <c r="B306" s="371"/>
    </row>
    <row r="307" spans="1:2" ht="15" x14ac:dyDescent="0.25">
      <c r="A307" s="368"/>
      <c r="B307" s="369"/>
    </row>
    <row r="308" spans="1:2" ht="15" x14ac:dyDescent="0.25">
      <c r="A308" s="370"/>
      <c r="B308" s="371"/>
    </row>
    <row r="309" spans="1:2" ht="15" x14ac:dyDescent="0.25">
      <c r="A309" s="368"/>
      <c r="B309" s="369"/>
    </row>
    <row r="310" spans="1:2" ht="15" x14ac:dyDescent="0.25">
      <c r="A310" s="370"/>
      <c r="B310" s="371"/>
    </row>
    <row r="311" spans="1:2" ht="15" x14ac:dyDescent="0.25">
      <c r="A311" s="368"/>
      <c r="B311" s="369"/>
    </row>
    <row r="312" spans="1:2" ht="15" x14ac:dyDescent="0.25">
      <c r="A312" s="370"/>
      <c r="B312" s="371"/>
    </row>
    <row r="313" spans="1:2" ht="15" x14ac:dyDescent="0.25">
      <c r="A313" s="368"/>
      <c r="B313" s="369"/>
    </row>
    <row r="314" spans="1:2" ht="15" x14ac:dyDescent="0.25">
      <c r="A314" s="370"/>
      <c r="B314" s="371"/>
    </row>
    <row r="315" spans="1:2" ht="15" x14ac:dyDescent="0.25">
      <c r="A315" s="368"/>
      <c r="B315" s="369"/>
    </row>
    <row r="316" spans="1:2" ht="15" x14ac:dyDescent="0.25">
      <c r="A316" s="370"/>
      <c r="B316" s="371"/>
    </row>
    <row r="317" spans="1:2" ht="15" x14ac:dyDescent="0.25">
      <c r="A317" s="368"/>
      <c r="B317" s="369"/>
    </row>
    <row r="318" spans="1:2" ht="15" x14ac:dyDescent="0.25">
      <c r="A318" s="370"/>
      <c r="B318" s="371"/>
    </row>
    <row r="319" spans="1:2" ht="15" x14ac:dyDescent="0.25">
      <c r="A319" s="368"/>
      <c r="B319" s="369"/>
    </row>
    <row r="320" spans="1:2" ht="15" x14ac:dyDescent="0.25">
      <c r="A320" s="370"/>
      <c r="B320" s="371"/>
    </row>
    <row r="321" spans="1:2" ht="15" x14ac:dyDescent="0.25">
      <c r="A321" s="368"/>
      <c r="B321" s="369"/>
    </row>
    <row r="322" spans="1:2" ht="15" x14ac:dyDescent="0.25">
      <c r="A322" s="370"/>
      <c r="B322" s="371"/>
    </row>
    <row r="323" spans="1:2" ht="15" x14ac:dyDescent="0.25">
      <c r="A323" s="368"/>
      <c r="B323" s="369"/>
    </row>
    <row r="324" spans="1:2" ht="15" x14ac:dyDescent="0.25">
      <c r="A324" s="370"/>
      <c r="B324" s="371"/>
    </row>
    <row r="325" spans="1:2" ht="15" x14ac:dyDescent="0.25">
      <c r="A325" s="368"/>
      <c r="B325" s="369"/>
    </row>
    <row r="326" spans="1:2" ht="15" x14ac:dyDescent="0.25">
      <c r="A326" s="370"/>
      <c r="B326" s="371"/>
    </row>
    <row r="327" spans="1:2" ht="15" x14ac:dyDescent="0.25">
      <c r="A327" s="368"/>
      <c r="B327" s="369"/>
    </row>
    <row r="328" spans="1:2" ht="15" x14ac:dyDescent="0.25">
      <c r="A328" s="370"/>
      <c r="B328" s="371"/>
    </row>
    <row r="329" spans="1:2" ht="15" x14ac:dyDescent="0.25">
      <c r="A329" s="368"/>
      <c r="B329" s="369"/>
    </row>
    <row r="330" spans="1:2" ht="15" x14ac:dyDescent="0.25">
      <c r="A330" s="370"/>
      <c r="B330" s="371"/>
    </row>
    <row r="331" spans="1:2" ht="15" x14ac:dyDescent="0.25">
      <c r="A331" s="368"/>
      <c r="B331" s="369"/>
    </row>
    <row r="332" spans="1:2" ht="15" x14ac:dyDescent="0.25">
      <c r="A332" s="370"/>
      <c r="B332" s="371"/>
    </row>
    <row r="333" spans="1:2" ht="15" x14ac:dyDescent="0.25">
      <c r="A333" s="368"/>
      <c r="B333" s="369"/>
    </row>
    <row r="334" spans="1:2" ht="15" x14ac:dyDescent="0.25">
      <c r="A334" s="370"/>
      <c r="B334" s="371"/>
    </row>
    <row r="335" spans="1:2" ht="15" x14ac:dyDescent="0.25">
      <c r="A335" s="368"/>
      <c r="B335" s="369"/>
    </row>
    <row r="336" spans="1:2" ht="15" x14ac:dyDescent="0.25">
      <c r="A336" s="370"/>
      <c r="B336" s="371"/>
    </row>
    <row r="337" spans="1:2" ht="15" x14ac:dyDescent="0.25">
      <c r="A337" s="368"/>
      <c r="B337" s="369"/>
    </row>
    <row r="338" spans="1:2" ht="15" x14ac:dyDescent="0.25">
      <c r="A338" s="370"/>
      <c r="B338" s="371"/>
    </row>
    <row r="339" spans="1:2" ht="15" x14ac:dyDescent="0.25">
      <c r="A339" s="368"/>
      <c r="B339" s="369"/>
    </row>
    <row r="340" spans="1:2" ht="15" x14ac:dyDescent="0.25">
      <c r="A340" s="370"/>
      <c r="B340" s="371"/>
    </row>
    <row r="341" spans="1:2" ht="15" x14ac:dyDescent="0.25">
      <c r="A341" s="368"/>
      <c r="B341" s="369"/>
    </row>
    <row r="342" spans="1:2" ht="15" x14ac:dyDescent="0.25">
      <c r="A342" s="376"/>
      <c r="B342" s="377"/>
    </row>
    <row r="343" spans="1:2" ht="15" x14ac:dyDescent="0.25">
      <c r="A343" s="368"/>
      <c r="B343" s="369"/>
    </row>
    <row r="344" spans="1:2" ht="15" x14ac:dyDescent="0.25">
      <c r="A344" s="370"/>
      <c r="B344" s="371"/>
    </row>
    <row r="345" spans="1:2" ht="15" x14ac:dyDescent="0.25">
      <c r="A345" s="368"/>
      <c r="B345" s="369"/>
    </row>
    <row r="346" spans="1:2" ht="15" x14ac:dyDescent="0.25">
      <c r="A346" s="370"/>
      <c r="B346" s="371"/>
    </row>
    <row r="347" spans="1:2" ht="15" x14ac:dyDescent="0.25">
      <c r="A347" s="368"/>
      <c r="B347" s="369"/>
    </row>
    <row r="348" spans="1:2" ht="15" x14ac:dyDescent="0.25">
      <c r="A348" s="370"/>
      <c r="B348" s="371"/>
    </row>
    <row r="349" spans="1:2" ht="15" x14ac:dyDescent="0.25">
      <c r="A349" s="368"/>
      <c r="B349" s="369"/>
    </row>
    <row r="350" spans="1:2" ht="15" x14ac:dyDescent="0.25">
      <c r="A350" s="370"/>
      <c r="B350" s="371"/>
    </row>
    <row r="351" spans="1:2" ht="15" x14ac:dyDescent="0.25">
      <c r="A351" s="368"/>
      <c r="B351" s="369"/>
    </row>
    <row r="352" spans="1:2" ht="15" x14ac:dyDescent="0.25">
      <c r="A352" s="370"/>
      <c r="B352" s="371"/>
    </row>
    <row r="353" spans="1:2" ht="15" x14ac:dyDescent="0.25">
      <c r="A353" s="368"/>
      <c r="B353" s="369"/>
    </row>
    <row r="354" spans="1:2" ht="15" x14ac:dyDescent="0.25">
      <c r="A354" s="370"/>
      <c r="B354" s="371"/>
    </row>
    <row r="355" spans="1:2" ht="15" x14ac:dyDescent="0.25">
      <c r="A355" s="368"/>
      <c r="B355" s="369"/>
    </row>
    <row r="356" spans="1:2" ht="15" x14ac:dyDescent="0.25">
      <c r="A356" s="370"/>
      <c r="B356" s="371"/>
    </row>
    <row r="357" spans="1:2" ht="15" x14ac:dyDescent="0.25">
      <c r="A357" s="368"/>
      <c r="B357" s="369"/>
    </row>
    <row r="358" spans="1:2" ht="15" x14ac:dyDescent="0.25">
      <c r="A358" s="370"/>
      <c r="B358" s="371"/>
    </row>
    <row r="359" spans="1:2" ht="15" x14ac:dyDescent="0.25">
      <c r="A359" s="368"/>
      <c r="B359" s="369"/>
    </row>
    <row r="360" spans="1:2" ht="15" x14ac:dyDescent="0.25">
      <c r="A360" s="370"/>
      <c r="B360" s="371"/>
    </row>
    <row r="361" spans="1:2" ht="15" x14ac:dyDescent="0.25">
      <c r="A361" s="368"/>
      <c r="B361" s="369"/>
    </row>
    <row r="362" spans="1:2" ht="15" x14ac:dyDescent="0.25">
      <c r="A362" s="370"/>
      <c r="B362" s="371"/>
    </row>
    <row r="363" spans="1:2" ht="15" x14ac:dyDescent="0.25">
      <c r="A363" s="368"/>
      <c r="B363" s="369"/>
    </row>
    <row r="364" spans="1:2" ht="15" x14ac:dyDescent="0.25">
      <c r="A364" s="370"/>
      <c r="B364" s="371"/>
    </row>
    <row r="365" spans="1:2" ht="15" x14ac:dyDescent="0.25">
      <c r="A365" s="368"/>
      <c r="B365" s="369"/>
    </row>
    <row r="366" spans="1:2" ht="15" x14ac:dyDescent="0.25">
      <c r="A366" s="370"/>
      <c r="B366" s="371"/>
    </row>
    <row r="367" spans="1:2" ht="15" x14ac:dyDescent="0.25">
      <c r="A367" s="368"/>
      <c r="B367" s="369"/>
    </row>
    <row r="368" spans="1:2" ht="15" x14ac:dyDescent="0.25">
      <c r="A368" s="370"/>
      <c r="B368" s="371"/>
    </row>
    <row r="369" spans="1:2" ht="15" x14ac:dyDescent="0.25">
      <c r="A369" s="368"/>
      <c r="B369" s="369"/>
    </row>
    <row r="370" spans="1:2" ht="15" x14ac:dyDescent="0.25">
      <c r="A370" s="370"/>
      <c r="B370" s="371"/>
    </row>
    <row r="371" spans="1:2" ht="15" x14ac:dyDescent="0.25">
      <c r="A371" s="368"/>
      <c r="B371" s="369"/>
    </row>
    <row r="372" spans="1:2" ht="15" x14ac:dyDescent="0.25">
      <c r="A372" s="370"/>
      <c r="B372" s="371"/>
    </row>
    <row r="373" spans="1:2" ht="15" x14ac:dyDescent="0.25">
      <c r="A373" s="368"/>
      <c r="B373" s="369"/>
    </row>
    <row r="374" spans="1:2" ht="15" x14ac:dyDescent="0.25">
      <c r="A374" s="370"/>
      <c r="B374" s="371"/>
    </row>
    <row r="375" spans="1:2" ht="15" x14ac:dyDescent="0.25">
      <c r="A375" s="368"/>
      <c r="B375" s="369"/>
    </row>
    <row r="376" spans="1:2" ht="15" x14ac:dyDescent="0.25">
      <c r="A376" s="370"/>
      <c r="B376" s="371"/>
    </row>
    <row r="377" spans="1:2" ht="15" x14ac:dyDescent="0.25">
      <c r="A377" s="368"/>
      <c r="B377" s="369"/>
    </row>
    <row r="378" spans="1:2" ht="15" x14ac:dyDescent="0.25">
      <c r="A378" s="370"/>
      <c r="B378" s="371"/>
    </row>
    <row r="379" spans="1:2" ht="15" x14ac:dyDescent="0.25">
      <c r="A379" s="368"/>
      <c r="B379" s="369"/>
    </row>
    <row r="380" spans="1:2" ht="15" x14ac:dyDescent="0.25">
      <c r="A380" s="370"/>
      <c r="B380" s="371"/>
    </row>
    <row r="381" spans="1:2" ht="15" x14ac:dyDescent="0.25">
      <c r="A381" s="368"/>
      <c r="B381" s="369"/>
    </row>
    <row r="382" spans="1:2" ht="15" x14ac:dyDescent="0.25">
      <c r="A382" s="370"/>
      <c r="B382" s="371"/>
    </row>
    <row r="383" spans="1:2" ht="15" x14ac:dyDescent="0.25">
      <c r="A383" s="368"/>
      <c r="B383" s="369"/>
    </row>
    <row r="384" spans="1:2" ht="15" x14ac:dyDescent="0.25">
      <c r="A384" s="370"/>
      <c r="B384" s="371"/>
    </row>
    <row r="385" spans="1:2" ht="15" x14ac:dyDescent="0.25">
      <c r="A385" s="368"/>
      <c r="B385" s="369"/>
    </row>
    <row r="386" spans="1:2" ht="15" x14ac:dyDescent="0.25">
      <c r="A386" s="370"/>
      <c r="B386" s="371"/>
    </row>
    <row r="387" spans="1:2" ht="15" x14ac:dyDescent="0.25">
      <c r="A387" s="368"/>
      <c r="B387" s="369"/>
    </row>
    <row r="388" spans="1:2" ht="15" x14ac:dyDescent="0.25">
      <c r="A388" s="370"/>
      <c r="B388" s="371"/>
    </row>
    <row r="389" spans="1:2" ht="15" x14ac:dyDescent="0.25">
      <c r="A389" s="368"/>
      <c r="B389" s="369"/>
    </row>
    <row r="390" spans="1:2" ht="15" x14ac:dyDescent="0.25">
      <c r="A390" s="370"/>
      <c r="B390" s="371"/>
    </row>
    <row r="391" spans="1:2" ht="15" x14ac:dyDescent="0.25">
      <c r="A391" s="368"/>
      <c r="B391" s="369"/>
    </row>
    <row r="392" spans="1:2" ht="15" x14ac:dyDescent="0.25">
      <c r="A392" s="370"/>
      <c r="B392" s="371"/>
    </row>
    <row r="393" spans="1:2" ht="15" x14ac:dyDescent="0.25">
      <c r="A393" s="368"/>
      <c r="B393" s="369"/>
    </row>
    <row r="394" spans="1:2" ht="15" x14ac:dyDescent="0.25">
      <c r="A394" s="370"/>
      <c r="B394" s="371"/>
    </row>
    <row r="395" spans="1:2" ht="15" x14ac:dyDescent="0.25">
      <c r="A395" s="368"/>
      <c r="B395" s="369"/>
    </row>
    <row r="396" spans="1:2" ht="15" x14ac:dyDescent="0.25">
      <c r="A396" s="370"/>
      <c r="B396" s="371"/>
    </row>
    <row r="397" spans="1:2" ht="15" x14ac:dyDescent="0.25">
      <c r="A397" s="368"/>
      <c r="B397" s="369"/>
    </row>
    <row r="398" spans="1:2" ht="15" x14ac:dyDescent="0.25">
      <c r="A398" s="370"/>
      <c r="B398" s="371"/>
    </row>
    <row r="399" spans="1:2" ht="15" x14ac:dyDescent="0.25">
      <c r="A399" s="368"/>
      <c r="B399" s="369"/>
    </row>
    <row r="400" spans="1:2" ht="15" x14ac:dyDescent="0.25">
      <c r="A400" s="370"/>
      <c r="B400" s="371"/>
    </row>
    <row r="401" spans="1:2" ht="15" x14ac:dyDescent="0.25">
      <c r="A401" s="368"/>
      <c r="B401" s="369"/>
    </row>
    <row r="402" spans="1:2" ht="15" x14ac:dyDescent="0.25">
      <c r="A402" s="370"/>
      <c r="B402" s="371"/>
    </row>
    <row r="403" spans="1:2" ht="15" x14ac:dyDescent="0.25">
      <c r="A403" s="368"/>
      <c r="B403" s="369"/>
    </row>
    <row r="404" spans="1:2" ht="15" x14ac:dyDescent="0.25">
      <c r="A404" s="370"/>
      <c r="B404" s="371"/>
    </row>
    <row r="405" spans="1:2" ht="15" x14ac:dyDescent="0.25">
      <c r="A405" s="368"/>
      <c r="B405" s="369"/>
    </row>
    <row r="406" spans="1:2" ht="15" x14ac:dyDescent="0.25">
      <c r="A406" s="370"/>
      <c r="B406" s="371"/>
    </row>
    <row r="407" spans="1:2" ht="15" x14ac:dyDescent="0.25">
      <c r="A407" s="368"/>
      <c r="B407" s="369"/>
    </row>
    <row r="408" spans="1:2" ht="15" x14ac:dyDescent="0.25">
      <c r="A408" s="370"/>
      <c r="B408" s="371"/>
    </row>
    <row r="409" spans="1:2" ht="15" x14ac:dyDescent="0.25">
      <c r="A409" s="368"/>
      <c r="B409" s="369"/>
    </row>
    <row r="410" spans="1:2" ht="15" x14ac:dyDescent="0.25">
      <c r="A410" s="370"/>
      <c r="B410" s="371"/>
    </row>
    <row r="411" spans="1:2" ht="15" x14ac:dyDescent="0.25">
      <c r="A411" s="368"/>
      <c r="B411" s="369"/>
    </row>
    <row r="412" spans="1:2" ht="15" x14ac:dyDescent="0.25">
      <c r="A412" s="370"/>
      <c r="B412" s="371"/>
    </row>
    <row r="413" spans="1:2" ht="15" x14ac:dyDescent="0.25">
      <c r="A413" s="368"/>
      <c r="B413" s="369"/>
    </row>
    <row r="414" spans="1:2" ht="15" x14ac:dyDescent="0.25">
      <c r="A414" s="370"/>
      <c r="B414" s="371"/>
    </row>
    <row r="415" spans="1:2" ht="15" x14ac:dyDescent="0.25">
      <c r="A415" s="368"/>
      <c r="B415" s="369"/>
    </row>
    <row r="416" spans="1:2" ht="15" x14ac:dyDescent="0.25">
      <c r="A416" s="370"/>
      <c r="B416" s="371"/>
    </row>
    <row r="417" spans="1:2" ht="15" x14ac:dyDescent="0.25">
      <c r="A417" s="368"/>
      <c r="B417" s="369"/>
    </row>
    <row r="418" spans="1:2" ht="15" x14ac:dyDescent="0.25">
      <c r="A418" s="370"/>
      <c r="B418" s="371"/>
    </row>
    <row r="419" spans="1:2" ht="15" x14ac:dyDescent="0.25">
      <c r="A419" s="368"/>
      <c r="B419" s="369"/>
    </row>
    <row r="420" spans="1:2" ht="15" x14ac:dyDescent="0.25">
      <c r="A420" s="370"/>
      <c r="B420" s="371"/>
    </row>
    <row r="421" spans="1:2" ht="15" x14ac:dyDescent="0.25">
      <c r="A421" s="368"/>
      <c r="B421" s="369"/>
    </row>
    <row r="422" spans="1:2" ht="15" x14ac:dyDescent="0.25">
      <c r="A422" s="370"/>
      <c r="B422" s="371"/>
    </row>
    <row r="423" spans="1:2" ht="15" x14ac:dyDescent="0.25">
      <c r="A423" s="368"/>
      <c r="B423" s="369"/>
    </row>
    <row r="424" spans="1:2" ht="15" x14ac:dyDescent="0.25">
      <c r="A424" s="370"/>
      <c r="B424" s="371"/>
    </row>
    <row r="425" spans="1:2" ht="15" x14ac:dyDescent="0.25">
      <c r="A425" s="368"/>
      <c r="B425" s="369"/>
    </row>
    <row r="426" spans="1:2" ht="15" x14ac:dyDescent="0.25">
      <c r="A426" s="370"/>
      <c r="B426" s="371"/>
    </row>
    <row r="427" spans="1:2" ht="15" x14ac:dyDescent="0.25">
      <c r="A427" s="368"/>
      <c r="B427" s="369"/>
    </row>
    <row r="428" spans="1:2" ht="15" x14ac:dyDescent="0.25">
      <c r="A428" s="370"/>
      <c r="B428" s="371"/>
    </row>
    <row r="429" spans="1:2" ht="15" x14ac:dyDescent="0.25">
      <c r="A429" s="368"/>
      <c r="B429" s="369"/>
    </row>
    <row r="430" spans="1:2" ht="15" x14ac:dyDescent="0.25">
      <c r="A430" s="370"/>
      <c r="B430" s="371"/>
    </row>
    <row r="431" spans="1:2" ht="15" x14ac:dyDescent="0.25">
      <c r="A431" s="368"/>
      <c r="B431" s="369"/>
    </row>
    <row r="432" spans="1:2" ht="15" x14ac:dyDescent="0.25">
      <c r="A432" s="370"/>
      <c r="B432" s="371"/>
    </row>
    <row r="433" spans="1:2" ht="15" x14ac:dyDescent="0.25">
      <c r="A433" s="368"/>
      <c r="B433" s="369"/>
    </row>
    <row r="434" spans="1:2" ht="15" x14ac:dyDescent="0.25">
      <c r="A434" s="370"/>
      <c r="B434" s="371"/>
    </row>
    <row r="435" spans="1:2" ht="15" x14ac:dyDescent="0.25">
      <c r="A435" s="368"/>
      <c r="B435" s="369"/>
    </row>
    <row r="436" spans="1:2" ht="15" x14ac:dyDescent="0.25">
      <c r="A436" s="370"/>
      <c r="B436" s="371"/>
    </row>
    <row r="437" spans="1:2" ht="15" x14ac:dyDescent="0.25">
      <c r="A437" s="368"/>
      <c r="B437" s="369"/>
    </row>
    <row r="438" spans="1:2" ht="15" x14ac:dyDescent="0.25">
      <c r="A438" s="370"/>
      <c r="B438" s="371"/>
    </row>
    <row r="439" spans="1:2" ht="15" x14ac:dyDescent="0.25">
      <c r="A439" s="368"/>
      <c r="B439" s="369"/>
    </row>
    <row r="440" spans="1:2" ht="15" x14ac:dyDescent="0.25">
      <c r="A440" s="370"/>
      <c r="B440" s="371"/>
    </row>
    <row r="441" spans="1:2" ht="15" x14ac:dyDescent="0.25">
      <c r="A441" s="368"/>
      <c r="B441" s="369"/>
    </row>
    <row r="442" spans="1:2" ht="15" x14ac:dyDescent="0.25">
      <c r="A442" s="370"/>
      <c r="B442" s="371"/>
    </row>
    <row r="443" spans="1:2" ht="15" x14ac:dyDescent="0.25">
      <c r="A443" s="368"/>
      <c r="B443" s="369"/>
    </row>
    <row r="444" spans="1:2" ht="15" x14ac:dyDescent="0.25">
      <c r="A444" s="370"/>
      <c r="B444" s="371"/>
    </row>
    <row r="445" spans="1:2" ht="15" x14ac:dyDescent="0.25">
      <c r="A445" s="368"/>
      <c r="B445" s="369"/>
    </row>
    <row r="446" spans="1:2" ht="15" x14ac:dyDescent="0.25">
      <c r="A446" s="370"/>
      <c r="B446" s="371"/>
    </row>
    <row r="447" spans="1:2" ht="15" x14ac:dyDescent="0.25">
      <c r="A447" s="368"/>
      <c r="B447" s="369"/>
    </row>
    <row r="448" spans="1:2" ht="15" x14ac:dyDescent="0.25">
      <c r="A448" s="370"/>
      <c r="B448" s="371"/>
    </row>
    <row r="449" spans="1:2" ht="15" x14ac:dyDescent="0.25">
      <c r="A449" s="368"/>
      <c r="B449" s="369"/>
    </row>
    <row r="450" spans="1:2" ht="15" x14ac:dyDescent="0.25">
      <c r="A450" s="370"/>
      <c r="B450" s="371"/>
    </row>
    <row r="451" spans="1:2" ht="15" x14ac:dyDescent="0.25">
      <c r="A451" s="368"/>
      <c r="B451" s="369"/>
    </row>
    <row r="452" spans="1:2" ht="15" x14ac:dyDescent="0.25">
      <c r="A452" s="370"/>
      <c r="B452" s="371"/>
    </row>
    <row r="453" spans="1:2" ht="15" x14ac:dyDescent="0.25">
      <c r="A453" s="368"/>
      <c r="B453" s="369"/>
    </row>
    <row r="454" spans="1:2" ht="15" x14ac:dyDescent="0.25">
      <c r="A454" s="370"/>
      <c r="B454" s="371"/>
    </row>
    <row r="455" spans="1:2" ht="15" x14ac:dyDescent="0.25">
      <c r="A455" s="368"/>
      <c r="B455" s="369"/>
    </row>
    <row r="456" spans="1:2" ht="15" x14ac:dyDescent="0.25">
      <c r="A456" s="370"/>
      <c r="B456" s="371"/>
    </row>
    <row r="457" spans="1:2" ht="15" x14ac:dyDescent="0.25">
      <c r="A457" s="368"/>
      <c r="B457" s="369"/>
    </row>
    <row r="458" spans="1:2" ht="15" x14ac:dyDescent="0.25">
      <c r="A458" s="370"/>
      <c r="B458" s="371"/>
    </row>
    <row r="459" spans="1:2" ht="15" x14ac:dyDescent="0.25">
      <c r="A459" s="368"/>
      <c r="B459" s="369"/>
    </row>
    <row r="460" spans="1:2" ht="15" x14ac:dyDescent="0.25">
      <c r="A460" s="370"/>
      <c r="B460" s="371"/>
    </row>
    <row r="461" spans="1:2" ht="15" x14ac:dyDescent="0.25">
      <c r="A461" s="368"/>
      <c r="B461" s="369"/>
    </row>
    <row r="462" spans="1:2" ht="15" x14ac:dyDescent="0.25">
      <c r="A462" s="370"/>
      <c r="B462" s="371"/>
    </row>
    <row r="463" spans="1:2" ht="15" x14ac:dyDescent="0.25">
      <c r="A463" s="368"/>
      <c r="B463" s="369"/>
    </row>
    <row r="464" spans="1:2" ht="15" x14ac:dyDescent="0.25">
      <c r="A464" s="370"/>
      <c r="B464" s="371"/>
    </row>
    <row r="465" spans="1:2" ht="15" x14ac:dyDescent="0.25">
      <c r="A465" s="368"/>
      <c r="B465" s="369"/>
    </row>
    <row r="466" spans="1:2" ht="15" x14ac:dyDescent="0.25">
      <c r="A466" s="370"/>
      <c r="B466" s="371"/>
    </row>
    <row r="467" spans="1:2" ht="15" x14ac:dyDescent="0.25">
      <c r="A467" s="368"/>
      <c r="B467" s="369"/>
    </row>
    <row r="468" spans="1:2" ht="15" x14ac:dyDescent="0.25">
      <c r="A468" s="370"/>
      <c r="B468" s="371"/>
    </row>
    <row r="469" spans="1:2" ht="15" x14ac:dyDescent="0.25">
      <c r="A469" s="368"/>
      <c r="B469" s="369"/>
    </row>
    <row r="470" spans="1:2" ht="15" x14ac:dyDescent="0.25">
      <c r="A470" s="370"/>
      <c r="B470" s="371"/>
    </row>
    <row r="471" spans="1:2" ht="15" x14ac:dyDescent="0.25">
      <c r="A471" s="368"/>
      <c r="B471" s="369"/>
    </row>
    <row r="472" spans="1:2" ht="15" x14ac:dyDescent="0.25">
      <c r="A472" s="370"/>
      <c r="B472" s="371"/>
    </row>
    <row r="473" spans="1:2" ht="15" x14ac:dyDescent="0.25">
      <c r="A473" s="368"/>
      <c r="B473" s="369"/>
    </row>
    <row r="474" spans="1:2" ht="15" x14ac:dyDescent="0.25">
      <c r="A474" s="370"/>
      <c r="B474" s="371"/>
    </row>
    <row r="475" spans="1:2" ht="15" x14ac:dyDescent="0.25">
      <c r="A475" s="368"/>
      <c r="B475" s="369"/>
    </row>
    <row r="476" spans="1:2" ht="15" x14ac:dyDescent="0.25">
      <c r="A476" s="370"/>
      <c r="B476" s="371"/>
    </row>
    <row r="477" spans="1:2" ht="15" x14ac:dyDescent="0.25">
      <c r="A477" s="368"/>
      <c r="B477" s="369"/>
    </row>
    <row r="478" spans="1:2" ht="15" x14ac:dyDescent="0.25">
      <c r="A478" s="370"/>
      <c r="B478" s="371"/>
    </row>
    <row r="479" spans="1:2" ht="15" x14ac:dyDescent="0.25">
      <c r="A479" s="368"/>
      <c r="B479" s="369"/>
    </row>
    <row r="480" spans="1:2" ht="15" x14ac:dyDescent="0.25">
      <c r="A480" s="370"/>
      <c r="B480" s="371"/>
    </row>
    <row r="481" spans="1:2" ht="15" x14ac:dyDescent="0.25">
      <c r="A481" s="368"/>
      <c r="B481" s="369"/>
    </row>
    <row r="482" spans="1:2" ht="15" x14ac:dyDescent="0.25">
      <c r="A482" s="370"/>
      <c r="B482" s="371"/>
    </row>
    <row r="483" spans="1:2" ht="15" x14ac:dyDescent="0.25">
      <c r="A483" s="368"/>
      <c r="B483" s="369"/>
    </row>
    <row r="484" spans="1:2" ht="15" x14ac:dyDescent="0.25">
      <c r="A484" s="370"/>
      <c r="B484" s="371"/>
    </row>
    <row r="485" spans="1:2" ht="15" x14ac:dyDescent="0.25">
      <c r="A485" s="368"/>
      <c r="B485" s="369"/>
    </row>
    <row r="486" spans="1:2" ht="15" x14ac:dyDescent="0.25">
      <c r="A486" s="370"/>
      <c r="B486" s="371"/>
    </row>
    <row r="487" spans="1:2" ht="15" x14ac:dyDescent="0.25">
      <c r="A487" s="368"/>
      <c r="B487" s="369"/>
    </row>
    <row r="488" spans="1:2" ht="15" x14ac:dyDescent="0.25">
      <c r="A488" s="370"/>
      <c r="B488" s="371"/>
    </row>
    <row r="489" spans="1:2" ht="15" x14ac:dyDescent="0.25">
      <c r="A489" s="368"/>
      <c r="B489" s="369"/>
    </row>
    <row r="490" spans="1:2" ht="15" x14ac:dyDescent="0.25">
      <c r="A490" s="370"/>
      <c r="B490" s="371"/>
    </row>
    <row r="491" spans="1:2" ht="15" x14ac:dyDescent="0.25">
      <c r="A491" s="368"/>
      <c r="B491" s="369"/>
    </row>
    <row r="492" spans="1:2" ht="15" x14ac:dyDescent="0.25">
      <c r="A492" s="370"/>
      <c r="B492" s="371"/>
    </row>
    <row r="493" spans="1:2" ht="15" x14ac:dyDescent="0.25">
      <c r="A493" s="368"/>
      <c r="B493" s="369"/>
    </row>
    <row r="494" spans="1:2" ht="15" x14ac:dyDescent="0.25">
      <c r="A494" s="370"/>
      <c r="B494" s="371"/>
    </row>
    <row r="495" spans="1:2" ht="15" x14ac:dyDescent="0.25">
      <c r="A495" s="368"/>
      <c r="B495" s="369"/>
    </row>
    <row r="496" spans="1:2" ht="15" x14ac:dyDescent="0.25">
      <c r="A496" s="370"/>
      <c r="B496" s="371"/>
    </row>
    <row r="497" spans="1:2" ht="15" x14ac:dyDescent="0.25">
      <c r="A497" s="368"/>
      <c r="B497" s="369"/>
    </row>
    <row r="498" spans="1:2" ht="15" x14ac:dyDescent="0.25">
      <c r="A498" s="370"/>
      <c r="B498" s="371"/>
    </row>
    <row r="499" spans="1:2" ht="15" x14ac:dyDescent="0.25">
      <c r="A499" s="368"/>
      <c r="B499" s="369"/>
    </row>
    <row r="500" spans="1:2" ht="15" x14ac:dyDescent="0.25">
      <c r="A500" s="370"/>
      <c r="B500" s="371"/>
    </row>
    <row r="501" spans="1:2" ht="15" x14ac:dyDescent="0.25">
      <c r="A501" s="368"/>
      <c r="B501" s="369"/>
    </row>
    <row r="502" spans="1:2" ht="15" x14ac:dyDescent="0.25">
      <c r="A502" s="370"/>
      <c r="B502" s="371"/>
    </row>
    <row r="503" spans="1:2" ht="15" x14ac:dyDescent="0.25">
      <c r="A503" s="368"/>
      <c r="B503" s="369"/>
    </row>
    <row r="504" spans="1:2" ht="15" x14ac:dyDescent="0.25">
      <c r="A504" s="370"/>
      <c r="B504" s="371"/>
    </row>
    <row r="505" spans="1:2" ht="15" x14ac:dyDescent="0.25">
      <c r="A505" s="368"/>
      <c r="B505" s="369"/>
    </row>
    <row r="506" spans="1:2" ht="15" x14ac:dyDescent="0.25">
      <c r="A506" s="370"/>
      <c r="B506" s="371"/>
    </row>
    <row r="507" spans="1:2" ht="15" x14ac:dyDescent="0.25">
      <c r="A507" s="368"/>
      <c r="B507" s="369"/>
    </row>
    <row r="508" spans="1:2" ht="15" x14ac:dyDescent="0.25">
      <c r="A508" s="370"/>
      <c r="B508" s="371"/>
    </row>
    <row r="509" spans="1:2" ht="15" x14ac:dyDescent="0.25">
      <c r="A509" s="368"/>
      <c r="B509" s="369"/>
    </row>
    <row r="510" spans="1:2" ht="15" x14ac:dyDescent="0.25">
      <c r="A510" s="370"/>
      <c r="B510" s="371"/>
    </row>
    <row r="511" spans="1:2" ht="15" x14ac:dyDescent="0.25">
      <c r="A511" s="368"/>
      <c r="B511" s="369"/>
    </row>
    <row r="512" spans="1:2" ht="15" x14ac:dyDescent="0.25">
      <c r="A512" s="370"/>
      <c r="B512" s="371"/>
    </row>
    <row r="513" spans="1:2" ht="15" x14ac:dyDescent="0.25">
      <c r="A513" s="368"/>
      <c r="B513" s="369"/>
    </row>
    <row r="514" spans="1:2" ht="15" x14ac:dyDescent="0.25">
      <c r="A514" s="370"/>
      <c r="B514" s="371"/>
    </row>
    <row r="515" spans="1:2" ht="15" x14ac:dyDescent="0.25">
      <c r="A515" s="368"/>
      <c r="B515" s="369"/>
    </row>
    <row r="516" spans="1:2" ht="15" x14ac:dyDescent="0.25">
      <c r="A516" s="370"/>
      <c r="B516" s="371"/>
    </row>
    <row r="517" spans="1:2" ht="15" x14ac:dyDescent="0.25">
      <c r="A517" s="368"/>
      <c r="B517" s="369"/>
    </row>
    <row r="518" spans="1:2" ht="15" x14ac:dyDescent="0.25">
      <c r="A518" s="370"/>
      <c r="B518" s="371"/>
    </row>
    <row r="519" spans="1:2" ht="15" x14ac:dyDescent="0.25">
      <c r="A519" s="368"/>
      <c r="B519" s="369"/>
    </row>
    <row r="520" spans="1:2" ht="15" x14ac:dyDescent="0.25">
      <c r="A520" s="370"/>
      <c r="B520" s="371"/>
    </row>
    <row r="521" spans="1:2" ht="15" x14ac:dyDescent="0.25">
      <c r="A521" s="368"/>
      <c r="B521" s="369"/>
    </row>
    <row r="522" spans="1:2" ht="15" x14ac:dyDescent="0.25">
      <c r="A522" s="370"/>
      <c r="B522" s="371"/>
    </row>
    <row r="523" spans="1:2" ht="15" x14ac:dyDescent="0.25">
      <c r="A523" s="368"/>
      <c r="B523" s="369"/>
    </row>
    <row r="524" spans="1:2" ht="15" x14ac:dyDescent="0.25">
      <c r="A524" s="370"/>
      <c r="B524" s="371"/>
    </row>
    <row r="525" spans="1:2" ht="15" x14ac:dyDescent="0.25">
      <c r="A525" s="368"/>
      <c r="B525" s="369"/>
    </row>
    <row r="526" spans="1:2" ht="15" x14ac:dyDescent="0.25">
      <c r="A526" s="370"/>
      <c r="B526" s="371"/>
    </row>
    <row r="527" spans="1:2" ht="15" x14ac:dyDescent="0.25">
      <c r="A527" s="368"/>
      <c r="B527" s="369"/>
    </row>
    <row r="528" spans="1:2" ht="15" x14ac:dyDescent="0.25">
      <c r="A528" s="370"/>
      <c r="B528" s="371"/>
    </row>
    <row r="529" spans="1:2" ht="15" x14ac:dyDescent="0.25">
      <c r="A529" s="368"/>
      <c r="B529" s="369"/>
    </row>
    <row r="530" spans="1:2" ht="15" x14ac:dyDescent="0.25">
      <c r="A530" s="370"/>
      <c r="B530" s="371"/>
    </row>
    <row r="531" spans="1:2" ht="15" x14ac:dyDescent="0.25">
      <c r="A531" s="368"/>
      <c r="B531" s="369"/>
    </row>
    <row r="532" spans="1:2" ht="15" x14ac:dyDescent="0.25">
      <c r="A532" s="370"/>
      <c r="B532" s="371"/>
    </row>
    <row r="533" spans="1:2" ht="15" x14ac:dyDescent="0.25">
      <c r="A533" s="368"/>
      <c r="B533" s="369"/>
    </row>
    <row r="534" spans="1:2" ht="15" x14ac:dyDescent="0.25">
      <c r="A534" s="370"/>
      <c r="B534" s="371"/>
    </row>
    <row r="535" spans="1:2" ht="15" x14ac:dyDescent="0.25">
      <c r="A535" s="368"/>
      <c r="B535" s="369"/>
    </row>
    <row r="536" spans="1:2" ht="15" x14ac:dyDescent="0.25">
      <c r="A536" s="370"/>
      <c r="B536" s="371"/>
    </row>
    <row r="537" spans="1:2" ht="15" x14ac:dyDescent="0.25">
      <c r="A537" s="368"/>
      <c r="B537" s="369"/>
    </row>
    <row r="538" spans="1:2" ht="15" x14ac:dyDescent="0.25">
      <c r="A538" s="370"/>
      <c r="B538" s="371"/>
    </row>
    <row r="539" spans="1:2" ht="15" x14ac:dyDescent="0.25">
      <c r="A539" s="368"/>
      <c r="B539" s="369"/>
    </row>
    <row r="540" spans="1:2" ht="15" x14ac:dyDescent="0.25">
      <c r="A540" s="370"/>
      <c r="B540" s="371"/>
    </row>
    <row r="541" spans="1:2" ht="15" x14ac:dyDescent="0.25">
      <c r="A541" s="368"/>
      <c r="B541" s="369"/>
    </row>
    <row r="542" spans="1:2" ht="15" x14ac:dyDescent="0.25">
      <c r="A542" s="370"/>
      <c r="B542" s="371"/>
    </row>
    <row r="543" spans="1:2" ht="15" x14ac:dyDescent="0.25">
      <c r="A543" s="368"/>
      <c r="B543" s="369"/>
    </row>
    <row r="544" spans="1:2" ht="15" x14ac:dyDescent="0.25">
      <c r="A544" s="370"/>
      <c r="B544" s="371"/>
    </row>
    <row r="545" spans="1:2" ht="15" x14ac:dyDescent="0.25">
      <c r="A545" s="368"/>
      <c r="B545" s="369"/>
    </row>
    <row r="546" spans="1:2" ht="15" x14ac:dyDescent="0.25">
      <c r="A546" s="370"/>
      <c r="B546" s="371"/>
    </row>
    <row r="547" spans="1:2" ht="15" x14ac:dyDescent="0.25">
      <c r="A547" s="368"/>
      <c r="B547" s="369"/>
    </row>
    <row r="548" spans="1:2" ht="15" x14ac:dyDescent="0.25">
      <c r="A548" s="370"/>
      <c r="B548" s="371"/>
    </row>
    <row r="549" spans="1:2" ht="15" x14ac:dyDescent="0.25">
      <c r="A549" s="368"/>
      <c r="B549" s="369"/>
    </row>
    <row r="550" spans="1:2" ht="15" x14ac:dyDescent="0.25">
      <c r="A550" s="370"/>
      <c r="B550" s="371"/>
    </row>
    <row r="551" spans="1:2" ht="15" x14ac:dyDescent="0.25">
      <c r="A551" s="368"/>
      <c r="B551" s="369"/>
    </row>
    <row r="552" spans="1:2" ht="15" x14ac:dyDescent="0.25">
      <c r="A552" s="370"/>
      <c r="B552" s="371"/>
    </row>
    <row r="553" spans="1:2" ht="15" x14ac:dyDescent="0.25">
      <c r="A553" s="368"/>
      <c r="B553" s="369"/>
    </row>
    <row r="554" spans="1:2" ht="15" x14ac:dyDescent="0.25">
      <c r="A554" s="370"/>
      <c r="B554" s="371"/>
    </row>
    <row r="555" spans="1:2" ht="15" x14ac:dyDescent="0.25">
      <c r="A555" s="368"/>
      <c r="B555" s="369"/>
    </row>
    <row r="556" spans="1:2" ht="15" x14ac:dyDescent="0.25">
      <c r="A556" s="370"/>
      <c r="B556" s="371"/>
    </row>
    <row r="557" spans="1:2" ht="15" x14ac:dyDescent="0.25">
      <c r="A557" s="368"/>
      <c r="B557" s="369"/>
    </row>
    <row r="558" spans="1:2" ht="15" x14ac:dyDescent="0.25">
      <c r="A558" s="370"/>
      <c r="B558" s="371"/>
    </row>
    <row r="559" spans="1:2" ht="15" x14ac:dyDescent="0.25">
      <c r="A559" s="368"/>
      <c r="B559" s="369"/>
    </row>
    <row r="560" spans="1:2" ht="15" x14ac:dyDescent="0.25">
      <c r="A560" s="370"/>
      <c r="B560" s="371"/>
    </row>
    <row r="561" spans="1:2" ht="15" x14ac:dyDescent="0.25">
      <c r="A561" s="368"/>
      <c r="B561" s="369"/>
    </row>
    <row r="562" spans="1:2" ht="15" x14ac:dyDescent="0.25">
      <c r="A562" s="370"/>
      <c r="B562" s="371"/>
    </row>
    <row r="563" spans="1:2" ht="15" x14ac:dyDescent="0.25">
      <c r="A563" s="368"/>
      <c r="B563" s="369"/>
    </row>
    <row r="564" spans="1:2" ht="15" x14ac:dyDescent="0.25">
      <c r="A564" s="370"/>
      <c r="B564" s="371"/>
    </row>
    <row r="565" spans="1:2" ht="15" x14ac:dyDescent="0.25">
      <c r="A565" s="368"/>
      <c r="B565" s="369"/>
    </row>
    <row r="566" spans="1:2" ht="15" x14ac:dyDescent="0.25">
      <c r="A566" s="370"/>
      <c r="B566" s="371"/>
    </row>
    <row r="567" spans="1:2" ht="15" x14ac:dyDescent="0.25">
      <c r="A567" s="368"/>
      <c r="B567" s="369"/>
    </row>
    <row r="568" spans="1:2" ht="15" x14ac:dyDescent="0.25">
      <c r="A568" s="370"/>
      <c r="B568" s="371"/>
    </row>
    <row r="569" spans="1:2" ht="15" x14ac:dyDescent="0.25">
      <c r="A569" s="368"/>
      <c r="B569" s="369"/>
    </row>
    <row r="570" spans="1:2" ht="15" x14ac:dyDescent="0.25">
      <c r="A570" s="370"/>
      <c r="B570" s="371"/>
    </row>
    <row r="571" spans="1:2" ht="15" x14ac:dyDescent="0.25">
      <c r="A571" s="368"/>
      <c r="B571" s="369"/>
    </row>
    <row r="572" spans="1:2" ht="15" x14ac:dyDescent="0.25">
      <c r="A572" s="370"/>
      <c r="B572" s="371"/>
    </row>
    <row r="573" spans="1:2" ht="15" x14ac:dyDescent="0.25">
      <c r="A573" s="368"/>
      <c r="B573" s="369"/>
    </row>
    <row r="574" spans="1:2" ht="15" x14ac:dyDescent="0.25">
      <c r="A574" s="370"/>
      <c r="B574" s="371"/>
    </row>
    <row r="575" spans="1:2" ht="15" x14ac:dyDescent="0.25">
      <c r="A575" s="368"/>
      <c r="B575" s="369"/>
    </row>
    <row r="576" spans="1:2" ht="15" x14ac:dyDescent="0.25">
      <c r="A576" s="370"/>
      <c r="B576" s="371"/>
    </row>
    <row r="577" spans="1:2" ht="15" x14ac:dyDescent="0.25">
      <c r="A577" s="368"/>
      <c r="B577" s="369"/>
    </row>
    <row r="578" spans="1:2" ht="15" x14ac:dyDescent="0.25">
      <c r="A578" s="370"/>
      <c r="B578" s="371"/>
    </row>
    <row r="579" spans="1:2" ht="15" x14ac:dyDescent="0.25">
      <c r="A579" s="368"/>
      <c r="B579" s="369"/>
    </row>
    <row r="580" spans="1:2" ht="15" x14ac:dyDescent="0.25">
      <c r="A580" s="370"/>
      <c r="B580" s="371"/>
    </row>
    <row r="581" spans="1:2" ht="15" x14ac:dyDescent="0.25">
      <c r="A581" s="368"/>
      <c r="B581" s="369"/>
    </row>
    <row r="582" spans="1:2" ht="15" x14ac:dyDescent="0.25">
      <c r="A582" s="370"/>
      <c r="B582" s="371"/>
    </row>
    <row r="583" spans="1:2" ht="15" x14ac:dyDescent="0.25">
      <c r="A583" s="368"/>
      <c r="B583" s="369"/>
    </row>
    <row r="584" spans="1:2" ht="15" x14ac:dyDescent="0.25">
      <c r="A584" s="370"/>
      <c r="B584" s="371"/>
    </row>
    <row r="585" spans="1:2" ht="15" x14ac:dyDescent="0.25">
      <c r="A585" s="368"/>
      <c r="B585" s="369"/>
    </row>
    <row r="586" spans="1:2" ht="15" x14ac:dyDescent="0.25">
      <c r="A586" s="370"/>
      <c r="B586" s="371"/>
    </row>
    <row r="587" spans="1:2" ht="15" x14ac:dyDescent="0.25">
      <c r="A587" s="368"/>
      <c r="B587" s="369"/>
    </row>
    <row r="588" spans="1:2" ht="15" x14ac:dyDescent="0.25">
      <c r="A588" s="370"/>
      <c r="B588" s="371"/>
    </row>
    <row r="589" spans="1:2" ht="15" x14ac:dyDescent="0.25">
      <c r="A589" s="368"/>
      <c r="B589" s="369"/>
    </row>
    <row r="590" spans="1:2" ht="15" x14ac:dyDescent="0.25">
      <c r="A590" s="370"/>
      <c r="B590" s="371"/>
    </row>
    <row r="591" spans="1:2" ht="15" x14ac:dyDescent="0.25">
      <c r="A591" s="368"/>
      <c r="B591" s="369"/>
    </row>
    <row r="592" spans="1:2" ht="15" x14ac:dyDescent="0.25">
      <c r="A592" s="370"/>
      <c r="B592" s="371"/>
    </row>
    <row r="593" spans="1:2" ht="15" x14ac:dyDescent="0.25">
      <c r="A593" s="368"/>
      <c r="B593" s="369"/>
    </row>
    <row r="594" spans="1:2" ht="15" x14ac:dyDescent="0.25">
      <c r="A594" s="370"/>
      <c r="B594" s="371"/>
    </row>
    <row r="595" spans="1:2" ht="15" x14ac:dyDescent="0.25">
      <c r="A595" s="368"/>
      <c r="B595" s="369"/>
    </row>
    <row r="596" spans="1:2" ht="15" x14ac:dyDescent="0.25">
      <c r="A596" s="370"/>
      <c r="B596" s="371"/>
    </row>
    <row r="597" spans="1:2" ht="15" x14ac:dyDescent="0.25">
      <c r="A597" s="368"/>
      <c r="B597" s="369"/>
    </row>
    <row r="598" spans="1:2" ht="15" x14ac:dyDescent="0.25">
      <c r="A598" s="370"/>
      <c r="B598" s="371"/>
    </row>
    <row r="599" spans="1:2" ht="15" x14ac:dyDescent="0.25">
      <c r="A599" s="368"/>
      <c r="B599" s="369"/>
    </row>
    <row r="600" spans="1:2" ht="15" x14ac:dyDescent="0.25">
      <c r="A600" s="370"/>
      <c r="B600" s="371"/>
    </row>
    <row r="601" spans="1:2" ht="15" x14ac:dyDescent="0.25">
      <c r="A601" s="368"/>
      <c r="B601" s="369"/>
    </row>
    <row r="602" spans="1:2" ht="15" x14ac:dyDescent="0.25">
      <c r="A602" s="370"/>
      <c r="B602" s="371"/>
    </row>
    <row r="603" spans="1:2" ht="15" x14ac:dyDescent="0.25">
      <c r="A603" s="368"/>
      <c r="B603" s="369"/>
    </row>
    <row r="604" spans="1:2" ht="15" x14ac:dyDescent="0.25">
      <c r="A604" s="370"/>
      <c r="B604" s="371"/>
    </row>
    <row r="605" spans="1:2" ht="15" x14ac:dyDescent="0.25">
      <c r="A605" s="368"/>
      <c r="B605" s="369"/>
    </row>
    <row r="606" spans="1:2" ht="15" x14ac:dyDescent="0.25">
      <c r="A606" s="370"/>
      <c r="B606" s="371"/>
    </row>
    <row r="607" spans="1:2" ht="15" x14ac:dyDescent="0.25">
      <c r="A607" s="368"/>
      <c r="B607" s="369"/>
    </row>
    <row r="608" spans="1:2" ht="15" x14ac:dyDescent="0.25">
      <c r="A608" s="376"/>
      <c r="B608" s="377"/>
    </row>
    <row r="609" spans="1:2" ht="15" x14ac:dyDescent="0.25">
      <c r="A609" s="368"/>
      <c r="B609" s="369"/>
    </row>
    <row r="610" spans="1:2" ht="15" x14ac:dyDescent="0.25">
      <c r="A610" s="370"/>
      <c r="B610" s="371"/>
    </row>
    <row r="611" spans="1:2" ht="15" x14ac:dyDescent="0.25">
      <c r="A611" s="368"/>
      <c r="B611" s="369"/>
    </row>
    <row r="612" spans="1:2" ht="15" x14ac:dyDescent="0.25">
      <c r="A612" s="370"/>
      <c r="B612" s="371"/>
    </row>
    <row r="613" spans="1:2" ht="15" x14ac:dyDescent="0.25">
      <c r="A613" s="368"/>
      <c r="B613" s="369"/>
    </row>
    <row r="614" spans="1:2" ht="15" x14ac:dyDescent="0.25">
      <c r="A614" s="370"/>
      <c r="B614" s="371"/>
    </row>
    <row r="615" spans="1:2" ht="15" x14ac:dyDescent="0.25">
      <c r="A615" s="368"/>
      <c r="B615" s="369"/>
    </row>
    <row r="616" spans="1:2" ht="15" x14ac:dyDescent="0.25">
      <c r="A616" s="370"/>
      <c r="B616" s="371"/>
    </row>
    <row r="617" spans="1:2" ht="15" x14ac:dyDescent="0.25">
      <c r="A617" s="368"/>
      <c r="B617" s="369"/>
    </row>
    <row r="618" spans="1:2" ht="15" x14ac:dyDescent="0.25">
      <c r="A618" s="370"/>
      <c r="B618" s="371"/>
    </row>
    <row r="619" spans="1:2" ht="15" x14ac:dyDescent="0.25">
      <c r="A619" s="368"/>
      <c r="B619" s="369"/>
    </row>
    <row r="620" spans="1:2" ht="15" x14ac:dyDescent="0.25">
      <c r="A620" s="370"/>
      <c r="B620" s="371"/>
    </row>
    <row r="621" spans="1:2" ht="15" x14ac:dyDescent="0.25">
      <c r="A621" s="368"/>
      <c r="B621" s="369"/>
    </row>
    <row r="622" spans="1:2" ht="15" x14ac:dyDescent="0.25">
      <c r="A622" s="370"/>
      <c r="B622" s="371"/>
    </row>
    <row r="623" spans="1:2" ht="15" x14ac:dyDescent="0.25">
      <c r="A623" s="368"/>
      <c r="B623" s="369"/>
    </row>
    <row r="624" spans="1:2" ht="15" x14ac:dyDescent="0.25">
      <c r="A624" s="370"/>
      <c r="B624" s="371"/>
    </row>
    <row r="625" spans="1:2" ht="15" x14ac:dyDescent="0.25">
      <c r="A625" s="368"/>
      <c r="B625" s="369"/>
    </row>
    <row r="626" spans="1:2" ht="15" x14ac:dyDescent="0.25">
      <c r="A626" s="370"/>
      <c r="B626" s="371"/>
    </row>
    <row r="627" spans="1:2" ht="15" x14ac:dyDescent="0.25">
      <c r="A627" s="368"/>
      <c r="B627" s="369"/>
    </row>
    <row r="628" spans="1:2" ht="15" x14ac:dyDescent="0.25">
      <c r="A628" s="370"/>
      <c r="B628" s="371"/>
    </row>
    <row r="629" spans="1:2" ht="15" x14ac:dyDescent="0.25">
      <c r="A629" s="368"/>
      <c r="B629" s="369"/>
    </row>
    <row r="630" spans="1:2" ht="15" x14ac:dyDescent="0.25">
      <c r="A630" s="370"/>
      <c r="B630" s="371"/>
    </row>
    <row r="631" spans="1:2" ht="15" x14ac:dyDescent="0.25">
      <c r="A631" s="368"/>
      <c r="B631" s="369"/>
    </row>
    <row r="632" spans="1:2" ht="15" x14ac:dyDescent="0.25">
      <c r="A632" s="370"/>
      <c r="B632" s="371"/>
    </row>
    <row r="633" spans="1:2" ht="15" x14ac:dyDescent="0.25">
      <c r="A633" s="368"/>
      <c r="B633" s="369"/>
    </row>
    <row r="634" spans="1:2" ht="15" x14ac:dyDescent="0.25">
      <c r="A634" s="370"/>
      <c r="B634" s="371"/>
    </row>
    <row r="635" spans="1:2" ht="15" x14ac:dyDescent="0.25">
      <c r="A635" s="368"/>
      <c r="B635" s="369"/>
    </row>
    <row r="636" spans="1:2" ht="15" x14ac:dyDescent="0.25">
      <c r="A636" s="370"/>
      <c r="B636" s="371"/>
    </row>
    <row r="637" spans="1:2" ht="15" x14ac:dyDescent="0.25">
      <c r="A637" s="368"/>
      <c r="B637" s="369"/>
    </row>
    <row r="638" spans="1:2" ht="15" x14ac:dyDescent="0.25">
      <c r="A638" s="370"/>
      <c r="B638" s="371"/>
    </row>
    <row r="639" spans="1:2" ht="15" x14ac:dyDescent="0.25">
      <c r="A639" s="368"/>
      <c r="B639" s="369"/>
    </row>
    <row r="640" spans="1:2" ht="15" x14ac:dyDescent="0.25">
      <c r="A640" s="370"/>
      <c r="B640" s="371"/>
    </row>
    <row r="641" spans="1:2" ht="15" x14ac:dyDescent="0.25">
      <c r="A641" s="368"/>
      <c r="B641" s="369"/>
    </row>
    <row r="642" spans="1:2" ht="15" x14ac:dyDescent="0.25">
      <c r="A642" s="370"/>
      <c r="B642" s="371"/>
    </row>
    <row r="643" spans="1:2" ht="15" x14ac:dyDescent="0.25">
      <c r="A643" s="368"/>
      <c r="B643" s="369"/>
    </row>
    <row r="644" spans="1:2" ht="15" x14ac:dyDescent="0.25">
      <c r="A644" s="370"/>
      <c r="B644" s="371"/>
    </row>
    <row r="645" spans="1:2" ht="15" x14ac:dyDescent="0.25">
      <c r="A645" s="368"/>
      <c r="B645" s="369"/>
    </row>
    <row r="646" spans="1:2" ht="15" x14ac:dyDescent="0.25">
      <c r="A646" s="370"/>
      <c r="B646" s="371"/>
    </row>
    <row r="647" spans="1:2" ht="15" x14ac:dyDescent="0.25">
      <c r="A647" s="368"/>
      <c r="B647" s="369"/>
    </row>
    <row r="648" spans="1:2" ht="15" x14ac:dyDescent="0.25">
      <c r="A648" s="370"/>
      <c r="B648" s="371"/>
    </row>
    <row r="649" spans="1:2" ht="15" x14ac:dyDescent="0.25">
      <c r="A649" s="368"/>
      <c r="B649" s="369"/>
    </row>
    <row r="650" spans="1:2" ht="14.25" x14ac:dyDescent="0.2">
      <c r="A650" s="332"/>
      <c r="B650" s="357"/>
    </row>
    <row r="651" spans="1:2" ht="15" x14ac:dyDescent="0.25">
      <c r="A651" s="368"/>
      <c r="B651" s="369"/>
    </row>
    <row r="652" spans="1:2" ht="15" x14ac:dyDescent="0.25">
      <c r="A652" s="370"/>
      <c r="B652" s="371"/>
    </row>
    <row r="653" spans="1:2" ht="15" x14ac:dyDescent="0.25">
      <c r="A653" s="368"/>
      <c r="B653" s="369"/>
    </row>
    <row r="654" spans="1:2" ht="15" x14ac:dyDescent="0.25">
      <c r="A654" s="370"/>
      <c r="B654" s="371"/>
    </row>
    <row r="655" spans="1:2" ht="15" x14ac:dyDescent="0.25">
      <c r="A655" s="368"/>
      <c r="B655" s="369"/>
    </row>
    <row r="656" spans="1:2" ht="15" x14ac:dyDescent="0.25">
      <c r="A656" s="370"/>
      <c r="B656" s="371"/>
    </row>
    <row r="657" spans="1:2" ht="15" x14ac:dyDescent="0.25">
      <c r="A657" s="368"/>
      <c r="B657" s="369"/>
    </row>
    <row r="658" spans="1:2" ht="15" x14ac:dyDescent="0.25">
      <c r="A658" s="370"/>
      <c r="B658" s="371"/>
    </row>
    <row r="659" spans="1:2" ht="15" x14ac:dyDescent="0.25">
      <c r="A659" s="368"/>
      <c r="B659" s="369"/>
    </row>
    <row r="660" spans="1:2" ht="15" x14ac:dyDescent="0.25">
      <c r="A660" s="370"/>
      <c r="B660" s="371"/>
    </row>
    <row r="661" spans="1:2" ht="15" x14ac:dyDescent="0.25">
      <c r="A661" s="368"/>
      <c r="B661" s="369"/>
    </row>
    <row r="662" spans="1:2" ht="15" x14ac:dyDescent="0.25">
      <c r="A662" s="370"/>
      <c r="B662" s="371"/>
    </row>
    <row r="663" spans="1:2" ht="15" x14ac:dyDescent="0.25">
      <c r="A663" s="368"/>
      <c r="B663" s="369"/>
    </row>
    <row r="664" spans="1:2" ht="15" x14ac:dyDescent="0.25">
      <c r="A664" s="370"/>
      <c r="B664" s="371"/>
    </row>
    <row r="665" spans="1:2" ht="15" x14ac:dyDescent="0.25">
      <c r="A665" s="368"/>
      <c r="B665" s="369"/>
    </row>
    <row r="666" spans="1:2" ht="15" x14ac:dyDescent="0.25">
      <c r="A666" s="370"/>
      <c r="B666" s="371"/>
    </row>
    <row r="667" spans="1:2" ht="15" x14ac:dyDescent="0.25">
      <c r="A667" s="368"/>
      <c r="B667" s="369"/>
    </row>
    <row r="668" spans="1:2" ht="14.25" x14ac:dyDescent="0.2">
      <c r="A668" s="332"/>
      <c r="B668" s="357"/>
    </row>
    <row r="669" spans="1:2" ht="15" x14ac:dyDescent="0.25">
      <c r="A669" s="368"/>
      <c r="B669" s="369"/>
    </row>
    <row r="670" spans="1:2" ht="15" x14ac:dyDescent="0.25">
      <c r="A670" s="370"/>
      <c r="B670" s="371"/>
    </row>
    <row r="671" spans="1:2" ht="15" x14ac:dyDescent="0.25">
      <c r="A671" s="368"/>
      <c r="B671" s="369"/>
    </row>
    <row r="672" spans="1:2" ht="15" x14ac:dyDescent="0.25">
      <c r="A672" s="370">
        <v>14</v>
      </c>
      <c r="B672" s="371">
        <v>14</v>
      </c>
    </row>
    <row r="673" spans="1:2" ht="15" x14ac:dyDescent="0.25">
      <c r="A673" s="368"/>
      <c r="B673" s="369">
        <v>442</v>
      </c>
    </row>
    <row r="674" spans="1:2" ht="15" x14ac:dyDescent="0.25">
      <c r="A674" s="370"/>
      <c r="B674" s="371"/>
    </row>
    <row r="675" spans="1:2" ht="15" x14ac:dyDescent="0.25">
      <c r="A675" s="368"/>
      <c r="B675" s="369"/>
    </row>
    <row r="676" spans="1:2" ht="15" x14ac:dyDescent="0.25">
      <c r="A676" s="370"/>
      <c r="B676" s="371"/>
    </row>
    <row r="677" spans="1:2" ht="15" x14ac:dyDescent="0.25">
      <c r="A677" s="368"/>
      <c r="B677" s="369"/>
    </row>
    <row r="678" spans="1:2" ht="15" x14ac:dyDescent="0.25">
      <c r="A678" s="370"/>
      <c r="B678" s="371"/>
    </row>
    <row r="679" spans="1:2" ht="15" x14ac:dyDescent="0.25">
      <c r="A679" s="368"/>
      <c r="B679" s="369"/>
    </row>
    <row r="680" spans="1:2" ht="15" x14ac:dyDescent="0.25">
      <c r="A680" s="370"/>
      <c r="B680" s="371"/>
    </row>
    <row r="681" spans="1:2" ht="15" x14ac:dyDescent="0.25">
      <c r="A681" s="368"/>
      <c r="B681" s="369"/>
    </row>
    <row r="682" spans="1:2" ht="15" x14ac:dyDescent="0.25">
      <c r="A682" s="370"/>
      <c r="B682" s="371"/>
    </row>
    <row r="683" spans="1:2" ht="15" x14ac:dyDescent="0.25">
      <c r="A683" s="368"/>
      <c r="B683" s="369"/>
    </row>
    <row r="684" spans="1:2" ht="15" x14ac:dyDescent="0.25">
      <c r="A684" s="370"/>
      <c r="B684" s="371"/>
    </row>
    <row r="685" spans="1:2" ht="15" x14ac:dyDescent="0.25">
      <c r="A685" s="368"/>
      <c r="B685" s="369"/>
    </row>
    <row r="686" spans="1:2" ht="15" x14ac:dyDescent="0.25">
      <c r="A686" s="370"/>
      <c r="B686" s="371"/>
    </row>
    <row r="687" spans="1:2" ht="15" x14ac:dyDescent="0.25">
      <c r="A687" s="368"/>
      <c r="B687" s="369"/>
    </row>
    <row r="688" spans="1:2" ht="15" x14ac:dyDescent="0.25">
      <c r="A688" s="370"/>
      <c r="B688" s="371"/>
    </row>
    <row r="689" spans="1:2" ht="15" x14ac:dyDescent="0.25">
      <c r="A689" s="368"/>
      <c r="B689" s="369"/>
    </row>
    <row r="690" spans="1:2" ht="15" x14ac:dyDescent="0.25">
      <c r="A690" s="370"/>
      <c r="B690" s="371"/>
    </row>
    <row r="691" spans="1:2" ht="15" x14ac:dyDescent="0.25">
      <c r="A691" s="368"/>
      <c r="B691" s="369"/>
    </row>
    <row r="692" spans="1:2" ht="15" x14ac:dyDescent="0.25">
      <c r="A692" s="370"/>
      <c r="B692" s="371"/>
    </row>
    <row r="693" spans="1:2" ht="15" x14ac:dyDescent="0.25">
      <c r="A693" s="368"/>
      <c r="B693" s="369"/>
    </row>
    <row r="694" spans="1:2" ht="15" x14ac:dyDescent="0.25">
      <c r="A694" s="370"/>
      <c r="B694" s="371"/>
    </row>
    <row r="695" spans="1:2" ht="15" x14ac:dyDescent="0.25">
      <c r="A695" s="368"/>
      <c r="B695" s="369"/>
    </row>
    <row r="696" spans="1:2" ht="15" x14ac:dyDescent="0.25">
      <c r="A696" s="370"/>
      <c r="B696" s="371"/>
    </row>
    <row r="697" spans="1:2" ht="15" x14ac:dyDescent="0.25">
      <c r="A697" s="368"/>
      <c r="B697" s="369"/>
    </row>
    <row r="698" spans="1:2" ht="15" x14ac:dyDescent="0.25">
      <c r="A698" s="370"/>
      <c r="B698" s="371">
        <v>45</v>
      </c>
    </row>
    <row r="699" spans="1:2" ht="15" x14ac:dyDescent="0.25">
      <c r="A699" s="368"/>
      <c r="B699" s="369"/>
    </row>
    <row r="700" spans="1:2" ht="15" x14ac:dyDescent="0.25">
      <c r="A700" s="370"/>
      <c r="B700" s="371"/>
    </row>
    <row r="701" spans="1:2" ht="15" x14ac:dyDescent="0.25">
      <c r="A701" s="368"/>
      <c r="B701" s="369"/>
    </row>
    <row r="702" spans="1:2" ht="15" x14ac:dyDescent="0.25">
      <c r="A702" s="370"/>
      <c r="B702" s="371"/>
    </row>
    <row r="703" spans="1:2" ht="15" x14ac:dyDescent="0.25">
      <c r="A703" s="368"/>
      <c r="B703" s="369"/>
    </row>
    <row r="704" spans="1:2" ht="15" x14ac:dyDescent="0.25">
      <c r="A704" s="370"/>
      <c r="B704" s="371"/>
    </row>
    <row r="705" spans="1:2" ht="15" x14ac:dyDescent="0.25">
      <c r="A705" s="368"/>
      <c r="B705" s="369"/>
    </row>
    <row r="706" spans="1:2" ht="15" x14ac:dyDescent="0.25">
      <c r="A706" s="370"/>
      <c r="B706" s="371"/>
    </row>
    <row r="707" spans="1:2" ht="15" x14ac:dyDescent="0.25">
      <c r="A707" s="368"/>
      <c r="B707" s="369"/>
    </row>
    <row r="708" spans="1:2" ht="15" x14ac:dyDescent="0.25">
      <c r="A708" s="370"/>
      <c r="B708" s="371"/>
    </row>
    <row r="709" spans="1:2" ht="15" x14ac:dyDescent="0.25">
      <c r="A709" s="368"/>
      <c r="B709" s="369"/>
    </row>
    <row r="710" spans="1:2" ht="15" x14ac:dyDescent="0.25">
      <c r="A710" s="370"/>
      <c r="B710" s="371"/>
    </row>
    <row r="711" spans="1:2" ht="15" x14ac:dyDescent="0.25">
      <c r="A711" s="368"/>
      <c r="B711" s="369"/>
    </row>
    <row r="712" spans="1:2" ht="15" x14ac:dyDescent="0.25">
      <c r="A712" s="370"/>
      <c r="B712" s="371"/>
    </row>
    <row r="713" spans="1:2" ht="15" x14ac:dyDescent="0.25">
      <c r="A713" s="368"/>
      <c r="B713" s="369"/>
    </row>
    <row r="714" spans="1:2" ht="15" x14ac:dyDescent="0.25">
      <c r="A714" s="370"/>
      <c r="B714" s="371"/>
    </row>
    <row r="715" spans="1:2" ht="15" x14ac:dyDescent="0.25">
      <c r="A715" s="368"/>
      <c r="B715" s="369"/>
    </row>
    <row r="716" spans="1:2" ht="15" x14ac:dyDescent="0.25">
      <c r="A716" s="370"/>
      <c r="B716" s="371"/>
    </row>
    <row r="717" spans="1:2" ht="15" x14ac:dyDescent="0.25">
      <c r="A717" s="368"/>
      <c r="B717" s="369"/>
    </row>
    <row r="718" spans="1:2" ht="15" x14ac:dyDescent="0.25">
      <c r="A718" s="370"/>
      <c r="B718" s="371"/>
    </row>
    <row r="719" spans="1:2" ht="15" x14ac:dyDescent="0.25">
      <c r="A719" s="368"/>
      <c r="B719" s="369"/>
    </row>
    <row r="720" spans="1:2" ht="15" x14ac:dyDescent="0.25">
      <c r="A720" s="370"/>
      <c r="B720" s="371"/>
    </row>
    <row r="721" spans="1:2" ht="15" x14ac:dyDescent="0.25">
      <c r="A721" s="368"/>
      <c r="B721" s="369"/>
    </row>
    <row r="722" spans="1:2" ht="15" x14ac:dyDescent="0.25">
      <c r="A722" s="370"/>
      <c r="B722" s="371"/>
    </row>
    <row r="723" spans="1:2" ht="15" x14ac:dyDescent="0.25">
      <c r="A723" s="368"/>
      <c r="B723" s="369"/>
    </row>
    <row r="724" spans="1:2" ht="15" x14ac:dyDescent="0.25">
      <c r="A724" s="370"/>
      <c r="B724" s="371"/>
    </row>
    <row r="725" spans="1:2" ht="15" x14ac:dyDescent="0.25">
      <c r="A725" s="368"/>
      <c r="B725" s="369"/>
    </row>
    <row r="726" spans="1:2" ht="15" x14ac:dyDescent="0.25">
      <c r="A726" s="370"/>
      <c r="B726" s="371"/>
    </row>
    <row r="727" spans="1:2" ht="15" x14ac:dyDescent="0.25">
      <c r="A727" s="368"/>
      <c r="B727" s="369"/>
    </row>
    <row r="728" spans="1:2" ht="15" x14ac:dyDescent="0.25">
      <c r="A728" s="370"/>
      <c r="B728" s="371"/>
    </row>
    <row r="729" spans="1:2" ht="15" x14ac:dyDescent="0.25">
      <c r="A729" s="368"/>
      <c r="B729" s="369"/>
    </row>
    <row r="730" spans="1:2" ht="15" x14ac:dyDescent="0.25">
      <c r="A730" s="370"/>
      <c r="B730" s="371"/>
    </row>
    <row r="731" spans="1:2" ht="15" x14ac:dyDescent="0.25">
      <c r="A731" s="368"/>
      <c r="B731" s="369"/>
    </row>
    <row r="732" spans="1:2" ht="15" x14ac:dyDescent="0.25">
      <c r="A732" s="370"/>
      <c r="B732" s="371"/>
    </row>
    <row r="733" spans="1:2" ht="15" x14ac:dyDescent="0.25">
      <c r="A733" s="368"/>
      <c r="B733" s="369"/>
    </row>
    <row r="734" spans="1:2" ht="15" x14ac:dyDescent="0.25">
      <c r="A734" s="370"/>
      <c r="B734" s="371"/>
    </row>
    <row r="735" spans="1:2" ht="15" x14ac:dyDescent="0.25">
      <c r="A735" s="368"/>
      <c r="B735" s="369"/>
    </row>
    <row r="736" spans="1:2" ht="14.25" x14ac:dyDescent="0.2">
      <c r="A736" s="332"/>
      <c r="B736" s="357"/>
    </row>
    <row r="737" spans="1:2" ht="15" x14ac:dyDescent="0.25">
      <c r="A737" s="368"/>
      <c r="B737" s="369"/>
    </row>
    <row r="738" spans="1:2" ht="15" x14ac:dyDescent="0.25">
      <c r="A738" s="370"/>
      <c r="B738" s="371"/>
    </row>
    <row r="739" spans="1:2" ht="14.25" x14ac:dyDescent="0.2">
      <c r="A739" s="332"/>
      <c r="B739" s="357"/>
    </row>
    <row r="740" spans="1:2" ht="15" x14ac:dyDescent="0.25">
      <c r="A740" s="370"/>
      <c r="B740" s="371"/>
    </row>
    <row r="741" spans="1:2" ht="15" x14ac:dyDescent="0.25">
      <c r="A741" s="368"/>
      <c r="B741" s="369">
        <v>91</v>
      </c>
    </row>
    <row r="742" spans="1:2" ht="15" x14ac:dyDescent="0.25">
      <c r="A742" s="370"/>
      <c r="B742" s="371"/>
    </row>
    <row r="743" spans="1:2" ht="15" x14ac:dyDescent="0.25">
      <c r="A743" s="368"/>
      <c r="B743" s="369"/>
    </row>
    <row r="744" spans="1:2" ht="15" x14ac:dyDescent="0.25">
      <c r="A744" s="370"/>
      <c r="B744" s="371"/>
    </row>
    <row r="745" spans="1:2" ht="15" x14ac:dyDescent="0.25">
      <c r="A745" s="368"/>
      <c r="B745" s="369"/>
    </row>
    <row r="746" spans="1:2" ht="15" x14ac:dyDescent="0.25">
      <c r="A746" s="370"/>
      <c r="B746" s="371"/>
    </row>
    <row r="747" spans="1:2" ht="15" x14ac:dyDescent="0.25">
      <c r="A747" s="368">
        <v>72</v>
      </c>
      <c r="B747" s="369">
        <v>768</v>
      </c>
    </row>
    <row r="748" spans="1:2" ht="15" x14ac:dyDescent="0.25">
      <c r="A748" s="370"/>
      <c r="B748" s="371"/>
    </row>
    <row r="749" spans="1:2" ht="15" x14ac:dyDescent="0.25">
      <c r="A749" s="368"/>
      <c r="B749" s="369"/>
    </row>
    <row r="750" spans="1:2" ht="15" x14ac:dyDescent="0.25">
      <c r="A750" s="370"/>
      <c r="B750" s="371"/>
    </row>
    <row r="751" spans="1:2" ht="15" x14ac:dyDescent="0.25">
      <c r="A751" s="368"/>
      <c r="B751" s="369"/>
    </row>
    <row r="752" spans="1:2" ht="15" x14ac:dyDescent="0.25">
      <c r="A752" s="370"/>
      <c r="B752" s="371">
        <f>240+80+80+88+88+471</f>
        <v>1047</v>
      </c>
    </row>
    <row r="753" spans="1:2" ht="15" x14ac:dyDescent="0.25">
      <c r="A753" s="368"/>
      <c r="B753" s="369"/>
    </row>
    <row r="754" spans="1:2" ht="15" x14ac:dyDescent="0.25">
      <c r="A754" s="370"/>
      <c r="B754" s="371"/>
    </row>
    <row r="755" spans="1:2" ht="15" x14ac:dyDescent="0.25">
      <c r="A755" s="368"/>
      <c r="B755" s="369"/>
    </row>
    <row r="756" spans="1:2" ht="15" x14ac:dyDescent="0.25">
      <c r="A756" s="370"/>
      <c r="B756" s="371">
        <v>73</v>
      </c>
    </row>
    <row r="757" spans="1:2" ht="15" x14ac:dyDescent="0.25">
      <c r="A757" s="368"/>
      <c r="B757" s="369">
        <v>598</v>
      </c>
    </row>
    <row r="758" spans="1:2" ht="15" x14ac:dyDescent="0.25">
      <c r="A758" s="370"/>
      <c r="B758" s="371"/>
    </row>
    <row r="759" spans="1:2" ht="15" x14ac:dyDescent="0.25">
      <c r="A759" s="368"/>
      <c r="B759" s="369"/>
    </row>
    <row r="760" spans="1:2" ht="15" x14ac:dyDescent="0.25">
      <c r="A760" s="370"/>
      <c r="B760" s="371"/>
    </row>
    <row r="761" spans="1:2" ht="15" x14ac:dyDescent="0.25">
      <c r="A761" s="368"/>
      <c r="B761" s="369"/>
    </row>
    <row r="762" spans="1:2" ht="15" x14ac:dyDescent="0.25">
      <c r="A762" s="370"/>
      <c r="B762" s="371"/>
    </row>
    <row r="763" spans="1:2" ht="15" x14ac:dyDescent="0.25">
      <c r="A763" s="368"/>
      <c r="B763" s="369"/>
    </row>
    <row r="764" spans="1:2" ht="15" x14ac:dyDescent="0.25">
      <c r="A764" s="370"/>
      <c r="B764" s="371"/>
    </row>
    <row r="765" spans="1:2" ht="15" x14ac:dyDescent="0.25">
      <c r="A765" s="368"/>
      <c r="B765" s="369"/>
    </row>
    <row r="766" spans="1:2" ht="15" x14ac:dyDescent="0.25">
      <c r="A766" s="370"/>
      <c r="B766" s="371"/>
    </row>
    <row r="767" spans="1:2" ht="15" x14ac:dyDescent="0.25">
      <c r="A767" s="368"/>
      <c r="B767" s="369"/>
    </row>
    <row r="768" spans="1:2" ht="15" x14ac:dyDescent="0.25">
      <c r="A768" s="370"/>
      <c r="B768" s="371"/>
    </row>
    <row r="769" spans="1:2" ht="15" x14ac:dyDescent="0.25">
      <c r="A769" s="368"/>
      <c r="B769" s="369"/>
    </row>
    <row r="770" spans="1:2" ht="15" x14ac:dyDescent="0.25">
      <c r="A770" s="370"/>
      <c r="B770" s="371"/>
    </row>
    <row r="771" spans="1:2" ht="15" x14ac:dyDescent="0.25">
      <c r="A771" s="368"/>
      <c r="B771" s="369"/>
    </row>
    <row r="772" spans="1:2" ht="15" x14ac:dyDescent="0.25">
      <c r="A772" s="370"/>
      <c r="B772" s="371"/>
    </row>
    <row r="773" spans="1:2" ht="15" x14ac:dyDescent="0.25">
      <c r="A773" s="368"/>
      <c r="B773" s="369"/>
    </row>
    <row r="774" spans="1:2" ht="15" x14ac:dyDescent="0.25">
      <c r="A774" s="370"/>
      <c r="B774" s="371"/>
    </row>
    <row r="775" spans="1:2" ht="15" x14ac:dyDescent="0.25">
      <c r="A775" s="368"/>
      <c r="B775" s="369"/>
    </row>
    <row r="776" spans="1:2" ht="15" x14ac:dyDescent="0.25">
      <c r="A776" s="370"/>
      <c r="B776" s="371">
        <f>7+6+3+32+29</f>
        <v>77</v>
      </c>
    </row>
    <row r="777" spans="1:2" ht="15" x14ac:dyDescent="0.25">
      <c r="A777" s="374"/>
      <c r="B777" s="375">
        <v>22</v>
      </c>
    </row>
    <row r="778" spans="1:2" ht="15" x14ac:dyDescent="0.25">
      <c r="A778" s="370"/>
      <c r="B778" s="371"/>
    </row>
    <row r="779" spans="1:2" ht="15" x14ac:dyDescent="0.25">
      <c r="A779" s="368"/>
      <c r="B779" s="369">
        <v>155</v>
      </c>
    </row>
    <row r="780" spans="1:2" ht="15" x14ac:dyDescent="0.25">
      <c r="A780" s="370"/>
      <c r="B780" s="371"/>
    </row>
    <row r="781" spans="1:2" ht="15" x14ac:dyDescent="0.25">
      <c r="A781" s="368"/>
      <c r="B781" s="369">
        <v>285</v>
      </c>
    </row>
    <row r="782" spans="1:2" ht="15" x14ac:dyDescent="0.25">
      <c r="A782" s="370"/>
      <c r="B782" s="371"/>
    </row>
    <row r="783" spans="1:2" ht="15" x14ac:dyDescent="0.25">
      <c r="A783" s="368"/>
      <c r="B783" s="369"/>
    </row>
    <row r="784" spans="1:2" ht="15" x14ac:dyDescent="0.25">
      <c r="A784" s="370"/>
      <c r="B784" s="371"/>
    </row>
    <row r="785" spans="1:2" ht="15" x14ac:dyDescent="0.25">
      <c r="A785" s="368"/>
      <c r="B785" s="369"/>
    </row>
    <row r="786" spans="1:2" ht="15" x14ac:dyDescent="0.25">
      <c r="A786" s="370"/>
      <c r="B786" s="371"/>
    </row>
    <row r="787" spans="1:2" ht="15" x14ac:dyDescent="0.25">
      <c r="A787" s="368">
        <v>14</v>
      </c>
      <c r="B787" s="369">
        <v>34</v>
      </c>
    </row>
    <row r="788" spans="1:2" ht="15" x14ac:dyDescent="0.25">
      <c r="A788" s="370"/>
      <c r="B788" s="371"/>
    </row>
    <row r="789" spans="1:2" ht="15" x14ac:dyDescent="0.25">
      <c r="A789" s="368"/>
      <c r="B789" s="369">
        <v>198</v>
      </c>
    </row>
    <row r="790" spans="1:2" ht="15" x14ac:dyDescent="0.25">
      <c r="A790" s="370"/>
      <c r="B790" s="371"/>
    </row>
    <row r="791" spans="1:2" ht="15" x14ac:dyDescent="0.25">
      <c r="A791" s="368"/>
      <c r="B791" s="369"/>
    </row>
    <row r="792" spans="1:2" ht="15" x14ac:dyDescent="0.25">
      <c r="A792" s="370"/>
      <c r="B792" s="371"/>
    </row>
    <row r="793" spans="1:2" ht="15" x14ac:dyDescent="0.25">
      <c r="A793" s="368"/>
      <c r="B793" s="369"/>
    </row>
    <row r="794" spans="1:2" ht="15" x14ac:dyDescent="0.25">
      <c r="A794" s="370"/>
      <c r="B794" s="371"/>
    </row>
    <row r="795" spans="1:2" ht="15" x14ac:dyDescent="0.25">
      <c r="A795" s="368"/>
      <c r="B795" s="369"/>
    </row>
    <row r="796" spans="1:2" ht="15" x14ac:dyDescent="0.25">
      <c r="A796" s="373"/>
      <c r="B796" s="371"/>
    </row>
    <row r="797" spans="1:2" ht="15" x14ac:dyDescent="0.25">
      <c r="A797" s="368"/>
      <c r="B797" s="369"/>
    </row>
    <row r="798" spans="1:2" ht="15" x14ac:dyDescent="0.2">
      <c r="A798" s="358"/>
      <c r="B798" s="359"/>
    </row>
    <row r="799" spans="1:2" ht="15" x14ac:dyDescent="0.2">
      <c r="A799" s="384"/>
      <c r="B799" s="385"/>
    </row>
    <row r="800" spans="1:2" ht="15" x14ac:dyDescent="0.25">
      <c r="A800" s="370"/>
      <c r="B800" s="371"/>
    </row>
    <row r="801" spans="1:2" ht="15" x14ac:dyDescent="0.25">
      <c r="A801" s="368"/>
      <c r="B801" s="369"/>
    </row>
    <row r="802" spans="1:2" ht="15" x14ac:dyDescent="0.25">
      <c r="A802" s="370"/>
      <c r="B802" s="371"/>
    </row>
    <row r="803" spans="1:2" ht="15" x14ac:dyDescent="0.25">
      <c r="A803" s="368"/>
      <c r="B803" s="369"/>
    </row>
    <row r="804" spans="1:2" ht="15" x14ac:dyDescent="0.25">
      <c r="A804" s="370"/>
      <c r="B804" s="371"/>
    </row>
    <row r="805" spans="1:2" ht="15" x14ac:dyDescent="0.25">
      <c r="A805" s="368"/>
      <c r="B805" s="369"/>
    </row>
    <row r="806" spans="1:2" ht="15" x14ac:dyDescent="0.25">
      <c r="A806" s="370"/>
      <c r="B806" s="371"/>
    </row>
    <row r="807" spans="1:2" ht="15" x14ac:dyDescent="0.25">
      <c r="A807" s="368"/>
      <c r="B807" s="369"/>
    </row>
    <row r="808" spans="1:2" ht="15" x14ac:dyDescent="0.25">
      <c r="A808" s="370"/>
      <c r="B808" s="371"/>
    </row>
    <row r="809" spans="1:2" ht="15" x14ac:dyDescent="0.25">
      <c r="A809" s="368"/>
      <c r="B809" s="369"/>
    </row>
    <row r="810" spans="1:2" ht="15" x14ac:dyDescent="0.25">
      <c r="A810" s="370"/>
      <c r="B810" s="371"/>
    </row>
    <row r="811" spans="1:2" ht="15" x14ac:dyDescent="0.25">
      <c r="A811" s="368"/>
      <c r="B811" s="369"/>
    </row>
    <row r="812" spans="1:2" ht="15" x14ac:dyDescent="0.25">
      <c r="A812" s="370"/>
      <c r="B812" s="371"/>
    </row>
    <row r="813" spans="1:2" ht="15" x14ac:dyDescent="0.25">
      <c r="A813" s="368"/>
      <c r="B813" s="369"/>
    </row>
    <row r="814" spans="1:2" ht="15" x14ac:dyDescent="0.25">
      <c r="A814" s="370"/>
      <c r="B814" s="371"/>
    </row>
    <row r="815" spans="1:2" ht="15" x14ac:dyDescent="0.25">
      <c r="A815" s="368"/>
      <c r="B815" s="369"/>
    </row>
    <row r="816" spans="1:2" ht="15" x14ac:dyDescent="0.25">
      <c r="A816" s="370"/>
      <c r="B816" s="371"/>
    </row>
    <row r="817" spans="1:2" ht="15" x14ac:dyDescent="0.25">
      <c r="A817" s="368">
        <v>48</v>
      </c>
      <c r="B817" s="369">
        <v>728</v>
      </c>
    </row>
    <row r="818" spans="1:2" ht="15" x14ac:dyDescent="0.25">
      <c r="A818" s="370"/>
      <c r="B818" s="371"/>
    </row>
    <row r="819" spans="1:2" ht="15" x14ac:dyDescent="0.2">
      <c r="A819" s="358"/>
      <c r="B819" s="359"/>
    </row>
    <row r="820" spans="1:2" ht="15" x14ac:dyDescent="0.2">
      <c r="A820" s="384">
        <v>128</v>
      </c>
      <c r="B820" s="385">
        <f>320+320</f>
        <v>640</v>
      </c>
    </row>
    <row r="821" spans="1:2" ht="15" x14ac:dyDescent="0.25">
      <c r="A821" s="378"/>
      <c r="B821" s="379"/>
    </row>
    <row r="822" spans="1:2" ht="15" x14ac:dyDescent="0.25">
      <c r="A822" s="380"/>
      <c r="B822" s="381"/>
    </row>
    <row r="823" spans="1:2" ht="15" x14ac:dyDescent="0.25">
      <c r="A823" s="368"/>
      <c r="B823" s="369"/>
    </row>
    <row r="824" spans="1:2" ht="15" x14ac:dyDescent="0.25">
      <c r="A824" s="370"/>
      <c r="B824" s="371"/>
    </row>
    <row r="825" spans="1:2" ht="15" x14ac:dyDescent="0.25">
      <c r="A825" s="368"/>
      <c r="B825" s="369"/>
    </row>
    <row r="826" spans="1:2" ht="15" x14ac:dyDescent="0.25">
      <c r="A826" s="370"/>
      <c r="B826" s="371"/>
    </row>
    <row r="827" spans="1:2" ht="15" x14ac:dyDescent="0.25">
      <c r="A827" s="368"/>
      <c r="B827" s="369"/>
    </row>
    <row r="828" spans="1:2" ht="15" x14ac:dyDescent="0.25">
      <c r="A828" s="370"/>
      <c r="B828" s="371"/>
    </row>
    <row r="829" spans="1:2" ht="15" x14ac:dyDescent="0.25">
      <c r="A829" s="372"/>
      <c r="B829" s="369"/>
    </row>
    <row r="830" spans="1:2" ht="15" x14ac:dyDescent="0.25">
      <c r="A830" s="373"/>
      <c r="B830" s="371"/>
    </row>
    <row r="831" spans="1:2" ht="15" x14ac:dyDescent="0.25">
      <c r="A831" s="372"/>
      <c r="B831" s="369"/>
    </row>
    <row r="832" spans="1:2" ht="15" x14ac:dyDescent="0.25">
      <c r="A832" s="370"/>
      <c r="B832" s="371"/>
    </row>
    <row r="833" spans="1:2" ht="15" x14ac:dyDescent="0.25">
      <c r="A833" s="372"/>
      <c r="B833" s="369"/>
    </row>
    <row r="834" spans="1:2" ht="15" x14ac:dyDescent="0.25">
      <c r="A834" s="370"/>
      <c r="B834" s="371"/>
    </row>
    <row r="835" spans="1:2" ht="15" x14ac:dyDescent="0.25">
      <c r="A835" s="368"/>
      <c r="B835" s="369"/>
    </row>
    <row r="836" spans="1:2" ht="15" x14ac:dyDescent="0.25">
      <c r="A836" s="370"/>
      <c r="B836" s="371"/>
    </row>
    <row r="837" spans="1:2" ht="15" x14ac:dyDescent="0.25">
      <c r="A837" s="368"/>
      <c r="B837" s="369"/>
    </row>
    <row r="838" spans="1:2" ht="15" x14ac:dyDescent="0.25">
      <c r="A838" s="370"/>
      <c r="B838" s="371"/>
    </row>
    <row r="839" spans="1:2" ht="15" x14ac:dyDescent="0.25">
      <c r="A839" s="368"/>
      <c r="B839" s="369"/>
    </row>
    <row r="840" spans="1:2" ht="15" x14ac:dyDescent="0.25">
      <c r="A840" s="370"/>
      <c r="B840" s="371"/>
    </row>
    <row r="841" spans="1:2" ht="15" x14ac:dyDescent="0.25">
      <c r="A841" s="368"/>
      <c r="B841" s="369"/>
    </row>
    <row r="842" spans="1:2" ht="15" x14ac:dyDescent="0.25">
      <c r="A842" s="370"/>
      <c r="B842" s="371"/>
    </row>
    <row r="843" spans="1:2" ht="15" x14ac:dyDescent="0.25">
      <c r="A843" s="368"/>
      <c r="B843" s="369"/>
    </row>
    <row r="844" spans="1:2" ht="15" x14ac:dyDescent="0.25">
      <c r="A844" s="370"/>
      <c r="B844" s="371"/>
    </row>
    <row r="845" spans="1:2" ht="15" x14ac:dyDescent="0.25">
      <c r="A845" s="368"/>
      <c r="B845" s="369"/>
    </row>
    <row r="846" spans="1:2" ht="15" x14ac:dyDescent="0.25">
      <c r="A846" s="370"/>
      <c r="B846" s="371"/>
    </row>
    <row r="847" spans="1:2" ht="15" x14ac:dyDescent="0.25">
      <c r="A847" s="368"/>
      <c r="B847" s="369"/>
    </row>
    <row r="848" spans="1:2" ht="15" x14ac:dyDescent="0.25">
      <c r="A848" s="370"/>
      <c r="B848" s="371"/>
    </row>
    <row r="849" spans="1:2" ht="15" x14ac:dyDescent="0.25">
      <c r="A849" s="372"/>
      <c r="B849" s="369">
        <v>390</v>
      </c>
    </row>
    <row r="850" spans="1:2" ht="15" x14ac:dyDescent="0.25">
      <c r="A850" s="373"/>
      <c r="B850" s="371">
        <v>84</v>
      </c>
    </row>
    <row r="851" spans="1:2" ht="15" x14ac:dyDescent="0.25">
      <c r="A851" s="374"/>
      <c r="B851" s="375"/>
    </row>
    <row r="852" spans="1:2" ht="15" x14ac:dyDescent="0.25">
      <c r="A852" s="376"/>
      <c r="B852" s="377"/>
    </row>
    <row r="853" spans="1:2" ht="15" x14ac:dyDescent="0.25">
      <c r="A853" s="374"/>
      <c r="B853" s="375"/>
    </row>
    <row r="854" spans="1:2" ht="15" x14ac:dyDescent="0.25">
      <c r="A854" s="382"/>
      <c r="B854" s="377">
        <v>56</v>
      </c>
    </row>
    <row r="855" spans="1:2" ht="15" x14ac:dyDescent="0.25">
      <c r="A855" s="383"/>
      <c r="B855" s="375">
        <v>73</v>
      </c>
    </row>
    <row r="856" spans="1:2" ht="15" x14ac:dyDescent="0.25">
      <c r="A856" s="382"/>
      <c r="B856" s="377">
        <f>56+86</f>
        <v>142</v>
      </c>
    </row>
    <row r="857" spans="1:2" ht="15" x14ac:dyDescent="0.25">
      <c r="A857" s="374"/>
      <c r="B857" s="375"/>
    </row>
    <row r="858" spans="1:2" ht="15" x14ac:dyDescent="0.25">
      <c r="A858" s="376"/>
      <c r="B858" s="377"/>
    </row>
    <row r="859" spans="1:2" ht="15" x14ac:dyDescent="0.25">
      <c r="A859" s="374"/>
      <c r="B859" s="375"/>
    </row>
    <row r="860" spans="1:2" ht="15" x14ac:dyDescent="0.25">
      <c r="A860" s="376"/>
      <c r="B860" s="377"/>
    </row>
    <row r="861" spans="1:2" ht="15" x14ac:dyDescent="0.25">
      <c r="A861" s="374"/>
      <c r="B861" s="375"/>
    </row>
    <row r="862" spans="1:2" ht="15" x14ac:dyDescent="0.25">
      <c r="A862" s="376"/>
      <c r="B862" s="377"/>
    </row>
    <row r="863" spans="1:2" ht="15" x14ac:dyDescent="0.25">
      <c r="A863" s="374"/>
      <c r="B863" s="375"/>
    </row>
    <row r="864" spans="1:2" ht="15" x14ac:dyDescent="0.25">
      <c r="A864" s="376"/>
      <c r="B864" s="377"/>
    </row>
    <row r="865" spans="1:2" ht="15" x14ac:dyDescent="0.25">
      <c r="A865" s="374"/>
      <c r="B865" s="375">
        <v>126</v>
      </c>
    </row>
    <row r="866" spans="1:2" ht="15" x14ac:dyDescent="0.25">
      <c r="A866" s="382"/>
      <c r="B866" s="377"/>
    </row>
    <row r="867" spans="1:2" ht="15" x14ac:dyDescent="0.25">
      <c r="A867" s="374"/>
      <c r="B867" s="375"/>
    </row>
    <row r="868" spans="1:2" ht="15" x14ac:dyDescent="0.25">
      <c r="A868" s="370"/>
      <c r="B868" s="371"/>
    </row>
    <row r="869" spans="1:2" ht="15" x14ac:dyDescent="0.25">
      <c r="A869" s="372"/>
      <c r="B869" s="369"/>
    </row>
    <row r="870" spans="1:2" ht="14.25" x14ac:dyDescent="0.2">
      <c r="A870" s="360"/>
      <c r="B870" s="336"/>
    </row>
    <row r="871" spans="1:2" ht="14.25" x14ac:dyDescent="0.2">
      <c r="A871" s="327"/>
      <c r="B871" s="330">
        <v>52</v>
      </c>
    </row>
    <row r="872" spans="1:2" ht="15" x14ac:dyDescent="0.25">
      <c r="A872" s="370"/>
      <c r="B872" s="371"/>
    </row>
    <row r="873" spans="1:2" ht="15" x14ac:dyDescent="0.25">
      <c r="A873" s="368"/>
      <c r="B873" s="369"/>
    </row>
    <row r="874" spans="1:2" ht="15" x14ac:dyDescent="0.25">
      <c r="A874" s="370"/>
      <c r="B874" s="371">
        <v>72</v>
      </c>
    </row>
    <row r="875" spans="1:2" ht="15" x14ac:dyDescent="0.25">
      <c r="A875" s="368"/>
      <c r="B875" s="369"/>
    </row>
    <row r="876" spans="1:2" ht="14.25" x14ac:dyDescent="0.2">
      <c r="A876" s="360"/>
      <c r="B876" s="336"/>
    </row>
    <row r="877" spans="1:2" ht="14.25" x14ac:dyDescent="0.2">
      <c r="A877" s="334"/>
      <c r="B877" s="335">
        <f>243+51</f>
        <v>294</v>
      </c>
    </row>
    <row r="878" spans="1:2" ht="15" x14ac:dyDescent="0.25">
      <c r="A878" s="373"/>
      <c r="B878" s="371"/>
    </row>
    <row r="879" spans="1:2" ht="14.25" x14ac:dyDescent="0.2">
      <c r="A879" s="332"/>
      <c r="B879" s="357"/>
    </row>
    <row r="880" spans="1:2" ht="15" x14ac:dyDescent="0.25">
      <c r="A880" s="370"/>
      <c r="B880" s="371"/>
    </row>
    <row r="881" spans="1:2" ht="15" x14ac:dyDescent="0.25">
      <c r="A881" s="368"/>
      <c r="B881" s="369"/>
    </row>
    <row r="882" spans="1:2" ht="15" x14ac:dyDescent="0.25">
      <c r="A882" s="370"/>
      <c r="B882" s="371"/>
    </row>
    <row r="883" spans="1:2" ht="15" x14ac:dyDescent="0.25">
      <c r="A883" s="368"/>
      <c r="B883" s="369"/>
    </row>
    <row r="884" spans="1:2" ht="15" x14ac:dyDescent="0.25">
      <c r="A884" s="370"/>
      <c r="B884" s="371"/>
    </row>
    <row r="885" spans="1:2" ht="15" x14ac:dyDescent="0.25">
      <c r="A885" s="368"/>
      <c r="B885" s="369"/>
    </row>
    <row r="886" spans="1:2" ht="15" x14ac:dyDescent="0.25">
      <c r="A886" s="370">
        <v>526</v>
      </c>
      <c r="B886" s="371">
        <v>132</v>
      </c>
    </row>
    <row r="887" spans="1:2" ht="15" x14ac:dyDescent="0.25">
      <c r="A887" s="368">
        <v>721</v>
      </c>
      <c r="B887" s="369">
        <f>266+226</f>
        <v>492</v>
      </c>
    </row>
    <row r="888" spans="1:2" ht="15" x14ac:dyDescent="0.25">
      <c r="A888" s="370"/>
      <c r="B888" s="371"/>
    </row>
    <row r="889" spans="1:2" ht="15" x14ac:dyDescent="0.25">
      <c r="A889" s="368"/>
      <c r="B889" s="369"/>
    </row>
    <row r="890" spans="1:2" ht="15" x14ac:dyDescent="0.25">
      <c r="A890" s="370"/>
      <c r="B890" s="371"/>
    </row>
    <row r="891" spans="1:2" ht="15" x14ac:dyDescent="0.25">
      <c r="A891" s="368"/>
      <c r="B891" s="369"/>
    </row>
    <row r="892" spans="1:2" ht="15" x14ac:dyDescent="0.25">
      <c r="A892" s="370"/>
      <c r="B892" s="371"/>
    </row>
    <row r="893" spans="1:2" ht="15" x14ac:dyDescent="0.25">
      <c r="A893" s="368"/>
      <c r="B893" s="369"/>
    </row>
    <row r="894" spans="1:2" ht="15" x14ac:dyDescent="0.25">
      <c r="A894" s="370"/>
      <c r="B894" s="371"/>
    </row>
    <row r="895" spans="1:2" ht="15" x14ac:dyDescent="0.25">
      <c r="A895" s="368"/>
      <c r="B895" s="369"/>
    </row>
    <row r="896" spans="1:2" ht="15" x14ac:dyDescent="0.25">
      <c r="A896" s="370"/>
      <c r="B896" s="371"/>
    </row>
    <row r="897" spans="1:2" ht="15" x14ac:dyDescent="0.25">
      <c r="A897" s="368"/>
      <c r="B897" s="369"/>
    </row>
    <row r="898" spans="1:2" ht="15" x14ac:dyDescent="0.25">
      <c r="A898" s="370"/>
      <c r="B898" s="371"/>
    </row>
    <row r="899" spans="1:2" ht="15" x14ac:dyDescent="0.25">
      <c r="A899" s="368"/>
      <c r="B899" s="369"/>
    </row>
    <row r="900" spans="1:2" ht="15" x14ac:dyDescent="0.25">
      <c r="A900" s="370"/>
      <c r="B900" s="371"/>
    </row>
    <row r="901" spans="1:2" ht="15" x14ac:dyDescent="0.25">
      <c r="A901" s="368"/>
      <c r="B901" s="369"/>
    </row>
    <row r="902" spans="1:2" ht="15" x14ac:dyDescent="0.25">
      <c r="A902" s="370"/>
      <c r="B902" s="371"/>
    </row>
    <row r="903" spans="1:2" ht="15" x14ac:dyDescent="0.25">
      <c r="A903" s="368"/>
      <c r="B903" s="369">
        <v>315</v>
      </c>
    </row>
    <row r="904" spans="1:2" ht="15" x14ac:dyDescent="0.25">
      <c r="A904" s="370"/>
      <c r="B904" s="371"/>
    </row>
    <row r="905" spans="1:2" ht="15" x14ac:dyDescent="0.25">
      <c r="A905" s="368">
        <v>49</v>
      </c>
      <c r="B905" s="369">
        <v>315</v>
      </c>
    </row>
    <row r="906" spans="1:2" ht="15" x14ac:dyDescent="0.25">
      <c r="A906" s="370"/>
      <c r="B906" s="371"/>
    </row>
    <row r="907" spans="1:2" ht="15" x14ac:dyDescent="0.25">
      <c r="A907" s="368"/>
      <c r="B907" s="369"/>
    </row>
    <row r="908" spans="1:2" ht="15" x14ac:dyDescent="0.25">
      <c r="A908" s="370"/>
      <c r="B908" s="371"/>
    </row>
    <row r="909" spans="1:2" ht="15" x14ac:dyDescent="0.25">
      <c r="A909" s="378"/>
      <c r="B909" s="375">
        <v>30</v>
      </c>
    </row>
    <row r="910" spans="1:2" ht="15" x14ac:dyDescent="0.25">
      <c r="A910" s="370"/>
      <c r="B910" s="371"/>
    </row>
    <row r="911" spans="1:2" ht="15" x14ac:dyDescent="0.25">
      <c r="A911" s="368"/>
      <c r="B911" s="369">
        <v>70</v>
      </c>
    </row>
    <row r="912" spans="1:2" ht="15" x14ac:dyDescent="0.25">
      <c r="A912" s="370">
        <v>180</v>
      </c>
      <c r="B912" s="371"/>
    </row>
    <row r="913" spans="1:2" ht="15" x14ac:dyDescent="0.25">
      <c r="A913" s="368"/>
      <c r="B913" s="369">
        <v>40</v>
      </c>
    </row>
    <row r="914" spans="1:2" ht="15" x14ac:dyDescent="0.25">
      <c r="A914" s="370"/>
      <c r="B914" s="371"/>
    </row>
    <row r="915" spans="1:2" ht="15" x14ac:dyDescent="0.25">
      <c r="A915" s="368"/>
      <c r="B915" s="369">
        <v>12</v>
      </c>
    </row>
    <row r="916" spans="1:2" ht="15" x14ac:dyDescent="0.25">
      <c r="A916" s="373"/>
      <c r="B916" s="371"/>
    </row>
    <row r="917" spans="1:2" ht="15" x14ac:dyDescent="0.25">
      <c r="A917" s="372"/>
      <c r="B917" s="369"/>
    </row>
    <row r="918" spans="1:2" ht="15" x14ac:dyDescent="0.25">
      <c r="A918" s="373"/>
      <c r="B918" s="371"/>
    </row>
    <row r="919" spans="1:2" ht="15" x14ac:dyDescent="0.25">
      <c r="A919" s="372"/>
      <c r="B919" s="369">
        <v>32</v>
      </c>
    </row>
    <row r="920" spans="1:2" ht="15" x14ac:dyDescent="0.25">
      <c r="A920" s="370"/>
      <c r="B920" s="371"/>
    </row>
    <row r="921" spans="1:2" ht="15" x14ac:dyDescent="0.25">
      <c r="A921" s="368">
        <v>300</v>
      </c>
      <c r="B921" s="369"/>
    </row>
    <row r="922" spans="1:2" ht="15" x14ac:dyDescent="0.25">
      <c r="A922" s="370"/>
      <c r="B922" s="371"/>
    </row>
    <row r="923" spans="1:2" ht="15" x14ac:dyDescent="0.25">
      <c r="A923" s="368"/>
      <c r="B923" s="369">
        <v>342</v>
      </c>
    </row>
    <row r="924" spans="1:2" ht="15" x14ac:dyDescent="0.25">
      <c r="A924" s="370"/>
      <c r="B924" s="371">
        <v>35</v>
      </c>
    </row>
    <row r="925" spans="1:2" ht="14.25" x14ac:dyDescent="0.2">
      <c r="A925" s="361"/>
      <c r="B925" s="362"/>
    </row>
    <row r="926" spans="1:2" ht="15" x14ac:dyDescent="0.25">
      <c r="A926" s="370"/>
      <c r="B926" s="371"/>
    </row>
    <row r="927" spans="1:2" ht="15" x14ac:dyDescent="0.25">
      <c r="A927" s="368">
        <v>400</v>
      </c>
      <c r="B927" s="369"/>
    </row>
    <row r="928" spans="1:2" ht="15" x14ac:dyDescent="0.25">
      <c r="A928" s="370"/>
      <c r="B928" s="371">
        <v>405</v>
      </c>
    </row>
    <row r="929" spans="1:2" ht="14.25" x14ac:dyDescent="0.2">
      <c r="A929" s="361"/>
      <c r="B929" s="362"/>
    </row>
    <row r="930" spans="1:2" ht="14.25" x14ac:dyDescent="0.2">
      <c r="A930" s="327"/>
      <c r="B930" s="330"/>
    </row>
    <row r="931" spans="1:2" ht="14.25" x14ac:dyDescent="0.2">
      <c r="A931" s="327"/>
      <c r="B931" s="330"/>
    </row>
    <row r="932" spans="1:2" ht="15" x14ac:dyDescent="0.25">
      <c r="A932" s="370"/>
      <c r="B932" s="371"/>
    </row>
    <row r="933" spans="1:2" ht="15" x14ac:dyDescent="0.25">
      <c r="A933" s="368"/>
      <c r="B933" s="369">
        <v>24</v>
      </c>
    </row>
    <row r="934" spans="1:2" ht="15" x14ac:dyDescent="0.25">
      <c r="A934" s="370">
        <v>4</v>
      </c>
      <c r="B934" s="371"/>
    </row>
    <row r="935" spans="1:2" ht="15" x14ac:dyDescent="0.25">
      <c r="A935" s="372"/>
      <c r="B935" s="369"/>
    </row>
    <row r="936" spans="1:2" ht="15" x14ac:dyDescent="0.25">
      <c r="A936" s="373"/>
      <c r="B936" s="371"/>
    </row>
    <row r="937" spans="1:2" ht="15" x14ac:dyDescent="0.25">
      <c r="A937" s="372"/>
      <c r="B937" s="369"/>
    </row>
    <row r="938" spans="1:2" ht="15" x14ac:dyDescent="0.25">
      <c r="A938" s="373"/>
      <c r="B938" s="371"/>
    </row>
    <row r="939" spans="1:2" ht="15" x14ac:dyDescent="0.25">
      <c r="A939" s="368"/>
      <c r="B939" s="369"/>
    </row>
    <row r="940" spans="1:2" ht="15" x14ac:dyDescent="0.25">
      <c r="A940" s="373"/>
      <c r="B940" s="371"/>
    </row>
    <row r="941" spans="1:2" ht="15" x14ac:dyDescent="0.25">
      <c r="A941" s="368"/>
      <c r="B941" s="369"/>
    </row>
    <row r="942" spans="1:2" ht="15" x14ac:dyDescent="0.25">
      <c r="A942" s="373"/>
      <c r="B942" s="371"/>
    </row>
    <row r="943" spans="1:2" ht="15" x14ac:dyDescent="0.25">
      <c r="A943" s="372"/>
      <c r="B943" s="369"/>
    </row>
    <row r="944" spans="1:2" ht="15" x14ac:dyDescent="0.25">
      <c r="A944" s="370"/>
      <c r="B944" s="371"/>
    </row>
    <row r="945" spans="1:2" ht="15" x14ac:dyDescent="0.25">
      <c r="A945" s="372"/>
      <c r="B945" s="369"/>
    </row>
    <row r="946" spans="1:2" ht="15" x14ac:dyDescent="0.25">
      <c r="A946" s="373"/>
      <c r="B946" s="371">
        <v>301</v>
      </c>
    </row>
    <row r="947" spans="1:2" ht="15" x14ac:dyDescent="0.25">
      <c r="A947" s="368"/>
      <c r="B947" s="369">
        <v>312</v>
      </c>
    </row>
    <row r="948" spans="1:2" ht="15" x14ac:dyDescent="0.25">
      <c r="A948" s="373"/>
      <c r="B948" s="371"/>
    </row>
    <row r="949" spans="1:2" ht="15" x14ac:dyDescent="0.25">
      <c r="A949" s="368"/>
      <c r="B949" s="369"/>
    </row>
    <row r="950" spans="1:2" ht="15" x14ac:dyDescent="0.25">
      <c r="A950" s="370"/>
      <c r="B950" s="371"/>
    </row>
    <row r="951" spans="1:2" ht="15" x14ac:dyDescent="0.25">
      <c r="A951" s="368"/>
      <c r="B951" s="369"/>
    </row>
    <row r="952" spans="1:2" ht="15" x14ac:dyDescent="0.25">
      <c r="A952" s="370"/>
      <c r="B952" s="371"/>
    </row>
    <row r="953" spans="1:2" ht="15" x14ac:dyDescent="0.25">
      <c r="A953" s="368"/>
      <c r="B953" s="369">
        <v>72</v>
      </c>
    </row>
    <row r="954" spans="1:2" ht="15" x14ac:dyDescent="0.25">
      <c r="A954" s="373"/>
      <c r="B954" s="371">
        <v>367</v>
      </c>
    </row>
    <row r="955" spans="1:2" ht="15" x14ac:dyDescent="0.25">
      <c r="A955" s="368"/>
      <c r="B955" s="369"/>
    </row>
    <row r="956" spans="1:2" ht="15" x14ac:dyDescent="0.25">
      <c r="A956" s="373"/>
      <c r="B956" s="371"/>
    </row>
    <row r="957" spans="1:2" ht="15" x14ac:dyDescent="0.25">
      <c r="A957" s="372"/>
      <c r="B957" s="369">
        <f>267+237</f>
        <v>504</v>
      </c>
    </row>
    <row r="958" spans="1:2" ht="15" x14ac:dyDescent="0.25">
      <c r="A958" s="370"/>
      <c r="B958" s="371"/>
    </row>
    <row r="959" spans="1:2" ht="15" x14ac:dyDescent="0.25">
      <c r="A959" s="368">
        <v>2</v>
      </c>
      <c r="B959" s="369"/>
    </row>
    <row r="960" spans="1:2" ht="15" x14ac:dyDescent="0.25">
      <c r="A960" s="373"/>
      <c r="B960" s="371">
        <v>142</v>
      </c>
    </row>
    <row r="961" spans="1:2" ht="15" x14ac:dyDescent="0.25">
      <c r="A961" s="372"/>
      <c r="B961" s="369"/>
    </row>
    <row r="962" spans="1:2" ht="15" x14ac:dyDescent="0.25">
      <c r="A962" s="370"/>
      <c r="B962" s="371"/>
    </row>
    <row r="963" spans="1:2" ht="15" x14ac:dyDescent="0.25">
      <c r="A963" s="368"/>
      <c r="B963" s="369"/>
    </row>
    <row r="964" spans="1:2" ht="15" x14ac:dyDescent="0.25">
      <c r="A964" s="370"/>
      <c r="B964" s="371"/>
    </row>
    <row r="965" spans="1:2" ht="15" x14ac:dyDescent="0.25">
      <c r="A965" s="368"/>
      <c r="B965" s="369"/>
    </row>
    <row r="966" spans="1:2" ht="15" x14ac:dyDescent="0.25">
      <c r="A966" s="370"/>
      <c r="B966" s="371"/>
    </row>
    <row r="967" spans="1:2" ht="15" x14ac:dyDescent="0.25">
      <c r="A967" s="368"/>
      <c r="B967" s="369"/>
    </row>
    <row r="968" spans="1:2" ht="15" x14ac:dyDescent="0.25">
      <c r="A968" s="370"/>
      <c r="B968" s="371"/>
    </row>
    <row r="969" spans="1:2" ht="15" x14ac:dyDescent="0.25">
      <c r="A969" s="368"/>
      <c r="B969" s="369"/>
    </row>
    <row r="970" spans="1:2" ht="15" x14ac:dyDescent="0.25">
      <c r="A970" s="370"/>
      <c r="B970" s="371"/>
    </row>
    <row r="971" spans="1:2" ht="15" x14ac:dyDescent="0.25">
      <c r="A971" s="368"/>
      <c r="B971" s="369"/>
    </row>
    <row r="972" spans="1:2" ht="15" x14ac:dyDescent="0.25">
      <c r="A972" s="370"/>
      <c r="B972" s="371"/>
    </row>
    <row r="973" spans="1:2" ht="15" x14ac:dyDescent="0.25">
      <c r="A973" s="368"/>
      <c r="B973" s="369"/>
    </row>
    <row r="974" spans="1:2" ht="15" x14ac:dyDescent="0.25">
      <c r="A974" s="370"/>
      <c r="B974" s="371"/>
    </row>
    <row r="975" spans="1:2" ht="15" x14ac:dyDescent="0.25">
      <c r="A975" s="368"/>
      <c r="B975" s="369"/>
    </row>
    <row r="976" spans="1:2" ht="15" x14ac:dyDescent="0.25">
      <c r="A976" s="370"/>
      <c r="B976" s="371"/>
    </row>
    <row r="977" spans="1:2" ht="15" x14ac:dyDescent="0.25">
      <c r="A977" s="368">
        <v>56</v>
      </c>
      <c r="B977" s="369"/>
    </row>
    <row r="978" spans="1:2" ht="15" x14ac:dyDescent="0.25">
      <c r="A978" s="370"/>
      <c r="B978" s="371"/>
    </row>
    <row r="979" spans="1:2" ht="15" x14ac:dyDescent="0.25">
      <c r="A979" s="368"/>
      <c r="B979" s="369"/>
    </row>
    <row r="980" spans="1:2" ht="15" x14ac:dyDescent="0.25">
      <c r="A980" s="370"/>
      <c r="B980" s="371"/>
    </row>
    <row r="981" spans="1:2" ht="15" x14ac:dyDescent="0.25">
      <c r="A981" s="372"/>
      <c r="B981" s="369"/>
    </row>
    <row r="982" spans="1:2" ht="15" x14ac:dyDescent="0.25">
      <c r="A982" s="370"/>
      <c r="B982" s="371"/>
    </row>
    <row r="983" spans="1:2" ht="15" x14ac:dyDescent="0.25">
      <c r="A983" s="368"/>
      <c r="B983" s="369"/>
    </row>
    <row r="984" spans="1:2" ht="15" x14ac:dyDescent="0.25">
      <c r="A984" s="370"/>
      <c r="B984" s="371"/>
    </row>
    <row r="985" spans="1:2" ht="15" x14ac:dyDescent="0.25">
      <c r="A985" s="368"/>
      <c r="B985" s="369"/>
    </row>
    <row r="986" spans="1:2" ht="15" x14ac:dyDescent="0.25">
      <c r="A986" s="370"/>
      <c r="B986" s="371"/>
    </row>
    <row r="987" spans="1:2" ht="15" x14ac:dyDescent="0.25">
      <c r="A987" s="368"/>
      <c r="B987" s="369"/>
    </row>
    <row r="988" spans="1:2" ht="15" x14ac:dyDescent="0.25">
      <c r="A988" s="370"/>
      <c r="B988" s="371"/>
    </row>
    <row r="989" spans="1:2" ht="15" x14ac:dyDescent="0.25">
      <c r="A989" s="368">
        <v>258</v>
      </c>
      <c r="B989" s="369"/>
    </row>
    <row r="990" spans="1:2" ht="15" x14ac:dyDescent="0.25">
      <c r="A990" s="373"/>
      <c r="B990" s="371"/>
    </row>
    <row r="991" spans="1:2" ht="15" x14ac:dyDescent="0.25">
      <c r="A991" s="368"/>
      <c r="B991" s="369"/>
    </row>
    <row r="992" spans="1:2" ht="15" x14ac:dyDescent="0.25">
      <c r="A992" s="370"/>
      <c r="B992" s="371"/>
    </row>
    <row r="993" spans="1:2" ht="15" x14ac:dyDescent="0.25">
      <c r="A993" s="372"/>
      <c r="B993" s="369"/>
    </row>
    <row r="994" spans="1:2" ht="15" x14ac:dyDescent="0.25">
      <c r="A994" s="373"/>
      <c r="B994" s="371"/>
    </row>
    <row r="995" spans="1:2" ht="15" x14ac:dyDescent="0.25">
      <c r="A995" s="368"/>
      <c r="B995" s="369"/>
    </row>
    <row r="996" spans="1:2" ht="14.25" x14ac:dyDescent="0.2">
      <c r="A996" s="332"/>
      <c r="B996" s="357"/>
    </row>
    <row r="997" spans="1:2" ht="15" x14ac:dyDescent="0.25">
      <c r="A997" s="368"/>
      <c r="B997" s="369"/>
    </row>
    <row r="998" spans="1:2" ht="14.25" x14ac:dyDescent="0.2">
      <c r="A998" s="332"/>
      <c r="B998" s="336"/>
    </row>
    <row r="999" spans="1:2" ht="14.25" x14ac:dyDescent="0.2">
      <c r="A999" s="327"/>
      <c r="B999" s="328"/>
    </row>
    <row r="1000" spans="1:2" ht="14.25" x14ac:dyDescent="0.2">
      <c r="A1000" s="332"/>
      <c r="B1000" s="330"/>
    </row>
    <row r="1001" spans="1:2" ht="15" x14ac:dyDescent="0.25">
      <c r="A1001" s="368"/>
      <c r="B1001" s="369"/>
    </row>
    <row r="1002" spans="1:2" ht="15" x14ac:dyDescent="0.25">
      <c r="A1002" s="373"/>
      <c r="B1002" s="371"/>
    </row>
    <row r="1003" spans="1:2" ht="15" x14ac:dyDescent="0.25">
      <c r="A1003" s="372"/>
      <c r="B1003" s="369"/>
    </row>
    <row r="1004" spans="1:2" ht="14.25" x14ac:dyDescent="0.2">
      <c r="A1004" s="332"/>
      <c r="B1004" s="357"/>
    </row>
    <row r="1005" spans="1:2" ht="15" x14ac:dyDescent="0.25">
      <c r="A1005" s="368"/>
      <c r="B1005" s="369"/>
    </row>
    <row r="1006" spans="1:2" ht="15" x14ac:dyDescent="0.25">
      <c r="A1006" s="373"/>
      <c r="B1006" s="371"/>
    </row>
    <row r="1007" spans="1:2" ht="15" x14ac:dyDescent="0.25">
      <c r="A1007" s="372"/>
      <c r="B1007" s="369">
        <v>8</v>
      </c>
    </row>
    <row r="1008" spans="1:2" ht="15" x14ac:dyDescent="0.25">
      <c r="A1008" s="370"/>
      <c r="B1008" s="371"/>
    </row>
    <row r="1009" spans="1:2" ht="15" x14ac:dyDescent="0.25">
      <c r="A1009" s="368"/>
      <c r="B1009" s="369"/>
    </row>
    <row r="1010" spans="1:2" ht="15" x14ac:dyDescent="0.25">
      <c r="A1010" s="373"/>
      <c r="B1010" s="371">
        <v>60</v>
      </c>
    </row>
    <row r="1011" spans="1:2" ht="15" x14ac:dyDescent="0.25">
      <c r="A1011" s="368"/>
      <c r="B1011" s="369"/>
    </row>
    <row r="1012" spans="1:2" ht="15" x14ac:dyDescent="0.25">
      <c r="A1012" s="370"/>
      <c r="B1012" s="371"/>
    </row>
    <row r="1013" spans="1:2" ht="15" x14ac:dyDescent="0.25">
      <c r="A1013" s="368"/>
      <c r="B1013" s="369">
        <v>200</v>
      </c>
    </row>
    <row r="1014" spans="1:2" ht="15" x14ac:dyDescent="0.25">
      <c r="A1014" s="370"/>
      <c r="B1014" s="371"/>
    </row>
    <row r="1015" spans="1:2" ht="14.25" x14ac:dyDescent="0.2">
      <c r="A1015" s="332"/>
      <c r="B1015" s="357"/>
    </row>
    <row r="1016" spans="1:2" ht="15" x14ac:dyDescent="0.25">
      <c r="A1016" s="370"/>
      <c r="B1016" s="371"/>
    </row>
    <row r="1017" spans="1:2" ht="15" x14ac:dyDescent="0.25">
      <c r="A1017" s="368"/>
      <c r="B1017" s="369"/>
    </row>
    <row r="1018" spans="1:2" ht="15" x14ac:dyDescent="0.25">
      <c r="A1018" s="370"/>
      <c r="B1018" s="371"/>
    </row>
    <row r="1019" spans="1:2" ht="15" x14ac:dyDescent="0.25">
      <c r="A1019" s="372"/>
      <c r="B1019" s="369"/>
    </row>
    <row r="1020" spans="1:2" ht="14.25" x14ac:dyDescent="0.2">
      <c r="A1020" s="332"/>
      <c r="B1020" s="336"/>
    </row>
    <row r="1021" spans="1:2" ht="14.25" x14ac:dyDescent="0.2">
      <c r="A1021" s="327"/>
      <c r="B1021" s="328"/>
    </row>
    <row r="1022" spans="1:2" ht="14.25" x14ac:dyDescent="0.2">
      <c r="A1022" s="327"/>
      <c r="B1022" s="328"/>
    </row>
    <row r="1023" spans="1:2" ht="14.25" x14ac:dyDescent="0.2">
      <c r="A1023" s="327"/>
      <c r="B1023" s="328"/>
    </row>
    <row r="1024" spans="1:2" ht="14.25" x14ac:dyDescent="0.2">
      <c r="A1024" s="327">
        <v>238</v>
      </c>
      <c r="B1024" s="328"/>
    </row>
    <row r="1025" spans="1:2" ht="14.25" x14ac:dyDescent="0.2">
      <c r="A1025" s="327">
        <v>128</v>
      </c>
      <c r="B1025" s="330"/>
    </row>
    <row r="1026" spans="1:2" ht="15" x14ac:dyDescent="0.25">
      <c r="A1026" s="370">
        <v>28</v>
      </c>
      <c r="B1026" s="371"/>
    </row>
    <row r="1027" spans="1:2" ht="15" x14ac:dyDescent="0.25">
      <c r="A1027" s="368"/>
      <c r="B1027" s="369"/>
    </row>
    <row r="1028" spans="1:2" ht="15" x14ac:dyDescent="0.25">
      <c r="A1028" s="370"/>
      <c r="B1028" s="371"/>
    </row>
    <row r="1029" spans="1:2" ht="15" x14ac:dyDescent="0.25">
      <c r="A1029" s="368"/>
      <c r="B1029" s="369"/>
    </row>
    <row r="1030" spans="1:2" ht="15" x14ac:dyDescent="0.25">
      <c r="A1030" s="370"/>
      <c r="B1030" s="371"/>
    </row>
    <row r="1031" spans="1:2" ht="15" x14ac:dyDescent="0.25">
      <c r="A1031" s="368"/>
      <c r="B1031" s="369"/>
    </row>
    <row r="1032" spans="1:2" ht="15" x14ac:dyDescent="0.25">
      <c r="A1032" s="370"/>
      <c r="B1032" s="371"/>
    </row>
    <row r="1033" spans="1:2" ht="15" x14ac:dyDescent="0.25">
      <c r="A1033" s="368"/>
      <c r="B1033" s="369"/>
    </row>
    <row r="1034" spans="1:2" ht="15" x14ac:dyDescent="0.25">
      <c r="A1034" s="370"/>
      <c r="B1034" s="371"/>
    </row>
    <row r="1035" spans="1:2" ht="15" x14ac:dyDescent="0.25">
      <c r="A1035" s="368"/>
      <c r="B1035" s="369"/>
    </row>
    <row r="1036" spans="1:2" ht="15" x14ac:dyDescent="0.25">
      <c r="A1036" s="370"/>
      <c r="B1036" s="371"/>
    </row>
    <row r="1037" spans="1:2" ht="15" x14ac:dyDescent="0.25">
      <c r="A1037" s="368"/>
      <c r="B1037" s="369"/>
    </row>
    <row r="1038" spans="1:2" ht="15" x14ac:dyDescent="0.25">
      <c r="A1038" s="370"/>
      <c r="B1038" s="371"/>
    </row>
    <row r="1039" spans="1:2" ht="14.25" x14ac:dyDescent="0.2">
      <c r="A1039" s="332"/>
      <c r="B1039" s="357"/>
    </row>
    <row r="1040" spans="1:2" ht="14.25" x14ac:dyDescent="0.2">
      <c r="A1040" s="327"/>
      <c r="B1040" s="328"/>
    </row>
    <row r="1041" spans="1:2" ht="14.25" x14ac:dyDescent="0.2">
      <c r="A1041" s="332"/>
      <c r="B1041" s="330"/>
    </row>
    <row r="1042" spans="1:2" ht="15" x14ac:dyDescent="0.25">
      <c r="A1042" s="370"/>
      <c r="B1042" s="371"/>
    </row>
    <row r="1043" spans="1:2" ht="15" x14ac:dyDescent="0.25">
      <c r="A1043" s="372"/>
      <c r="B1043" s="369"/>
    </row>
    <row r="1044" spans="1:2" ht="15" x14ac:dyDescent="0.25">
      <c r="A1044" s="373"/>
      <c r="B1044" s="371"/>
    </row>
    <row r="1045" spans="1:2" ht="15" x14ac:dyDescent="0.25">
      <c r="A1045" s="372"/>
      <c r="B1045" s="369"/>
    </row>
    <row r="1046" spans="1:2" ht="15" x14ac:dyDescent="0.25">
      <c r="A1046" s="373"/>
      <c r="B1046" s="371"/>
    </row>
    <row r="1047" spans="1:2" ht="15" x14ac:dyDescent="0.25">
      <c r="A1047" s="372"/>
      <c r="B1047" s="369"/>
    </row>
    <row r="1048" spans="1:2" ht="15" x14ac:dyDescent="0.25">
      <c r="A1048" s="373"/>
      <c r="B1048" s="371">
        <v>66</v>
      </c>
    </row>
    <row r="1049" spans="1:2" ht="15" x14ac:dyDescent="0.25">
      <c r="A1049" s="372"/>
      <c r="B1049" s="369"/>
    </row>
    <row r="1050" spans="1:2" ht="15" x14ac:dyDescent="0.25">
      <c r="A1050" s="373"/>
      <c r="B1050" s="371"/>
    </row>
    <row r="1051" spans="1:2" ht="15" x14ac:dyDescent="0.25">
      <c r="A1051" s="372"/>
      <c r="B1051" s="369"/>
    </row>
    <row r="1052" spans="1:2" ht="15" x14ac:dyDescent="0.25">
      <c r="A1052" s="370"/>
      <c r="B1052" s="371"/>
    </row>
    <row r="1053" spans="1:2" ht="15" x14ac:dyDescent="0.25">
      <c r="A1053" s="368"/>
      <c r="B1053" s="369"/>
    </row>
    <row r="1054" spans="1:2" ht="15" x14ac:dyDescent="0.2">
      <c r="A1054" s="363"/>
      <c r="B1054" s="364">
        <v>18</v>
      </c>
    </row>
    <row r="1055" spans="1:2" ht="15" x14ac:dyDescent="0.25">
      <c r="A1055" s="368"/>
      <c r="B1055" s="369"/>
    </row>
    <row r="1056" spans="1:2" ht="15" x14ac:dyDescent="0.25">
      <c r="A1056" s="370"/>
      <c r="B1056" s="371">
        <v>263</v>
      </c>
    </row>
    <row r="1057" spans="1:2" ht="15" x14ac:dyDescent="0.25">
      <c r="A1057" s="368"/>
      <c r="B1057" s="369"/>
    </row>
    <row r="1058" spans="1:2" ht="15" x14ac:dyDescent="0.25">
      <c r="A1058" s="370"/>
      <c r="B1058" s="371"/>
    </row>
    <row r="1059" spans="1:2" ht="14.25" x14ac:dyDescent="0.2">
      <c r="A1059" s="332"/>
      <c r="B1059" s="357"/>
    </row>
    <row r="1060" spans="1:2" ht="15" x14ac:dyDescent="0.25">
      <c r="A1060" s="370"/>
      <c r="B1060" s="371"/>
    </row>
    <row r="1061" spans="1:2" ht="15" x14ac:dyDescent="0.25">
      <c r="A1061" s="368">
        <v>179</v>
      </c>
      <c r="B1061" s="369"/>
    </row>
    <row r="1062" spans="1:2" ht="15" x14ac:dyDescent="0.25">
      <c r="A1062" s="370">
        <v>136</v>
      </c>
      <c r="B1062" s="371"/>
    </row>
    <row r="1063" spans="1:2" ht="15" x14ac:dyDescent="0.25">
      <c r="A1063" s="368"/>
      <c r="B1063" s="369"/>
    </row>
    <row r="1064" spans="1:2" ht="15" x14ac:dyDescent="0.25">
      <c r="A1064" s="370"/>
      <c r="B1064" s="371">
        <v>50</v>
      </c>
    </row>
    <row r="1065" spans="1:2" ht="15" x14ac:dyDescent="0.25">
      <c r="A1065" s="368"/>
      <c r="B1065" s="369"/>
    </row>
    <row r="1066" spans="1:2" ht="15" x14ac:dyDescent="0.25">
      <c r="A1066" s="370"/>
      <c r="B1066" s="371"/>
    </row>
    <row r="1067" spans="1:2" ht="15" x14ac:dyDescent="0.25">
      <c r="A1067" s="374"/>
      <c r="B1067" s="375"/>
    </row>
    <row r="1068" spans="1:2" ht="15" x14ac:dyDescent="0.25">
      <c r="A1068" s="370"/>
      <c r="B1068" s="371"/>
    </row>
    <row r="1069" spans="1:2" ht="15" x14ac:dyDescent="0.25">
      <c r="A1069" s="368"/>
      <c r="B1069" s="369">
        <v>88</v>
      </c>
    </row>
    <row r="1070" spans="1:2" ht="15" x14ac:dyDescent="0.25">
      <c r="A1070" s="370"/>
      <c r="B1070" s="371"/>
    </row>
    <row r="1071" spans="1:2" ht="14.25" x14ac:dyDescent="0.2">
      <c r="A1071" s="332"/>
      <c r="B1071" s="357"/>
    </row>
    <row r="1072" spans="1:2" ht="15" x14ac:dyDescent="0.25">
      <c r="A1072" s="370"/>
      <c r="B1072" s="371"/>
    </row>
    <row r="1073" spans="1:2" ht="15" x14ac:dyDescent="0.25">
      <c r="A1073" s="368"/>
      <c r="B1073" s="369"/>
    </row>
    <row r="1074" spans="1:2" ht="15" x14ac:dyDescent="0.25">
      <c r="A1074" s="370"/>
      <c r="B1074" s="371"/>
    </row>
    <row r="1075" spans="1:2" ht="15" x14ac:dyDescent="0.25">
      <c r="A1075" s="368"/>
      <c r="B1075" s="369"/>
    </row>
    <row r="1076" spans="1:2" ht="15" x14ac:dyDescent="0.25">
      <c r="A1076" s="370"/>
      <c r="B1076" s="371"/>
    </row>
    <row r="1077" spans="1:2" ht="14.25" x14ac:dyDescent="0.2">
      <c r="A1077" s="332"/>
      <c r="B1077" s="336"/>
    </row>
    <row r="1078" spans="1:2" ht="14.25" x14ac:dyDescent="0.2">
      <c r="A1078" s="327"/>
      <c r="B1078" s="328"/>
    </row>
    <row r="1079" spans="1:2" ht="14.25" x14ac:dyDescent="0.2">
      <c r="A1079" s="327"/>
      <c r="B1079" s="328"/>
    </row>
    <row r="1080" spans="1:2" ht="14.25" x14ac:dyDescent="0.2">
      <c r="A1080" s="327"/>
      <c r="B1080" s="328"/>
    </row>
    <row r="1081" spans="1:2" ht="14.25" x14ac:dyDescent="0.2">
      <c r="A1081" s="327"/>
      <c r="B1081" s="328"/>
    </row>
    <row r="1082" spans="1:2" ht="14.25" x14ac:dyDescent="0.2">
      <c r="A1082" s="327"/>
      <c r="B1082" s="328"/>
    </row>
    <row r="1083" spans="1:2" ht="14.25" x14ac:dyDescent="0.2">
      <c r="A1083" s="327"/>
      <c r="B1083" s="330"/>
    </row>
    <row r="1084" spans="1:2" ht="14.25" x14ac:dyDescent="0.2">
      <c r="A1084" s="327"/>
      <c r="B1084" s="328"/>
    </row>
    <row r="1085" spans="1:2" ht="14.25" x14ac:dyDescent="0.2">
      <c r="A1085" s="327"/>
      <c r="B1085" s="328"/>
    </row>
    <row r="1086" spans="1:2" ht="14.25" x14ac:dyDescent="0.2">
      <c r="A1086" s="327"/>
      <c r="B1086" s="328"/>
    </row>
    <row r="1087" spans="1:2" ht="14.25" x14ac:dyDescent="0.2">
      <c r="A1087" s="327"/>
      <c r="B1087" s="328"/>
    </row>
    <row r="1088" spans="1:2" ht="14.25" x14ac:dyDescent="0.2">
      <c r="A1088" s="327"/>
      <c r="B1088" s="330"/>
    </row>
    <row r="1089" spans="1:2" ht="15" x14ac:dyDescent="0.25">
      <c r="A1089" s="368"/>
      <c r="B1089" s="369"/>
    </row>
    <row r="1090" spans="1:2" ht="15" x14ac:dyDescent="0.25">
      <c r="A1090" s="370"/>
      <c r="B1090" s="371"/>
    </row>
    <row r="1091" spans="1:2" ht="15" x14ac:dyDescent="0.25">
      <c r="A1091" s="368"/>
      <c r="B1091" s="369">
        <v>3</v>
      </c>
    </row>
    <row r="1092" spans="1:2" ht="15" x14ac:dyDescent="0.25">
      <c r="A1092" s="370"/>
      <c r="B1092" s="371"/>
    </row>
    <row r="1093" spans="1:2" ht="15" x14ac:dyDescent="0.25">
      <c r="A1093" s="368"/>
      <c r="B1093" s="369"/>
    </row>
    <row r="1094" spans="1:2" ht="15" x14ac:dyDescent="0.25">
      <c r="A1094" s="370"/>
      <c r="B1094" s="371"/>
    </row>
    <row r="1095" spans="1:2" ht="15" x14ac:dyDescent="0.2">
      <c r="A1095" s="363"/>
      <c r="B1095" s="364">
        <f>114+114</f>
        <v>228</v>
      </c>
    </row>
    <row r="1096" spans="1:2" ht="15" x14ac:dyDescent="0.25">
      <c r="A1096" s="370"/>
      <c r="B1096" s="371"/>
    </row>
    <row r="1097" spans="1:2" ht="15" x14ac:dyDescent="0.25">
      <c r="A1097" s="368"/>
      <c r="B1097" s="369">
        <v>244</v>
      </c>
    </row>
    <row r="1098" spans="1:2" ht="15" x14ac:dyDescent="0.25">
      <c r="A1098" s="370"/>
      <c r="B1098" s="371">
        <v>87</v>
      </c>
    </row>
    <row r="1099" spans="1:2" ht="15" x14ac:dyDescent="0.25">
      <c r="A1099" s="368"/>
      <c r="B1099" s="369"/>
    </row>
    <row r="1100" spans="1:2" ht="15" x14ac:dyDescent="0.2">
      <c r="A1100" s="363"/>
      <c r="B1100" s="364"/>
    </row>
    <row r="1101" spans="1:2" ht="15" x14ac:dyDescent="0.25">
      <c r="A1101" s="368"/>
      <c r="B1101" s="369"/>
    </row>
    <row r="1102" spans="1:2" ht="15" x14ac:dyDescent="0.25">
      <c r="A1102" s="370"/>
      <c r="B1102" s="371"/>
    </row>
    <row r="1103" spans="1:2" ht="15" x14ac:dyDescent="0.25">
      <c r="A1103" s="368"/>
      <c r="B1103" s="369"/>
    </row>
    <row r="1104" spans="1:2" ht="14.25" x14ac:dyDescent="0.2">
      <c r="A1104" s="332"/>
      <c r="B1104" s="357"/>
    </row>
    <row r="1105" spans="1:2" ht="14.25" x14ac:dyDescent="0.2">
      <c r="A1105" s="327"/>
      <c r="B1105" s="330"/>
    </row>
    <row r="1106" spans="1:2" ht="14.25" x14ac:dyDescent="0.2">
      <c r="A1106" s="327"/>
      <c r="B1106" s="330"/>
    </row>
    <row r="1107" spans="1:2" ht="14.25" x14ac:dyDescent="0.2">
      <c r="A1107" s="327"/>
      <c r="B1107" s="330"/>
    </row>
    <row r="1108" spans="1:2" ht="14.25" x14ac:dyDescent="0.2">
      <c r="A1108" s="327"/>
      <c r="B1108" s="330"/>
    </row>
    <row r="1109" spans="1:2" ht="14.25" x14ac:dyDescent="0.2">
      <c r="A1109" s="327"/>
      <c r="B1109" s="330"/>
    </row>
    <row r="1110" spans="1:2" ht="14.25" x14ac:dyDescent="0.2">
      <c r="A1110" s="327"/>
      <c r="B1110" s="330"/>
    </row>
    <row r="1111" spans="1:2" ht="14.25" x14ac:dyDescent="0.2">
      <c r="A1111" s="327"/>
      <c r="B1111" s="330"/>
    </row>
    <row r="1112" spans="1:2" ht="14.25" x14ac:dyDescent="0.2">
      <c r="A1112" s="327"/>
      <c r="B1112" s="330"/>
    </row>
    <row r="1113" spans="1:2" ht="14.25" x14ac:dyDescent="0.2">
      <c r="A1113" s="327"/>
      <c r="B1113" s="330"/>
    </row>
    <row r="1114" spans="1:2" ht="14.25" x14ac:dyDescent="0.2">
      <c r="A1114" s="327"/>
      <c r="B1114" s="330"/>
    </row>
    <row r="1115" spans="1:2" ht="14.25" x14ac:dyDescent="0.2">
      <c r="A1115" s="327"/>
      <c r="B1115" s="330"/>
    </row>
    <row r="1116" spans="1:2" ht="14.25" x14ac:dyDescent="0.2">
      <c r="A1116" s="327"/>
      <c r="B1116" s="330"/>
    </row>
    <row r="1117" spans="1:2" ht="15" x14ac:dyDescent="0.2">
      <c r="A1117" s="327"/>
      <c r="B1117" s="386"/>
    </row>
    <row r="1118" spans="1:2" ht="15" x14ac:dyDescent="0.25">
      <c r="A1118" s="370"/>
      <c r="B1118" s="371"/>
    </row>
    <row r="1119" spans="1:2" ht="15" x14ac:dyDescent="0.25">
      <c r="A1119" s="368"/>
      <c r="B1119" s="369"/>
    </row>
    <row r="1120" spans="1:2" ht="15" x14ac:dyDescent="0.25">
      <c r="A1120" s="370"/>
      <c r="B1120" s="371">
        <v>140</v>
      </c>
    </row>
    <row r="1121" spans="1:2" ht="15" x14ac:dyDescent="0.25">
      <c r="A1121" s="368"/>
      <c r="B1121" s="369"/>
    </row>
    <row r="1122" spans="1:2" ht="15" x14ac:dyDescent="0.25">
      <c r="A1122" s="370"/>
      <c r="B1122" s="371"/>
    </row>
    <row r="1123" spans="1:2" ht="14.25" x14ac:dyDescent="0.2">
      <c r="A1123" s="332"/>
      <c r="B1123" s="357"/>
    </row>
    <row r="1124" spans="1:2" ht="15.75" x14ac:dyDescent="0.2">
      <c r="A1124" s="329"/>
      <c r="B1124" s="331"/>
    </row>
    <row r="1125" spans="1:2" ht="15.75" x14ac:dyDescent="0.2">
      <c r="A1125" s="329"/>
      <c r="B1125" s="331"/>
    </row>
    <row r="1126" spans="1:2" ht="15.75" x14ac:dyDescent="0.2">
      <c r="A1126" s="329"/>
      <c r="B1126" s="331"/>
    </row>
    <row r="1127" spans="1:2" ht="15.75" x14ac:dyDescent="0.2">
      <c r="A1127" s="329"/>
      <c r="B1127" s="331"/>
    </row>
    <row r="1128" spans="1:2" ht="15.75" x14ac:dyDescent="0.2">
      <c r="A1128" s="329"/>
      <c r="B1128" s="331"/>
    </row>
    <row r="1129" spans="1:2" ht="15.75" x14ac:dyDescent="0.2">
      <c r="A1129" s="329"/>
      <c r="B1129" s="331"/>
    </row>
    <row r="1130" spans="1:2" ht="15.75" x14ac:dyDescent="0.2">
      <c r="A1130" s="329"/>
      <c r="B1130" s="331"/>
    </row>
    <row r="1131" spans="1:2" ht="15.75" x14ac:dyDescent="0.2">
      <c r="A1131" s="329"/>
      <c r="B1131" s="331"/>
    </row>
    <row r="1132" spans="1:2" ht="14.25" x14ac:dyDescent="0.2">
      <c r="A1132" s="327"/>
      <c r="B1132" s="330"/>
    </row>
    <row r="1133" spans="1:2" ht="15" x14ac:dyDescent="0.25">
      <c r="A1133" s="368"/>
      <c r="B1133" s="369"/>
    </row>
    <row r="1134" spans="1:2" ht="15" x14ac:dyDescent="0.25">
      <c r="A1134" s="370"/>
      <c r="B1134" s="371"/>
    </row>
    <row r="1135" spans="1:2" ht="15" x14ac:dyDescent="0.25">
      <c r="A1135" s="368"/>
      <c r="B1135" s="369"/>
    </row>
    <row r="1136" spans="1:2" ht="15" x14ac:dyDescent="0.25">
      <c r="A1136" s="370"/>
      <c r="B1136" s="371"/>
    </row>
    <row r="1137" spans="1:2" ht="15" x14ac:dyDescent="0.25">
      <c r="A1137" s="368"/>
      <c r="B1137" s="369"/>
    </row>
    <row r="1138" spans="1:2" ht="15" x14ac:dyDescent="0.25">
      <c r="A1138" s="370"/>
      <c r="B1138" s="371"/>
    </row>
    <row r="1139" spans="1:2" ht="15" x14ac:dyDescent="0.25">
      <c r="A1139" s="368"/>
      <c r="B1139" s="369"/>
    </row>
    <row r="1140" spans="1:2" ht="15" x14ac:dyDescent="0.25">
      <c r="A1140" s="370"/>
      <c r="B1140" s="371"/>
    </row>
    <row r="1141" spans="1:2" ht="15" x14ac:dyDescent="0.25">
      <c r="A1141" s="368">
        <v>30</v>
      </c>
      <c r="B1141" s="369">
        <v>26</v>
      </c>
    </row>
    <row r="1142" spans="1:2" ht="15" x14ac:dyDescent="0.25">
      <c r="A1142" s="370"/>
      <c r="B1142" s="371"/>
    </row>
    <row r="1143" spans="1:2" ht="15" x14ac:dyDescent="0.25">
      <c r="A1143" s="368">
        <v>28</v>
      </c>
      <c r="B1143" s="369"/>
    </row>
    <row r="1144" spans="1:2" ht="15" x14ac:dyDescent="0.25">
      <c r="A1144" s="370"/>
      <c r="B1144" s="371">
        <v>21</v>
      </c>
    </row>
    <row r="1145" spans="1:2" ht="15" x14ac:dyDescent="0.25">
      <c r="A1145" s="368"/>
      <c r="B1145" s="369"/>
    </row>
    <row r="1146" spans="1:2" ht="15" x14ac:dyDescent="0.25">
      <c r="A1146" s="370"/>
      <c r="B1146" s="371"/>
    </row>
    <row r="1147" spans="1:2" ht="15" x14ac:dyDescent="0.25">
      <c r="A1147" s="368"/>
      <c r="B1147" s="369"/>
    </row>
    <row r="1148" spans="1:2" ht="15" x14ac:dyDescent="0.25">
      <c r="A1148" s="370">
        <v>42</v>
      </c>
      <c r="B1148" s="371"/>
    </row>
    <row r="1149" spans="1:2" ht="15" x14ac:dyDescent="0.25">
      <c r="A1149" s="368">
        <f>162+168</f>
        <v>330</v>
      </c>
      <c r="B1149" s="369"/>
    </row>
    <row r="1150" spans="1:2" ht="15" x14ac:dyDescent="0.25">
      <c r="A1150" s="370">
        <f>136+133</f>
        <v>269</v>
      </c>
      <c r="B1150" s="371"/>
    </row>
    <row r="1151" spans="1:2" ht="15" x14ac:dyDescent="0.25">
      <c r="A1151" s="368"/>
      <c r="B1151" s="369"/>
    </row>
    <row r="1152" spans="1:2" ht="15" x14ac:dyDescent="0.25">
      <c r="A1152" s="370"/>
      <c r="B1152" s="371"/>
    </row>
    <row r="1153" spans="1:2" ht="15" x14ac:dyDescent="0.25">
      <c r="A1153" s="368"/>
      <c r="B1153" s="369"/>
    </row>
    <row r="1154" spans="1:2" ht="15" x14ac:dyDescent="0.25">
      <c r="A1154" s="370"/>
      <c r="B1154" s="371"/>
    </row>
    <row r="1155" spans="1:2" ht="15" x14ac:dyDescent="0.25">
      <c r="A1155" s="368"/>
      <c r="B1155" s="369"/>
    </row>
    <row r="1156" spans="1:2" ht="15.75" x14ac:dyDescent="0.2">
      <c r="A1156" s="363"/>
      <c r="B1156" s="365"/>
    </row>
    <row r="1157" spans="1:2" ht="15" x14ac:dyDescent="0.2">
      <c r="A1157" s="329"/>
      <c r="B1157" s="385"/>
    </row>
    <row r="1158" spans="1:2" ht="15" x14ac:dyDescent="0.25">
      <c r="A1158" s="370"/>
      <c r="B1158" s="371"/>
    </row>
    <row r="1159" spans="1:2" ht="15" x14ac:dyDescent="0.25">
      <c r="A1159" s="368"/>
      <c r="B1159" s="369"/>
    </row>
    <row r="1160" spans="1:2" ht="14.25" x14ac:dyDescent="0.2">
      <c r="A1160" s="332"/>
      <c r="B1160" s="357"/>
    </row>
    <row r="1161" spans="1:2" ht="14.25" x14ac:dyDescent="0.2">
      <c r="A1161" s="327"/>
      <c r="B1161" s="330"/>
    </row>
    <row r="1162" spans="1:2" ht="14.25" x14ac:dyDescent="0.2">
      <c r="A1162" s="327"/>
      <c r="B1162" s="330"/>
    </row>
    <row r="1163" spans="1:2" ht="14.25" x14ac:dyDescent="0.2">
      <c r="A1163" s="327"/>
      <c r="B1163" s="330"/>
    </row>
    <row r="1164" spans="1:2" ht="14.25" x14ac:dyDescent="0.2">
      <c r="A1164" s="327"/>
      <c r="B1164" s="330"/>
    </row>
    <row r="1165" spans="1:2" ht="14.25" x14ac:dyDescent="0.2">
      <c r="A1165" s="327"/>
      <c r="B1165" s="330"/>
    </row>
    <row r="1166" spans="1:2" ht="14.25" x14ac:dyDescent="0.2">
      <c r="A1166" s="327"/>
      <c r="B1166" s="330"/>
    </row>
    <row r="1167" spans="1:2" ht="14.25" x14ac:dyDescent="0.2">
      <c r="A1167" s="327"/>
      <c r="B1167" s="330"/>
    </row>
    <row r="1168" spans="1:2" ht="14.25" x14ac:dyDescent="0.2">
      <c r="A1168" s="327"/>
      <c r="B1168" s="330"/>
    </row>
    <row r="1169" spans="1:2" ht="14.25" x14ac:dyDescent="0.2">
      <c r="A1169" s="327"/>
      <c r="B1169" s="330"/>
    </row>
    <row r="1170" spans="1:2" ht="14.25" x14ac:dyDescent="0.2">
      <c r="A1170" s="327"/>
      <c r="B1170" s="330"/>
    </row>
    <row r="1171" spans="1:2" ht="14.25" x14ac:dyDescent="0.2">
      <c r="A1171" s="327"/>
      <c r="B1171" s="330"/>
    </row>
    <row r="1172" spans="1:2" ht="14.25" x14ac:dyDescent="0.2">
      <c r="A1172" s="327"/>
      <c r="B1172" s="328" t="e">
        <f>Таблица4[[#This Row],[Количество хлыстов]]-#REF!</f>
        <v>#VALUE!</v>
      </c>
    </row>
    <row r="1173" spans="1:2" ht="14.25" x14ac:dyDescent="0.2">
      <c r="A1173" s="387"/>
      <c r="B1173" s="328"/>
    </row>
    <row r="1174" spans="1:2" ht="14.25" x14ac:dyDescent="0.2">
      <c r="A1174" s="387"/>
      <c r="B1174" s="328"/>
    </row>
    <row r="1175" spans="1:2" ht="14.25" x14ac:dyDescent="0.2">
      <c r="A1175" s="387"/>
      <c r="B1175" s="330"/>
    </row>
    <row r="1176" spans="1:2" ht="15" x14ac:dyDescent="0.25">
      <c r="A1176" s="370"/>
      <c r="B1176" s="371"/>
    </row>
    <row r="1177" spans="1:2" ht="15" x14ac:dyDescent="0.25">
      <c r="A1177" s="368"/>
      <c r="B1177" s="369"/>
    </row>
    <row r="1178" spans="1:2" ht="15" x14ac:dyDescent="0.25">
      <c r="A1178" s="370"/>
      <c r="B1178" s="371"/>
    </row>
    <row r="1179" spans="1:2" ht="15" x14ac:dyDescent="0.25">
      <c r="A1179" s="368">
        <f>20+18</f>
        <v>38</v>
      </c>
      <c r="B1179" s="369"/>
    </row>
    <row r="1180" spans="1:2" ht="15" x14ac:dyDescent="0.25">
      <c r="A1180" s="370">
        <v>120</v>
      </c>
      <c r="B1180" s="371"/>
    </row>
    <row r="1181" spans="1:2" ht="15" x14ac:dyDescent="0.25">
      <c r="A1181" s="368">
        <v>89</v>
      </c>
      <c r="B1181" s="369"/>
    </row>
    <row r="1182" spans="1:2" ht="15" x14ac:dyDescent="0.25">
      <c r="A1182" s="370"/>
      <c r="B1182" s="371"/>
    </row>
    <row r="1183" spans="1:2" ht="15" x14ac:dyDescent="0.25">
      <c r="A1183" s="368"/>
      <c r="B1183" s="369"/>
    </row>
    <row r="1184" spans="1:2" ht="15" x14ac:dyDescent="0.25">
      <c r="A1184" s="373"/>
      <c r="B1184" s="371"/>
    </row>
    <row r="1185" spans="1:2" ht="15" x14ac:dyDescent="0.25">
      <c r="A1185" s="372"/>
      <c r="B1185" s="369"/>
    </row>
    <row r="1186" spans="1:2" ht="15" x14ac:dyDescent="0.25">
      <c r="A1186" s="370"/>
      <c r="B1186" s="371"/>
    </row>
    <row r="1187" spans="1:2" ht="15" x14ac:dyDescent="0.25">
      <c r="A1187" s="368">
        <v>175</v>
      </c>
      <c r="B1187" s="369"/>
    </row>
    <row r="1188" spans="1:2" ht="14.25" x14ac:dyDescent="0.2">
      <c r="A1188" s="332"/>
      <c r="B1188" s="357"/>
    </row>
    <row r="1189" spans="1:2" ht="14.25" x14ac:dyDescent="0.2">
      <c r="A1189" s="327"/>
      <c r="B1189" s="330"/>
    </row>
    <row r="1190" spans="1:2" ht="15" x14ac:dyDescent="0.25">
      <c r="A1190" s="370"/>
      <c r="B1190" s="371"/>
    </row>
    <row r="1191" spans="1:2" ht="15" x14ac:dyDescent="0.25">
      <c r="A1191" s="368"/>
      <c r="B1191" s="369"/>
    </row>
    <row r="1192" spans="1:2" ht="15" x14ac:dyDescent="0.25">
      <c r="A1192" s="370"/>
      <c r="B1192" s="371"/>
    </row>
    <row r="1193" spans="1:2" ht="15" x14ac:dyDescent="0.25">
      <c r="A1193" s="368"/>
      <c r="B1193" s="369"/>
    </row>
    <row r="1194" spans="1:2" ht="15" x14ac:dyDescent="0.25">
      <c r="A1194" s="370"/>
      <c r="B1194" s="371"/>
    </row>
    <row r="1195" spans="1:2" ht="15" x14ac:dyDescent="0.25">
      <c r="A1195" s="368"/>
      <c r="B1195" s="369"/>
    </row>
    <row r="1196" spans="1:2" ht="15" x14ac:dyDescent="0.25">
      <c r="A1196" s="370"/>
      <c r="B1196" s="371"/>
    </row>
    <row r="1197" spans="1:2" ht="15" x14ac:dyDescent="0.25">
      <c r="A1197" s="368"/>
      <c r="B1197" s="369"/>
    </row>
    <row r="1198" spans="1:2" ht="15" x14ac:dyDescent="0.25">
      <c r="A1198" s="370"/>
      <c r="B1198" s="371"/>
    </row>
    <row r="1199" spans="1:2" ht="15" x14ac:dyDescent="0.25">
      <c r="A1199" s="368"/>
      <c r="B1199" s="369"/>
    </row>
    <row r="1200" spans="1:2" ht="15" x14ac:dyDescent="0.25">
      <c r="A1200" s="370"/>
      <c r="B1200" s="371"/>
    </row>
    <row r="1201" spans="1:2" ht="15" x14ac:dyDescent="0.25">
      <c r="A1201" s="368"/>
      <c r="B1201" s="369"/>
    </row>
    <row r="1202" spans="1:2" ht="15" x14ac:dyDescent="0.25">
      <c r="A1202" s="370"/>
      <c r="B1202" s="371"/>
    </row>
    <row r="1203" spans="1:2" ht="15" x14ac:dyDescent="0.25">
      <c r="A1203" s="368"/>
      <c r="B1203" s="369"/>
    </row>
    <row r="1204" spans="1:2" ht="15" x14ac:dyDescent="0.25">
      <c r="A1204" s="370"/>
      <c r="B1204" s="371"/>
    </row>
    <row r="1205" spans="1:2" ht="15" x14ac:dyDescent="0.25">
      <c r="A1205" s="368"/>
      <c r="B1205" s="369"/>
    </row>
    <row r="1206" spans="1:2" ht="15" x14ac:dyDescent="0.25">
      <c r="A1206" s="370"/>
      <c r="B1206" s="371"/>
    </row>
    <row r="1207" spans="1:2" ht="14.25" x14ac:dyDescent="0.2">
      <c r="A1207" s="332"/>
      <c r="B1207" s="357"/>
    </row>
    <row r="1208" spans="1:2" ht="15" x14ac:dyDescent="0.25">
      <c r="A1208" s="370"/>
      <c r="B1208" s="371"/>
    </row>
    <row r="1209" spans="1:2" ht="15" x14ac:dyDescent="0.25">
      <c r="A1209" s="368"/>
      <c r="B1209" s="369"/>
    </row>
    <row r="1210" spans="1:2" ht="15" x14ac:dyDescent="0.25">
      <c r="A1210" s="370"/>
      <c r="B1210" s="371"/>
    </row>
    <row r="1211" spans="1:2" ht="15" x14ac:dyDescent="0.25">
      <c r="A1211" s="368"/>
      <c r="B1211" s="369"/>
    </row>
    <row r="1212" spans="1:2" ht="15" x14ac:dyDescent="0.25">
      <c r="A1212" s="370"/>
      <c r="B1212" s="371"/>
    </row>
    <row r="1213" spans="1:2" ht="15" x14ac:dyDescent="0.25">
      <c r="A1213" s="368"/>
      <c r="B1213" s="369"/>
    </row>
    <row r="1214" spans="1:2" ht="15" x14ac:dyDescent="0.25">
      <c r="A1214" s="370"/>
      <c r="B1214" s="371"/>
    </row>
    <row r="1215" spans="1:2" ht="15" x14ac:dyDescent="0.25">
      <c r="A1215" s="368"/>
      <c r="B1215" s="369"/>
    </row>
    <row r="1216" spans="1:2" ht="15" x14ac:dyDescent="0.25">
      <c r="A1216" s="370"/>
      <c r="B1216" s="371"/>
    </row>
    <row r="1217" spans="1:2" ht="14.25" x14ac:dyDescent="0.2">
      <c r="A1217" s="332"/>
      <c r="B1217" s="336"/>
    </row>
    <row r="1218" spans="1:2" ht="14.25" x14ac:dyDescent="0.2">
      <c r="A1218" s="327"/>
      <c r="B1218" s="328"/>
    </row>
    <row r="1219" spans="1:2" ht="14.25" x14ac:dyDescent="0.2">
      <c r="A1219" s="327"/>
      <c r="B1219" s="328"/>
    </row>
    <row r="1220" spans="1:2" ht="14.25" x14ac:dyDescent="0.2">
      <c r="A1220" s="327"/>
      <c r="B1220" s="330"/>
    </row>
    <row r="1221" spans="1:2" ht="15" x14ac:dyDescent="0.25">
      <c r="A1221" s="368"/>
      <c r="B1221" s="369"/>
    </row>
    <row r="1222" spans="1:2" ht="15" x14ac:dyDescent="0.25">
      <c r="A1222" s="370"/>
      <c r="B1222" s="371"/>
    </row>
    <row r="1223" spans="1:2" ht="15" x14ac:dyDescent="0.25">
      <c r="A1223" s="368"/>
      <c r="B1223" s="369"/>
    </row>
    <row r="1224" spans="1:2" ht="15" x14ac:dyDescent="0.25">
      <c r="A1224" s="370"/>
      <c r="B1224" s="371"/>
    </row>
    <row r="1225" spans="1:2" ht="15" x14ac:dyDescent="0.25">
      <c r="A1225" s="368"/>
      <c r="B1225" s="369"/>
    </row>
    <row r="1226" spans="1:2" ht="15" x14ac:dyDescent="0.25">
      <c r="A1226" s="370"/>
      <c r="B1226" s="371"/>
    </row>
    <row r="1227" spans="1:2" ht="15" x14ac:dyDescent="0.25">
      <c r="A1227" s="368"/>
      <c r="B1227" s="369"/>
    </row>
    <row r="1228" spans="1:2" ht="15" x14ac:dyDescent="0.25">
      <c r="A1228" s="370"/>
      <c r="B1228" s="371"/>
    </row>
    <row r="1229" spans="1:2" ht="15" x14ac:dyDescent="0.25">
      <c r="A1229" s="368"/>
      <c r="B1229" s="369"/>
    </row>
    <row r="1230" spans="1:2" ht="15" x14ac:dyDescent="0.25">
      <c r="A1230" s="370"/>
      <c r="B1230" s="371"/>
    </row>
    <row r="1231" spans="1:2" ht="15" x14ac:dyDescent="0.25">
      <c r="A1231" s="368"/>
      <c r="B1231" s="369"/>
    </row>
    <row r="1232" spans="1:2" ht="15" x14ac:dyDescent="0.25">
      <c r="A1232" s="370"/>
      <c r="B1232" s="371"/>
    </row>
    <row r="1233" spans="1:2" ht="15" x14ac:dyDescent="0.25">
      <c r="A1233" s="368"/>
      <c r="B1233" s="369"/>
    </row>
    <row r="1234" spans="1:2" ht="15" x14ac:dyDescent="0.25">
      <c r="A1234" s="370"/>
      <c r="B1234" s="371"/>
    </row>
    <row r="1235" spans="1:2" ht="15" x14ac:dyDescent="0.25">
      <c r="A1235" s="368"/>
      <c r="B1235" s="369"/>
    </row>
    <row r="1236" spans="1:2" ht="15" x14ac:dyDescent="0.25">
      <c r="A1236" s="370"/>
      <c r="B1236" s="37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7E20B3-D6FE-413F-85AC-4972A8B6E30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3</vt:i4>
      </vt:variant>
    </vt:vector>
  </HeadingPairs>
  <TitlesOfParts>
    <vt:vector size="12" baseType="lpstr">
      <vt:lpstr>Реестр ЗНОМ Логистический ОПТ</vt:lpstr>
      <vt:lpstr>Реестр ЗНОМ Логистический Цвето</vt:lpstr>
      <vt:lpstr>План 2024</vt:lpstr>
      <vt:lpstr>план 2024 старый</vt:lpstr>
      <vt:lpstr>Общий реестр ЗНОМ</vt:lpstr>
      <vt:lpstr>план2023</vt:lpstr>
      <vt:lpstr>план 2022</vt:lpstr>
      <vt:lpstr>план 2021</vt:lpstr>
      <vt:lpstr>Лист1</vt:lpstr>
      <vt:lpstr>'план 2021'!Область_печати</vt:lpstr>
      <vt:lpstr>'план 2022'!Область_печати</vt:lpstr>
      <vt:lpstr>'план 2024 старый'!Область_печати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Сермус Виктор Юрьевич</dc:creator>
  <cp:lastModifiedBy>user</cp:lastModifiedBy>
  <cp:lastPrinted>2024-04-10T13:43:42Z</cp:lastPrinted>
  <dcterms:created xsi:type="dcterms:W3CDTF">2016-01-25T14:20:46Z</dcterms:created>
  <dcterms:modified xsi:type="dcterms:W3CDTF">2026-03-26T11:45:06Z</dcterms:modified>
</cp:coreProperties>
</file>